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lumno\Dropbox\ALONSO\"/>
    </mc:Choice>
  </mc:AlternateContent>
  <bookViews>
    <workbookView xWindow="-120" yWindow="-120" windowWidth="20730" windowHeight="11160" tabRatio="885" activeTab="1"/>
  </bookViews>
  <sheets>
    <sheet name="Menu" sheetId="10" r:id="rId1"/>
    <sheet name="OV" sheetId="9" r:id="rId2"/>
    <sheet name="Salidas" sheetId="8" r:id="rId3"/>
    <sheet name="Entradas" sheetId="7" r:id="rId4"/>
    <sheet name="Informes" sheetId="5" r:id="rId5"/>
    <sheet name="LProd" sheetId="25" r:id="rId6"/>
    <sheet name="Inv" sheetId="6" r:id="rId7"/>
    <sheet name="LV" sheetId="3" r:id="rId8"/>
    <sheet name="LC" sheetId="4" r:id="rId9"/>
    <sheet name="LCli" sheetId="2" r:id="rId10"/>
    <sheet name="Cob" sheetId="30" r:id="rId11"/>
    <sheet name="LQ" sheetId="21" r:id="rId12"/>
    <sheet name="LProv" sheetId="15" r:id="rId13"/>
    <sheet name="EC" sheetId="20" r:id="rId14"/>
    <sheet name="LValid" sheetId="11" r:id="rId15"/>
    <sheet name="Dep" sheetId="17" r:id="rId16"/>
    <sheet name="Categoria" sheetId="12" r:id="rId17"/>
    <sheet name="Sub-Tipo" sheetId="14" r:id="rId18"/>
    <sheet name="Tipo" sheetId="13" r:id="rId19"/>
  </sheets>
  <functionGroups builtInGroupCount="18"/>
  <externalReferences>
    <externalReference r:id="rId20"/>
  </externalReferences>
  <definedNames>
    <definedName name="_xlnm._FilterDatabase" localSheetId="13" hidden="1">EC!$A$9:$T$9</definedName>
    <definedName name="_xlnm._FilterDatabase" localSheetId="3" hidden="1">Entradas!$A$2:$K$2</definedName>
    <definedName name="_xlnm._FilterDatabase" localSheetId="6" hidden="1">Inv!$A$2:$O$1396</definedName>
    <definedName name="_xlnm._FilterDatabase" localSheetId="8" hidden="1">LC!$A$2:$X$74</definedName>
    <definedName name="_xlnm._FilterDatabase" localSheetId="9" hidden="1">LCli!$A$2:$O$665</definedName>
    <definedName name="_xlnm._FilterDatabase" localSheetId="5" hidden="1">LProd!$A$2:$AA$1419</definedName>
    <definedName name="_xlnm._FilterDatabase" localSheetId="12" hidden="1">LProv!$A$2:$K$155</definedName>
    <definedName name="_xlnm._FilterDatabase" localSheetId="7" hidden="1">LV!$A$2:$AK$1138</definedName>
    <definedName name="_xlnm._FilterDatabase" localSheetId="2" hidden="1">Salidas!$A$2:$Y$1220</definedName>
    <definedName name="_xlnm._FilterDatabase" localSheetId="18" hidden="1">Tipo!$A$1:$B$1</definedName>
    <definedName name="_xlnm.Print_Area" localSheetId="15">Dep!$A$1:$M$61</definedName>
    <definedName name="_xlnm.Print_Area" localSheetId="13">EC!$A$1:$T$19</definedName>
    <definedName name="_xlnm.Print_Area" localSheetId="5">LProd!$A$1:$N$558</definedName>
    <definedName name="_xlnm.Print_Area" localSheetId="11">LQ!$A$1:$R$19</definedName>
    <definedName name="_xlnm.Print_Area" localSheetId="7">LV!$A$1:$Q$2</definedName>
    <definedName name="_xlnm.Print_Area" localSheetId="1">OV!$A$1:$Q$41</definedName>
  </definedNames>
  <calcPr calcId="162913"/>
  <pivotCaches>
    <pivotCache cacheId="0" r:id="rId21"/>
    <pivotCache cacheId="2" r:id="rId22"/>
    <pivotCache cacheId="6" r:id="rId2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800" i="25" l="1"/>
  <c r="AA800" i="25" s="1"/>
  <c r="M800" i="25"/>
  <c r="L800" i="25" s="1"/>
  <c r="Z800" i="25" l="1"/>
  <c r="K800" i="25"/>
  <c r="N800" i="25"/>
  <c r="P800" i="25" s="1"/>
  <c r="S111" i="25"/>
  <c r="AA111" i="25" s="1"/>
  <c r="M111" i="25"/>
  <c r="L111" i="25" s="1"/>
  <c r="Z111" i="25" l="1"/>
  <c r="N111" i="25"/>
  <c r="P111" i="25" s="1"/>
  <c r="K111" i="25"/>
  <c r="S1419" i="25"/>
  <c r="AA1419" i="25" s="1"/>
  <c r="M1419" i="25"/>
  <c r="N1419" i="25" s="1"/>
  <c r="P1419" i="25" s="1"/>
  <c r="AJ1138" i="3"/>
  <c r="J1138" i="3"/>
  <c r="AC1138" i="3"/>
  <c r="AD1138" i="3" s="1"/>
  <c r="AA1138" i="3"/>
  <c r="M1138" i="3"/>
  <c r="AJ1137" i="3"/>
  <c r="J1137" i="3"/>
  <c r="AC1137" i="3"/>
  <c r="AD1137" i="3" s="1"/>
  <c r="AA1137" i="3"/>
  <c r="M1137" i="3"/>
  <c r="AJ1136" i="3"/>
  <c r="J1136" i="3"/>
  <c r="AC1136" i="3"/>
  <c r="AD1136" i="3" s="1"/>
  <c r="AA1136" i="3"/>
  <c r="M1136" i="3"/>
  <c r="AJ1135" i="3"/>
  <c r="J1135" i="3"/>
  <c r="AC1135" i="3"/>
  <c r="AD1135" i="3" s="1"/>
  <c r="AA1135" i="3"/>
  <c r="M1135" i="3"/>
  <c r="AJ1134" i="3"/>
  <c r="J1134" i="3"/>
  <c r="AD1134" i="3"/>
  <c r="AC1134" i="3"/>
  <c r="AA1134" i="3"/>
  <c r="M1134" i="3"/>
  <c r="AJ1133" i="3"/>
  <c r="J1133" i="3"/>
  <c r="AC1133" i="3"/>
  <c r="AD1133" i="3" s="1"/>
  <c r="AA1133" i="3"/>
  <c r="M1133" i="3"/>
  <c r="AJ1132" i="3"/>
  <c r="J1132" i="3"/>
  <c r="AC1132" i="3"/>
  <c r="AD1132" i="3" s="1"/>
  <c r="AA1132" i="3"/>
  <c r="M1132" i="3"/>
  <c r="AJ1131" i="3"/>
  <c r="J1131" i="3"/>
  <c r="AC1131" i="3"/>
  <c r="AD1131" i="3" s="1"/>
  <c r="AA1131" i="3"/>
  <c r="M1131" i="3"/>
  <c r="AJ1130" i="3"/>
  <c r="J1130" i="3"/>
  <c r="AC1130" i="3"/>
  <c r="AD1130" i="3" s="1"/>
  <c r="AA1130" i="3"/>
  <c r="M1130" i="3"/>
  <c r="AJ1129" i="3"/>
  <c r="J1129" i="3"/>
  <c r="AC1129" i="3"/>
  <c r="AD1129" i="3" s="1"/>
  <c r="AA1129" i="3"/>
  <c r="M1129" i="3"/>
  <c r="AJ1128" i="3"/>
  <c r="J1128" i="3"/>
  <c r="AC1128" i="3"/>
  <c r="AD1128" i="3" s="1"/>
  <c r="AA1128" i="3"/>
  <c r="M1128" i="3"/>
  <c r="AJ1127" i="3"/>
  <c r="J1127" i="3"/>
  <c r="AC1127" i="3"/>
  <c r="AD1127" i="3" s="1"/>
  <c r="AA1127" i="3"/>
  <c r="M1127" i="3"/>
  <c r="AJ1126" i="3"/>
  <c r="J1126" i="3"/>
  <c r="AC1126" i="3"/>
  <c r="AD1126" i="3" s="1"/>
  <c r="AA1126" i="3"/>
  <c r="M1126" i="3"/>
  <c r="AJ1125" i="3"/>
  <c r="J1125" i="3"/>
  <c r="AC1125" i="3"/>
  <c r="AD1125" i="3" s="1"/>
  <c r="AA1125" i="3"/>
  <c r="M1125" i="3"/>
  <c r="AJ1124" i="3"/>
  <c r="J1124" i="3"/>
  <c r="AC1124" i="3"/>
  <c r="AD1124" i="3" s="1"/>
  <c r="AA1124" i="3"/>
  <c r="M1124" i="3"/>
  <c r="AJ1123" i="3"/>
  <c r="J1123" i="3"/>
  <c r="AC1123" i="3"/>
  <c r="AD1123" i="3" s="1"/>
  <c r="AA1123" i="3"/>
  <c r="M1123" i="3"/>
  <c r="AJ1122" i="3"/>
  <c r="J1122" i="3"/>
  <c r="AC1122" i="3"/>
  <c r="AD1122" i="3" s="1"/>
  <c r="AA1122" i="3"/>
  <c r="M1122" i="3"/>
  <c r="AJ1121" i="3"/>
  <c r="J1121" i="3"/>
  <c r="AC1121" i="3"/>
  <c r="AD1121" i="3" s="1"/>
  <c r="AA1121" i="3"/>
  <c r="M1121" i="3"/>
  <c r="AJ1120" i="3"/>
  <c r="J1120" i="3"/>
  <c r="AC1120" i="3"/>
  <c r="AD1120" i="3" s="1"/>
  <c r="AA1120" i="3"/>
  <c r="M1120" i="3"/>
  <c r="AJ1119" i="3"/>
  <c r="J1119" i="3"/>
  <c r="AC1119" i="3"/>
  <c r="AD1119" i="3" s="1"/>
  <c r="AA1119" i="3"/>
  <c r="M1119" i="3"/>
  <c r="AJ1118" i="3"/>
  <c r="J1118" i="3"/>
  <c r="AC1118" i="3"/>
  <c r="AD1118" i="3" s="1"/>
  <c r="AA1118" i="3"/>
  <c r="M1118" i="3"/>
  <c r="AJ1117" i="3"/>
  <c r="J1117" i="3"/>
  <c r="AC1117" i="3"/>
  <c r="AD1117" i="3" s="1"/>
  <c r="AA1117" i="3"/>
  <c r="M1117" i="3"/>
  <c r="AJ1116" i="3"/>
  <c r="J1116" i="3"/>
  <c r="AC1116" i="3"/>
  <c r="AD1116" i="3" s="1"/>
  <c r="AA1116" i="3"/>
  <c r="M1116" i="3"/>
  <c r="AJ1115" i="3"/>
  <c r="J1115" i="3"/>
  <c r="AC1115" i="3"/>
  <c r="AD1115" i="3" s="1"/>
  <c r="AA1115" i="3"/>
  <c r="M1115" i="3"/>
  <c r="AJ1114" i="3"/>
  <c r="J1114" i="3"/>
  <c r="AC1114" i="3"/>
  <c r="AD1114" i="3" s="1"/>
  <c r="AA1114" i="3"/>
  <c r="M1114" i="3"/>
  <c r="AJ1113" i="3"/>
  <c r="J1113" i="3"/>
  <c r="AC1113" i="3"/>
  <c r="AD1113" i="3" s="1"/>
  <c r="AA1113" i="3"/>
  <c r="M1113" i="3"/>
  <c r="AJ1112" i="3"/>
  <c r="J1112" i="3"/>
  <c r="AC1112" i="3"/>
  <c r="AD1112" i="3" s="1"/>
  <c r="AA1112" i="3"/>
  <c r="M1112" i="3"/>
  <c r="AJ1111" i="3"/>
  <c r="J1111" i="3"/>
  <c r="AC1111" i="3"/>
  <c r="AD1111" i="3" s="1"/>
  <c r="AA1111" i="3"/>
  <c r="M1111" i="3"/>
  <c r="AJ1110" i="3"/>
  <c r="J1110" i="3"/>
  <c r="AC1110" i="3"/>
  <c r="AD1110" i="3" s="1"/>
  <c r="AA1110" i="3"/>
  <c r="M1110" i="3"/>
  <c r="AJ1109" i="3"/>
  <c r="J1109" i="3"/>
  <c r="AC1109" i="3"/>
  <c r="AD1109" i="3" s="1"/>
  <c r="AA1109" i="3"/>
  <c r="M1109" i="3"/>
  <c r="AJ1108" i="3"/>
  <c r="J1108" i="3"/>
  <c r="AC1108" i="3"/>
  <c r="AD1108" i="3" s="1"/>
  <c r="AA1108" i="3"/>
  <c r="M1108" i="3"/>
  <c r="AJ1107" i="3"/>
  <c r="J1107" i="3"/>
  <c r="AC1107" i="3"/>
  <c r="AD1107" i="3" s="1"/>
  <c r="AA1107" i="3"/>
  <c r="M1107" i="3"/>
  <c r="AJ1106" i="3"/>
  <c r="J1106" i="3"/>
  <c r="AC1106" i="3"/>
  <c r="AD1106" i="3" s="1"/>
  <c r="AA1106" i="3"/>
  <c r="M1106" i="3"/>
  <c r="AJ1105" i="3"/>
  <c r="J1105" i="3"/>
  <c r="AC1105" i="3"/>
  <c r="AD1105" i="3" s="1"/>
  <c r="AA1105" i="3"/>
  <c r="M1105" i="3"/>
  <c r="AJ1104" i="3"/>
  <c r="J1104" i="3"/>
  <c r="AC1104" i="3"/>
  <c r="AD1104" i="3" s="1"/>
  <c r="AA1104" i="3"/>
  <c r="M1104" i="3"/>
  <c r="AJ1103" i="3"/>
  <c r="J1103" i="3"/>
  <c r="AC1103" i="3"/>
  <c r="AD1103" i="3" s="1"/>
  <c r="AA1103" i="3"/>
  <c r="M1103" i="3"/>
  <c r="AJ1102" i="3"/>
  <c r="J1102" i="3"/>
  <c r="AC1102" i="3"/>
  <c r="AD1102" i="3" s="1"/>
  <c r="AA1102" i="3"/>
  <c r="M1102" i="3"/>
  <c r="AJ1101" i="3"/>
  <c r="J1101" i="3"/>
  <c r="AC1101" i="3"/>
  <c r="AD1101" i="3" s="1"/>
  <c r="AA1101" i="3"/>
  <c r="M1101" i="3"/>
  <c r="AJ1100" i="3"/>
  <c r="J1100" i="3"/>
  <c r="AC1100" i="3"/>
  <c r="AD1100" i="3" s="1"/>
  <c r="AA1100" i="3"/>
  <c r="M1100" i="3"/>
  <c r="AJ1099" i="3"/>
  <c r="J1099" i="3"/>
  <c r="AC1099" i="3"/>
  <c r="AD1099" i="3" s="1"/>
  <c r="AA1099" i="3"/>
  <c r="M1099" i="3"/>
  <c r="AJ1098" i="3"/>
  <c r="J1098" i="3"/>
  <c r="AC1098" i="3"/>
  <c r="AD1098" i="3" s="1"/>
  <c r="AA1098" i="3"/>
  <c r="M1098" i="3"/>
  <c r="AJ1097" i="3"/>
  <c r="J1097" i="3"/>
  <c r="AC1097" i="3"/>
  <c r="AD1097" i="3" s="1"/>
  <c r="AA1097" i="3"/>
  <c r="M1097" i="3"/>
  <c r="AJ1096" i="3"/>
  <c r="J1096" i="3"/>
  <c r="AC1096" i="3"/>
  <c r="AD1096" i="3" s="1"/>
  <c r="AA1096" i="3"/>
  <c r="M1096" i="3"/>
  <c r="AJ1095" i="3"/>
  <c r="J1095" i="3"/>
  <c r="AC1095" i="3"/>
  <c r="AD1095" i="3" s="1"/>
  <c r="AA1095" i="3"/>
  <c r="M1095" i="3"/>
  <c r="AJ1094" i="3"/>
  <c r="J1094" i="3"/>
  <c r="AC1094" i="3"/>
  <c r="AD1094" i="3" s="1"/>
  <c r="AA1094" i="3"/>
  <c r="M1094" i="3"/>
  <c r="AJ1093" i="3"/>
  <c r="J1093" i="3"/>
  <c r="AC1093" i="3"/>
  <c r="AD1093" i="3" s="1"/>
  <c r="AA1093" i="3"/>
  <c r="M1093" i="3"/>
  <c r="AJ1092" i="3"/>
  <c r="J1092" i="3"/>
  <c r="AC1092" i="3"/>
  <c r="AD1092" i="3" s="1"/>
  <c r="AA1092" i="3"/>
  <c r="M1092" i="3"/>
  <c r="AJ1091" i="3"/>
  <c r="J1091" i="3"/>
  <c r="AC1091" i="3"/>
  <c r="AD1091" i="3" s="1"/>
  <c r="AA1091" i="3"/>
  <c r="M1091" i="3"/>
  <c r="AJ1090" i="3"/>
  <c r="J1090" i="3"/>
  <c r="AC1090" i="3"/>
  <c r="AD1090" i="3" s="1"/>
  <c r="AA1090" i="3"/>
  <c r="M1090" i="3"/>
  <c r="AJ1089" i="3"/>
  <c r="J1089" i="3"/>
  <c r="AC1089" i="3"/>
  <c r="AD1089" i="3" s="1"/>
  <c r="AA1089" i="3"/>
  <c r="M1089" i="3"/>
  <c r="AJ1088" i="3"/>
  <c r="J1088" i="3"/>
  <c r="AC1088" i="3"/>
  <c r="AD1088" i="3" s="1"/>
  <c r="AA1088" i="3"/>
  <c r="M1088" i="3"/>
  <c r="AJ1087" i="3"/>
  <c r="J1087" i="3"/>
  <c r="AC1087" i="3"/>
  <c r="AD1087" i="3" s="1"/>
  <c r="AA1087" i="3"/>
  <c r="M1087" i="3"/>
  <c r="AJ1086" i="3"/>
  <c r="J1086" i="3"/>
  <c r="AC1086" i="3"/>
  <c r="AD1086" i="3" s="1"/>
  <c r="AA1086" i="3"/>
  <c r="M1086" i="3"/>
  <c r="AJ1085" i="3"/>
  <c r="J1085" i="3"/>
  <c r="AC1085" i="3"/>
  <c r="AD1085" i="3" s="1"/>
  <c r="AA1085" i="3"/>
  <c r="M1085" i="3"/>
  <c r="AJ1084" i="3"/>
  <c r="J1084" i="3"/>
  <c r="AC1084" i="3"/>
  <c r="AD1084" i="3" s="1"/>
  <c r="AA1084" i="3"/>
  <c r="M1084" i="3"/>
  <c r="AJ1083" i="3"/>
  <c r="J1083" i="3"/>
  <c r="AC1083" i="3"/>
  <c r="AD1083" i="3" s="1"/>
  <c r="AA1083" i="3"/>
  <c r="M1083" i="3"/>
  <c r="AJ1082" i="3"/>
  <c r="J1082" i="3"/>
  <c r="AC1082" i="3"/>
  <c r="AD1082" i="3" s="1"/>
  <c r="AA1082" i="3"/>
  <c r="M1082" i="3"/>
  <c r="AJ1081" i="3"/>
  <c r="J1081" i="3"/>
  <c r="AC1081" i="3"/>
  <c r="AD1081" i="3" s="1"/>
  <c r="AA1081" i="3"/>
  <c r="M1081" i="3"/>
  <c r="AJ1080" i="3"/>
  <c r="J1080" i="3"/>
  <c r="AC1080" i="3"/>
  <c r="AD1080" i="3" s="1"/>
  <c r="AA1080" i="3"/>
  <c r="M1080" i="3"/>
  <c r="I8" i="21"/>
  <c r="K1419" i="25" l="1"/>
  <c r="L1419" i="25"/>
  <c r="Z1419" i="25"/>
  <c r="S799" i="25"/>
  <c r="AA799" i="25" s="1"/>
  <c r="M799" i="25"/>
  <c r="L799" i="25" s="1"/>
  <c r="Z799" i="25" l="1"/>
  <c r="N799" i="25"/>
  <c r="P799" i="25" s="1"/>
  <c r="K799" i="25"/>
  <c r="R19" i="9"/>
  <c r="J1063" i="3" l="1"/>
  <c r="M1064" i="3"/>
  <c r="AJ1048" i="3" l="1"/>
  <c r="J1048" i="3"/>
  <c r="AC1048" i="3"/>
  <c r="AD1048" i="3" s="1"/>
  <c r="AA1048" i="3"/>
  <c r="M1048" i="3"/>
  <c r="J1070" i="3"/>
  <c r="M1070" i="3"/>
  <c r="AA1070" i="3"/>
  <c r="AC1070" i="3"/>
  <c r="AD1070" i="3" s="1"/>
  <c r="AJ1070" i="3"/>
  <c r="J1064" i="3"/>
  <c r="AA1064" i="3"/>
  <c r="AC1064" i="3"/>
  <c r="AD1064" i="3" s="1"/>
  <c r="AJ1064" i="3"/>
  <c r="AJ1079" i="3"/>
  <c r="J1079" i="3"/>
  <c r="AC1079" i="3"/>
  <c r="AD1079" i="3" s="1"/>
  <c r="AA1079" i="3"/>
  <c r="M1079" i="3"/>
  <c r="AJ1078" i="3"/>
  <c r="J1078" i="3"/>
  <c r="AC1078" i="3"/>
  <c r="AD1078" i="3" s="1"/>
  <c r="AA1078" i="3"/>
  <c r="M1078" i="3"/>
  <c r="AJ1077" i="3"/>
  <c r="J1077" i="3"/>
  <c r="AC1077" i="3"/>
  <c r="AD1077" i="3" s="1"/>
  <c r="AA1077" i="3"/>
  <c r="M1077" i="3"/>
  <c r="K74" i="4" l="1"/>
  <c r="K73" i="4"/>
  <c r="S1418" i="25"/>
  <c r="AA1418" i="25" s="1"/>
  <c r="M1418" i="25"/>
  <c r="L1418" i="25" s="1"/>
  <c r="AJ1076" i="3"/>
  <c r="J1076" i="3"/>
  <c r="AC1076" i="3"/>
  <c r="AD1076" i="3" s="1"/>
  <c r="AA1076" i="3"/>
  <c r="M1076" i="3"/>
  <c r="AJ1075" i="3"/>
  <c r="J1075" i="3"/>
  <c r="AC1075" i="3"/>
  <c r="AD1075" i="3" s="1"/>
  <c r="AA1075" i="3"/>
  <c r="M1075" i="3"/>
  <c r="K1418" i="25" l="1"/>
  <c r="Z1418" i="25"/>
  <c r="N1418" i="25"/>
  <c r="P1418" i="25" s="1"/>
  <c r="AJ1074" i="3" l="1"/>
  <c r="J1074" i="3"/>
  <c r="AC1074" i="3"/>
  <c r="AD1074" i="3" s="1"/>
  <c r="AA1074" i="3"/>
  <c r="M1074" i="3"/>
  <c r="AJ1073" i="3"/>
  <c r="J1073" i="3"/>
  <c r="AC1073" i="3"/>
  <c r="AD1073" i="3" s="1"/>
  <c r="AA1073" i="3"/>
  <c r="M1073" i="3"/>
  <c r="AJ1047" i="3"/>
  <c r="J1047" i="3"/>
  <c r="AC1047" i="3"/>
  <c r="AD1047" i="3" s="1"/>
  <c r="AA1047" i="3"/>
  <c r="M1047" i="3"/>
  <c r="AJ1046" i="3"/>
  <c r="J1046" i="3"/>
  <c r="AC1046" i="3"/>
  <c r="AD1046" i="3" s="1"/>
  <c r="AA1046" i="3"/>
  <c r="M1046" i="3"/>
  <c r="AJ1045" i="3"/>
  <c r="J1045" i="3"/>
  <c r="AC1045" i="3"/>
  <c r="AD1045" i="3" s="1"/>
  <c r="AA1045" i="3"/>
  <c r="M1045" i="3"/>
  <c r="AJ1044" i="3"/>
  <c r="J1044" i="3"/>
  <c r="AC1044" i="3"/>
  <c r="AD1044" i="3" s="1"/>
  <c r="AA1044" i="3"/>
  <c r="M1044" i="3"/>
  <c r="AJ1043" i="3"/>
  <c r="J1043" i="3"/>
  <c r="AC1043" i="3"/>
  <c r="AD1043" i="3" s="1"/>
  <c r="AA1043" i="3"/>
  <c r="M1043" i="3"/>
  <c r="AJ1042" i="3"/>
  <c r="J1042" i="3"/>
  <c r="AC1042" i="3"/>
  <c r="AD1042" i="3" s="1"/>
  <c r="AA1042" i="3"/>
  <c r="M1042" i="3"/>
  <c r="AJ1072" i="3"/>
  <c r="J1072" i="3"/>
  <c r="AC1072" i="3"/>
  <c r="AD1072" i="3" s="1"/>
  <c r="AA1072" i="3"/>
  <c r="M1072" i="3"/>
  <c r="AJ1071" i="3"/>
  <c r="J1071" i="3"/>
  <c r="AC1071" i="3"/>
  <c r="AD1071" i="3" s="1"/>
  <c r="AA1071" i="3"/>
  <c r="M1071" i="3"/>
  <c r="AJ957" i="3"/>
  <c r="J957" i="3"/>
  <c r="AC957" i="3"/>
  <c r="AD957" i="3" s="1"/>
  <c r="AA957" i="3"/>
  <c r="M957" i="3"/>
  <c r="AJ1069" i="3"/>
  <c r="J1069" i="3"/>
  <c r="AC1069" i="3"/>
  <c r="AD1069" i="3" s="1"/>
  <c r="AA1069" i="3"/>
  <c r="M1069" i="3"/>
  <c r="AJ1068" i="3"/>
  <c r="J1068" i="3"/>
  <c r="AC1068" i="3"/>
  <c r="AD1068" i="3" s="1"/>
  <c r="AA1068" i="3"/>
  <c r="M1068" i="3"/>
  <c r="AJ1067" i="3"/>
  <c r="J1067" i="3"/>
  <c r="AC1067" i="3"/>
  <c r="AD1067" i="3" s="1"/>
  <c r="AA1067" i="3"/>
  <c r="M1067" i="3"/>
  <c r="AJ1066" i="3"/>
  <c r="J1066" i="3"/>
  <c r="AC1066" i="3"/>
  <c r="AD1066" i="3" s="1"/>
  <c r="AA1066" i="3"/>
  <c r="M1066" i="3"/>
  <c r="AJ1065" i="3"/>
  <c r="J1065" i="3"/>
  <c r="AC1065" i="3"/>
  <c r="AD1065" i="3" s="1"/>
  <c r="AA1065" i="3"/>
  <c r="M1065" i="3"/>
  <c r="AJ1063" i="3"/>
  <c r="AC1063" i="3"/>
  <c r="AD1063" i="3" s="1"/>
  <c r="AA1063" i="3"/>
  <c r="M1063" i="3"/>
  <c r="AJ1062" i="3"/>
  <c r="J1062" i="3"/>
  <c r="AC1062" i="3"/>
  <c r="AD1062" i="3" s="1"/>
  <c r="AA1062" i="3"/>
  <c r="M1062" i="3"/>
  <c r="S798" i="25" l="1"/>
  <c r="AA798" i="25" s="1"/>
  <c r="M798" i="25"/>
  <c r="N798" i="25" s="1"/>
  <c r="P798" i="25" s="1"/>
  <c r="S797" i="25"/>
  <c r="AA797" i="25" s="1"/>
  <c r="M797" i="25"/>
  <c r="L797" i="25" s="1"/>
  <c r="S796" i="25"/>
  <c r="AA796" i="25" s="1"/>
  <c r="M796" i="25"/>
  <c r="L796" i="25" s="1"/>
  <c r="S795" i="25"/>
  <c r="AA795" i="25" s="1"/>
  <c r="M795" i="25"/>
  <c r="L795" i="25" s="1"/>
  <c r="S794" i="25"/>
  <c r="AA794" i="25" s="1"/>
  <c r="M794" i="25"/>
  <c r="L794" i="25" s="1"/>
  <c r="L798" i="25" l="1"/>
  <c r="K798" i="25"/>
  <c r="Z798" i="25"/>
  <c r="Z797" i="25"/>
  <c r="N797" i="25"/>
  <c r="P797" i="25" s="1"/>
  <c r="K797" i="25"/>
  <c r="Z796" i="25"/>
  <c r="N796" i="25"/>
  <c r="P796" i="25" s="1"/>
  <c r="K796" i="25"/>
  <c r="Z795" i="25"/>
  <c r="N795" i="25"/>
  <c r="P795" i="25" s="1"/>
  <c r="K795" i="25"/>
  <c r="K794" i="25"/>
  <c r="Z794" i="25"/>
  <c r="N794" i="25"/>
  <c r="P794" i="25" s="1"/>
  <c r="S70" i="25" l="1"/>
  <c r="AA70" i="25" s="1"/>
  <c r="M70" i="25"/>
  <c r="L70" i="25" s="1"/>
  <c r="K70" i="25" l="1"/>
  <c r="Z70" i="25"/>
  <c r="N70" i="25"/>
  <c r="P70" i="25" s="1"/>
  <c r="S793" i="25" l="1"/>
  <c r="AA793" i="25" s="1"/>
  <c r="M793" i="25"/>
  <c r="L793" i="25" s="1"/>
  <c r="K793" i="25" l="1"/>
  <c r="Z793" i="25"/>
  <c r="N793" i="25"/>
  <c r="P793" i="25" s="1"/>
  <c r="S110" i="25"/>
  <c r="AA110" i="25" s="1"/>
  <c r="M110" i="25"/>
  <c r="L110" i="25" s="1"/>
  <c r="K110" i="25" l="1"/>
  <c r="Z110" i="25"/>
  <c r="N110" i="25"/>
  <c r="P110" i="25" s="1"/>
  <c r="S109" i="25"/>
  <c r="AA109" i="25" s="1"/>
  <c r="M109" i="25"/>
  <c r="L109" i="25" s="1"/>
  <c r="K72" i="4"/>
  <c r="K71" i="4"/>
  <c r="S69" i="25"/>
  <c r="AA69" i="25" s="1"/>
  <c r="M69" i="25"/>
  <c r="L69" i="25" s="1"/>
  <c r="K70" i="4"/>
  <c r="Z109" i="25" l="1"/>
  <c r="N109" i="25"/>
  <c r="P109" i="25" s="1"/>
  <c r="K109" i="25"/>
  <c r="Z69" i="25"/>
  <c r="K69" i="25"/>
  <c r="N69" i="25"/>
  <c r="P69" i="25" s="1"/>
  <c r="AJ1061" i="3"/>
  <c r="J1061" i="3"/>
  <c r="AC1061" i="3"/>
  <c r="AD1061" i="3" s="1"/>
  <c r="AA1061" i="3"/>
  <c r="M1061" i="3"/>
  <c r="AJ1060" i="3"/>
  <c r="J1060" i="3"/>
  <c r="AC1060" i="3"/>
  <c r="AD1060" i="3" s="1"/>
  <c r="AA1060" i="3"/>
  <c r="M1060" i="3"/>
  <c r="AJ1059" i="3"/>
  <c r="J1059" i="3"/>
  <c r="AC1059" i="3"/>
  <c r="AD1059" i="3" s="1"/>
  <c r="AA1059" i="3"/>
  <c r="M1059" i="3"/>
  <c r="AJ1058" i="3"/>
  <c r="J1058" i="3"/>
  <c r="AC1058" i="3"/>
  <c r="AD1058" i="3" s="1"/>
  <c r="AA1058" i="3"/>
  <c r="M1058" i="3"/>
  <c r="AJ1057" i="3"/>
  <c r="J1057" i="3"/>
  <c r="AC1057" i="3"/>
  <c r="AD1057" i="3" s="1"/>
  <c r="AA1057" i="3"/>
  <c r="M1057" i="3"/>
  <c r="AJ1056" i="3"/>
  <c r="J1056" i="3"/>
  <c r="AC1056" i="3"/>
  <c r="AD1056" i="3" s="1"/>
  <c r="AA1056" i="3"/>
  <c r="M1056" i="3"/>
  <c r="AJ1055" i="3"/>
  <c r="J1055" i="3"/>
  <c r="AC1055" i="3"/>
  <c r="AD1055" i="3" s="1"/>
  <c r="AA1055" i="3"/>
  <c r="M1055" i="3"/>
  <c r="AJ1054" i="3"/>
  <c r="J1054" i="3"/>
  <c r="AC1054" i="3"/>
  <c r="AD1054" i="3" s="1"/>
  <c r="AA1054" i="3"/>
  <c r="M1054" i="3"/>
  <c r="AJ1053" i="3"/>
  <c r="J1053" i="3"/>
  <c r="AC1053" i="3"/>
  <c r="AD1053" i="3" s="1"/>
  <c r="AA1053" i="3"/>
  <c r="M1053" i="3"/>
  <c r="S1417" i="25"/>
  <c r="AA1417" i="25" s="1"/>
  <c r="M1417" i="25"/>
  <c r="L1417" i="25" s="1"/>
  <c r="K1417" i="25" l="1"/>
  <c r="Z1417" i="25"/>
  <c r="N1417" i="25"/>
  <c r="P1417" i="25" s="1"/>
  <c r="K69" i="4"/>
  <c r="AJ1052" i="3" l="1"/>
  <c r="J1052" i="3"/>
  <c r="AC1052" i="3"/>
  <c r="AD1052" i="3" s="1"/>
  <c r="AA1052" i="3"/>
  <c r="M1052" i="3"/>
  <c r="AJ1051" i="3"/>
  <c r="J1051" i="3"/>
  <c r="AC1051" i="3"/>
  <c r="AD1051" i="3" s="1"/>
  <c r="AA1051" i="3"/>
  <c r="M1051" i="3"/>
  <c r="AJ1050" i="3"/>
  <c r="J1050" i="3"/>
  <c r="AC1050" i="3"/>
  <c r="AD1050" i="3" s="1"/>
  <c r="AA1050" i="3"/>
  <c r="M1050" i="3"/>
  <c r="AJ1049" i="3"/>
  <c r="J1049" i="3"/>
  <c r="AC1049" i="3"/>
  <c r="AD1049" i="3" s="1"/>
  <c r="AA1049" i="3"/>
  <c r="M1049" i="3"/>
  <c r="AJ1041" i="3"/>
  <c r="J1041" i="3"/>
  <c r="AC1041" i="3"/>
  <c r="AD1041" i="3" s="1"/>
  <c r="AA1041" i="3"/>
  <c r="M1041" i="3"/>
  <c r="AJ1040" i="3"/>
  <c r="J1040" i="3"/>
  <c r="AC1040" i="3"/>
  <c r="AD1040" i="3" s="1"/>
  <c r="AA1040" i="3"/>
  <c r="M1040" i="3"/>
  <c r="AJ1039" i="3"/>
  <c r="J1039" i="3"/>
  <c r="AC1039" i="3"/>
  <c r="AD1039" i="3" s="1"/>
  <c r="AA1039" i="3"/>
  <c r="M1039" i="3"/>
  <c r="AJ1038" i="3"/>
  <c r="J1038" i="3"/>
  <c r="AC1038" i="3"/>
  <c r="AD1038" i="3" s="1"/>
  <c r="AA1038" i="3"/>
  <c r="M1038" i="3"/>
  <c r="AJ1037" i="3"/>
  <c r="J1037" i="3"/>
  <c r="AC1037" i="3"/>
  <c r="AD1037" i="3" s="1"/>
  <c r="AA1037" i="3"/>
  <c r="M1037" i="3"/>
  <c r="AJ1036" i="3"/>
  <c r="J1036" i="3"/>
  <c r="AC1036" i="3"/>
  <c r="AD1036" i="3" s="1"/>
  <c r="AA1036" i="3"/>
  <c r="M1036" i="3"/>
  <c r="AJ1035" i="3"/>
  <c r="J1035" i="3"/>
  <c r="AC1035" i="3"/>
  <c r="AD1035" i="3" s="1"/>
  <c r="AA1035" i="3"/>
  <c r="M1035" i="3"/>
  <c r="AJ1034" i="3"/>
  <c r="J1034" i="3"/>
  <c r="AC1034" i="3"/>
  <c r="AD1034" i="3" s="1"/>
  <c r="AA1034" i="3"/>
  <c r="M1034" i="3"/>
  <c r="AJ1033" i="3"/>
  <c r="J1033" i="3"/>
  <c r="AC1033" i="3"/>
  <c r="AD1033" i="3" s="1"/>
  <c r="AA1033" i="3"/>
  <c r="M1033" i="3"/>
  <c r="AJ1032" i="3"/>
  <c r="J1032" i="3"/>
  <c r="AC1032" i="3"/>
  <c r="AD1032" i="3" s="1"/>
  <c r="AA1032" i="3"/>
  <c r="M1032" i="3"/>
  <c r="AJ1031" i="3"/>
  <c r="J1031" i="3"/>
  <c r="AC1031" i="3"/>
  <c r="AD1031" i="3" s="1"/>
  <c r="AA1031" i="3"/>
  <c r="M1031" i="3"/>
  <c r="AJ1030" i="3"/>
  <c r="J1030" i="3"/>
  <c r="AC1030" i="3"/>
  <c r="AD1030" i="3" s="1"/>
  <c r="AA1030" i="3"/>
  <c r="M1030" i="3"/>
  <c r="AJ1027" i="3"/>
  <c r="J1027" i="3"/>
  <c r="AC1027" i="3"/>
  <c r="AD1027" i="3" s="1"/>
  <c r="AA1027" i="3"/>
  <c r="M1027" i="3"/>
  <c r="AJ1026" i="3"/>
  <c r="J1026" i="3"/>
  <c r="AC1026" i="3"/>
  <c r="AD1026" i="3" s="1"/>
  <c r="AA1026" i="3"/>
  <c r="M1026" i="3"/>
  <c r="AJ1025" i="3"/>
  <c r="J1025" i="3"/>
  <c r="AC1025" i="3"/>
  <c r="AD1025" i="3" s="1"/>
  <c r="AA1025" i="3"/>
  <c r="M1025" i="3"/>
  <c r="AJ1024" i="3"/>
  <c r="J1024" i="3"/>
  <c r="AC1024" i="3"/>
  <c r="AD1024" i="3" s="1"/>
  <c r="AA1024" i="3"/>
  <c r="M1024" i="3"/>
  <c r="AJ1023" i="3"/>
  <c r="J1023" i="3"/>
  <c r="AC1023" i="3"/>
  <c r="AD1023" i="3" s="1"/>
  <c r="AA1023" i="3"/>
  <c r="M1023" i="3"/>
  <c r="AJ1022" i="3"/>
  <c r="J1022" i="3"/>
  <c r="AC1022" i="3"/>
  <c r="AD1022" i="3" s="1"/>
  <c r="AA1022" i="3"/>
  <c r="M1022" i="3"/>
  <c r="AJ1021" i="3"/>
  <c r="J1021" i="3"/>
  <c r="AC1021" i="3"/>
  <c r="AD1021" i="3" s="1"/>
  <c r="AA1021" i="3"/>
  <c r="M1021" i="3"/>
  <c r="AJ1020" i="3"/>
  <c r="J1020" i="3"/>
  <c r="AC1020" i="3"/>
  <c r="AD1020" i="3" s="1"/>
  <c r="AA1020" i="3"/>
  <c r="M1020" i="3"/>
  <c r="AJ1019" i="3"/>
  <c r="J1019" i="3"/>
  <c r="AC1019" i="3"/>
  <c r="AD1019" i="3" s="1"/>
  <c r="AA1019" i="3"/>
  <c r="M1019" i="3"/>
  <c r="AJ1029" i="3"/>
  <c r="J1029" i="3"/>
  <c r="AC1029" i="3"/>
  <c r="AD1029" i="3" s="1"/>
  <c r="AA1029" i="3"/>
  <c r="M1029" i="3"/>
  <c r="AJ1028" i="3"/>
  <c r="J1028" i="3"/>
  <c r="AC1028" i="3"/>
  <c r="AD1028" i="3" s="1"/>
  <c r="AA1028" i="3"/>
  <c r="M1028" i="3"/>
  <c r="S1416" i="25" l="1"/>
  <c r="AA1416" i="25" s="1"/>
  <c r="M1416" i="25"/>
  <c r="L1416" i="25" s="1"/>
  <c r="S1415" i="25"/>
  <c r="AA1415" i="25" s="1"/>
  <c r="M1415" i="25"/>
  <c r="L1415" i="25" s="1"/>
  <c r="S1414" i="25"/>
  <c r="AA1414" i="25" s="1"/>
  <c r="M1414" i="25"/>
  <c r="L1414" i="25" s="1"/>
  <c r="S1413" i="25"/>
  <c r="AA1413" i="25" s="1"/>
  <c r="M1413" i="25"/>
  <c r="L1413" i="25" s="1"/>
  <c r="S1412" i="25"/>
  <c r="AA1412" i="25" s="1"/>
  <c r="M1412" i="25"/>
  <c r="L1412" i="25" s="1"/>
  <c r="S1411" i="25"/>
  <c r="AA1411" i="25" s="1"/>
  <c r="M1411" i="25"/>
  <c r="L1411" i="25" s="1"/>
  <c r="K1415" i="25" l="1"/>
  <c r="Z1416" i="25"/>
  <c r="N1416" i="25"/>
  <c r="P1416" i="25" s="1"/>
  <c r="K1416" i="25"/>
  <c r="Z1415" i="25"/>
  <c r="N1415" i="25"/>
  <c r="P1415" i="25" s="1"/>
  <c r="Z1414" i="25"/>
  <c r="N1414" i="25"/>
  <c r="P1414" i="25" s="1"/>
  <c r="K1414" i="25"/>
  <c r="Z1413" i="25"/>
  <c r="N1413" i="25"/>
  <c r="P1413" i="25" s="1"/>
  <c r="K1413" i="25"/>
  <c r="Z1412" i="25"/>
  <c r="N1412" i="25"/>
  <c r="P1412" i="25" s="1"/>
  <c r="K1412" i="25"/>
  <c r="Z1411" i="25"/>
  <c r="N1411" i="25"/>
  <c r="P1411" i="25" s="1"/>
  <c r="K1411" i="25"/>
  <c r="S1410" i="25"/>
  <c r="AA1410" i="25" s="1"/>
  <c r="M1410" i="25"/>
  <c r="L1410" i="25" s="1"/>
  <c r="Z1410" i="25" l="1"/>
  <c r="N1410" i="25"/>
  <c r="P1410" i="25" s="1"/>
  <c r="K1410" i="25"/>
  <c r="S1409" i="25" l="1"/>
  <c r="AA1409" i="25" s="1"/>
  <c r="M1409" i="25"/>
  <c r="L1409" i="25" s="1"/>
  <c r="K1409" i="25" l="1"/>
  <c r="Z1409" i="25"/>
  <c r="N1409" i="25"/>
  <c r="P1409" i="25" s="1"/>
  <c r="AJ1017" i="3"/>
  <c r="J1017" i="3"/>
  <c r="AC1017" i="3"/>
  <c r="AD1017" i="3" s="1"/>
  <c r="AA1017" i="3"/>
  <c r="M1017" i="3"/>
  <c r="AJ1016" i="3"/>
  <c r="J1016" i="3"/>
  <c r="AC1016" i="3"/>
  <c r="AD1016" i="3" s="1"/>
  <c r="AA1016" i="3"/>
  <c r="M1016" i="3"/>
  <c r="AJ1012" i="3"/>
  <c r="J1012" i="3"/>
  <c r="AC1012" i="3"/>
  <c r="AD1012" i="3" s="1"/>
  <c r="AA1012" i="3"/>
  <c r="M1012" i="3"/>
  <c r="AJ1015" i="3"/>
  <c r="J1015" i="3"/>
  <c r="AC1015" i="3"/>
  <c r="AD1015" i="3" s="1"/>
  <c r="AA1015" i="3"/>
  <c r="M1015" i="3"/>
  <c r="AJ1014" i="3"/>
  <c r="J1014" i="3"/>
  <c r="AC1014" i="3"/>
  <c r="AD1014" i="3" s="1"/>
  <c r="AA1014" i="3"/>
  <c r="M1014" i="3"/>
  <c r="AJ1018" i="3"/>
  <c r="J1018" i="3"/>
  <c r="AC1018" i="3"/>
  <c r="AD1018" i="3" s="1"/>
  <c r="AA1018" i="3"/>
  <c r="M1018" i="3"/>
  <c r="AJ1013" i="3"/>
  <c r="J1013" i="3"/>
  <c r="AC1013" i="3"/>
  <c r="AD1013" i="3" s="1"/>
  <c r="AA1013" i="3"/>
  <c r="M1013" i="3"/>
  <c r="AJ1010" i="3"/>
  <c r="J1010" i="3"/>
  <c r="AC1010" i="3"/>
  <c r="AD1010" i="3" s="1"/>
  <c r="AA1010" i="3"/>
  <c r="M1010" i="3"/>
  <c r="AJ1011" i="3"/>
  <c r="J1011" i="3"/>
  <c r="AC1011" i="3"/>
  <c r="AD1011" i="3" s="1"/>
  <c r="AA1011" i="3"/>
  <c r="M1011" i="3"/>
  <c r="AJ1008" i="3"/>
  <c r="J1008" i="3"/>
  <c r="AC1008" i="3"/>
  <c r="AD1008" i="3" s="1"/>
  <c r="AA1008" i="3"/>
  <c r="M1008" i="3"/>
  <c r="AJ1009" i="3"/>
  <c r="J1009" i="3"/>
  <c r="AC1009" i="3"/>
  <c r="AD1009" i="3" s="1"/>
  <c r="AA1009" i="3"/>
  <c r="M1009" i="3"/>
  <c r="AJ1002" i="3"/>
  <c r="J1002" i="3"/>
  <c r="AC1002" i="3"/>
  <c r="AD1002" i="3" s="1"/>
  <c r="AA1002" i="3"/>
  <c r="M1002" i="3"/>
  <c r="AJ1004" i="3"/>
  <c r="J1004" i="3"/>
  <c r="AC1004" i="3"/>
  <c r="AD1004" i="3" s="1"/>
  <c r="AA1004" i="3"/>
  <c r="M1004" i="3"/>
  <c r="AJ1000" i="3"/>
  <c r="J1000" i="3"/>
  <c r="AC1000" i="3"/>
  <c r="AD1000" i="3" s="1"/>
  <c r="AA1000" i="3"/>
  <c r="M1000" i="3"/>
  <c r="AJ1006" i="3"/>
  <c r="J1006" i="3"/>
  <c r="AC1006" i="3"/>
  <c r="AD1006" i="3" s="1"/>
  <c r="AA1006" i="3"/>
  <c r="M1006" i="3"/>
  <c r="AJ1001" i="3"/>
  <c r="J1001" i="3"/>
  <c r="AC1001" i="3"/>
  <c r="AD1001" i="3" s="1"/>
  <c r="AA1001" i="3"/>
  <c r="M1001" i="3"/>
  <c r="AJ1003" i="3"/>
  <c r="J1003" i="3"/>
  <c r="AC1003" i="3"/>
  <c r="AD1003" i="3" s="1"/>
  <c r="AA1003" i="3"/>
  <c r="M1003" i="3"/>
  <c r="AJ999" i="3"/>
  <c r="J999" i="3"/>
  <c r="AC999" i="3"/>
  <c r="AD999" i="3" s="1"/>
  <c r="AA999" i="3"/>
  <c r="M999" i="3"/>
  <c r="AJ998" i="3"/>
  <c r="J998" i="3"/>
  <c r="AC998" i="3"/>
  <c r="AD998" i="3" s="1"/>
  <c r="AA998" i="3"/>
  <c r="M998" i="3"/>
  <c r="AJ1005" i="3"/>
  <c r="J1005" i="3"/>
  <c r="AC1005" i="3"/>
  <c r="AD1005" i="3" s="1"/>
  <c r="AA1005" i="3"/>
  <c r="M1005" i="3"/>
  <c r="AJ1007" i="3"/>
  <c r="J1007" i="3"/>
  <c r="AC1007" i="3"/>
  <c r="AD1007" i="3" s="1"/>
  <c r="AA1007" i="3"/>
  <c r="M1007" i="3"/>
  <c r="AJ994" i="3" l="1"/>
  <c r="J994" i="3"/>
  <c r="AC994" i="3"/>
  <c r="AD994" i="3" s="1"/>
  <c r="AA994" i="3"/>
  <c r="M994" i="3"/>
  <c r="AJ993" i="3"/>
  <c r="J993" i="3"/>
  <c r="AC993" i="3"/>
  <c r="AD993" i="3" s="1"/>
  <c r="AA993" i="3"/>
  <c r="M993" i="3"/>
  <c r="AJ996" i="3"/>
  <c r="J996" i="3"/>
  <c r="AC996" i="3"/>
  <c r="AD996" i="3" s="1"/>
  <c r="AA996" i="3"/>
  <c r="M996" i="3"/>
  <c r="AJ997" i="3"/>
  <c r="J997" i="3"/>
  <c r="AC997" i="3"/>
  <c r="AD997" i="3" s="1"/>
  <c r="AA997" i="3"/>
  <c r="M997" i="3"/>
  <c r="AJ995" i="3"/>
  <c r="J995" i="3"/>
  <c r="AC995" i="3"/>
  <c r="AD995" i="3" s="1"/>
  <c r="AA995" i="3"/>
  <c r="M995" i="3"/>
  <c r="AJ986" i="3" l="1"/>
  <c r="J986" i="3"/>
  <c r="AC986" i="3"/>
  <c r="AD986" i="3" s="1"/>
  <c r="AA986" i="3"/>
  <c r="M986" i="3"/>
  <c r="AJ989" i="3"/>
  <c r="J989" i="3"/>
  <c r="AC989" i="3"/>
  <c r="AD989" i="3" s="1"/>
  <c r="AA989" i="3"/>
  <c r="M989" i="3"/>
  <c r="AJ992" i="3"/>
  <c r="J992" i="3"/>
  <c r="AC992" i="3"/>
  <c r="AD992" i="3" s="1"/>
  <c r="AA992" i="3"/>
  <c r="M992" i="3"/>
  <c r="AJ987" i="3"/>
  <c r="J987" i="3"/>
  <c r="AC987" i="3"/>
  <c r="AD987" i="3" s="1"/>
  <c r="AA987" i="3"/>
  <c r="M987" i="3"/>
  <c r="AJ988" i="3"/>
  <c r="J988" i="3"/>
  <c r="AC988" i="3"/>
  <c r="AD988" i="3" s="1"/>
  <c r="AA988" i="3"/>
  <c r="M988" i="3"/>
  <c r="AJ991" i="3"/>
  <c r="J991" i="3"/>
  <c r="AC991" i="3"/>
  <c r="AD991" i="3" s="1"/>
  <c r="AA991" i="3"/>
  <c r="M991" i="3"/>
  <c r="AJ990" i="3"/>
  <c r="J990" i="3"/>
  <c r="AC990" i="3"/>
  <c r="AD990" i="3" s="1"/>
  <c r="AA990" i="3"/>
  <c r="M990" i="3"/>
  <c r="AJ985" i="3"/>
  <c r="J985" i="3"/>
  <c r="AC985" i="3"/>
  <c r="AD985" i="3" s="1"/>
  <c r="AA985" i="3"/>
  <c r="M985" i="3"/>
  <c r="AJ982" i="3"/>
  <c r="J982" i="3"/>
  <c r="AC982" i="3"/>
  <c r="AD982" i="3" s="1"/>
  <c r="AA982" i="3"/>
  <c r="M982" i="3"/>
  <c r="AJ984" i="3"/>
  <c r="J984" i="3"/>
  <c r="AC984" i="3"/>
  <c r="AD984" i="3" s="1"/>
  <c r="AA984" i="3"/>
  <c r="M984" i="3"/>
  <c r="AJ983" i="3"/>
  <c r="J983" i="3"/>
  <c r="AC983" i="3"/>
  <c r="AD983" i="3" s="1"/>
  <c r="AA983" i="3"/>
  <c r="M983" i="3"/>
  <c r="AJ973" i="3"/>
  <c r="J973" i="3"/>
  <c r="AC973" i="3"/>
  <c r="AD973" i="3" s="1"/>
  <c r="AA973" i="3"/>
  <c r="M973" i="3"/>
  <c r="AJ977" i="3"/>
  <c r="J977" i="3"/>
  <c r="AC977" i="3"/>
  <c r="AD977" i="3" s="1"/>
  <c r="AA977" i="3"/>
  <c r="M977" i="3"/>
  <c r="AJ975" i="3"/>
  <c r="J975" i="3"/>
  <c r="AC975" i="3"/>
  <c r="AD975" i="3" s="1"/>
  <c r="AA975" i="3"/>
  <c r="M975" i="3"/>
  <c r="AJ981" i="3"/>
  <c r="J981" i="3"/>
  <c r="AC981" i="3"/>
  <c r="AD981" i="3" s="1"/>
  <c r="AA981" i="3"/>
  <c r="M981" i="3"/>
  <c r="AJ976" i="3"/>
  <c r="J976" i="3"/>
  <c r="AC976" i="3"/>
  <c r="AD976" i="3" s="1"/>
  <c r="AA976" i="3"/>
  <c r="M976" i="3"/>
  <c r="AJ972" i="3"/>
  <c r="J972" i="3"/>
  <c r="AC972" i="3"/>
  <c r="AD972" i="3" s="1"/>
  <c r="AA972" i="3"/>
  <c r="M972" i="3"/>
  <c r="AJ980" i="3"/>
  <c r="J980" i="3"/>
  <c r="AC980" i="3"/>
  <c r="AD980" i="3" s="1"/>
  <c r="AA980" i="3"/>
  <c r="M980" i="3"/>
  <c r="AJ978" i="3"/>
  <c r="J978" i="3"/>
  <c r="AC978" i="3"/>
  <c r="AD978" i="3" s="1"/>
  <c r="AA978" i="3"/>
  <c r="M978" i="3"/>
  <c r="AJ979" i="3"/>
  <c r="J979" i="3"/>
  <c r="AC979" i="3"/>
  <c r="AD979" i="3" s="1"/>
  <c r="AA979" i="3"/>
  <c r="M979" i="3"/>
  <c r="AJ974" i="3"/>
  <c r="J974" i="3"/>
  <c r="AC974" i="3"/>
  <c r="AD974" i="3" s="1"/>
  <c r="AA974" i="3"/>
  <c r="M974" i="3"/>
  <c r="K68" i="4"/>
  <c r="AJ798" i="3" l="1"/>
  <c r="J798" i="3"/>
  <c r="AC798" i="3"/>
  <c r="AD798" i="3" s="1"/>
  <c r="AA798" i="3"/>
  <c r="M798" i="3"/>
  <c r="AJ966" i="3"/>
  <c r="J966" i="3"/>
  <c r="AC966" i="3"/>
  <c r="AD966" i="3" s="1"/>
  <c r="AA966" i="3"/>
  <c r="M966" i="3"/>
  <c r="AJ939" i="3"/>
  <c r="J939" i="3"/>
  <c r="AC939" i="3"/>
  <c r="AD939" i="3" s="1"/>
  <c r="AA939" i="3"/>
  <c r="M939" i="3"/>
  <c r="AJ938" i="3"/>
  <c r="J938" i="3"/>
  <c r="AC938" i="3"/>
  <c r="AD938" i="3" s="1"/>
  <c r="AA938" i="3"/>
  <c r="M938" i="3"/>
  <c r="AJ937" i="3"/>
  <c r="J937" i="3"/>
  <c r="AC937" i="3"/>
  <c r="AD937" i="3" s="1"/>
  <c r="AA937" i="3"/>
  <c r="M937" i="3"/>
  <c r="AJ903" i="3"/>
  <c r="J903" i="3"/>
  <c r="AC903" i="3"/>
  <c r="AD903" i="3" s="1"/>
  <c r="AA903" i="3"/>
  <c r="M903" i="3"/>
  <c r="AJ815" i="3"/>
  <c r="J815" i="3"/>
  <c r="AC815" i="3"/>
  <c r="AD815" i="3" s="1"/>
  <c r="AA815" i="3"/>
  <c r="M815" i="3"/>
  <c r="AJ967" i="3"/>
  <c r="J967" i="3"/>
  <c r="AC967" i="3"/>
  <c r="AD967" i="3" s="1"/>
  <c r="AA967" i="3"/>
  <c r="M967" i="3"/>
  <c r="AJ969" i="3"/>
  <c r="J969" i="3"/>
  <c r="AC969" i="3"/>
  <c r="AD969" i="3" s="1"/>
  <c r="AA969" i="3"/>
  <c r="M969" i="3"/>
  <c r="AJ968" i="3"/>
  <c r="J968" i="3"/>
  <c r="AC968" i="3"/>
  <c r="AD968" i="3" s="1"/>
  <c r="AA968" i="3"/>
  <c r="M968" i="3"/>
  <c r="AJ970" i="3"/>
  <c r="J970" i="3"/>
  <c r="AC970" i="3"/>
  <c r="AD970" i="3" s="1"/>
  <c r="AA970" i="3"/>
  <c r="M970" i="3"/>
  <c r="AJ971" i="3"/>
  <c r="J971" i="3"/>
  <c r="AC971" i="3"/>
  <c r="AD971" i="3" s="1"/>
  <c r="AA971" i="3"/>
  <c r="M971" i="3"/>
  <c r="AJ964" i="3"/>
  <c r="J964" i="3"/>
  <c r="AC964" i="3"/>
  <c r="AD964" i="3" s="1"/>
  <c r="AA964" i="3"/>
  <c r="M964" i="3"/>
  <c r="AJ958" i="3"/>
  <c r="J958" i="3"/>
  <c r="AC958" i="3"/>
  <c r="AD958" i="3" s="1"/>
  <c r="AA958" i="3"/>
  <c r="M958" i="3"/>
  <c r="AJ962" i="3"/>
  <c r="J962" i="3"/>
  <c r="AC962" i="3"/>
  <c r="AD962" i="3" s="1"/>
  <c r="AA962" i="3"/>
  <c r="M962" i="3"/>
  <c r="AJ961" i="3"/>
  <c r="J961" i="3"/>
  <c r="AC961" i="3"/>
  <c r="AD961" i="3" s="1"/>
  <c r="AA961" i="3"/>
  <c r="M961" i="3"/>
  <c r="AJ965" i="3"/>
  <c r="J965" i="3"/>
  <c r="AC965" i="3"/>
  <c r="AD965" i="3" s="1"/>
  <c r="AA965" i="3"/>
  <c r="M965" i="3"/>
  <c r="AJ959" i="3"/>
  <c r="J959" i="3"/>
  <c r="AC959" i="3"/>
  <c r="AD959" i="3" s="1"/>
  <c r="AA959" i="3"/>
  <c r="M959" i="3"/>
  <c r="AJ948" i="3"/>
  <c r="J948" i="3"/>
  <c r="AC948" i="3"/>
  <c r="AD948" i="3" s="1"/>
  <c r="AA948" i="3"/>
  <c r="M948" i="3"/>
  <c r="AJ945" i="3"/>
  <c r="J945" i="3"/>
  <c r="AC945" i="3"/>
  <c r="AD945" i="3" s="1"/>
  <c r="AA945" i="3"/>
  <c r="M945" i="3"/>
  <c r="AJ944" i="3"/>
  <c r="J944" i="3"/>
  <c r="AC944" i="3"/>
  <c r="AD944" i="3" s="1"/>
  <c r="AA944" i="3"/>
  <c r="M944" i="3"/>
  <c r="AJ956" i="3"/>
  <c r="J956" i="3"/>
  <c r="AC956" i="3"/>
  <c r="AD956" i="3" s="1"/>
  <c r="AA956" i="3"/>
  <c r="M956" i="3"/>
  <c r="AJ951" i="3"/>
  <c r="J951" i="3"/>
  <c r="AC951" i="3"/>
  <c r="AD951" i="3" s="1"/>
  <c r="AA951" i="3"/>
  <c r="M951" i="3"/>
  <c r="AJ950" i="3"/>
  <c r="J950" i="3"/>
  <c r="AC950" i="3"/>
  <c r="AD950" i="3" s="1"/>
  <c r="AA950" i="3"/>
  <c r="M950" i="3"/>
  <c r="AJ960" i="3"/>
  <c r="J960" i="3"/>
  <c r="AC960" i="3"/>
  <c r="AD960" i="3" s="1"/>
  <c r="AA960" i="3"/>
  <c r="M960" i="3"/>
  <c r="AJ963" i="3"/>
  <c r="J963" i="3"/>
  <c r="AC963" i="3"/>
  <c r="AD963" i="3" s="1"/>
  <c r="AA963" i="3"/>
  <c r="M963" i="3"/>
  <c r="M842" i="3"/>
  <c r="M839" i="3"/>
  <c r="M852" i="3"/>
  <c r="M849" i="3"/>
  <c r="M901" i="3"/>
  <c r="M850" i="3"/>
  <c r="M851" i="3"/>
  <c r="M848" i="3"/>
  <c r="M847" i="3"/>
  <c r="M846" i="3"/>
  <c r="M858" i="3"/>
  <c r="M864" i="3"/>
  <c r="M863" i="3"/>
  <c r="M862" i="3"/>
  <c r="M861" i="3"/>
  <c r="M860" i="3"/>
  <c r="M853" i="3"/>
  <c r="M859" i="3"/>
  <c r="M856" i="3"/>
  <c r="M854" i="3"/>
  <c r="M855" i="3"/>
  <c r="M857" i="3"/>
  <c r="M865" i="3"/>
  <c r="M870" i="3"/>
  <c r="M869" i="3"/>
  <c r="M872" i="3"/>
  <c r="M866" i="3"/>
  <c r="M868" i="3"/>
  <c r="M871" i="3"/>
  <c r="M867" i="3"/>
  <c r="M873" i="3"/>
  <c r="M875" i="3"/>
  <c r="M876" i="3"/>
  <c r="M892" i="3"/>
  <c r="M896" i="3"/>
  <c r="M900" i="3"/>
  <c r="M890" i="3"/>
  <c r="M898" i="3"/>
  <c r="M877" i="3"/>
  <c r="M874" i="3"/>
  <c r="M879" i="3"/>
  <c r="M881" i="3"/>
  <c r="M878" i="3"/>
  <c r="M882" i="3"/>
  <c r="M880" i="3"/>
  <c r="M883" i="3"/>
  <c r="M884" i="3"/>
  <c r="M902" i="3"/>
  <c r="M889" i="3"/>
  <c r="M888" i="3"/>
  <c r="M885" i="3"/>
  <c r="M886" i="3"/>
  <c r="M887" i="3"/>
  <c r="M899" i="3"/>
  <c r="M891" i="3"/>
  <c r="M893" i="3"/>
  <c r="M894" i="3"/>
  <c r="M895" i="3"/>
  <c r="M897" i="3"/>
  <c r="M917" i="3"/>
  <c r="M913" i="3"/>
  <c r="M914" i="3"/>
  <c r="M915" i="3"/>
  <c r="M906" i="3"/>
  <c r="M918" i="3"/>
  <c r="M921" i="3"/>
  <c r="M922" i="3"/>
  <c r="M920" i="3"/>
  <c r="M919" i="3"/>
  <c r="M923" i="3"/>
  <c r="M926" i="3"/>
  <c r="M927" i="3"/>
  <c r="M924" i="3"/>
  <c r="M925" i="3"/>
  <c r="M941" i="3"/>
  <c r="M928" i="3"/>
  <c r="M940" i="3"/>
  <c r="M929" i="3"/>
  <c r="M930" i="3"/>
  <c r="M908" i="3"/>
  <c r="M911" i="3"/>
  <c r="M905" i="3"/>
  <c r="M907" i="3"/>
  <c r="M904" i="3"/>
  <c r="M909" i="3"/>
  <c r="M912" i="3"/>
  <c r="M910" i="3"/>
  <c r="M916" i="3"/>
  <c r="M936" i="3"/>
  <c r="M933" i="3"/>
  <c r="M934" i="3"/>
  <c r="M932" i="3"/>
  <c r="M931" i="3"/>
  <c r="M935" i="3"/>
  <c r="M942" i="3"/>
  <c r="M943" i="3"/>
  <c r="M949" i="3"/>
  <c r="M947" i="3"/>
  <c r="M955" i="3"/>
  <c r="M954" i="3"/>
  <c r="M953" i="3"/>
  <c r="M952" i="3"/>
  <c r="M946" i="3"/>
  <c r="AJ946" i="3"/>
  <c r="J946" i="3"/>
  <c r="AC946" i="3"/>
  <c r="AD946" i="3" s="1"/>
  <c r="AA946" i="3"/>
  <c r="AJ952" i="3"/>
  <c r="J952" i="3"/>
  <c r="AC952" i="3"/>
  <c r="AD952" i="3" s="1"/>
  <c r="AA952" i="3"/>
  <c r="AJ953" i="3"/>
  <c r="J953" i="3"/>
  <c r="AC953" i="3"/>
  <c r="AD953" i="3" s="1"/>
  <c r="AA953" i="3"/>
  <c r="AJ954" i="3"/>
  <c r="J954" i="3"/>
  <c r="AC954" i="3"/>
  <c r="AD954" i="3" s="1"/>
  <c r="AA954" i="3"/>
  <c r="AJ955" i="3"/>
  <c r="J955" i="3"/>
  <c r="AC955" i="3"/>
  <c r="AD955" i="3" s="1"/>
  <c r="AA955" i="3"/>
  <c r="AJ947" i="3"/>
  <c r="J947" i="3"/>
  <c r="AC947" i="3"/>
  <c r="AD947" i="3" s="1"/>
  <c r="AA947" i="3"/>
  <c r="AJ949" i="3"/>
  <c r="J949" i="3"/>
  <c r="AC949" i="3"/>
  <c r="AD949" i="3" s="1"/>
  <c r="AA949" i="3"/>
  <c r="AJ943" i="3"/>
  <c r="J943" i="3"/>
  <c r="AC943" i="3"/>
  <c r="AD943" i="3" s="1"/>
  <c r="AA943" i="3"/>
  <c r="AJ942" i="3"/>
  <c r="J942" i="3"/>
  <c r="AC942" i="3"/>
  <c r="AD942" i="3" s="1"/>
  <c r="AA942" i="3"/>
  <c r="AJ935" i="3"/>
  <c r="AC935" i="3"/>
  <c r="AD935" i="3" s="1"/>
  <c r="AA935" i="3"/>
  <c r="J935" i="3"/>
  <c r="AJ931" i="3"/>
  <c r="AC931" i="3"/>
  <c r="AD931" i="3" s="1"/>
  <c r="AA931" i="3"/>
  <c r="J931" i="3"/>
  <c r="AJ932" i="3"/>
  <c r="AC932" i="3"/>
  <c r="AD932" i="3" s="1"/>
  <c r="AA932" i="3"/>
  <c r="J932" i="3"/>
  <c r="AJ934" i="3"/>
  <c r="AC934" i="3"/>
  <c r="AD934" i="3" s="1"/>
  <c r="AA934" i="3"/>
  <c r="J934" i="3"/>
  <c r="AJ933" i="3"/>
  <c r="AC933" i="3"/>
  <c r="AD933" i="3" s="1"/>
  <c r="AA933" i="3"/>
  <c r="J933" i="3"/>
  <c r="AJ936" i="3"/>
  <c r="J936" i="3"/>
  <c r="AC936" i="3"/>
  <c r="AD936" i="3" s="1"/>
  <c r="AA936" i="3"/>
  <c r="AJ916" i="3" l="1"/>
  <c r="J916" i="3"/>
  <c r="AC916" i="3"/>
  <c r="AD916" i="3" s="1"/>
  <c r="AA916" i="3"/>
  <c r="AJ910" i="3"/>
  <c r="J910" i="3"/>
  <c r="AC910" i="3"/>
  <c r="AD910" i="3" s="1"/>
  <c r="AA910" i="3"/>
  <c r="AJ912" i="3"/>
  <c r="J912" i="3"/>
  <c r="AC912" i="3"/>
  <c r="AD912" i="3" s="1"/>
  <c r="AA912" i="3"/>
  <c r="AJ909" i="3"/>
  <c r="J909" i="3"/>
  <c r="AC909" i="3"/>
  <c r="AD909" i="3" s="1"/>
  <c r="AA909" i="3"/>
  <c r="AJ904" i="3"/>
  <c r="J904" i="3"/>
  <c r="AC904" i="3"/>
  <c r="AD904" i="3" s="1"/>
  <c r="AA904" i="3"/>
  <c r="AJ907" i="3"/>
  <c r="J907" i="3"/>
  <c r="AC907" i="3"/>
  <c r="AD907" i="3" s="1"/>
  <c r="AA907" i="3"/>
  <c r="AJ905" i="3"/>
  <c r="J905" i="3"/>
  <c r="AC905" i="3"/>
  <c r="AD905" i="3" s="1"/>
  <c r="AA905" i="3"/>
  <c r="AJ911" i="3"/>
  <c r="J911" i="3"/>
  <c r="AC911" i="3"/>
  <c r="AD911" i="3" s="1"/>
  <c r="AA911" i="3"/>
  <c r="AJ908" i="3"/>
  <c r="J908" i="3"/>
  <c r="AC908" i="3"/>
  <c r="AD908" i="3" s="1"/>
  <c r="AA908" i="3"/>
  <c r="AJ930" i="3"/>
  <c r="J930" i="3"/>
  <c r="AC930" i="3"/>
  <c r="AD930" i="3" s="1"/>
  <c r="AA930" i="3"/>
  <c r="AJ929" i="3"/>
  <c r="J929" i="3"/>
  <c r="AC929" i="3"/>
  <c r="AD929" i="3" s="1"/>
  <c r="AA929" i="3"/>
  <c r="AJ940" i="3"/>
  <c r="J940" i="3"/>
  <c r="AC940" i="3"/>
  <c r="AD940" i="3" s="1"/>
  <c r="AA940" i="3"/>
  <c r="AJ928" i="3"/>
  <c r="J928" i="3"/>
  <c r="AC928" i="3"/>
  <c r="AD928" i="3" s="1"/>
  <c r="AA928" i="3"/>
  <c r="AJ941" i="3"/>
  <c r="J941" i="3"/>
  <c r="AC941" i="3"/>
  <c r="AD941" i="3" s="1"/>
  <c r="AA941" i="3"/>
  <c r="AJ925" i="3"/>
  <c r="J925" i="3"/>
  <c r="AC925" i="3"/>
  <c r="AD925" i="3" s="1"/>
  <c r="AA925" i="3"/>
  <c r="AJ924" i="3"/>
  <c r="J924" i="3"/>
  <c r="AC924" i="3"/>
  <c r="AD924" i="3" s="1"/>
  <c r="AA924" i="3"/>
  <c r="AJ927" i="3"/>
  <c r="J927" i="3"/>
  <c r="AC927" i="3"/>
  <c r="AD927" i="3" s="1"/>
  <c r="AA927" i="3"/>
  <c r="AJ926" i="3"/>
  <c r="J926" i="3"/>
  <c r="AC926" i="3"/>
  <c r="AD926" i="3" s="1"/>
  <c r="AA926" i="3"/>
  <c r="AJ923" i="3"/>
  <c r="J923" i="3"/>
  <c r="AC923" i="3"/>
  <c r="AD923" i="3" s="1"/>
  <c r="AA923" i="3"/>
  <c r="AJ919" i="3"/>
  <c r="J919" i="3"/>
  <c r="AC919" i="3"/>
  <c r="AD919" i="3" s="1"/>
  <c r="AA919" i="3"/>
  <c r="AJ920" i="3"/>
  <c r="J920" i="3"/>
  <c r="AC920" i="3"/>
  <c r="AD920" i="3" s="1"/>
  <c r="AA920" i="3"/>
  <c r="AJ922" i="3"/>
  <c r="J922" i="3"/>
  <c r="AC922" i="3"/>
  <c r="AD922" i="3" s="1"/>
  <c r="AA922" i="3"/>
  <c r="AJ921" i="3"/>
  <c r="J921" i="3"/>
  <c r="AC921" i="3"/>
  <c r="AD921" i="3" s="1"/>
  <c r="AA921" i="3"/>
  <c r="AJ918" i="3"/>
  <c r="J918" i="3"/>
  <c r="AC918" i="3"/>
  <c r="AD918" i="3" s="1"/>
  <c r="AA918" i="3"/>
  <c r="AJ906" i="3"/>
  <c r="J906" i="3"/>
  <c r="AC906" i="3"/>
  <c r="AD906" i="3" s="1"/>
  <c r="AA906" i="3"/>
  <c r="AJ915" i="3"/>
  <c r="J915" i="3"/>
  <c r="AC915" i="3"/>
  <c r="AD915" i="3" s="1"/>
  <c r="AA915" i="3"/>
  <c r="AJ914" i="3"/>
  <c r="J914" i="3"/>
  <c r="AC914" i="3"/>
  <c r="AD914" i="3" s="1"/>
  <c r="AA914" i="3"/>
  <c r="AJ913" i="3"/>
  <c r="J913" i="3"/>
  <c r="AC913" i="3"/>
  <c r="AD913" i="3" s="1"/>
  <c r="AA913" i="3"/>
  <c r="AJ917" i="3"/>
  <c r="J917" i="3"/>
  <c r="AC917" i="3"/>
  <c r="AD917" i="3" s="1"/>
  <c r="AA917" i="3"/>
  <c r="AJ897" i="3"/>
  <c r="J897" i="3"/>
  <c r="AC897" i="3"/>
  <c r="AD897" i="3" s="1"/>
  <c r="AA897" i="3"/>
  <c r="AJ895" i="3"/>
  <c r="J895" i="3"/>
  <c r="AC895" i="3"/>
  <c r="AD895" i="3" s="1"/>
  <c r="AA895" i="3"/>
  <c r="AJ894" i="3"/>
  <c r="J894" i="3"/>
  <c r="AC894" i="3"/>
  <c r="AD894" i="3" s="1"/>
  <c r="AA894" i="3"/>
  <c r="AJ893" i="3"/>
  <c r="J893" i="3"/>
  <c r="AC893" i="3"/>
  <c r="AD893" i="3" s="1"/>
  <c r="AA893" i="3"/>
  <c r="AJ891" i="3"/>
  <c r="J891" i="3"/>
  <c r="AC891" i="3"/>
  <c r="AD891" i="3" s="1"/>
  <c r="AA891" i="3"/>
  <c r="AJ899" i="3"/>
  <c r="J899" i="3"/>
  <c r="AC899" i="3"/>
  <c r="AD899" i="3" s="1"/>
  <c r="AA899" i="3"/>
  <c r="AJ887" i="3"/>
  <c r="J887" i="3"/>
  <c r="AC887" i="3"/>
  <c r="AD887" i="3" s="1"/>
  <c r="AA887" i="3"/>
  <c r="AJ886" i="3"/>
  <c r="J886" i="3"/>
  <c r="AC886" i="3"/>
  <c r="AD886" i="3" s="1"/>
  <c r="AA886" i="3"/>
  <c r="AJ885" i="3"/>
  <c r="J885" i="3"/>
  <c r="AC885" i="3"/>
  <c r="AD885" i="3" s="1"/>
  <c r="AA885" i="3"/>
  <c r="AJ888" i="3"/>
  <c r="J888" i="3"/>
  <c r="AC888" i="3"/>
  <c r="AD888" i="3" s="1"/>
  <c r="AA888" i="3"/>
  <c r="AJ889" i="3"/>
  <c r="J889" i="3"/>
  <c r="AC889" i="3"/>
  <c r="AD889" i="3" s="1"/>
  <c r="AA889" i="3"/>
  <c r="AJ902" i="3"/>
  <c r="J902" i="3"/>
  <c r="AC902" i="3"/>
  <c r="AD902" i="3" s="1"/>
  <c r="AA902" i="3"/>
  <c r="AJ884" i="3"/>
  <c r="J884" i="3"/>
  <c r="AC884" i="3"/>
  <c r="AD884" i="3" s="1"/>
  <c r="AA884" i="3"/>
  <c r="AJ883" i="3"/>
  <c r="J883" i="3"/>
  <c r="AC883" i="3"/>
  <c r="AD883" i="3" s="1"/>
  <c r="AA883" i="3"/>
  <c r="AJ880" i="3"/>
  <c r="J880" i="3"/>
  <c r="AC880" i="3"/>
  <c r="AD880" i="3" s="1"/>
  <c r="AA880" i="3"/>
  <c r="AJ882" i="3"/>
  <c r="J882" i="3"/>
  <c r="AC882" i="3"/>
  <c r="AD882" i="3" s="1"/>
  <c r="AA882" i="3"/>
  <c r="AJ878" i="3"/>
  <c r="J878" i="3"/>
  <c r="AC878" i="3"/>
  <c r="AD878" i="3" s="1"/>
  <c r="AA878" i="3"/>
  <c r="AJ881" i="3"/>
  <c r="J881" i="3"/>
  <c r="AC881" i="3"/>
  <c r="AD881" i="3" s="1"/>
  <c r="AA881" i="3"/>
  <c r="AJ879" i="3"/>
  <c r="J879" i="3"/>
  <c r="AC879" i="3"/>
  <c r="AD879" i="3" s="1"/>
  <c r="AA879" i="3"/>
  <c r="AJ874" i="3"/>
  <c r="J874" i="3"/>
  <c r="AC874" i="3"/>
  <c r="AD874" i="3" s="1"/>
  <c r="AA874" i="3"/>
  <c r="AJ877" i="3"/>
  <c r="J877" i="3"/>
  <c r="AC877" i="3"/>
  <c r="AD877" i="3" s="1"/>
  <c r="AA877" i="3"/>
  <c r="AJ876" i="3"/>
  <c r="J876" i="3"/>
  <c r="AC876" i="3"/>
  <c r="AD876" i="3" s="1"/>
  <c r="AA876" i="3"/>
  <c r="AJ875" i="3"/>
  <c r="J875" i="3"/>
  <c r="AC875" i="3"/>
  <c r="AD875" i="3" s="1"/>
  <c r="AA875" i="3"/>
  <c r="AJ873" i="3"/>
  <c r="J873" i="3"/>
  <c r="AC873" i="3"/>
  <c r="AD873" i="3" s="1"/>
  <c r="AA873" i="3"/>
  <c r="AJ867" i="3"/>
  <c r="J867" i="3"/>
  <c r="AC867" i="3"/>
  <c r="AD867" i="3" s="1"/>
  <c r="AA867" i="3"/>
  <c r="AJ871" i="3"/>
  <c r="J871" i="3"/>
  <c r="AC871" i="3"/>
  <c r="AD871" i="3" s="1"/>
  <c r="AA871" i="3"/>
  <c r="AJ868" i="3"/>
  <c r="J868" i="3"/>
  <c r="AC868" i="3"/>
  <c r="AD868" i="3" s="1"/>
  <c r="AA868" i="3"/>
  <c r="AJ866" i="3"/>
  <c r="J866" i="3"/>
  <c r="AC866" i="3"/>
  <c r="AD866" i="3" s="1"/>
  <c r="AA866" i="3"/>
  <c r="AJ872" i="3"/>
  <c r="J872" i="3"/>
  <c r="AC872" i="3"/>
  <c r="AD872" i="3" s="1"/>
  <c r="AA872" i="3"/>
  <c r="AJ869" i="3"/>
  <c r="J869" i="3"/>
  <c r="AC869" i="3"/>
  <c r="AD869" i="3" s="1"/>
  <c r="AA869" i="3"/>
  <c r="AJ870" i="3"/>
  <c r="J870" i="3"/>
  <c r="AC870" i="3"/>
  <c r="AD870" i="3" s="1"/>
  <c r="AA870" i="3"/>
  <c r="AJ865" i="3"/>
  <c r="J865" i="3"/>
  <c r="AC865" i="3"/>
  <c r="AD865" i="3" s="1"/>
  <c r="AA865" i="3"/>
  <c r="AJ857" i="3"/>
  <c r="J857" i="3"/>
  <c r="AC857" i="3"/>
  <c r="AD857" i="3" s="1"/>
  <c r="AA857" i="3"/>
  <c r="AJ855" i="3"/>
  <c r="J855" i="3"/>
  <c r="AC855" i="3"/>
  <c r="AD855" i="3" s="1"/>
  <c r="AA855" i="3"/>
  <c r="AJ854" i="3"/>
  <c r="J854" i="3"/>
  <c r="AC854" i="3"/>
  <c r="AD854" i="3" s="1"/>
  <c r="AA854" i="3"/>
  <c r="AJ856" i="3"/>
  <c r="J856" i="3"/>
  <c r="AC856" i="3"/>
  <c r="AD856" i="3" s="1"/>
  <c r="AA856" i="3"/>
  <c r="AJ859" i="3"/>
  <c r="J859" i="3"/>
  <c r="AC859" i="3"/>
  <c r="AD859" i="3" s="1"/>
  <c r="AA859" i="3"/>
  <c r="AJ846" i="3"/>
  <c r="J846" i="3"/>
  <c r="AC846" i="3"/>
  <c r="AD846" i="3" s="1"/>
  <c r="AA846" i="3"/>
  <c r="AJ847" i="3"/>
  <c r="J847" i="3"/>
  <c r="AC847" i="3"/>
  <c r="AD847" i="3" s="1"/>
  <c r="AA847" i="3"/>
  <c r="AJ848" i="3"/>
  <c r="J848" i="3"/>
  <c r="AC848" i="3"/>
  <c r="AD848" i="3" s="1"/>
  <c r="AA848" i="3"/>
  <c r="AJ851" i="3"/>
  <c r="J851" i="3"/>
  <c r="AC851" i="3"/>
  <c r="AD851" i="3" s="1"/>
  <c r="AA851" i="3"/>
  <c r="AJ850" i="3"/>
  <c r="J850" i="3"/>
  <c r="AC850" i="3"/>
  <c r="AD850" i="3" s="1"/>
  <c r="AA850" i="3"/>
  <c r="AJ901" i="3"/>
  <c r="J901" i="3"/>
  <c r="AC901" i="3"/>
  <c r="AD901" i="3" s="1"/>
  <c r="AA901" i="3"/>
  <c r="AJ849" i="3"/>
  <c r="J849" i="3"/>
  <c r="AC849" i="3"/>
  <c r="AD849" i="3" s="1"/>
  <c r="AA849" i="3"/>
  <c r="AJ852" i="3"/>
  <c r="J852" i="3"/>
  <c r="AC852" i="3"/>
  <c r="AD852" i="3" s="1"/>
  <c r="AA852" i="3"/>
  <c r="AJ839" i="3"/>
  <c r="J839" i="3"/>
  <c r="AC839" i="3"/>
  <c r="AD839" i="3" s="1"/>
  <c r="AA839" i="3"/>
  <c r="AJ842" i="3"/>
  <c r="J842" i="3"/>
  <c r="AC842" i="3"/>
  <c r="AD842" i="3" s="1"/>
  <c r="AA842" i="3"/>
  <c r="AJ837" i="3"/>
  <c r="J837" i="3"/>
  <c r="AC837" i="3"/>
  <c r="AD837" i="3" s="1"/>
  <c r="AA837" i="3"/>
  <c r="M837" i="3"/>
  <c r="AJ838" i="3"/>
  <c r="J838" i="3"/>
  <c r="AC838" i="3"/>
  <c r="AD838" i="3" s="1"/>
  <c r="AA838" i="3"/>
  <c r="M838" i="3"/>
  <c r="AJ840" i="3"/>
  <c r="J840" i="3"/>
  <c r="AC840" i="3"/>
  <c r="AD840" i="3" s="1"/>
  <c r="AA840" i="3"/>
  <c r="M840" i="3"/>
  <c r="AJ841" i="3"/>
  <c r="J841" i="3"/>
  <c r="AC841" i="3"/>
  <c r="AD841" i="3" s="1"/>
  <c r="AA841" i="3"/>
  <c r="M841" i="3"/>
  <c r="AJ843" i="3"/>
  <c r="J843" i="3"/>
  <c r="AC843" i="3"/>
  <c r="AD843" i="3" s="1"/>
  <c r="AA843" i="3"/>
  <c r="M843" i="3"/>
  <c r="AJ844" i="3"/>
  <c r="J844" i="3"/>
  <c r="AC844" i="3"/>
  <c r="AD844" i="3" s="1"/>
  <c r="AA844" i="3"/>
  <c r="M844" i="3"/>
  <c r="AJ845" i="3"/>
  <c r="J845" i="3"/>
  <c r="AC845" i="3"/>
  <c r="AD845" i="3" s="1"/>
  <c r="AA845" i="3"/>
  <c r="M845" i="3"/>
  <c r="AJ829" i="3"/>
  <c r="J829" i="3"/>
  <c r="AC829" i="3"/>
  <c r="AD829" i="3" s="1"/>
  <c r="AA829" i="3"/>
  <c r="M829" i="3"/>
  <c r="AJ831" i="3"/>
  <c r="J831" i="3"/>
  <c r="AC831" i="3"/>
  <c r="AD831" i="3" s="1"/>
  <c r="AA831" i="3"/>
  <c r="M831" i="3"/>
  <c r="AJ833" i="3"/>
  <c r="J833" i="3"/>
  <c r="AC833" i="3"/>
  <c r="AD833" i="3" s="1"/>
  <c r="AA833" i="3"/>
  <c r="M833" i="3"/>
  <c r="AJ834" i="3"/>
  <c r="J834" i="3"/>
  <c r="AC834" i="3"/>
  <c r="AD834" i="3" s="1"/>
  <c r="AA834" i="3"/>
  <c r="M834" i="3"/>
  <c r="AJ835" i="3"/>
  <c r="J835" i="3"/>
  <c r="AC835" i="3"/>
  <c r="AD835" i="3" s="1"/>
  <c r="AA835" i="3"/>
  <c r="M835" i="3"/>
  <c r="AJ830" i="3"/>
  <c r="J830" i="3"/>
  <c r="AC830" i="3"/>
  <c r="AD830" i="3" s="1"/>
  <c r="AA830" i="3"/>
  <c r="M830" i="3"/>
  <c r="AJ836" i="3"/>
  <c r="J836" i="3"/>
  <c r="AC836" i="3"/>
  <c r="AD836" i="3" s="1"/>
  <c r="AA836" i="3"/>
  <c r="M836" i="3"/>
  <c r="AJ832" i="3"/>
  <c r="J832" i="3"/>
  <c r="AC832" i="3"/>
  <c r="AD832" i="3" s="1"/>
  <c r="AA832" i="3"/>
  <c r="M832" i="3"/>
  <c r="AJ819" i="3"/>
  <c r="J819" i="3"/>
  <c r="AC819" i="3"/>
  <c r="AD819" i="3" s="1"/>
  <c r="AA819" i="3"/>
  <c r="M819" i="3"/>
  <c r="AJ820" i="3"/>
  <c r="J820" i="3"/>
  <c r="AC820" i="3"/>
  <c r="AD820" i="3" s="1"/>
  <c r="AA820" i="3"/>
  <c r="M820" i="3"/>
  <c r="AJ818" i="3"/>
  <c r="J818" i="3"/>
  <c r="AC818" i="3"/>
  <c r="AD818" i="3" s="1"/>
  <c r="AA818" i="3"/>
  <c r="M818" i="3"/>
  <c r="AJ821" i="3"/>
  <c r="J821" i="3"/>
  <c r="AC821" i="3"/>
  <c r="AD821" i="3" s="1"/>
  <c r="AA821" i="3"/>
  <c r="M821" i="3"/>
  <c r="AJ816" i="3"/>
  <c r="J816" i="3"/>
  <c r="AC816" i="3"/>
  <c r="AD816" i="3" s="1"/>
  <c r="AA816" i="3"/>
  <c r="M816" i="3"/>
  <c r="AJ817" i="3"/>
  <c r="J817" i="3"/>
  <c r="AC817" i="3"/>
  <c r="AD817" i="3" s="1"/>
  <c r="AA817" i="3"/>
  <c r="M817" i="3"/>
  <c r="AJ823" i="3"/>
  <c r="J823" i="3"/>
  <c r="AC823" i="3"/>
  <c r="AD823" i="3" s="1"/>
  <c r="AA823" i="3"/>
  <c r="M823" i="3"/>
  <c r="AJ822" i="3"/>
  <c r="J822" i="3"/>
  <c r="AC822" i="3"/>
  <c r="AD822" i="3" s="1"/>
  <c r="AA822" i="3"/>
  <c r="M822" i="3"/>
  <c r="S1408" i="25" l="1"/>
  <c r="AA1408" i="25" s="1"/>
  <c r="M1408" i="25"/>
  <c r="S1407" i="25"/>
  <c r="AA1407" i="25" s="1"/>
  <c r="M1407" i="25"/>
  <c r="K1407" i="25" s="1"/>
  <c r="S1406" i="25"/>
  <c r="AA1406" i="25" s="1"/>
  <c r="M1406" i="25"/>
  <c r="S1405" i="25"/>
  <c r="AA1405" i="25" s="1"/>
  <c r="M1405" i="25"/>
  <c r="K1405" i="25" s="1"/>
  <c r="S1404" i="25"/>
  <c r="AA1404" i="25" s="1"/>
  <c r="M1404" i="25"/>
  <c r="S1403" i="25"/>
  <c r="AA1403" i="25" s="1"/>
  <c r="M1403" i="25"/>
  <c r="K1403" i="25" s="1"/>
  <c r="S1402" i="25"/>
  <c r="AA1402" i="25" s="1"/>
  <c r="M1402" i="25"/>
  <c r="S1401" i="25"/>
  <c r="AA1401" i="25" s="1"/>
  <c r="M1401" i="25"/>
  <c r="K1401" i="25" s="1"/>
  <c r="S1400" i="25"/>
  <c r="AA1400" i="25" s="1"/>
  <c r="M1400" i="25"/>
  <c r="S1399" i="25"/>
  <c r="AA1399" i="25" s="1"/>
  <c r="M1399" i="25"/>
  <c r="K1399" i="25" s="1"/>
  <c r="S1398" i="25"/>
  <c r="AA1398" i="25" s="1"/>
  <c r="M1398" i="25"/>
  <c r="S1397" i="25"/>
  <c r="AA1397" i="25" s="1"/>
  <c r="M1397" i="25"/>
  <c r="L1397" i="25" s="1"/>
  <c r="S1396" i="25"/>
  <c r="AA1396" i="25" s="1"/>
  <c r="M1396" i="25"/>
  <c r="K1396" i="25" s="1"/>
  <c r="S1395" i="25"/>
  <c r="AA1395" i="25" s="1"/>
  <c r="M1395" i="25"/>
  <c r="S1394" i="25"/>
  <c r="AA1394" i="25" s="1"/>
  <c r="M1394" i="25"/>
  <c r="S1393" i="25"/>
  <c r="AA1393" i="25" s="1"/>
  <c r="M1393" i="25"/>
  <c r="L1393" i="25" s="1"/>
  <c r="S1392" i="25"/>
  <c r="AA1392" i="25" s="1"/>
  <c r="M1392" i="25"/>
  <c r="S1391" i="25"/>
  <c r="AA1391" i="25" s="1"/>
  <c r="M1391" i="25"/>
  <c r="N1391" i="25" s="1"/>
  <c r="P1391" i="25" s="1"/>
  <c r="S1390" i="25"/>
  <c r="AA1390" i="25" s="1"/>
  <c r="M1390" i="25"/>
  <c r="S1389" i="25"/>
  <c r="AA1389" i="25" s="1"/>
  <c r="M1389" i="25"/>
  <c r="L1389" i="25" s="1"/>
  <c r="S1388" i="25"/>
  <c r="AA1388" i="25" s="1"/>
  <c r="M1388" i="25"/>
  <c r="S1387" i="25"/>
  <c r="AA1387" i="25" s="1"/>
  <c r="M1387" i="25"/>
  <c r="L1387" i="25" s="1"/>
  <c r="S1386" i="25"/>
  <c r="AA1386" i="25" s="1"/>
  <c r="M1386" i="25"/>
  <c r="S1385" i="25"/>
  <c r="AA1385" i="25" s="1"/>
  <c r="M1385" i="25"/>
  <c r="K1385" i="25" s="1"/>
  <c r="S1384" i="25"/>
  <c r="AA1384" i="25" s="1"/>
  <c r="M1384" i="25"/>
  <c r="S1383" i="25"/>
  <c r="AA1383" i="25" s="1"/>
  <c r="M1383" i="25"/>
  <c r="Z1383" i="25" s="1"/>
  <c r="S1382" i="25"/>
  <c r="AA1382" i="25" s="1"/>
  <c r="M1382" i="25"/>
  <c r="S1381" i="25"/>
  <c r="AA1381" i="25" s="1"/>
  <c r="M1381" i="25"/>
  <c r="Z1381" i="25" s="1"/>
  <c r="S1380" i="25"/>
  <c r="AA1380" i="25" s="1"/>
  <c r="M1380" i="25"/>
  <c r="S1379" i="25"/>
  <c r="AA1379" i="25" s="1"/>
  <c r="M1379" i="25"/>
  <c r="N1379" i="25" s="1"/>
  <c r="P1379" i="25" s="1"/>
  <c r="S1378" i="25"/>
  <c r="AA1378" i="25" s="1"/>
  <c r="M1378" i="25"/>
  <c r="K1378" i="25" s="1"/>
  <c r="S1377" i="25"/>
  <c r="AA1377" i="25" s="1"/>
  <c r="M1377" i="25"/>
  <c r="S1376" i="25"/>
  <c r="AA1376" i="25" s="1"/>
  <c r="M1376" i="25"/>
  <c r="S1375" i="25"/>
  <c r="AA1375" i="25" s="1"/>
  <c r="M1375" i="25"/>
  <c r="K1375" i="25" s="1"/>
  <c r="S1374" i="25"/>
  <c r="AA1374" i="25" s="1"/>
  <c r="M1374" i="25"/>
  <c r="N1374" i="25" s="1"/>
  <c r="P1374" i="25" s="1"/>
  <c r="S1373" i="25"/>
  <c r="AA1373" i="25" s="1"/>
  <c r="M1373" i="25"/>
  <c r="S1372" i="25"/>
  <c r="AA1372" i="25" s="1"/>
  <c r="M1372" i="25"/>
  <c r="S1371" i="25"/>
  <c r="AA1371" i="25" s="1"/>
  <c r="M1371" i="25"/>
  <c r="S1370" i="25"/>
  <c r="AA1370" i="25" s="1"/>
  <c r="M1370" i="25"/>
  <c r="S1369" i="25"/>
  <c r="AA1369" i="25" s="1"/>
  <c r="M1369" i="25"/>
  <c r="Z1369" i="25" s="1"/>
  <c r="S1368" i="25"/>
  <c r="AA1368" i="25" s="1"/>
  <c r="M1368" i="25"/>
  <c r="S1367" i="25"/>
  <c r="AA1367" i="25" s="1"/>
  <c r="M1367" i="25"/>
  <c r="S1366" i="25"/>
  <c r="AA1366" i="25" s="1"/>
  <c r="M1366" i="25"/>
  <c r="S1365" i="25"/>
  <c r="AA1365" i="25" s="1"/>
  <c r="M1365" i="25"/>
  <c r="S1364" i="25"/>
  <c r="AA1364" i="25" s="1"/>
  <c r="M1364" i="25"/>
  <c r="K1364" i="25"/>
  <c r="S1363" i="25"/>
  <c r="AA1363" i="25" s="1"/>
  <c r="M1363" i="25"/>
  <c r="N1363" i="25" s="1"/>
  <c r="P1363" i="25" s="1"/>
  <c r="S1362" i="25"/>
  <c r="AA1362" i="25" s="1"/>
  <c r="M1362" i="25"/>
  <c r="K1362" i="25" s="1"/>
  <c r="S1361" i="25"/>
  <c r="AA1361" i="25" s="1"/>
  <c r="M1361" i="25"/>
  <c r="S1360" i="25"/>
  <c r="AA1360" i="25" s="1"/>
  <c r="M1360" i="25"/>
  <c r="Z1360" i="25" s="1"/>
  <c r="S1359" i="25"/>
  <c r="AA1359" i="25" s="1"/>
  <c r="M1359" i="25"/>
  <c r="K1359" i="25" s="1"/>
  <c r="S1358" i="25"/>
  <c r="AA1358" i="25" s="1"/>
  <c r="M1358" i="25"/>
  <c r="N1358" i="25" s="1"/>
  <c r="P1358" i="25" s="1"/>
  <c r="S1357" i="25"/>
  <c r="AA1357" i="25" s="1"/>
  <c r="M1357" i="25"/>
  <c r="S1356" i="25"/>
  <c r="AA1356" i="25" s="1"/>
  <c r="M1356" i="25"/>
  <c r="S1355" i="25"/>
  <c r="AA1355" i="25" s="1"/>
  <c r="M1355" i="25"/>
  <c r="S1354" i="25"/>
  <c r="AA1354" i="25" s="1"/>
  <c r="M1354" i="25"/>
  <c r="K1354" i="25"/>
  <c r="S1353" i="25"/>
  <c r="AA1353" i="25" s="1"/>
  <c r="M1353" i="25"/>
  <c r="K1353" i="25"/>
  <c r="S1352" i="25"/>
  <c r="AA1352" i="25" s="1"/>
  <c r="M1352" i="25"/>
  <c r="K1352" i="25"/>
  <c r="S1351" i="25"/>
  <c r="AA1351" i="25" s="1"/>
  <c r="M1351" i="25"/>
  <c r="K1351" i="25"/>
  <c r="S1350" i="25"/>
  <c r="AA1350" i="25" s="1"/>
  <c r="M1350" i="25"/>
  <c r="K1350" i="25"/>
  <c r="S1349" i="25"/>
  <c r="AA1349" i="25" s="1"/>
  <c r="M1349" i="25"/>
  <c r="K1349" i="25"/>
  <c r="S1348" i="25"/>
  <c r="AA1348" i="25" s="1"/>
  <c r="M1348" i="25"/>
  <c r="L1348" i="25" s="1"/>
  <c r="K1348" i="25"/>
  <c r="S1347" i="25"/>
  <c r="AA1347" i="25" s="1"/>
  <c r="M1347" i="25"/>
  <c r="K1347" i="25"/>
  <c r="S1346" i="25"/>
  <c r="AA1346" i="25" s="1"/>
  <c r="M1346" i="25"/>
  <c r="K1346" i="25"/>
  <c r="S1345" i="25"/>
  <c r="AA1345" i="25" s="1"/>
  <c r="M1345" i="25"/>
  <c r="K1345" i="25"/>
  <c r="S1344" i="25"/>
  <c r="AA1344" i="25" s="1"/>
  <c r="M1344" i="25"/>
  <c r="K1344" i="25"/>
  <c r="S1343" i="25"/>
  <c r="AA1343" i="25" s="1"/>
  <c r="M1343" i="25"/>
  <c r="Z1343" i="25" s="1"/>
  <c r="K1343" i="25"/>
  <c r="S1342" i="25"/>
  <c r="AA1342" i="25" s="1"/>
  <c r="M1342" i="25"/>
  <c r="K1342" i="25"/>
  <c r="S1341" i="25"/>
  <c r="AA1341" i="25" s="1"/>
  <c r="M1341" i="25"/>
  <c r="K1341" i="25"/>
  <c r="S1340" i="25"/>
  <c r="AA1340" i="25" s="1"/>
  <c r="M1340" i="25"/>
  <c r="N1340" i="25" s="1"/>
  <c r="P1340" i="25" s="1"/>
  <c r="K1340" i="25"/>
  <c r="S1339" i="25"/>
  <c r="AA1339" i="25" s="1"/>
  <c r="M1339" i="25"/>
  <c r="Z1339" i="25" s="1"/>
  <c r="K1339" i="25"/>
  <c r="S1338" i="25"/>
  <c r="AA1338" i="25" s="1"/>
  <c r="M1338" i="25"/>
  <c r="K1338" i="25"/>
  <c r="S1337" i="25"/>
  <c r="AA1337" i="25" s="1"/>
  <c r="M1337" i="25"/>
  <c r="K1337" i="25"/>
  <c r="S1336" i="25"/>
  <c r="AA1336" i="25" s="1"/>
  <c r="M1336" i="25"/>
  <c r="K1336" i="25"/>
  <c r="S1335" i="25"/>
  <c r="AA1335" i="25" s="1"/>
  <c r="M1335" i="25"/>
  <c r="K1335" i="25"/>
  <c r="S1334" i="25"/>
  <c r="M1334" i="25"/>
  <c r="L1334" i="25" s="1"/>
  <c r="S1333" i="25"/>
  <c r="AA1333" i="25" s="1"/>
  <c r="M1333" i="25"/>
  <c r="N1333" i="25" s="1"/>
  <c r="P1333" i="25" s="1"/>
  <c r="S1332" i="25"/>
  <c r="AA1332" i="25" s="1"/>
  <c r="M1332" i="25"/>
  <c r="L1332" i="25" s="1"/>
  <c r="S1331" i="25"/>
  <c r="AA1331" i="25" s="1"/>
  <c r="M1331" i="25"/>
  <c r="S1330" i="25"/>
  <c r="AA1330" i="25" s="1"/>
  <c r="M1330" i="25"/>
  <c r="L1330" i="25" s="1"/>
  <c r="S1329" i="25"/>
  <c r="AA1329" i="25" s="1"/>
  <c r="M1329" i="25"/>
  <c r="S1328" i="25"/>
  <c r="AA1328" i="25" s="1"/>
  <c r="M1328" i="25"/>
  <c r="S1327" i="25"/>
  <c r="AA1327" i="25" s="1"/>
  <c r="M1327" i="25"/>
  <c r="S1326" i="25"/>
  <c r="AA1326" i="25" s="1"/>
  <c r="M1326" i="25"/>
  <c r="L1326" i="25" s="1"/>
  <c r="S1325" i="25"/>
  <c r="AA1325" i="25" s="1"/>
  <c r="M1325" i="25"/>
  <c r="S1324" i="25"/>
  <c r="AA1324" i="25" s="1"/>
  <c r="M1324" i="25"/>
  <c r="L1324" i="25" s="1"/>
  <c r="K1324" i="25"/>
  <c r="S1323" i="25"/>
  <c r="AA1323" i="25" s="1"/>
  <c r="M1323" i="25"/>
  <c r="N1323" i="25" s="1"/>
  <c r="P1323" i="25" s="1"/>
  <c r="K1323" i="25"/>
  <c r="S1322" i="25"/>
  <c r="AA1322" i="25" s="1"/>
  <c r="M1322" i="25"/>
  <c r="S1321" i="25"/>
  <c r="AA1321" i="25" s="1"/>
  <c r="M1321" i="25"/>
  <c r="N1321" i="25" s="1"/>
  <c r="P1321" i="25" s="1"/>
  <c r="S1320" i="25"/>
  <c r="AA1320" i="25" s="1"/>
  <c r="M1320" i="25"/>
  <c r="L1320" i="25" s="1"/>
  <c r="S1319" i="25"/>
  <c r="AA1319" i="25" s="1"/>
  <c r="M1319" i="25"/>
  <c r="S1318" i="25"/>
  <c r="AA1318" i="25" s="1"/>
  <c r="M1318" i="25"/>
  <c r="L1318" i="25" s="1"/>
  <c r="K1318" i="25"/>
  <c r="S1317" i="25"/>
  <c r="AA1317" i="25" s="1"/>
  <c r="M1317" i="25"/>
  <c r="S1316" i="25"/>
  <c r="AA1316" i="25" s="1"/>
  <c r="M1316" i="25"/>
  <c r="L1316" i="25" s="1"/>
  <c r="S1315" i="25"/>
  <c r="AA1315" i="25" s="1"/>
  <c r="M1315" i="25"/>
  <c r="S1314" i="25"/>
  <c r="AA1314" i="25" s="1"/>
  <c r="M1314" i="25"/>
  <c r="S1313" i="25"/>
  <c r="AA1313" i="25" s="1"/>
  <c r="M1313" i="25"/>
  <c r="K1313" i="25" s="1"/>
  <c r="S1312" i="25"/>
  <c r="AA1312" i="25" s="1"/>
  <c r="M1312" i="25"/>
  <c r="L1312" i="25" s="1"/>
  <c r="S1311" i="25"/>
  <c r="AA1311" i="25" s="1"/>
  <c r="M1311" i="25"/>
  <c r="S1310" i="25"/>
  <c r="AA1310" i="25" s="1"/>
  <c r="M1310" i="25"/>
  <c r="L1310" i="25" s="1"/>
  <c r="S1309" i="25"/>
  <c r="AA1309" i="25" s="1"/>
  <c r="M1309" i="25"/>
  <c r="S1308" i="25"/>
  <c r="AA1308" i="25" s="1"/>
  <c r="M1308" i="25"/>
  <c r="L1308" i="25" s="1"/>
  <c r="S1307" i="25"/>
  <c r="AA1307" i="25" s="1"/>
  <c r="M1307" i="25"/>
  <c r="N1307" i="25" s="1"/>
  <c r="P1307" i="25" s="1"/>
  <c r="S1306" i="25"/>
  <c r="AA1306" i="25" s="1"/>
  <c r="M1306" i="25"/>
  <c r="S1305" i="25"/>
  <c r="AA1305" i="25" s="1"/>
  <c r="M1305" i="25"/>
  <c r="K1305" i="25" s="1"/>
  <c r="S1304" i="25"/>
  <c r="AA1304" i="25" s="1"/>
  <c r="M1304" i="25"/>
  <c r="L1304" i="25" s="1"/>
  <c r="S1303" i="25"/>
  <c r="AA1303" i="25" s="1"/>
  <c r="M1303" i="25"/>
  <c r="S1302" i="25"/>
  <c r="AA1302" i="25" s="1"/>
  <c r="M1302" i="25"/>
  <c r="S1301" i="25"/>
  <c r="AA1301" i="25" s="1"/>
  <c r="M1301" i="25"/>
  <c r="S1300" i="25"/>
  <c r="AA1300" i="25" s="1"/>
  <c r="M1300" i="25"/>
  <c r="L1300" i="25" s="1"/>
  <c r="S1299" i="25"/>
  <c r="AA1299" i="25" s="1"/>
  <c r="M1299" i="25"/>
  <c r="K1299" i="25" s="1"/>
  <c r="S1298" i="25"/>
  <c r="AA1298" i="25" s="1"/>
  <c r="M1298" i="25"/>
  <c r="S1297" i="25"/>
  <c r="AA1297" i="25" s="1"/>
  <c r="M1297" i="25"/>
  <c r="S1296" i="25"/>
  <c r="AA1296" i="25" s="1"/>
  <c r="M1296" i="25"/>
  <c r="S1295" i="25"/>
  <c r="AA1295" i="25" s="1"/>
  <c r="M1295" i="25"/>
  <c r="S1294" i="25"/>
  <c r="AA1294" i="25" s="1"/>
  <c r="M1294" i="25"/>
  <c r="K1294" i="25"/>
  <c r="S1293" i="25"/>
  <c r="AA1293" i="25" s="1"/>
  <c r="M1293" i="25"/>
  <c r="Z1293" i="25" s="1"/>
  <c r="S1292" i="25"/>
  <c r="AA1292" i="25" s="1"/>
  <c r="M1292" i="25"/>
  <c r="Z1292" i="25" s="1"/>
  <c r="S1291" i="25"/>
  <c r="AA1291" i="25" s="1"/>
  <c r="M1291" i="25"/>
  <c r="K1291" i="25"/>
  <c r="S1290" i="25"/>
  <c r="AA1290" i="25" s="1"/>
  <c r="M1290" i="25"/>
  <c r="Z1290" i="25" s="1"/>
  <c r="S1289" i="25"/>
  <c r="AA1289" i="25" s="1"/>
  <c r="M1289" i="25"/>
  <c r="K1289" i="25"/>
  <c r="S1288" i="25"/>
  <c r="AA1288" i="25" s="1"/>
  <c r="M1288" i="25"/>
  <c r="K1288" i="25"/>
  <c r="S1287" i="25"/>
  <c r="AA1287" i="25" s="1"/>
  <c r="M1287" i="25"/>
  <c r="K1287" i="25"/>
  <c r="S1286" i="25"/>
  <c r="AA1286" i="25" s="1"/>
  <c r="M1286" i="25"/>
  <c r="K1286" i="25"/>
  <c r="S1285" i="25"/>
  <c r="AA1285" i="25" s="1"/>
  <c r="M1285" i="25"/>
  <c r="K1285" i="25"/>
  <c r="S1284" i="25"/>
  <c r="AA1284" i="25" s="1"/>
  <c r="M1284" i="25"/>
  <c r="K1284" i="25"/>
  <c r="S1283" i="25"/>
  <c r="AA1283" i="25" s="1"/>
  <c r="M1283" i="25"/>
  <c r="K1283" i="25"/>
  <c r="S1282" i="25"/>
  <c r="AA1282" i="25" s="1"/>
  <c r="M1282" i="25"/>
  <c r="K1282" i="25"/>
  <c r="S1281" i="25"/>
  <c r="AA1281" i="25" s="1"/>
  <c r="M1281" i="25"/>
  <c r="K1281" i="25"/>
  <c r="S1280" i="25"/>
  <c r="AA1280" i="25" s="1"/>
  <c r="M1280" i="25"/>
  <c r="K1280" i="25"/>
  <c r="S1279" i="25"/>
  <c r="AA1279" i="25" s="1"/>
  <c r="M1279" i="25"/>
  <c r="K1279" i="25"/>
  <c r="S1278" i="25"/>
  <c r="AA1278" i="25" s="1"/>
  <c r="M1278" i="25"/>
  <c r="K1278" i="25"/>
  <c r="S1277" i="25"/>
  <c r="AA1277" i="25" s="1"/>
  <c r="M1277" i="25"/>
  <c r="K1277" i="25"/>
  <c r="S1276" i="25"/>
  <c r="AA1276" i="25" s="1"/>
  <c r="M1276" i="25"/>
  <c r="K1276" i="25"/>
  <c r="S1275" i="25"/>
  <c r="AA1275" i="25" s="1"/>
  <c r="M1275" i="25"/>
  <c r="K1275" i="25"/>
  <c r="S1274" i="25"/>
  <c r="AA1274" i="25" s="1"/>
  <c r="M1274" i="25"/>
  <c r="K1274" i="25"/>
  <c r="S1273" i="25"/>
  <c r="AA1273" i="25" s="1"/>
  <c r="M1273" i="25"/>
  <c r="K1273" i="25"/>
  <c r="S1272" i="25"/>
  <c r="AA1272" i="25" s="1"/>
  <c r="M1272" i="25"/>
  <c r="K1272" i="25"/>
  <c r="S1271" i="25"/>
  <c r="AA1271" i="25" s="1"/>
  <c r="M1271" i="25"/>
  <c r="N1271" i="25" s="1"/>
  <c r="P1271" i="25" s="1"/>
  <c r="S1270" i="25"/>
  <c r="AA1270" i="25" s="1"/>
  <c r="M1270" i="25"/>
  <c r="K1270" i="25"/>
  <c r="S1269" i="25"/>
  <c r="AA1269" i="25" s="1"/>
  <c r="M1269" i="25"/>
  <c r="L1269" i="25" s="1"/>
  <c r="K1269" i="25"/>
  <c r="S1268" i="25"/>
  <c r="AA1268" i="25" s="1"/>
  <c r="M1268" i="25"/>
  <c r="K1268" i="25"/>
  <c r="S1267" i="25"/>
  <c r="AA1267" i="25" s="1"/>
  <c r="M1267" i="25"/>
  <c r="N1267" i="25" s="1"/>
  <c r="P1267" i="25" s="1"/>
  <c r="K1267" i="25"/>
  <c r="S1266" i="25"/>
  <c r="AA1266" i="25" s="1"/>
  <c r="M1266" i="25"/>
  <c r="N1266" i="25" s="1"/>
  <c r="P1266" i="25" s="1"/>
  <c r="K1266" i="25"/>
  <c r="S1265" i="25"/>
  <c r="AA1265" i="25" s="1"/>
  <c r="M1265" i="25"/>
  <c r="K1265" i="25"/>
  <c r="S1264" i="25"/>
  <c r="AA1264" i="25" s="1"/>
  <c r="M1264" i="25"/>
  <c r="N1264" i="25" s="1"/>
  <c r="P1264" i="25" s="1"/>
  <c r="K1264" i="25"/>
  <c r="S1263" i="25"/>
  <c r="AA1263" i="25" s="1"/>
  <c r="M1263" i="25"/>
  <c r="K1263" i="25"/>
  <c r="S1262" i="25"/>
  <c r="AA1262" i="25" s="1"/>
  <c r="M1262" i="25"/>
  <c r="Z1262" i="25" s="1"/>
  <c r="K1262" i="25"/>
  <c r="S1261" i="25"/>
  <c r="AA1261" i="25" s="1"/>
  <c r="M1261" i="25"/>
  <c r="N1261" i="25" s="1"/>
  <c r="P1261" i="25" s="1"/>
  <c r="K1261" i="25"/>
  <c r="S1260" i="25"/>
  <c r="AA1260" i="25" s="1"/>
  <c r="M1260" i="25"/>
  <c r="L1260" i="25" s="1"/>
  <c r="K1260" i="25"/>
  <c r="S1259" i="25"/>
  <c r="AA1259" i="25" s="1"/>
  <c r="M1259" i="25"/>
  <c r="K1259" i="25"/>
  <c r="S1258" i="25"/>
  <c r="AA1258" i="25" s="1"/>
  <c r="M1258" i="25"/>
  <c r="Z1258" i="25" s="1"/>
  <c r="K1258" i="25"/>
  <c r="S1257" i="25"/>
  <c r="AA1257" i="25" s="1"/>
  <c r="M1257" i="25"/>
  <c r="K1257" i="25"/>
  <c r="S1256" i="25"/>
  <c r="AA1256" i="25" s="1"/>
  <c r="M1256" i="25"/>
  <c r="L1256" i="25" s="1"/>
  <c r="K1256" i="25"/>
  <c r="S1255" i="25"/>
  <c r="AA1255" i="25" s="1"/>
  <c r="M1255" i="25"/>
  <c r="K1255" i="25"/>
  <c r="S1254" i="25"/>
  <c r="AA1254" i="25" s="1"/>
  <c r="M1254" i="25"/>
  <c r="K1254" i="25"/>
  <c r="S1253" i="25"/>
  <c r="AA1253" i="25" s="1"/>
  <c r="M1253" i="25"/>
  <c r="Z1253" i="25" s="1"/>
  <c r="K1253" i="25"/>
  <c r="S1252" i="25"/>
  <c r="AA1252" i="25" s="1"/>
  <c r="M1252" i="25"/>
  <c r="L1252" i="25" s="1"/>
  <c r="K1252" i="25"/>
  <c r="S1251" i="25"/>
  <c r="AA1251" i="25" s="1"/>
  <c r="M1251" i="25"/>
  <c r="S1250" i="25"/>
  <c r="AA1250" i="25" s="1"/>
  <c r="M1250" i="25"/>
  <c r="S1249" i="25"/>
  <c r="AA1249" i="25" s="1"/>
  <c r="M1249" i="25"/>
  <c r="K1249" i="25"/>
  <c r="S1248" i="25"/>
  <c r="AA1248" i="25" s="1"/>
  <c r="M1248" i="25"/>
  <c r="S1247" i="25"/>
  <c r="AA1247" i="25" s="1"/>
  <c r="M1247" i="25"/>
  <c r="N1247" i="25" s="1"/>
  <c r="P1247" i="25" s="1"/>
  <c r="K1247" i="25"/>
  <c r="S1246" i="25"/>
  <c r="AA1246" i="25" s="1"/>
  <c r="M1246" i="25"/>
  <c r="L1246" i="25" s="1"/>
  <c r="S1245" i="25"/>
  <c r="AA1245" i="25" s="1"/>
  <c r="M1245" i="25"/>
  <c r="Z1245" i="25" s="1"/>
  <c r="S1244" i="25"/>
  <c r="AA1244" i="25" s="1"/>
  <c r="M1244" i="25"/>
  <c r="S1243" i="25"/>
  <c r="AA1243" i="25" s="1"/>
  <c r="M1243" i="25"/>
  <c r="Z1243" i="25" s="1"/>
  <c r="K1243" i="25"/>
  <c r="S1242" i="25"/>
  <c r="AA1242" i="25" s="1"/>
  <c r="M1242" i="25"/>
  <c r="S1241" i="25"/>
  <c r="AA1241" i="25" s="1"/>
  <c r="M1241" i="25"/>
  <c r="N1241" i="25" s="1"/>
  <c r="P1241" i="25" s="1"/>
  <c r="S1240" i="25"/>
  <c r="AA1240" i="25" s="1"/>
  <c r="M1240" i="25"/>
  <c r="S1239" i="25"/>
  <c r="AA1239" i="25" s="1"/>
  <c r="M1239" i="25"/>
  <c r="S1238" i="25"/>
  <c r="AA1238" i="25" s="1"/>
  <c r="M1238" i="25"/>
  <c r="K1238" i="25" s="1"/>
  <c r="S1237" i="25"/>
  <c r="AA1237" i="25" s="1"/>
  <c r="M1237" i="25"/>
  <c r="Z1237" i="25" s="1"/>
  <c r="S1236" i="25"/>
  <c r="AA1236" i="25" s="1"/>
  <c r="M1236" i="25"/>
  <c r="Z1236" i="25" s="1"/>
  <c r="S1235" i="25"/>
  <c r="AA1235" i="25" s="1"/>
  <c r="M1235" i="25"/>
  <c r="S1234" i="25"/>
  <c r="AA1234" i="25" s="1"/>
  <c r="M1234" i="25"/>
  <c r="K1234" i="25" s="1"/>
  <c r="S1233" i="25"/>
  <c r="AA1233" i="25" s="1"/>
  <c r="M1233" i="25"/>
  <c r="S1232" i="25"/>
  <c r="AA1232" i="25" s="1"/>
  <c r="M1232" i="25"/>
  <c r="S1231" i="25"/>
  <c r="AA1231" i="25" s="1"/>
  <c r="M1231" i="25"/>
  <c r="K1231" i="25"/>
  <c r="S1230" i="25"/>
  <c r="AA1230" i="25" s="1"/>
  <c r="M1230" i="25"/>
  <c r="K1230" i="25"/>
  <c r="S1229" i="25"/>
  <c r="AA1229" i="25" s="1"/>
  <c r="M1229" i="25"/>
  <c r="K1229" i="25"/>
  <c r="S1228" i="25"/>
  <c r="AA1228" i="25" s="1"/>
  <c r="M1228" i="25"/>
  <c r="K1228" i="25"/>
  <c r="S1227" i="25"/>
  <c r="AA1227" i="25" s="1"/>
  <c r="M1227" i="25"/>
  <c r="K1227" i="25"/>
  <c r="S1226" i="25"/>
  <c r="AA1226" i="25" s="1"/>
  <c r="M1226" i="25"/>
  <c r="K1226" i="25"/>
  <c r="S1225" i="25"/>
  <c r="AA1225" i="25" s="1"/>
  <c r="M1225" i="25"/>
  <c r="K1225" i="25"/>
  <c r="S1224" i="25"/>
  <c r="AA1224" i="25" s="1"/>
  <c r="M1224" i="25"/>
  <c r="K1224" i="25"/>
  <c r="S1223" i="25"/>
  <c r="AA1223" i="25" s="1"/>
  <c r="M1223" i="25"/>
  <c r="K1223" i="25"/>
  <c r="S1222" i="25"/>
  <c r="AA1222" i="25" s="1"/>
  <c r="M1222" i="25"/>
  <c r="K1222" i="25"/>
  <c r="S1221" i="25"/>
  <c r="AA1221" i="25" s="1"/>
  <c r="M1221" i="25"/>
  <c r="K1221" i="25"/>
  <c r="S1220" i="25"/>
  <c r="AA1220" i="25" s="1"/>
  <c r="M1220" i="25"/>
  <c r="K1220" i="25"/>
  <c r="S1219" i="25"/>
  <c r="AA1219" i="25" s="1"/>
  <c r="M1219" i="25"/>
  <c r="K1219" i="25"/>
  <c r="S1218" i="25"/>
  <c r="AA1218" i="25" s="1"/>
  <c r="M1218" i="25"/>
  <c r="S1217" i="25"/>
  <c r="AA1217" i="25" s="1"/>
  <c r="M1217" i="25"/>
  <c r="S1216" i="25"/>
  <c r="AA1216" i="25" s="1"/>
  <c r="M1216" i="25"/>
  <c r="S1215" i="25"/>
  <c r="AA1215" i="25" s="1"/>
  <c r="M1215" i="25"/>
  <c r="S1214" i="25"/>
  <c r="AA1214" i="25" s="1"/>
  <c r="M1214" i="25"/>
  <c r="K1214" i="25" s="1"/>
  <c r="S1213" i="25"/>
  <c r="AA1213" i="25" s="1"/>
  <c r="M1213" i="25"/>
  <c r="N1213" i="25" s="1"/>
  <c r="P1213" i="25" s="1"/>
  <c r="S1212" i="25"/>
  <c r="AA1212" i="25" s="1"/>
  <c r="M1212" i="25"/>
  <c r="K1212" i="25"/>
  <c r="S1211" i="25"/>
  <c r="AA1211" i="25" s="1"/>
  <c r="M1211" i="25"/>
  <c r="K1211" i="25"/>
  <c r="S1210" i="25"/>
  <c r="AA1210" i="25" s="1"/>
  <c r="M1210" i="25"/>
  <c r="K1210" i="25"/>
  <c r="S1209" i="25"/>
  <c r="AA1209" i="25" s="1"/>
  <c r="M1209" i="25"/>
  <c r="K1209" i="25"/>
  <c r="S1208" i="25"/>
  <c r="AA1208" i="25" s="1"/>
  <c r="M1208" i="25"/>
  <c r="K1208" i="25"/>
  <c r="S1207" i="25"/>
  <c r="AA1207" i="25" s="1"/>
  <c r="M1207" i="25"/>
  <c r="L1207" i="25" s="1"/>
  <c r="K1207" i="25"/>
  <c r="S1206" i="25"/>
  <c r="AA1206" i="25" s="1"/>
  <c r="M1206" i="25"/>
  <c r="K1206" i="25"/>
  <c r="S1205" i="25"/>
  <c r="AA1205" i="25" s="1"/>
  <c r="M1205" i="25"/>
  <c r="Z1205" i="25" s="1"/>
  <c r="K1205" i="25"/>
  <c r="S1204" i="25"/>
  <c r="AA1204" i="25" s="1"/>
  <c r="M1204" i="25"/>
  <c r="K1204" i="25"/>
  <c r="S1203" i="25"/>
  <c r="AA1203" i="25" s="1"/>
  <c r="M1203" i="25"/>
  <c r="N1203" i="25" s="1"/>
  <c r="P1203" i="25" s="1"/>
  <c r="K1203" i="25"/>
  <c r="S1202" i="25"/>
  <c r="AA1202" i="25" s="1"/>
  <c r="M1202" i="25"/>
  <c r="N1202" i="25" s="1"/>
  <c r="P1202" i="25" s="1"/>
  <c r="K1202" i="25"/>
  <c r="S1201" i="25"/>
  <c r="AA1201" i="25" s="1"/>
  <c r="M1201" i="25"/>
  <c r="K1201" i="25"/>
  <c r="S1200" i="25"/>
  <c r="AA1200" i="25" s="1"/>
  <c r="M1200" i="25"/>
  <c r="K1200" i="25"/>
  <c r="S1199" i="25"/>
  <c r="AA1199" i="25" s="1"/>
  <c r="M1199" i="25"/>
  <c r="L1199" i="25" s="1"/>
  <c r="K1199" i="25"/>
  <c r="S1198" i="25"/>
  <c r="AA1198" i="25" s="1"/>
  <c r="M1198" i="25"/>
  <c r="K1198" i="25"/>
  <c r="S1197" i="25"/>
  <c r="AA1197" i="25" s="1"/>
  <c r="M1197" i="25"/>
  <c r="K1197" i="25"/>
  <c r="S1196" i="25"/>
  <c r="AA1196" i="25" s="1"/>
  <c r="M1196" i="25"/>
  <c r="K1196" i="25"/>
  <c r="S1195" i="25"/>
  <c r="AA1195" i="25" s="1"/>
  <c r="M1195" i="25"/>
  <c r="K1195" i="25"/>
  <c r="S1194" i="25"/>
  <c r="AA1194" i="25" s="1"/>
  <c r="M1194" i="25"/>
  <c r="K1194" i="25"/>
  <c r="S1193" i="25"/>
  <c r="AA1193" i="25" s="1"/>
  <c r="M1193" i="25"/>
  <c r="K1193" i="25"/>
  <c r="S1192" i="25"/>
  <c r="AA1192" i="25" s="1"/>
  <c r="M1192" i="25"/>
  <c r="N1192" i="25" s="1"/>
  <c r="P1192" i="25" s="1"/>
  <c r="S1191" i="25"/>
  <c r="AA1191" i="25" s="1"/>
  <c r="M1191" i="25"/>
  <c r="L1191" i="25" s="1"/>
  <c r="K1191" i="25"/>
  <c r="S1190" i="25"/>
  <c r="AA1190" i="25" s="1"/>
  <c r="M1190" i="25"/>
  <c r="Z1190" i="25" s="1"/>
  <c r="K1190" i="25"/>
  <c r="S1189" i="25"/>
  <c r="AA1189" i="25" s="1"/>
  <c r="M1189" i="25"/>
  <c r="K1189" i="25"/>
  <c r="S1188" i="25"/>
  <c r="AA1188" i="25" s="1"/>
  <c r="M1188" i="25"/>
  <c r="N1188" i="25" s="1"/>
  <c r="P1188" i="25" s="1"/>
  <c r="K1188" i="25"/>
  <c r="S1187" i="25"/>
  <c r="AA1187" i="25" s="1"/>
  <c r="M1187" i="25"/>
  <c r="N1187" i="25" s="1"/>
  <c r="P1187" i="25" s="1"/>
  <c r="K1187" i="25"/>
  <c r="S1186" i="25"/>
  <c r="AA1186" i="25" s="1"/>
  <c r="M1186" i="25"/>
  <c r="K1186" i="25"/>
  <c r="S1185" i="25"/>
  <c r="AA1185" i="25" s="1"/>
  <c r="M1185" i="25"/>
  <c r="K1185" i="25"/>
  <c r="S1184" i="25"/>
  <c r="AA1184" i="25" s="1"/>
  <c r="M1184" i="25"/>
  <c r="N1184" i="25" s="1"/>
  <c r="P1184" i="25" s="1"/>
  <c r="K1184" i="25"/>
  <c r="S1183" i="25"/>
  <c r="AA1183" i="25" s="1"/>
  <c r="M1183" i="25"/>
  <c r="K1183" i="25"/>
  <c r="S1182" i="25"/>
  <c r="AA1182" i="25" s="1"/>
  <c r="M1182" i="25"/>
  <c r="N1182" i="25" s="1"/>
  <c r="P1182" i="25" s="1"/>
  <c r="K1182" i="25"/>
  <c r="S1181" i="25"/>
  <c r="AA1181" i="25" s="1"/>
  <c r="M1181" i="25"/>
  <c r="K1181" i="25"/>
  <c r="S1180" i="25"/>
  <c r="AA1180" i="25" s="1"/>
  <c r="M1180" i="25"/>
  <c r="S1179" i="25"/>
  <c r="AA1179" i="25" s="1"/>
  <c r="M1179" i="25"/>
  <c r="K1179" i="25"/>
  <c r="S1178" i="25"/>
  <c r="AA1178" i="25" s="1"/>
  <c r="M1178" i="25"/>
  <c r="N1178" i="25" s="1"/>
  <c r="P1178" i="25" s="1"/>
  <c r="S1177" i="25"/>
  <c r="AA1177" i="25" s="1"/>
  <c r="M1177" i="25"/>
  <c r="S1176" i="25"/>
  <c r="AA1176" i="25" s="1"/>
  <c r="M1176" i="25"/>
  <c r="S1175" i="25"/>
  <c r="AA1175" i="25" s="1"/>
  <c r="M1175" i="25"/>
  <c r="S1174" i="25"/>
  <c r="AA1174" i="25" s="1"/>
  <c r="M1174" i="25"/>
  <c r="N1174" i="25" s="1"/>
  <c r="P1174" i="25" s="1"/>
  <c r="S1173" i="25"/>
  <c r="AA1173" i="25" s="1"/>
  <c r="M1173" i="25"/>
  <c r="S1172" i="25"/>
  <c r="AA1172" i="25" s="1"/>
  <c r="M1172" i="25"/>
  <c r="S1171" i="25"/>
  <c r="AA1171" i="25" s="1"/>
  <c r="M1171" i="25"/>
  <c r="S1170" i="25"/>
  <c r="AA1170" i="25" s="1"/>
  <c r="M1170" i="25"/>
  <c r="N1170" i="25" s="1"/>
  <c r="P1170" i="25" s="1"/>
  <c r="S1169" i="25"/>
  <c r="AA1169" i="25" s="1"/>
  <c r="M1169" i="25"/>
  <c r="Z1169" i="25" s="1"/>
  <c r="S1168" i="25"/>
  <c r="AA1168" i="25" s="1"/>
  <c r="M1168" i="25"/>
  <c r="S1167" i="25"/>
  <c r="AA1167" i="25" s="1"/>
  <c r="M1167" i="25"/>
  <c r="S1166" i="25"/>
  <c r="AA1166" i="25" s="1"/>
  <c r="M1166" i="25"/>
  <c r="K1166" i="25" s="1"/>
  <c r="S1165" i="25"/>
  <c r="AA1165" i="25" s="1"/>
  <c r="M1165" i="25"/>
  <c r="S1164" i="25"/>
  <c r="AA1164" i="25" s="1"/>
  <c r="M1164" i="25"/>
  <c r="S1163" i="25"/>
  <c r="AA1163" i="25" s="1"/>
  <c r="M1163" i="25"/>
  <c r="S1162" i="25"/>
  <c r="AA1162" i="25" s="1"/>
  <c r="M1162" i="25"/>
  <c r="S1161" i="25"/>
  <c r="AA1161" i="25" s="1"/>
  <c r="M1161" i="25"/>
  <c r="N1161" i="25" s="1"/>
  <c r="P1161" i="25" s="1"/>
  <c r="S1160" i="25"/>
  <c r="AA1160" i="25" s="1"/>
  <c r="M1160" i="25"/>
  <c r="S1159" i="25"/>
  <c r="AA1159" i="25" s="1"/>
  <c r="M1159" i="25"/>
  <c r="S1158" i="25"/>
  <c r="AA1158" i="25" s="1"/>
  <c r="M1158" i="25"/>
  <c r="Z1158" i="25" s="1"/>
  <c r="S1157" i="25"/>
  <c r="AA1157" i="25" s="1"/>
  <c r="M1157" i="25"/>
  <c r="Z1157" i="25" s="1"/>
  <c r="S1156" i="25"/>
  <c r="AA1156" i="25" s="1"/>
  <c r="M1156" i="25"/>
  <c r="S1155" i="25"/>
  <c r="AA1155" i="25" s="1"/>
  <c r="M1155" i="25"/>
  <c r="S1154" i="25"/>
  <c r="AA1154" i="25" s="1"/>
  <c r="M1154" i="25"/>
  <c r="Z1154" i="25" s="1"/>
  <c r="S1153" i="25"/>
  <c r="AA1153" i="25" s="1"/>
  <c r="M1153" i="25"/>
  <c r="Z1153" i="25" s="1"/>
  <c r="S1152" i="25"/>
  <c r="AA1152" i="25" s="1"/>
  <c r="M1152" i="25"/>
  <c r="S1151" i="25"/>
  <c r="AA1151" i="25" s="1"/>
  <c r="M1151" i="25"/>
  <c r="S1150" i="25"/>
  <c r="AA1150" i="25" s="1"/>
  <c r="M1150" i="25"/>
  <c r="K1150" i="25" s="1"/>
  <c r="S1149" i="25"/>
  <c r="AA1149" i="25" s="1"/>
  <c r="M1149" i="25"/>
  <c r="S1148" i="25"/>
  <c r="AA1148" i="25" s="1"/>
  <c r="M1148" i="25"/>
  <c r="S1147" i="25"/>
  <c r="AA1147" i="25" s="1"/>
  <c r="M1147" i="25"/>
  <c r="S1146" i="25"/>
  <c r="AA1146" i="25" s="1"/>
  <c r="M1146" i="25"/>
  <c r="S1145" i="25"/>
  <c r="AA1145" i="25" s="1"/>
  <c r="M1145" i="25"/>
  <c r="N1145" i="25" s="1"/>
  <c r="P1145" i="25" s="1"/>
  <c r="S1144" i="25"/>
  <c r="AA1144" i="25" s="1"/>
  <c r="M1144" i="25"/>
  <c r="S1143" i="25"/>
  <c r="AA1143" i="25" s="1"/>
  <c r="M1143" i="25"/>
  <c r="S1142" i="25"/>
  <c r="AA1142" i="25" s="1"/>
  <c r="M1142" i="25"/>
  <c r="Z1142" i="25" s="1"/>
  <c r="S1141" i="25"/>
  <c r="AA1141" i="25" s="1"/>
  <c r="M1141" i="25"/>
  <c r="Z1141" i="25" s="1"/>
  <c r="S1140" i="25"/>
  <c r="AA1140" i="25" s="1"/>
  <c r="M1140" i="25"/>
  <c r="S1139" i="25"/>
  <c r="AA1139" i="25" s="1"/>
  <c r="M1139" i="25"/>
  <c r="S1138" i="25"/>
  <c r="AA1138" i="25" s="1"/>
  <c r="M1138" i="25"/>
  <c r="Z1138" i="25" s="1"/>
  <c r="S1137" i="25"/>
  <c r="AA1137" i="25" s="1"/>
  <c r="M1137" i="25"/>
  <c r="Z1137" i="25" s="1"/>
  <c r="S1136" i="25"/>
  <c r="AA1136" i="25" s="1"/>
  <c r="M1136" i="25"/>
  <c r="S1135" i="25"/>
  <c r="AA1135" i="25" s="1"/>
  <c r="M1135" i="25"/>
  <c r="S1134" i="25"/>
  <c r="AA1134" i="25" s="1"/>
  <c r="M1134" i="25"/>
  <c r="K1134" i="25" s="1"/>
  <c r="S1133" i="25"/>
  <c r="AA1133" i="25" s="1"/>
  <c r="M1133" i="25"/>
  <c r="S1132" i="25"/>
  <c r="AA1132" i="25" s="1"/>
  <c r="M1132" i="25"/>
  <c r="S1131" i="25"/>
  <c r="AA1131" i="25" s="1"/>
  <c r="M1131" i="25"/>
  <c r="S1130" i="25"/>
  <c r="AA1130" i="25" s="1"/>
  <c r="M1130" i="25"/>
  <c r="S1129" i="25"/>
  <c r="AA1129" i="25" s="1"/>
  <c r="M1129" i="25"/>
  <c r="N1129" i="25" s="1"/>
  <c r="P1129" i="25" s="1"/>
  <c r="S1128" i="25"/>
  <c r="AA1128" i="25" s="1"/>
  <c r="M1128" i="25"/>
  <c r="S1127" i="25"/>
  <c r="AA1127" i="25" s="1"/>
  <c r="M1127" i="25"/>
  <c r="S1126" i="25"/>
  <c r="AA1126" i="25" s="1"/>
  <c r="M1126" i="25"/>
  <c r="L1126" i="25" s="1"/>
  <c r="S1125" i="25"/>
  <c r="AA1125" i="25" s="1"/>
  <c r="M1125" i="25"/>
  <c r="Z1125" i="25" s="1"/>
  <c r="S1124" i="25"/>
  <c r="AA1124" i="25" s="1"/>
  <c r="M1124" i="25"/>
  <c r="K1124" i="25" s="1"/>
  <c r="S1123" i="25"/>
  <c r="AA1123" i="25" s="1"/>
  <c r="M1123" i="25"/>
  <c r="S1122" i="25"/>
  <c r="AA1122" i="25" s="1"/>
  <c r="M1122" i="25"/>
  <c r="S1121" i="25"/>
  <c r="M1121" i="25"/>
  <c r="S1120" i="25"/>
  <c r="M1120" i="25"/>
  <c r="K1120" i="25" s="1"/>
  <c r="S1119" i="25"/>
  <c r="M1119" i="25"/>
  <c r="L1119" i="25" s="1"/>
  <c r="S1118" i="25"/>
  <c r="M1118" i="25"/>
  <c r="S1117" i="25"/>
  <c r="M1117" i="25"/>
  <c r="S1116" i="25"/>
  <c r="M1116" i="25"/>
  <c r="K1116" i="25" s="1"/>
  <c r="S1115" i="25"/>
  <c r="M1115" i="25"/>
  <c r="S1114" i="25"/>
  <c r="M1114" i="25"/>
  <c r="L1114" i="25" s="1"/>
  <c r="S1113" i="25"/>
  <c r="M1113" i="25"/>
  <c r="S1112" i="25"/>
  <c r="M1112" i="25"/>
  <c r="K1112" i="25" s="1"/>
  <c r="S1111" i="25"/>
  <c r="M1111" i="25"/>
  <c r="L1111" i="25" s="1"/>
  <c r="S1110" i="25"/>
  <c r="M1110" i="25"/>
  <c r="S1109" i="25"/>
  <c r="M1109" i="25"/>
  <c r="N1109" i="25" s="1"/>
  <c r="P1109" i="25" s="1"/>
  <c r="S1108" i="25"/>
  <c r="M1108" i="25"/>
  <c r="K1108" i="25" s="1"/>
  <c r="S1107" i="25"/>
  <c r="M1107" i="25"/>
  <c r="S1106" i="25"/>
  <c r="M1106" i="25"/>
  <c r="L1106" i="25" s="1"/>
  <c r="S1105" i="25"/>
  <c r="M1105" i="25"/>
  <c r="S1104" i="25"/>
  <c r="M1104" i="25"/>
  <c r="K1104" i="25" s="1"/>
  <c r="S1103" i="25"/>
  <c r="M1103" i="25"/>
  <c r="L1103" i="25" s="1"/>
  <c r="S1102" i="25"/>
  <c r="M1102" i="25"/>
  <c r="S1101" i="25"/>
  <c r="M1101" i="25"/>
  <c r="S1100" i="25"/>
  <c r="M1100" i="25"/>
  <c r="K1100" i="25" s="1"/>
  <c r="S1099" i="25"/>
  <c r="M1099" i="25"/>
  <c r="S1098" i="25"/>
  <c r="M1098" i="25"/>
  <c r="S1097" i="25"/>
  <c r="M1097" i="25"/>
  <c r="S1096" i="25"/>
  <c r="M1096" i="25"/>
  <c r="K1096" i="25" s="1"/>
  <c r="S1095" i="25"/>
  <c r="M1095" i="25"/>
  <c r="L1095" i="25" s="1"/>
  <c r="S1094" i="25"/>
  <c r="M1094" i="25"/>
  <c r="S1093" i="25"/>
  <c r="M1093" i="25"/>
  <c r="S1092" i="25"/>
  <c r="M1092" i="25"/>
  <c r="K1092" i="25" s="1"/>
  <c r="S1091" i="25"/>
  <c r="M1091" i="25"/>
  <c r="S1090" i="25"/>
  <c r="M1090" i="25"/>
  <c r="S1089" i="25"/>
  <c r="M1089" i="25"/>
  <c r="S1088" i="25"/>
  <c r="M1088" i="25"/>
  <c r="K1088" i="25" s="1"/>
  <c r="S1087" i="25"/>
  <c r="M1087" i="25"/>
  <c r="L1087" i="25" s="1"/>
  <c r="S1086" i="25"/>
  <c r="M1086" i="25"/>
  <c r="S1085" i="25"/>
  <c r="M1085" i="25"/>
  <c r="S1084" i="25"/>
  <c r="M1084" i="25"/>
  <c r="K1084" i="25" s="1"/>
  <c r="S1083" i="25"/>
  <c r="M1083" i="25"/>
  <c r="S1082" i="25"/>
  <c r="M1082" i="25"/>
  <c r="L1082" i="25" s="1"/>
  <c r="S1081" i="25"/>
  <c r="M1081" i="25"/>
  <c r="S1080" i="25"/>
  <c r="M1080" i="25"/>
  <c r="K1080" i="25" s="1"/>
  <c r="S1079" i="25"/>
  <c r="M1079" i="25"/>
  <c r="L1079" i="25" s="1"/>
  <c r="S1078" i="25"/>
  <c r="M1078" i="25"/>
  <c r="S1077" i="25"/>
  <c r="M1077" i="25"/>
  <c r="S1076" i="25"/>
  <c r="M1076" i="25"/>
  <c r="K1076" i="25"/>
  <c r="S1075" i="25"/>
  <c r="M1075" i="25"/>
  <c r="K1075" i="25"/>
  <c r="S1074" i="25"/>
  <c r="M1074" i="25"/>
  <c r="K1074" i="25"/>
  <c r="S1073" i="25"/>
  <c r="M1073" i="25"/>
  <c r="S1072" i="25"/>
  <c r="M1072" i="25"/>
  <c r="K1072" i="25" s="1"/>
  <c r="S1071" i="25"/>
  <c r="M1071" i="25"/>
  <c r="S1070" i="25"/>
  <c r="M1070" i="25"/>
  <c r="S1069" i="25"/>
  <c r="M1069" i="25"/>
  <c r="S1068" i="25"/>
  <c r="M1068" i="25"/>
  <c r="K1068" i="25" s="1"/>
  <c r="S1067" i="25"/>
  <c r="M1067" i="25"/>
  <c r="L1067" i="25" s="1"/>
  <c r="S1066" i="25"/>
  <c r="M1066" i="25"/>
  <c r="S1065" i="25"/>
  <c r="M1065" i="25"/>
  <c r="N1065" i="25" s="1"/>
  <c r="P1065" i="25" s="1"/>
  <c r="S1064" i="25"/>
  <c r="M1064" i="25"/>
  <c r="K1064" i="25" s="1"/>
  <c r="S1063" i="25"/>
  <c r="M1063" i="25"/>
  <c r="S1062" i="25"/>
  <c r="M1062" i="25"/>
  <c r="S1061" i="25"/>
  <c r="M1061" i="25"/>
  <c r="S1060" i="25"/>
  <c r="M1060" i="25"/>
  <c r="S1059" i="25"/>
  <c r="M1059" i="25"/>
  <c r="L1059" i="25" s="1"/>
  <c r="S1058" i="25"/>
  <c r="M1058" i="25"/>
  <c r="S1057" i="25"/>
  <c r="M1057" i="25"/>
  <c r="S1056" i="25"/>
  <c r="M1056" i="25"/>
  <c r="K1056" i="25" s="1"/>
  <c r="S1055" i="25"/>
  <c r="M1055" i="25"/>
  <c r="S1054" i="25"/>
  <c r="M1054" i="25"/>
  <c r="S1053" i="25"/>
  <c r="M1053" i="25"/>
  <c r="S1052" i="25"/>
  <c r="M1052" i="25"/>
  <c r="K1052" i="25" s="1"/>
  <c r="S1051" i="25"/>
  <c r="M1051" i="25"/>
  <c r="S1050" i="25"/>
  <c r="M1050" i="25"/>
  <c r="K1050" i="25" s="1"/>
  <c r="S1049" i="25"/>
  <c r="M1049" i="25"/>
  <c r="N1049" i="25" s="1"/>
  <c r="P1049" i="25" s="1"/>
  <c r="S1048" i="25"/>
  <c r="M1048" i="25"/>
  <c r="K1048" i="25" s="1"/>
  <c r="S1047" i="25"/>
  <c r="M1047" i="25"/>
  <c r="N1047" i="25" s="1"/>
  <c r="P1047" i="25" s="1"/>
  <c r="S1046" i="25"/>
  <c r="M1046" i="25"/>
  <c r="K1046" i="25" s="1"/>
  <c r="S1045" i="25"/>
  <c r="M1045" i="25"/>
  <c r="N1045" i="25" s="1"/>
  <c r="P1045" i="25" s="1"/>
  <c r="S1044" i="25"/>
  <c r="M1044" i="25"/>
  <c r="S1043" i="25"/>
  <c r="M1043" i="25"/>
  <c r="S1042" i="25"/>
  <c r="M1042" i="25"/>
  <c r="S1041" i="25"/>
  <c r="M1041" i="25"/>
  <c r="N1041" i="25" s="1"/>
  <c r="P1041" i="25" s="1"/>
  <c r="S1040" i="25"/>
  <c r="M1040" i="25"/>
  <c r="K1040" i="25" s="1"/>
  <c r="S1039" i="25"/>
  <c r="M1039" i="25"/>
  <c r="N1039" i="25" s="1"/>
  <c r="P1039" i="25" s="1"/>
  <c r="S1038" i="25"/>
  <c r="M1038" i="25"/>
  <c r="K1038" i="25"/>
  <c r="S1037" i="25"/>
  <c r="M1037" i="25"/>
  <c r="N1037" i="25" s="1"/>
  <c r="P1037" i="25" s="1"/>
  <c r="S1036" i="25"/>
  <c r="M1036" i="25"/>
  <c r="K1036" i="25"/>
  <c r="S1035" i="25"/>
  <c r="M1035" i="25"/>
  <c r="S1034" i="25"/>
  <c r="M1034" i="25"/>
  <c r="K1034" i="25"/>
  <c r="S1033" i="25"/>
  <c r="M1033" i="25"/>
  <c r="N1033" i="25" s="1"/>
  <c r="P1033" i="25" s="1"/>
  <c r="S1032" i="25"/>
  <c r="M1032" i="25"/>
  <c r="K1032" i="25" s="1"/>
  <c r="S1031" i="25"/>
  <c r="M1031" i="25"/>
  <c r="N1031" i="25" s="1"/>
  <c r="P1031" i="25" s="1"/>
  <c r="S1030" i="25"/>
  <c r="M1030" i="25"/>
  <c r="L1030" i="25" s="1"/>
  <c r="S1029" i="25"/>
  <c r="M1029" i="25"/>
  <c r="N1029" i="25" s="1"/>
  <c r="P1029" i="25" s="1"/>
  <c r="S1028" i="25"/>
  <c r="M1028" i="25"/>
  <c r="K1028" i="25" s="1"/>
  <c r="S1027" i="25"/>
  <c r="M1027" i="25"/>
  <c r="S1026" i="25"/>
  <c r="M1026" i="25"/>
  <c r="K1026" i="25" s="1"/>
  <c r="S1025" i="25"/>
  <c r="M1025" i="25"/>
  <c r="S1024" i="25"/>
  <c r="M1024" i="25"/>
  <c r="K1024" i="25"/>
  <c r="S1023" i="25"/>
  <c r="M1023" i="25"/>
  <c r="L1023" i="25" s="1"/>
  <c r="K1023" i="25"/>
  <c r="S1022" i="25"/>
  <c r="M1022" i="25"/>
  <c r="K1022" i="25" s="1"/>
  <c r="S1021" i="25"/>
  <c r="M1021" i="25"/>
  <c r="S1020" i="25"/>
  <c r="M1020" i="25"/>
  <c r="K1020" i="25" s="1"/>
  <c r="S1019" i="25"/>
  <c r="M1019" i="25"/>
  <c r="N1019" i="25" s="1"/>
  <c r="P1019" i="25" s="1"/>
  <c r="S1018" i="25"/>
  <c r="M1018" i="25"/>
  <c r="K1018" i="25" s="1"/>
  <c r="S1017" i="25"/>
  <c r="M1017" i="25"/>
  <c r="N1017" i="25" s="1"/>
  <c r="P1017" i="25" s="1"/>
  <c r="S1016" i="25"/>
  <c r="M1016" i="25"/>
  <c r="K1016" i="25" s="1"/>
  <c r="S1015" i="25"/>
  <c r="M1015" i="25"/>
  <c r="N1015" i="25" s="1"/>
  <c r="P1015" i="25" s="1"/>
  <c r="S1014" i="25"/>
  <c r="M1014" i="25"/>
  <c r="S1013" i="25"/>
  <c r="M1013" i="25"/>
  <c r="S1012" i="25"/>
  <c r="M1012" i="25"/>
  <c r="K1012" i="25" s="1"/>
  <c r="S1011" i="25"/>
  <c r="M1011" i="25"/>
  <c r="N1011" i="25" s="1"/>
  <c r="P1011" i="25" s="1"/>
  <c r="S1010" i="25"/>
  <c r="M1010" i="25"/>
  <c r="S1009" i="25"/>
  <c r="M1009" i="25"/>
  <c r="N1009" i="25" s="1"/>
  <c r="P1009" i="25" s="1"/>
  <c r="S1008" i="25"/>
  <c r="M1008" i="25"/>
  <c r="K1008" i="25" s="1"/>
  <c r="S1007" i="25"/>
  <c r="M1007" i="25"/>
  <c r="N1007" i="25" s="1"/>
  <c r="P1007" i="25" s="1"/>
  <c r="S1006" i="25"/>
  <c r="M1006" i="25"/>
  <c r="S1005" i="25"/>
  <c r="M1005" i="25"/>
  <c r="S1004" i="25"/>
  <c r="M1004" i="25"/>
  <c r="S1003" i="25"/>
  <c r="M1003" i="25"/>
  <c r="N1003" i="25" s="1"/>
  <c r="P1003" i="25" s="1"/>
  <c r="S1002" i="25"/>
  <c r="M1002" i="25"/>
  <c r="S1001" i="25"/>
  <c r="M1001" i="25"/>
  <c r="N1001" i="25" s="1"/>
  <c r="P1001" i="25" s="1"/>
  <c r="S1000" i="25"/>
  <c r="M1000" i="25"/>
  <c r="K1000" i="25" s="1"/>
  <c r="S999" i="25"/>
  <c r="M999" i="25"/>
  <c r="N999" i="25" s="1"/>
  <c r="P999" i="25" s="1"/>
  <c r="S998" i="25"/>
  <c r="M998" i="25"/>
  <c r="K998" i="25" s="1"/>
  <c r="S997" i="25"/>
  <c r="M997" i="25"/>
  <c r="S996" i="25"/>
  <c r="M996" i="25"/>
  <c r="K996" i="25" s="1"/>
  <c r="S995" i="25"/>
  <c r="M995" i="25"/>
  <c r="S994" i="25"/>
  <c r="M994" i="25"/>
  <c r="K994" i="25" s="1"/>
  <c r="S993" i="25"/>
  <c r="M993" i="25"/>
  <c r="N993" i="25" s="1"/>
  <c r="P993" i="25" s="1"/>
  <c r="S992" i="25"/>
  <c r="M992" i="25"/>
  <c r="K992" i="25" s="1"/>
  <c r="S991" i="25"/>
  <c r="M991" i="25"/>
  <c r="N991" i="25" s="1"/>
  <c r="P991" i="25" s="1"/>
  <c r="S990" i="25"/>
  <c r="M990" i="25"/>
  <c r="S989" i="25"/>
  <c r="M989" i="25"/>
  <c r="S988" i="25"/>
  <c r="M988" i="25"/>
  <c r="S987" i="25"/>
  <c r="AA987" i="25" s="1"/>
  <c r="M987" i="25"/>
  <c r="K987" i="25" s="1"/>
  <c r="S986" i="25"/>
  <c r="AA986" i="25" s="1"/>
  <c r="M986" i="25"/>
  <c r="S985" i="25"/>
  <c r="M985" i="25"/>
  <c r="N985" i="25" s="1"/>
  <c r="P985" i="25" s="1"/>
  <c r="S984" i="25"/>
  <c r="M984" i="25"/>
  <c r="K984" i="25" s="1"/>
  <c r="S983" i="25"/>
  <c r="M983" i="25"/>
  <c r="N983" i="25" s="1"/>
  <c r="P983" i="25" s="1"/>
  <c r="S982" i="25"/>
  <c r="M982" i="25"/>
  <c r="K982" i="25" s="1"/>
  <c r="S981" i="25"/>
  <c r="M981" i="25"/>
  <c r="N981" i="25" s="1"/>
  <c r="P981" i="25" s="1"/>
  <c r="S980" i="25"/>
  <c r="M980" i="25"/>
  <c r="K980" i="25" s="1"/>
  <c r="S979" i="25"/>
  <c r="M979" i="25"/>
  <c r="S978" i="25"/>
  <c r="M978" i="25"/>
  <c r="K978" i="25" s="1"/>
  <c r="S977" i="25"/>
  <c r="M977" i="25"/>
  <c r="N977" i="25" s="1"/>
  <c r="P977" i="25" s="1"/>
  <c r="S976" i="25"/>
  <c r="AA976" i="25" s="1"/>
  <c r="M976" i="25"/>
  <c r="S975" i="25"/>
  <c r="AA975" i="25" s="1"/>
  <c r="M975" i="25"/>
  <c r="S974" i="25"/>
  <c r="AA974" i="25" s="1"/>
  <c r="M974" i="25"/>
  <c r="Z974" i="25" s="1"/>
  <c r="S973" i="25"/>
  <c r="AA973" i="25" s="1"/>
  <c r="M973" i="25"/>
  <c r="N973" i="25" s="1"/>
  <c r="P973" i="25" s="1"/>
  <c r="S972" i="25"/>
  <c r="AA972" i="25" s="1"/>
  <c r="M972" i="25"/>
  <c r="S971" i="25"/>
  <c r="AA971" i="25" s="1"/>
  <c r="P971" i="25"/>
  <c r="M971" i="25"/>
  <c r="S970" i="25"/>
  <c r="AA970" i="25" s="1"/>
  <c r="M970" i="25"/>
  <c r="L970" i="25" s="1"/>
  <c r="S969" i="25"/>
  <c r="AA969" i="25" s="1"/>
  <c r="M969" i="25"/>
  <c r="S968" i="25"/>
  <c r="AA968" i="25" s="1"/>
  <c r="M968" i="25"/>
  <c r="S967" i="25"/>
  <c r="AA967" i="25" s="1"/>
  <c r="M967" i="25"/>
  <c r="S966" i="25"/>
  <c r="AA966" i="25" s="1"/>
  <c r="M966" i="25"/>
  <c r="S965" i="25"/>
  <c r="AA965" i="25" s="1"/>
  <c r="M965" i="25"/>
  <c r="L965" i="25" s="1"/>
  <c r="S964" i="25"/>
  <c r="AA964" i="25" s="1"/>
  <c r="M964" i="25"/>
  <c r="S963" i="25"/>
  <c r="AA963" i="25" s="1"/>
  <c r="M963" i="25"/>
  <c r="S962" i="25"/>
  <c r="AA962" i="25" s="1"/>
  <c r="M962" i="25"/>
  <c r="L962" i="25" s="1"/>
  <c r="S961" i="25"/>
  <c r="AA961" i="25" s="1"/>
  <c r="M961" i="25"/>
  <c r="S960" i="25"/>
  <c r="M960" i="25"/>
  <c r="S959" i="25"/>
  <c r="M959" i="25"/>
  <c r="L959" i="25" s="1"/>
  <c r="S958" i="25"/>
  <c r="AA958" i="25" s="1"/>
  <c r="M958" i="25"/>
  <c r="S957" i="25"/>
  <c r="M957" i="25"/>
  <c r="S956" i="25"/>
  <c r="M956" i="25"/>
  <c r="L956" i="25" s="1"/>
  <c r="S955" i="25"/>
  <c r="M955" i="25"/>
  <c r="S954" i="25"/>
  <c r="M954" i="25"/>
  <c r="L954" i="25" s="1"/>
  <c r="S953" i="25"/>
  <c r="M953" i="25"/>
  <c r="S952" i="25"/>
  <c r="M952" i="25"/>
  <c r="L952" i="25" s="1"/>
  <c r="S951" i="25"/>
  <c r="M951" i="25"/>
  <c r="S950" i="25"/>
  <c r="M950" i="25"/>
  <c r="L950" i="25" s="1"/>
  <c r="S949" i="25"/>
  <c r="M949" i="25"/>
  <c r="S948" i="25"/>
  <c r="M948" i="25"/>
  <c r="L948" i="25" s="1"/>
  <c r="S947" i="25"/>
  <c r="M947" i="25"/>
  <c r="S946" i="25"/>
  <c r="M946" i="25"/>
  <c r="L946" i="25" s="1"/>
  <c r="S945" i="25"/>
  <c r="M945" i="25"/>
  <c r="S944" i="25"/>
  <c r="M944" i="25"/>
  <c r="L944" i="25" s="1"/>
  <c r="S943" i="25"/>
  <c r="M943" i="25"/>
  <c r="S942" i="25"/>
  <c r="M942" i="25"/>
  <c r="L942" i="25" s="1"/>
  <c r="S941" i="25"/>
  <c r="M941" i="25"/>
  <c r="K941" i="25" s="1"/>
  <c r="S940" i="25"/>
  <c r="M940" i="25"/>
  <c r="L940" i="25" s="1"/>
  <c r="S939" i="25"/>
  <c r="M939" i="25"/>
  <c r="S938" i="25"/>
  <c r="M938" i="25"/>
  <c r="S937" i="25"/>
  <c r="M937" i="25"/>
  <c r="S936" i="25"/>
  <c r="M936" i="25"/>
  <c r="L936" i="25" s="1"/>
  <c r="S935" i="25"/>
  <c r="M935" i="25"/>
  <c r="S934" i="25"/>
  <c r="M934" i="25"/>
  <c r="S933" i="25"/>
  <c r="M933" i="25"/>
  <c r="K933" i="25" s="1"/>
  <c r="S932" i="25"/>
  <c r="M932" i="25"/>
  <c r="L932" i="25" s="1"/>
  <c r="S931" i="25"/>
  <c r="M931" i="25"/>
  <c r="S930" i="25"/>
  <c r="M930" i="25"/>
  <c r="S929" i="25"/>
  <c r="M929" i="25"/>
  <c r="S928" i="25"/>
  <c r="M928" i="25"/>
  <c r="L928" i="25" s="1"/>
  <c r="S927" i="25"/>
  <c r="M927" i="25"/>
  <c r="S926" i="25"/>
  <c r="M926" i="25"/>
  <c r="S925" i="25"/>
  <c r="M925" i="25"/>
  <c r="K925" i="25" s="1"/>
  <c r="S924" i="25"/>
  <c r="M924" i="25"/>
  <c r="L924" i="25" s="1"/>
  <c r="S923" i="25"/>
  <c r="M923" i="25"/>
  <c r="S922" i="25"/>
  <c r="M922" i="25"/>
  <c r="S921" i="25"/>
  <c r="M921" i="25"/>
  <c r="S920" i="25"/>
  <c r="M920" i="25"/>
  <c r="S919" i="25"/>
  <c r="M919" i="25"/>
  <c r="S918" i="25"/>
  <c r="M918" i="25"/>
  <c r="S917" i="25"/>
  <c r="M917" i="25"/>
  <c r="K917" i="25" s="1"/>
  <c r="S916" i="25"/>
  <c r="M916" i="25"/>
  <c r="L916" i="25" s="1"/>
  <c r="S915" i="25"/>
  <c r="M915" i="25"/>
  <c r="S914" i="25"/>
  <c r="M914" i="25"/>
  <c r="S913" i="25"/>
  <c r="M913" i="25"/>
  <c r="S912" i="25"/>
  <c r="M912" i="25"/>
  <c r="S911" i="25"/>
  <c r="M911" i="25"/>
  <c r="S910" i="25"/>
  <c r="M910" i="25"/>
  <c r="S909" i="25"/>
  <c r="AA909" i="25" s="1"/>
  <c r="M909" i="25"/>
  <c r="L909" i="25" s="1"/>
  <c r="S908" i="25"/>
  <c r="AA908" i="25" s="1"/>
  <c r="M908" i="25"/>
  <c r="S907" i="25"/>
  <c r="AA907" i="25" s="1"/>
  <c r="M907" i="25"/>
  <c r="L907" i="25" s="1"/>
  <c r="S906" i="25"/>
  <c r="AA906" i="25" s="1"/>
  <c r="M906" i="25"/>
  <c r="S905" i="25"/>
  <c r="AA905" i="25" s="1"/>
  <c r="M905" i="25"/>
  <c r="S904" i="25"/>
  <c r="AA904" i="25" s="1"/>
  <c r="M904" i="25"/>
  <c r="S903" i="25"/>
  <c r="AA903" i="25" s="1"/>
  <c r="M903" i="25"/>
  <c r="L903" i="25" s="1"/>
  <c r="S902" i="25"/>
  <c r="M902" i="25"/>
  <c r="K902" i="25"/>
  <c r="S901" i="25"/>
  <c r="M901" i="25"/>
  <c r="S900" i="25"/>
  <c r="AA900" i="25" s="1"/>
  <c r="M900" i="25"/>
  <c r="K900" i="25"/>
  <c r="S899" i="25"/>
  <c r="AA899" i="25" s="1"/>
  <c r="M899" i="25"/>
  <c r="S898" i="25"/>
  <c r="AA898" i="25" s="1"/>
  <c r="M898" i="25"/>
  <c r="L898" i="25" s="1"/>
  <c r="S897" i="25"/>
  <c r="AA897" i="25" s="1"/>
  <c r="M897" i="25"/>
  <c r="N897" i="25" s="1"/>
  <c r="P897" i="25" s="1"/>
  <c r="K897" i="25"/>
  <c r="S896" i="25"/>
  <c r="AA896" i="25" s="1"/>
  <c r="M896" i="25"/>
  <c r="K896" i="25"/>
  <c r="S895" i="25"/>
  <c r="AA895" i="25" s="1"/>
  <c r="M895" i="25"/>
  <c r="S894" i="25"/>
  <c r="AA894" i="25" s="1"/>
  <c r="M894" i="25"/>
  <c r="Z894" i="25" s="1"/>
  <c r="K894" i="25"/>
  <c r="S893" i="25"/>
  <c r="AA893" i="25" s="1"/>
  <c r="M893" i="25"/>
  <c r="N893" i="25" s="1"/>
  <c r="P893" i="25" s="1"/>
  <c r="K893" i="25"/>
  <c r="S892" i="25"/>
  <c r="AA892" i="25" s="1"/>
  <c r="M892" i="25"/>
  <c r="L892" i="25" s="1"/>
  <c r="K892" i="25"/>
  <c r="S891" i="25"/>
  <c r="AA891" i="25" s="1"/>
  <c r="M891" i="25"/>
  <c r="N891" i="25" s="1"/>
  <c r="P891" i="25" s="1"/>
  <c r="S890" i="25"/>
  <c r="AA890" i="25" s="1"/>
  <c r="M890" i="25"/>
  <c r="K890" i="25"/>
  <c r="S889" i="25"/>
  <c r="AA889" i="25" s="1"/>
  <c r="M889" i="25"/>
  <c r="N889" i="25" s="1"/>
  <c r="P889" i="25" s="1"/>
  <c r="K889" i="25"/>
  <c r="S888" i="25"/>
  <c r="AA888" i="25" s="1"/>
  <c r="M888" i="25"/>
  <c r="K888" i="25"/>
  <c r="S887" i="25"/>
  <c r="AA887" i="25" s="1"/>
  <c r="M887" i="25"/>
  <c r="N887" i="25" s="1"/>
  <c r="P887" i="25" s="1"/>
  <c r="K887" i="25"/>
  <c r="S886" i="25"/>
  <c r="AA886" i="25" s="1"/>
  <c r="M886" i="25"/>
  <c r="Z886" i="25" s="1"/>
  <c r="K886" i="25"/>
  <c r="S885" i="25"/>
  <c r="AA885" i="25" s="1"/>
  <c r="M885" i="25"/>
  <c r="N885" i="25" s="1"/>
  <c r="P885" i="25" s="1"/>
  <c r="K885" i="25"/>
  <c r="S884" i="25"/>
  <c r="AA884" i="25" s="1"/>
  <c r="M884" i="25"/>
  <c r="L884" i="25" s="1"/>
  <c r="K884" i="25"/>
  <c r="S883" i="25"/>
  <c r="AA883" i="25" s="1"/>
  <c r="M883" i="25"/>
  <c r="N883" i="25" s="1"/>
  <c r="P883" i="25" s="1"/>
  <c r="K883" i="25"/>
  <c r="S882" i="25"/>
  <c r="AA882" i="25" s="1"/>
  <c r="M882" i="25"/>
  <c r="K882" i="25"/>
  <c r="S881" i="25"/>
  <c r="AA881" i="25" s="1"/>
  <c r="M881" i="25"/>
  <c r="S880" i="25"/>
  <c r="AA880" i="25" s="1"/>
  <c r="M880" i="25"/>
  <c r="L880" i="25" s="1"/>
  <c r="S879" i="25"/>
  <c r="M879" i="25"/>
  <c r="S878" i="25"/>
  <c r="M878" i="25"/>
  <c r="S877" i="25"/>
  <c r="M877" i="25"/>
  <c r="S876" i="25"/>
  <c r="M876" i="25"/>
  <c r="L876" i="25" s="1"/>
  <c r="S875" i="25"/>
  <c r="M875" i="25"/>
  <c r="S874" i="25"/>
  <c r="M874" i="25"/>
  <c r="N874" i="25" s="1"/>
  <c r="P874" i="25" s="1"/>
  <c r="S873" i="25"/>
  <c r="AA873" i="25" s="1"/>
  <c r="M873" i="25"/>
  <c r="L873" i="25" s="1"/>
  <c r="S872" i="25"/>
  <c r="M872" i="25"/>
  <c r="S871" i="25"/>
  <c r="AA871" i="25" s="1"/>
  <c r="M871" i="25"/>
  <c r="S870" i="25"/>
  <c r="AA870" i="25" s="1"/>
  <c r="M870" i="25"/>
  <c r="K870" i="25" s="1"/>
  <c r="S869" i="25"/>
  <c r="AA869" i="25" s="1"/>
  <c r="M869" i="25"/>
  <c r="L869" i="25" s="1"/>
  <c r="S868" i="25"/>
  <c r="AA868" i="25" s="1"/>
  <c r="M868" i="25"/>
  <c r="L868" i="25" s="1"/>
  <c r="S867" i="25"/>
  <c r="AA867" i="25" s="1"/>
  <c r="M867" i="25"/>
  <c r="K867" i="25"/>
  <c r="S866" i="25"/>
  <c r="AA866" i="25" s="1"/>
  <c r="M866" i="25"/>
  <c r="K866" i="25" s="1"/>
  <c r="S865" i="25"/>
  <c r="AA865" i="25" s="1"/>
  <c r="M865" i="25"/>
  <c r="S864" i="25"/>
  <c r="AA864" i="25" s="1"/>
  <c r="M864" i="25"/>
  <c r="L864" i="25" s="1"/>
  <c r="S863" i="25"/>
  <c r="AA863" i="25" s="1"/>
  <c r="M863" i="25"/>
  <c r="S862" i="25"/>
  <c r="AA862" i="25" s="1"/>
  <c r="M862" i="25"/>
  <c r="S861" i="25"/>
  <c r="AA861" i="25" s="1"/>
  <c r="M861" i="25"/>
  <c r="S860" i="25"/>
  <c r="AA860" i="25" s="1"/>
  <c r="M860" i="25"/>
  <c r="S859" i="25"/>
  <c r="AA859" i="25" s="1"/>
  <c r="M859" i="25"/>
  <c r="N859" i="25" s="1"/>
  <c r="P859" i="25" s="1"/>
  <c r="S858" i="25"/>
  <c r="AA858" i="25" s="1"/>
  <c r="M858" i="25"/>
  <c r="Z858" i="25" s="1"/>
  <c r="S857" i="25"/>
  <c r="AA857" i="25" s="1"/>
  <c r="M857" i="25"/>
  <c r="Z857" i="25" s="1"/>
  <c r="S856" i="25"/>
  <c r="AA856" i="25" s="1"/>
  <c r="M856" i="25"/>
  <c r="Z856" i="25" s="1"/>
  <c r="S855" i="25"/>
  <c r="AA855" i="25" s="1"/>
  <c r="M855" i="25"/>
  <c r="N855" i="25" s="1"/>
  <c r="P855" i="25" s="1"/>
  <c r="S854" i="25"/>
  <c r="AA854" i="25" s="1"/>
  <c r="M854" i="25"/>
  <c r="S853" i="25"/>
  <c r="AA853" i="25" s="1"/>
  <c r="M853" i="25"/>
  <c r="S852" i="25"/>
  <c r="AA852" i="25" s="1"/>
  <c r="M852" i="25"/>
  <c r="Z852" i="25" s="1"/>
  <c r="S851" i="25"/>
  <c r="AA851" i="25" s="1"/>
  <c r="M851" i="25"/>
  <c r="N851" i="25" s="1"/>
  <c r="P851" i="25" s="1"/>
  <c r="S850" i="25"/>
  <c r="AA850" i="25" s="1"/>
  <c r="M850" i="25"/>
  <c r="S849" i="25"/>
  <c r="AA849" i="25" s="1"/>
  <c r="M849" i="25"/>
  <c r="S848" i="25"/>
  <c r="AA848" i="25" s="1"/>
  <c r="M848" i="25"/>
  <c r="S847" i="25"/>
  <c r="AA847" i="25" s="1"/>
  <c r="M847" i="25"/>
  <c r="S846" i="25"/>
  <c r="AA846" i="25" s="1"/>
  <c r="M846" i="25"/>
  <c r="S845" i="25"/>
  <c r="AA845" i="25" s="1"/>
  <c r="M845" i="25"/>
  <c r="N845" i="25" s="1"/>
  <c r="P845" i="25" s="1"/>
  <c r="S844" i="25"/>
  <c r="AA844" i="25" s="1"/>
  <c r="M844" i="25"/>
  <c r="S843" i="25"/>
  <c r="AA843" i="25" s="1"/>
  <c r="M843" i="25"/>
  <c r="N843" i="25" s="1"/>
  <c r="P843" i="25" s="1"/>
  <c r="S842" i="25"/>
  <c r="AA842" i="25" s="1"/>
  <c r="M842" i="25"/>
  <c r="S841" i="25"/>
  <c r="AA841" i="25" s="1"/>
  <c r="M841" i="25"/>
  <c r="N841" i="25" s="1"/>
  <c r="P841" i="25" s="1"/>
  <c r="S840" i="25"/>
  <c r="AA840" i="25" s="1"/>
  <c r="M840" i="25"/>
  <c r="Z840" i="25" s="1"/>
  <c r="S839" i="25"/>
  <c r="AA839" i="25" s="1"/>
  <c r="M839" i="25"/>
  <c r="N839" i="25" s="1"/>
  <c r="P839" i="25" s="1"/>
  <c r="S838" i="25"/>
  <c r="AA838" i="25" s="1"/>
  <c r="M838" i="25"/>
  <c r="Z838" i="25" s="1"/>
  <c r="S837" i="25"/>
  <c r="AA837" i="25" s="1"/>
  <c r="M837" i="25"/>
  <c r="S836" i="25"/>
  <c r="AA836" i="25" s="1"/>
  <c r="M836" i="25"/>
  <c r="Z836" i="25" s="1"/>
  <c r="S835" i="25"/>
  <c r="AA835" i="25" s="1"/>
  <c r="M835" i="25"/>
  <c r="N835" i="25" s="1"/>
  <c r="P835" i="25" s="1"/>
  <c r="S834" i="25"/>
  <c r="AA834" i="25" s="1"/>
  <c r="M834" i="25"/>
  <c r="S833" i="25"/>
  <c r="AA833" i="25" s="1"/>
  <c r="M833" i="25"/>
  <c r="S832" i="25"/>
  <c r="AA832" i="25" s="1"/>
  <c r="M832" i="25"/>
  <c r="S831" i="25"/>
  <c r="AA831" i="25" s="1"/>
  <c r="M831" i="25"/>
  <c r="S830" i="25"/>
  <c r="AA830" i="25" s="1"/>
  <c r="M830" i="25"/>
  <c r="S829" i="25"/>
  <c r="AA829" i="25" s="1"/>
  <c r="M829" i="25"/>
  <c r="S828" i="25"/>
  <c r="AA828" i="25" s="1"/>
  <c r="M828" i="25"/>
  <c r="S827" i="25"/>
  <c r="AA827" i="25" s="1"/>
  <c r="M827" i="25"/>
  <c r="N827" i="25" s="1"/>
  <c r="P827" i="25" s="1"/>
  <c r="S826" i="25"/>
  <c r="AA826" i="25" s="1"/>
  <c r="M826" i="25"/>
  <c r="S825" i="25"/>
  <c r="AA825" i="25" s="1"/>
  <c r="M825" i="25"/>
  <c r="Z825" i="25" s="1"/>
  <c r="S824" i="25"/>
  <c r="AA824" i="25" s="1"/>
  <c r="M824" i="25"/>
  <c r="Z824" i="25" s="1"/>
  <c r="S823" i="25"/>
  <c r="AA823" i="25" s="1"/>
  <c r="M823" i="25"/>
  <c r="N823" i="25" s="1"/>
  <c r="P823" i="25" s="1"/>
  <c r="S822" i="25"/>
  <c r="AA822" i="25" s="1"/>
  <c r="M822" i="25"/>
  <c r="S821" i="25"/>
  <c r="AA821" i="25" s="1"/>
  <c r="M821" i="25"/>
  <c r="S820" i="25"/>
  <c r="AA820" i="25" s="1"/>
  <c r="M820" i="25"/>
  <c r="Z820" i="25" s="1"/>
  <c r="S819" i="25"/>
  <c r="AA819" i="25" s="1"/>
  <c r="M819" i="25"/>
  <c r="N819" i="25" s="1"/>
  <c r="P819" i="25" s="1"/>
  <c r="S818" i="25"/>
  <c r="AA818" i="25" s="1"/>
  <c r="M818" i="25"/>
  <c r="S817" i="25"/>
  <c r="AA817" i="25" s="1"/>
  <c r="M817" i="25"/>
  <c r="S816" i="25"/>
  <c r="AA816" i="25" s="1"/>
  <c r="M816" i="25"/>
  <c r="S815" i="25"/>
  <c r="AA815" i="25" s="1"/>
  <c r="M815" i="25"/>
  <c r="S814" i="25"/>
  <c r="AA814" i="25" s="1"/>
  <c r="M814" i="25"/>
  <c r="S813" i="25"/>
  <c r="AA813" i="25" s="1"/>
  <c r="M813" i="25"/>
  <c r="S812" i="25"/>
  <c r="AA812" i="25" s="1"/>
  <c r="M812" i="25"/>
  <c r="S811" i="25"/>
  <c r="AA811" i="25" s="1"/>
  <c r="M811" i="25"/>
  <c r="S810" i="25"/>
  <c r="AA810" i="25" s="1"/>
  <c r="M810" i="25"/>
  <c r="S809" i="25"/>
  <c r="AA809" i="25" s="1"/>
  <c r="M809" i="25"/>
  <c r="S808" i="25"/>
  <c r="AA808" i="25" s="1"/>
  <c r="M808" i="25"/>
  <c r="Z808" i="25" s="1"/>
  <c r="S807" i="25"/>
  <c r="AA807" i="25" s="1"/>
  <c r="M807" i="25"/>
  <c r="N807" i="25" s="1"/>
  <c r="P807" i="25" s="1"/>
  <c r="K807" i="25"/>
  <c r="S806" i="25"/>
  <c r="AA806" i="25" s="1"/>
  <c r="M806" i="25"/>
  <c r="Z806" i="25" s="1"/>
  <c r="K806" i="25"/>
  <c r="S805" i="25"/>
  <c r="AA805" i="25" s="1"/>
  <c r="M805" i="25"/>
  <c r="K805" i="25"/>
  <c r="S804" i="25"/>
  <c r="AA804" i="25" s="1"/>
  <c r="M804" i="25"/>
  <c r="S803" i="25"/>
  <c r="AA803" i="25" s="1"/>
  <c r="M803" i="25"/>
  <c r="Z803" i="25" s="1"/>
  <c r="S802" i="25"/>
  <c r="AA802" i="25" s="1"/>
  <c r="M802" i="25"/>
  <c r="N802" i="25" s="1"/>
  <c r="P802" i="25" s="1"/>
  <c r="S801" i="25"/>
  <c r="AA801" i="25" s="1"/>
  <c r="M801" i="25"/>
  <c r="S792" i="25"/>
  <c r="AA792" i="25" s="1"/>
  <c r="M792" i="25"/>
  <c r="S791" i="25"/>
  <c r="AA791" i="25" s="1"/>
  <c r="M791" i="25"/>
  <c r="S790" i="25"/>
  <c r="AA790" i="25" s="1"/>
  <c r="M790" i="25"/>
  <c r="S789" i="25"/>
  <c r="AA789" i="25" s="1"/>
  <c r="M789" i="25"/>
  <c r="S788" i="25"/>
  <c r="AA788" i="25" s="1"/>
  <c r="M788" i="25"/>
  <c r="N788" i="25" s="1"/>
  <c r="P788" i="25" s="1"/>
  <c r="S787" i="25"/>
  <c r="AA787" i="25" s="1"/>
  <c r="M787" i="25"/>
  <c r="S786" i="25"/>
  <c r="AA786" i="25" s="1"/>
  <c r="M786" i="25"/>
  <c r="N786" i="25" s="1"/>
  <c r="P786" i="25" s="1"/>
  <c r="S785" i="25"/>
  <c r="AA785" i="25" s="1"/>
  <c r="M785" i="25"/>
  <c r="S784" i="25"/>
  <c r="AA784" i="25" s="1"/>
  <c r="M784" i="25"/>
  <c r="N784" i="25" s="1"/>
  <c r="P784" i="25" s="1"/>
  <c r="S783" i="25"/>
  <c r="AA783" i="25" s="1"/>
  <c r="M783" i="25"/>
  <c r="Z783" i="25" s="1"/>
  <c r="S782" i="25"/>
  <c r="AA782" i="25" s="1"/>
  <c r="M782" i="25"/>
  <c r="N782" i="25" s="1"/>
  <c r="P782" i="25" s="1"/>
  <c r="S781" i="25"/>
  <c r="AA781" i="25" s="1"/>
  <c r="M781" i="25"/>
  <c r="S780" i="25"/>
  <c r="AA780" i="25" s="1"/>
  <c r="M780" i="25"/>
  <c r="S779" i="25"/>
  <c r="AA779" i="25" s="1"/>
  <c r="M779" i="25"/>
  <c r="Z779" i="25" s="1"/>
  <c r="S778" i="25"/>
  <c r="AA778" i="25" s="1"/>
  <c r="M778" i="25"/>
  <c r="N778" i="25" s="1"/>
  <c r="P778" i="25" s="1"/>
  <c r="S777" i="25"/>
  <c r="AA777" i="25" s="1"/>
  <c r="M777" i="25"/>
  <c r="S776" i="25"/>
  <c r="AA776" i="25" s="1"/>
  <c r="M776" i="25"/>
  <c r="S775" i="25"/>
  <c r="AA775" i="25" s="1"/>
  <c r="M775" i="25"/>
  <c r="S774" i="25"/>
  <c r="AA774" i="25" s="1"/>
  <c r="M774" i="25"/>
  <c r="S773" i="25"/>
  <c r="AA773" i="25" s="1"/>
  <c r="M773" i="25"/>
  <c r="S772" i="25"/>
  <c r="AA772" i="25" s="1"/>
  <c r="M772" i="25"/>
  <c r="S771" i="25"/>
  <c r="AA771" i="25" s="1"/>
  <c r="M771" i="25"/>
  <c r="S770" i="25"/>
  <c r="AA770" i="25" s="1"/>
  <c r="M770" i="25"/>
  <c r="N770" i="25" s="1"/>
  <c r="P770" i="25" s="1"/>
  <c r="S769" i="25"/>
  <c r="AA769" i="25" s="1"/>
  <c r="M769" i="25"/>
  <c r="S768" i="25"/>
  <c r="AA768" i="25" s="1"/>
  <c r="M768" i="25"/>
  <c r="S767" i="25"/>
  <c r="AA767" i="25" s="1"/>
  <c r="M767" i="25"/>
  <c r="Z767" i="25" s="1"/>
  <c r="S766" i="25"/>
  <c r="AA766" i="25" s="1"/>
  <c r="M766" i="25"/>
  <c r="N766" i="25" s="1"/>
  <c r="P766" i="25" s="1"/>
  <c r="S765" i="25"/>
  <c r="AA765" i="25" s="1"/>
  <c r="M765" i="25"/>
  <c r="S764" i="25"/>
  <c r="AA764" i="25" s="1"/>
  <c r="M764" i="25"/>
  <c r="N764" i="25" s="1"/>
  <c r="P764" i="25" s="1"/>
  <c r="S763" i="25"/>
  <c r="AA763" i="25" s="1"/>
  <c r="M763" i="25"/>
  <c r="S762" i="25"/>
  <c r="AA762" i="25" s="1"/>
  <c r="M762" i="25"/>
  <c r="S761" i="25"/>
  <c r="AA761" i="25" s="1"/>
  <c r="M761" i="25"/>
  <c r="S760" i="25"/>
  <c r="AA760" i="25" s="1"/>
  <c r="M760" i="25"/>
  <c r="N760" i="25" s="1"/>
  <c r="P760" i="25" s="1"/>
  <c r="S759" i="25"/>
  <c r="AA759" i="25" s="1"/>
  <c r="M759" i="25"/>
  <c r="S758" i="25"/>
  <c r="AA758" i="25" s="1"/>
  <c r="M758" i="25"/>
  <c r="N758" i="25" s="1"/>
  <c r="P758" i="25" s="1"/>
  <c r="S757" i="25"/>
  <c r="AA757" i="25" s="1"/>
  <c r="M757" i="25"/>
  <c r="S756" i="25"/>
  <c r="AA756" i="25" s="1"/>
  <c r="M756" i="25"/>
  <c r="N756" i="25" s="1"/>
  <c r="P756" i="25" s="1"/>
  <c r="S755" i="25"/>
  <c r="AA755" i="25" s="1"/>
  <c r="M755" i="25"/>
  <c r="S754" i="25"/>
  <c r="AA754" i="25" s="1"/>
  <c r="M754" i="25"/>
  <c r="S753" i="25"/>
  <c r="AA753" i="25" s="1"/>
  <c r="M753" i="25"/>
  <c r="S752" i="25"/>
  <c r="AA752" i="25" s="1"/>
  <c r="M752" i="25"/>
  <c r="S751" i="25"/>
  <c r="AA751" i="25" s="1"/>
  <c r="M751" i="25"/>
  <c r="N751" i="25" s="1"/>
  <c r="P751" i="25" s="1"/>
  <c r="S750" i="25"/>
  <c r="AA750" i="25" s="1"/>
  <c r="M750" i="25"/>
  <c r="S749" i="25"/>
  <c r="AA749" i="25" s="1"/>
  <c r="M749" i="25"/>
  <c r="N749" i="25" s="1"/>
  <c r="P749" i="25" s="1"/>
  <c r="S748" i="25"/>
  <c r="AA748" i="25" s="1"/>
  <c r="M748" i="25"/>
  <c r="S747" i="25"/>
  <c r="AA747" i="25" s="1"/>
  <c r="M747" i="25"/>
  <c r="S746" i="25"/>
  <c r="AA746" i="25" s="1"/>
  <c r="M746" i="25"/>
  <c r="S745" i="25"/>
  <c r="AA745" i="25" s="1"/>
  <c r="M745" i="25"/>
  <c r="S744" i="25"/>
  <c r="AA744" i="25" s="1"/>
  <c r="M744" i="25"/>
  <c r="S743" i="25"/>
  <c r="AA743" i="25" s="1"/>
  <c r="M743" i="25"/>
  <c r="N743" i="25" s="1"/>
  <c r="P743" i="25" s="1"/>
  <c r="S742" i="25"/>
  <c r="AA742" i="25" s="1"/>
  <c r="M742" i="25"/>
  <c r="S741" i="25"/>
  <c r="AA741" i="25" s="1"/>
  <c r="M741" i="25"/>
  <c r="N741" i="25" s="1"/>
  <c r="P741" i="25" s="1"/>
  <c r="S740" i="25"/>
  <c r="AA740" i="25" s="1"/>
  <c r="M740" i="25"/>
  <c r="S739" i="25"/>
  <c r="AA739" i="25" s="1"/>
  <c r="M739" i="25"/>
  <c r="S738" i="25"/>
  <c r="AA738" i="25" s="1"/>
  <c r="M738" i="25"/>
  <c r="S737" i="25"/>
  <c r="AA737" i="25" s="1"/>
  <c r="M737" i="25"/>
  <c r="N737" i="25" s="1"/>
  <c r="P737" i="25" s="1"/>
  <c r="S736" i="25"/>
  <c r="AA736" i="25" s="1"/>
  <c r="M736" i="25"/>
  <c r="S735" i="25"/>
  <c r="AA735" i="25" s="1"/>
  <c r="M735" i="25"/>
  <c r="N735" i="25" s="1"/>
  <c r="P735" i="25" s="1"/>
  <c r="S734" i="25"/>
  <c r="AA734" i="25" s="1"/>
  <c r="M734" i="25"/>
  <c r="S733" i="25"/>
  <c r="AA733" i="25" s="1"/>
  <c r="M733" i="25"/>
  <c r="N733" i="25" s="1"/>
  <c r="P733" i="25" s="1"/>
  <c r="S732" i="25"/>
  <c r="AA732" i="25" s="1"/>
  <c r="M732" i="25"/>
  <c r="S731" i="25"/>
  <c r="AA731" i="25" s="1"/>
  <c r="M731" i="25"/>
  <c r="S730" i="25"/>
  <c r="AA730" i="25" s="1"/>
  <c r="M730" i="25"/>
  <c r="S729" i="25"/>
  <c r="AA729" i="25" s="1"/>
  <c r="M729" i="25"/>
  <c r="N729" i="25" s="1"/>
  <c r="P729" i="25" s="1"/>
  <c r="S728" i="25"/>
  <c r="AA728" i="25" s="1"/>
  <c r="M728" i="25"/>
  <c r="S727" i="25"/>
  <c r="AA727" i="25" s="1"/>
  <c r="M727" i="25"/>
  <c r="N727" i="25" s="1"/>
  <c r="P727" i="25" s="1"/>
  <c r="S726" i="25"/>
  <c r="AA726" i="25" s="1"/>
  <c r="M726" i="25"/>
  <c r="N726" i="25" s="1"/>
  <c r="P726" i="25" s="1"/>
  <c r="S725" i="25"/>
  <c r="AA725" i="25" s="1"/>
  <c r="M725" i="25"/>
  <c r="N725" i="25" s="1"/>
  <c r="P725" i="25" s="1"/>
  <c r="S724" i="25"/>
  <c r="AA724" i="25" s="1"/>
  <c r="M724" i="25"/>
  <c r="S723" i="25"/>
  <c r="AA723" i="25" s="1"/>
  <c r="M723" i="25"/>
  <c r="S722" i="25"/>
  <c r="AA722" i="25" s="1"/>
  <c r="M722" i="25"/>
  <c r="S721" i="25"/>
  <c r="AA721" i="25" s="1"/>
  <c r="M721" i="25"/>
  <c r="S720" i="25"/>
  <c r="AA720" i="25" s="1"/>
  <c r="M720" i="25"/>
  <c r="S719" i="25"/>
  <c r="AA719" i="25" s="1"/>
  <c r="M719" i="25"/>
  <c r="N719" i="25" s="1"/>
  <c r="P719" i="25" s="1"/>
  <c r="S718" i="25"/>
  <c r="AA718" i="25" s="1"/>
  <c r="M718" i="25"/>
  <c r="S717" i="25"/>
  <c r="AA717" i="25" s="1"/>
  <c r="M717" i="25"/>
  <c r="N717" i="25" s="1"/>
  <c r="P717" i="25" s="1"/>
  <c r="S716" i="25"/>
  <c r="AA716" i="25" s="1"/>
  <c r="M716" i="25"/>
  <c r="S715" i="25"/>
  <c r="AA715" i="25" s="1"/>
  <c r="M715" i="25"/>
  <c r="S714" i="25"/>
  <c r="AA714" i="25" s="1"/>
  <c r="M714" i="25"/>
  <c r="S713" i="25"/>
  <c r="AA713" i="25" s="1"/>
  <c r="M713" i="25"/>
  <c r="N713" i="25" s="1"/>
  <c r="P713" i="25" s="1"/>
  <c r="S712" i="25"/>
  <c r="AA712" i="25" s="1"/>
  <c r="M712" i="25"/>
  <c r="S711" i="25"/>
  <c r="AA711" i="25" s="1"/>
  <c r="M711" i="25"/>
  <c r="N711" i="25" s="1"/>
  <c r="P711" i="25" s="1"/>
  <c r="S710" i="25"/>
  <c r="AA710" i="25" s="1"/>
  <c r="M710" i="25"/>
  <c r="K710" i="25" s="1"/>
  <c r="S709" i="25"/>
  <c r="AA709" i="25" s="1"/>
  <c r="M709" i="25"/>
  <c r="N709" i="25" s="1"/>
  <c r="P709" i="25" s="1"/>
  <c r="S708" i="25"/>
  <c r="AA708" i="25" s="1"/>
  <c r="M708" i="25"/>
  <c r="S707" i="25"/>
  <c r="AA707" i="25" s="1"/>
  <c r="M707" i="25"/>
  <c r="S706" i="25"/>
  <c r="AA706" i="25" s="1"/>
  <c r="M706" i="25"/>
  <c r="S705" i="25"/>
  <c r="AA705" i="25" s="1"/>
  <c r="M705" i="25"/>
  <c r="N705" i="25" s="1"/>
  <c r="P705" i="25" s="1"/>
  <c r="S704" i="25"/>
  <c r="AA704" i="25" s="1"/>
  <c r="M704" i="25"/>
  <c r="S703" i="25"/>
  <c r="AA703" i="25" s="1"/>
  <c r="M703" i="25"/>
  <c r="N703" i="25" s="1"/>
  <c r="P703" i="25" s="1"/>
  <c r="S702" i="25"/>
  <c r="AA702" i="25" s="1"/>
  <c r="M702" i="25"/>
  <c r="S701" i="25"/>
  <c r="AA701" i="25" s="1"/>
  <c r="M701" i="25"/>
  <c r="N701" i="25" s="1"/>
  <c r="P701" i="25" s="1"/>
  <c r="S700" i="25"/>
  <c r="AA700" i="25" s="1"/>
  <c r="M700" i="25"/>
  <c r="S699" i="25"/>
  <c r="AA699" i="25" s="1"/>
  <c r="M699" i="25"/>
  <c r="S698" i="25"/>
  <c r="AA698" i="25" s="1"/>
  <c r="M698" i="25"/>
  <c r="S697" i="25"/>
  <c r="AA697" i="25" s="1"/>
  <c r="M697" i="25"/>
  <c r="S696" i="25"/>
  <c r="AA696" i="25" s="1"/>
  <c r="M696" i="25"/>
  <c r="S695" i="25"/>
  <c r="AA695" i="25" s="1"/>
  <c r="M695" i="25"/>
  <c r="S694" i="25"/>
  <c r="AA694" i="25" s="1"/>
  <c r="M694" i="25"/>
  <c r="Z694" i="25" s="1"/>
  <c r="S693" i="25"/>
  <c r="AA693" i="25" s="1"/>
  <c r="M693" i="25"/>
  <c r="S692" i="25"/>
  <c r="AA692" i="25" s="1"/>
  <c r="M692" i="25"/>
  <c r="Z692" i="25" s="1"/>
  <c r="S691" i="25"/>
  <c r="AA691" i="25" s="1"/>
  <c r="M691" i="25"/>
  <c r="S690" i="25"/>
  <c r="AA690" i="25" s="1"/>
  <c r="M690" i="25"/>
  <c r="Z690" i="25" s="1"/>
  <c r="S689" i="25"/>
  <c r="AA689" i="25" s="1"/>
  <c r="M689" i="25"/>
  <c r="S688" i="25"/>
  <c r="AA688" i="25" s="1"/>
  <c r="M688" i="25"/>
  <c r="K688" i="25" s="1"/>
  <c r="S687" i="25"/>
  <c r="AA687" i="25" s="1"/>
  <c r="M687" i="25"/>
  <c r="S686" i="25"/>
  <c r="AA686" i="25" s="1"/>
  <c r="M686" i="25"/>
  <c r="Z686" i="25" s="1"/>
  <c r="S685" i="25"/>
  <c r="AA685" i="25" s="1"/>
  <c r="M685" i="25"/>
  <c r="S684" i="25"/>
  <c r="AA684" i="25" s="1"/>
  <c r="M684" i="25"/>
  <c r="S683" i="25"/>
  <c r="AA683" i="25" s="1"/>
  <c r="M683" i="25"/>
  <c r="S682" i="25"/>
  <c r="AA682" i="25" s="1"/>
  <c r="M682" i="25"/>
  <c r="Z682" i="25" s="1"/>
  <c r="S681" i="25"/>
  <c r="AA681" i="25" s="1"/>
  <c r="M681" i="25"/>
  <c r="S680" i="25"/>
  <c r="AA680" i="25" s="1"/>
  <c r="M680" i="25"/>
  <c r="S679" i="25"/>
  <c r="AA679" i="25" s="1"/>
  <c r="M679" i="25"/>
  <c r="S678" i="25"/>
  <c r="AA678" i="25" s="1"/>
  <c r="M678" i="25"/>
  <c r="Z678" i="25" s="1"/>
  <c r="S677" i="25"/>
  <c r="AA677" i="25" s="1"/>
  <c r="M677" i="25"/>
  <c r="S676" i="25"/>
  <c r="AA676" i="25" s="1"/>
  <c r="M676" i="25"/>
  <c r="Z676" i="25" s="1"/>
  <c r="S675" i="25"/>
  <c r="AA675" i="25" s="1"/>
  <c r="M675" i="25"/>
  <c r="S674" i="25"/>
  <c r="AA674" i="25" s="1"/>
  <c r="M674" i="25"/>
  <c r="Z674" i="25" s="1"/>
  <c r="S673" i="25"/>
  <c r="AA673" i="25" s="1"/>
  <c r="M673" i="25"/>
  <c r="S672" i="25"/>
  <c r="AA672" i="25" s="1"/>
  <c r="M672" i="25"/>
  <c r="K672" i="25" s="1"/>
  <c r="S671" i="25"/>
  <c r="AA671" i="25" s="1"/>
  <c r="M671" i="25"/>
  <c r="S670" i="25"/>
  <c r="AA670" i="25" s="1"/>
  <c r="M670" i="25"/>
  <c r="S669" i="25"/>
  <c r="AA669" i="25" s="1"/>
  <c r="M669" i="25"/>
  <c r="S668" i="25"/>
  <c r="AA668" i="25" s="1"/>
  <c r="M668" i="25"/>
  <c r="S667" i="25"/>
  <c r="AA667" i="25" s="1"/>
  <c r="M667" i="25"/>
  <c r="S666" i="25"/>
  <c r="AA666" i="25" s="1"/>
  <c r="M666" i="25"/>
  <c r="S665" i="25"/>
  <c r="AA665" i="25" s="1"/>
  <c r="M665" i="25"/>
  <c r="S664" i="25"/>
  <c r="AA664" i="25" s="1"/>
  <c r="M664" i="25"/>
  <c r="S663" i="25"/>
  <c r="AA663" i="25" s="1"/>
  <c r="M663" i="25"/>
  <c r="S662" i="25"/>
  <c r="AA662" i="25" s="1"/>
  <c r="M662" i="25"/>
  <c r="Z662" i="25" s="1"/>
  <c r="S661" i="25"/>
  <c r="AA661" i="25" s="1"/>
  <c r="M661" i="25"/>
  <c r="S660" i="25"/>
  <c r="AA660" i="25" s="1"/>
  <c r="M660" i="25"/>
  <c r="K660" i="25" s="1"/>
  <c r="S659" i="25"/>
  <c r="AA659" i="25" s="1"/>
  <c r="M659" i="25"/>
  <c r="S658" i="25"/>
  <c r="AA658" i="25" s="1"/>
  <c r="M658" i="25"/>
  <c r="Z658" i="25" s="1"/>
  <c r="S657" i="25"/>
  <c r="AA657" i="25" s="1"/>
  <c r="M657" i="25"/>
  <c r="S656" i="25"/>
  <c r="AA656" i="25" s="1"/>
  <c r="M656" i="25"/>
  <c r="S655" i="25"/>
  <c r="AA655" i="25" s="1"/>
  <c r="M655" i="25"/>
  <c r="S654" i="25"/>
  <c r="AA654" i="25" s="1"/>
  <c r="M654" i="25"/>
  <c r="Z654" i="25" s="1"/>
  <c r="S653" i="25"/>
  <c r="AA653" i="25" s="1"/>
  <c r="M653" i="25"/>
  <c r="S652" i="25"/>
  <c r="AA652" i="25" s="1"/>
  <c r="M652" i="25"/>
  <c r="K652" i="25" s="1"/>
  <c r="S651" i="25"/>
  <c r="AA651" i="25" s="1"/>
  <c r="M651" i="25"/>
  <c r="S650" i="25"/>
  <c r="AA650" i="25" s="1"/>
  <c r="M650" i="25"/>
  <c r="Z650" i="25" s="1"/>
  <c r="S649" i="25"/>
  <c r="AA649" i="25" s="1"/>
  <c r="M649" i="25"/>
  <c r="S648" i="25"/>
  <c r="AA648" i="25" s="1"/>
  <c r="M648" i="25"/>
  <c r="S647" i="25"/>
  <c r="AA647" i="25" s="1"/>
  <c r="M647" i="25"/>
  <c r="S646" i="25"/>
  <c r="AA646" i="25" s="1"/>
  <c r="M646" i="25"/>
  <c r="Z646" i="25" s="1"/>
  <c r="S645" i="25"/>
  <c r="AA645" i="25" s="1"/>
  <c r="M645" i="25"/>
  <c r="S644" i="25"/>
  <c r="AA644" i="25" s="1"/>
  <c r="M644" i="25"/>
  <c r="S643" i="25"/>
  <c r="AA643" i="25" s="1"/>
  <c r="M643" i="25"/>
  <c r="S642" i="25"/>
  <c r="AA642" i="25" s="1"/>
  <c r="M642" i="25"/>
  <c r="Z642" i="25" s="1"/>
  <c r="S641" i="25"/>
  <c r="AA641" i="25" s="1"/>
  <c r="M641" i="25"/>
  <c r="S640" i="25"/>
  <c r="AA640" i="25" s="1"/>
  <c r="M640" i="25"/>
  <c r="K640" i="25" s="1"/>
  <c r="S639" i="25"/>
  <c r="AA639" i="25" s="1"/>
  <c r="M639" i="25"/>
  <c r="S638" i="25"/>
  <c r="AA638" i="25" s="1"/>
  <c r="M638" i="25"/>
  <c r="S637" i="25"/>
  <c r="AA637" i="25" s="1"/>
  <c r="M637" i="25"/>
  <c r="S636" i="25"/>
  <c r="AA636" i="25" s="1"/>
  <c r="M636" i="25"/>
  <c r="S635" i="25"/>
  <c r="AA635" i="25" s="1"/>
  <c r="M635" i="25"/>
  <c r="S634" i="25"/>
  <c r="AA634" i="25" s="1"/>
  <c r="M634" i="25"/>
  <c r="S633" i="25"/>
  <c r="AA633" i="25" s="1"/>
  <c r="M633" i="25"/>
  <c r="S632" i="25"/>
  <c r="AA632" i="25" s="1"/>
  <c r="M632" i="25"/>
  <c r="S631" i="25"/>
  <c r="AA631" i="25" s="1"/>
  <c r="M631" i="25"/>
  <c r="S630" i="25"/>
  <c r="AA630" i="25" s="1"/>
  <c r="M630" i="25"/>
  <c r="Z630" i="25" s="1"/>
  <c r="S629" i="25"/>
  <c r="AA629" i="25" s="1"/>
  <c r="M629" i="25"/>
  <c r="S628" i="25"/>
  <c r="AA628" i="25" s="1"/>
  <c r="M628" i="25"/>
  <c r="K628" i="25" s="1"/>
  <c r="S627" i="25"/>
  <c r="AA627" i="25" s="1"/>
  <c r="M627" i="25"/>
  <c r="S626" i="25"/>
  <c r="AA626" i="25" s="1"/>
  <c r="M626" i="25"/>
  <c r="Z626" i="25" s="1"/>
  <c r="S625" i="25"/>
  <c r="AA625" i="25" s="1"/>
  <c r="M625" i="25"/>
  <c r="S624" i="25"/>
  <c r="AA624" i="25" s="1"/>
  <c r="M624" i="25"/>
  <c r="S623" i="25"/>
  <c r="AA623" i="25" s="1"/>
  <c r="M623" i="25"/>
  <c r="S622" i="25"/>
  <c r="AA622" i="25" s="1"/>
  <c r="M622" i="25"/>
  <c r="Z622" i="25" s="1"/>
  <c r="S621" i="25"/>
  <c r="AA621" i="25" s="1"/>
  <c r="M621" i="25"/>
  <c r="K621" i="25"/>
  <c r="S620" i="25"/>
  <c r="AA620" i="25" s="1"/>
  <c r="M620" i="25"/>
  <c r="S619" i="25"/>
  <c r="AA619" i="25" s="1"/>
  <c r="M619" i="25"/>
  <c r="S618" i="25"/>
  <c r="AA618" i="25" s="1"/>
  <c r="M618" i="25"/>
  <c r="Z618" i="25" s="1"/>
  <c r="S617" i="25"/>
  <c r="AA617" i="25" s="1"/>
  <c r="M617" i="25"/>
  <c r="S616" i="25"/>
  <c r="AA616" i="25" s="1"/>
  <c r="M616" i="25"/>
  <c r="S615" i="25"/>
  <c r="AA615" i="25" s="1"/>
  <c r="M615" i="25"/>
  <c r="S614" i="25"/>
  <c r="AA614" i="25" s="1"/>
  <c r="M614" i="25"/>
  <c r="L614" i="25" s="1"/>
  <c r="S613" i="25"/>
  <c r="AA613" i="25" s="1"/>
  <c r="M613" i="25"/>
  <c r="S612" i="25"/>
  <c r="AA612" i="25" s="1"/>
  <c r="M612" i="25"/>
  <c r="S611" i="25"/>
  <c r="AA611" i="25" s="1"/>
  <c r="M611" i="25"/>
  <c r="S610" i="25"/>
  <c r="AA610" i="25" s="1"/>
  <c r="M610" i="25"/>
  <c r="S609" i="25"/>
  <c r="AA609" i="25" s="1"/>
  <c r="M609" i="25"/>
  <c r="S608" i="25"/>
  <c r="AA608" i="25" s="1"/>
  <c r="M608" i="25"/>
  <c r="S607" i="25"/>
  <c r="AA607" i="25" s="1"/>
  <c r="M607" i="25"/>
  <c r="S606" i="25"/>
  <c r="AA606" i="25" s="1"/>
  <c r="M606" i="25"/>
  <c r="Z606" i="25" s="1"/>
  <c r="S605" i="25"/>
  <c r="AA605" i="25" s="1"/>
  <c r="M605" i="25"/>
  <c r="S604" i="25"/>
  <c r="AA604" i="25" s="1"/>
  <c r="M604" i="25"/>
  <c r="S603" i="25"/>
  <c r="AA603" i="25" s="1"/>
  <c r="M603" i="25"/>
  <c r="S602" i="25"/>
  <c r="AA602" i="25" s="1"/>
  <c r="M602" i="25"/>
  <c r="S601" i="25"/>
  <c r="AA601" i="25" s="1"/>
  <c r="M601" i="25"/>
  <c r="S600" i="25"/>
  <c r="AA600" i="25" s="1"/>
  <c r="M600" i="25"/>
  <c r="S599" i="25"/>
  <c r="AA599" i="25" s="1"/>
  <c r="M599" i="25"/>
  <c r="S598" i="25"/>
  <c r="AA598" i="25" s="1"/>
  <c r="M598" i="25"/>
  <c r="L598" i="25" s="1"/>
  <c r="S597" i="25"/>
  <c r="AA597" i="25" s="1"/>
  <c r="M597" i="25"/>
  <c r="S596" i="25"/>
  <c r="AA596" i="25" s="1"/>
  <c r="M596" i="25"/>
  <c r="S595" i="25"/>
  <c r="AA595" i="25" s="1"/>
  <c r="M595" i="25"/>
  <c r="S594" i="25"/>
  <c r="AA594" i="25" s="1"/>
  <c r="M594" i="25"/>
  <c r="Z594" i="25" s="1"/>
  <c r="S593" i="25"/>
  <c r="AA593" i="25" s="1"/>
  <c r="M593" i="25"/>
  <c r="S592" i="25"/>
  <c r="AA592" i="25" s="1"/>
  <c r="M592" i="25"/>
  <c r="S591" i="25"/>
  <c r="AA591" i="25" s="1"/>
  <c r="M591" i="25"/>
  <c r="S590" i="25"/>
  <c r="AA590" i="25" s="1"/>
  <c r="M590" i="25"/>
  <c r="Z590" i="25" s="1"/>
  <c r="S589" i="25"/>
  <c r="AA589" i="25" s="1"/>
  <c r="M589" i="25"/>
  <c r="S588" i="25"/>
  <c r="AA588" i="25" s="1"/>
  <c r="M588" i="25"/>
  <c r="S587" i="25"/>
  <c r="AA587" i="25" s="1"/>
  <c r="M587" i="25"/>
  <c r="S586" i="25"/>
  <c r="AA586" i="25" s="1"/>
  <c r="M586" i="25"/>
  <c r="Z586" i="25" s="1"/>
  <c r="S585" i="25"/>
  <c r="AA585" i="25" s="1"/>
  <c r="M585" i="25"/>
  <c r="S584" i="25"/>
  <c r="AA584" i="25" s="1"/>
  <c r="M584" i="25"/>
  <c r="S583" i="25"/>
  <c r="AA583" i="25" s="1"/>
  <c r="M583" i="25"/>
  <c r="S582" i="25"/>
  <c r="AA582" i="25" s="1"/>
  <c r="M582" i="25"/>
  <c r="L582" i="25" s="1"/>
  <c r="S581" i="25"/>
  <c r="AA581" i="25" s="1"/>
  <c r="M581" i="25"/>
  <c r="S580" i="25"/>
  <c r="AA580" i="25" s="1"/>
  <c r="M580" i="25"/>
  <c r="S579" i="25"/>
  <c r="AA579" i="25" s="1"/>
  <c r="M579" i="25"/>
  <c r="S578" i="25"/>
  <c r="AA578" i="25" s="1"/>
  <c r="M578" i="25"/>
  <c r="K578" i="25" s="1"/>
  <c r="S577" i="25"/>
  <c r="AA577" i="25" s="1"/>
  <c r="M577" i="25"/>
  <c r="N577" i="25" s="1"/>
  <c r="P577" i="25" s="1"/>
  <c r="S576" i="25"/>
  <c r="AA576" i="25" s="1"/>
  <c r="M576" i="25"/>
  <c r="S575" i="25"/>
  <c r="AA575" i="25" s="1"/>
  <c r="M575" i="25"/>
  <c r="K575" i="25" s="1"/>
  <c r="S574" i="25"/>
  <c r="AA574" i="25" s="1"/>
  <c r="M574" i="25"/>
  <c r="S573" i="25"/>
  <c r="AA573" i="25" s="1"/>
  <c r="M573" i="25"/>
  <c r="N573" i="25" s="1"/>
  <c r="P573" i="25" s="1"/>
  <c r="S572" i="25"/>
  <c r="AA572" i="25" s="1"/>
  <c r="M572" i="25"/>
  <c r="S571" i="25"/>
  <c r="AA571" i="25" s="1"/>
  <c r="M571" i="25"/>
  <c r="S570" i="25"/>
  <c r="AA570" i="25" s="1"/>
  <c r="M570" i="25"/>
  <c r="S569" i="25"/>
  <c r="AA569" i="25" s="1"/>
  <c r="M569" i="25"/>
  <c r="K569" i="25" s="1"/>
  <c r="S568" i="25"/>
  <c r="AA568" i="25" s="1"/>
  <c r="M568" i="25"/>
  <c r="S567" i="25"/>
  <c r="AA567" i="25" s="1"/>
  <c r="M567" i="25"/>
  <c r="S566" i="25"/>
  <c r="AA566" i="25" s="1"/>
  <c r="M566" i="25"/>
  <c r="K566" i="25" s="1"/>
  <c r="S565" i="25"/>
  <c r="AA565" i="25" s="1"/>
  <c r="M565" i="25"/>
  <c r="S564" i="25"/>
  <c r="AA564" i="25" s="1"/>
  <c r="M564" i="25"/>
  <c r="S563" i="25"/>
  <c r="AA563" i="25" s="1"/>
  <c r="M563" i="25"/>
  <c r="K563" i="25" s="1"/>
  <c r="S562" i="25"/>
  <c r="AA562" i="25" s="1"/>
  <c r="M562" i="25"/>
  <c r="S561" i="25"/>
  <c r="AA561" i="25" s="1"/>
  <c r="M561" i="25"/>
  <c r="N561" i="25" s="1"/>
  <c r="P561" i="25" s="1"/>
  <c r="S560" i="25"/>
  <c r="AA560" i="25" s="1"/>
  <c r="M560" i="25"/>
  <c r="N560" i="25" s="1"/>
  <c r="P560" i="25" s="1"/>
  <c r="S559" i="25"/>
  <c r="AA559" i="25" s="1"/>
  <c r="M559" i="25"/>
  <c r="K559" i="25" s="1"/>
  <c r="S558" i="25"/>
  <c r="AA558" i="25" s="1"/>
  <c r="M558" i="25"/>
  <c r="S557" i="25"/>
  <c r="AA557" i="25" s="1"/>
  <c r="M557" i="25"/>
  <c r="S556" i="25"/>
  <c r="AA556" i="25" s="1"/>
  <c r="M556" i="25"/>
  <c r="K556" i="25" s="1"/>
  <c r="S555" i="25"/>
  <c r="AA555" i="25" s="1"/>
  <c r="M555" i="25"/>
  <c r="S554" i="25"/>
  <c r="AA554" i="25" s="1"/>
  <c r="M554" i="25"/>
  <c r="S553" i="25"/>
  <c r="AA553" i="25" s="1"/>
  <c r="M553" i="25"/>
  <c r="S552" i="25"/>
  <c r="AA552" i="25" s="1"/>
  <c r="M552" i="25"/>
  <c r="S551" i="25"/>
  <c r="AA551" i="25" s="1"/>
  <c r="M551" i="25"/>
  <c r="S550" i="25"/>
  <c r="AA550" i="25" s="1"/>
  <c r="M550" i="25"/>
  <c r="S549" i="25"/>
  <c r="AA549" i="25" s="1"/>
  <c r="M549" i="25"/>
  <c r="S548" i="25"/>
  <c r="AA548" i="25" s="1"/>
  <c r="M548" i="25"/>
  <c r="S547" i="25"/>
  <c r="AA547" i="25" s="1"/>
  <c r="M547" i="25"/>
  <c r="L547" i="25" s="1"/>
  <c r="S546" i="25"/>
  <c r="AA546" i="25" s="1"/>
  <c r="M546" i="25"/>
  <c r="K546" i="25"/>
  <c r="S545" i="25"/>
  <c r="AA545" i="25" s="1"/>
  <c r="M545" i="25"/>
  <c r="Z545" i="25" s="1"/>
  <c r="K545" i="25"/>
  <c r="S544" i="25"/>
  <c r="AA544" i="25" s="1"/>
  <c r="M544" i="25"/>
  <c r="L544" i="25" s="1"/>
  <c r="K544" i="25"/>
  <c r="S543" i="25"/>
  <c r="AA543" i="25" s="1"/>
  <c r="M543" i="25"/>
  <c r="K543" i="25"/>
  <c r="S542" i="25"/>
  <c r="AA542" i="25" s="1"/>
  <c r="M542" i="25"/>
  <c r="L542" i="25" s="1"/>
  <c r="K542" i="25"/>
  <c r="S541" i="25"/>
  <c r="AA541" i="25" s="1"/>
  <c r="M541" i="25"/>
  <c r="K541" i="25"/>
  <c r="S540" i="25"/>
  <c r="AA540" i="25" s="1"/>
  <c r="M540" i="25"/>
  <c r="N540" i="25" s="1"/>
  <c r="P540" i="25" s="1"/>
  <c r="S539" i="25"/>
  <c r="AA539" i="25" s="1"/>
  <c r="M539" i="25"/>
  <c r="S538" i="25"/>
  <c r="AA538" i="25" s="1"/>
  <c r="M538" i="25"/>
  <c r="K538" i="25"/>
  <c r="S537" i="25"/>
  <c r="AA537" i="25" s="1"/>
  <c r="M537" i="25"/>
  <c r="K537" i="25"/>
  <c r="S536" i="25"/>
  <c r="AA536" i="25" s="1"/>
  <c r="M536" i="25"/>
  <c r="S535" i="25"/>
  <c r="AA535" i="25" s="1"/>
  <c r="M535" i="25"/>
  <c r="S534" i="25"/>
  <c r="AA534" i="25" s="1"/>
  <c r="M534" i="25"/>
  <c r="Z534" i="25" s="1"/>
  <c r="S533" i="25"/>
  <c r="AA533" i="25" s="1"/>
  <c r="M533" i="25"/>
  <c r="Z533" i="25" s="1"/>
  <c r="S532" i="25"/>
  <c r="AA532" i="25" s="1"/>
  <c r="M532" i="25"/>
  <c r="Z532" i="25" s="1"/>
  <c r="S531" i="25"/>
  <c r="AA531" i="25" s="1"/>
  <c r="M531" i="25"/>
  <c r="N531" i="25" s="1"/>
  <c r="P531" i="25" s="1"/>
  <c r="K531" i="25"/>
  <c r="S530" i="25"/>
  <c r="AA530" i="25" s="1"/>
  <c r="M530" i="25"/>
  <c r="Z530" i="25" s="1"/>
  <c r="K530" i="25"/>
  <c r="S529" i="25"/>
  <c r="AA529" i="25" s="1"/>
  <c r="M529" i="25"/>
  <c r="K529" i="25"/>
  <c r="S528" i="25"/>
  <c r="AA528" i="25" s="1"/>
  <c r="M528" i="25"/>
  <c r="L528" i="25" s="1"/>
  <c r="K528" i="25"/>
  <c r="S527" i="25"/>
  <c r="AA527" i="25" s="1"/>
  <c r="M527" i="25"/>
  <c r="K527" i="25"/>
  <c r="S526" i="25"/>
  <c r="AA526" i="25" s="1"/>
  <c r="M526" i="25"/>
  <c r="L526" i="25" s="1"/>
  <c r="K526" i="25"/>
  <c r="S525" i="25"/>
  <c r="AA525" i="25" s="1"/>
  <c r="M525" i="25"/>
  <c r="S524" i="25"/>
  <c r="AA524" i="25" s="1"/>
  <c r="M524" i="25"/>
  <c r="N524" i="25" s="1"/>
  <c r="P524" i="25" s="1"/>
  <c r="S523" i="25"/>
  <c r="AA523" i="25" s="1"/>
  <c r="M523" i="25"/>
  <c r="K523" i="25"/>
  <c r="S522" i="25"/>
  <c r="AA522" i="25" s="1"/>
  <c r="M522" i="25"/>
  <c r="S521" i="25"/>
  <c r="AA521" i="25" s="1"/>
  <c r="M521" i="25"/>
  <c r="N521" i="25" s="1"/>
  <c r="P521" i="25" s="1"/>
  <c r="K521" i="25"/>
  <c r="S520" i="25"/>
  <c r="AA520" i="25" s="1"/>
  <c r="M520" i="25"/>
  <c r="S519" i="25"/>
  <c r="AA519" i="25" s="1"/>
  <c r="M519" i="25"/>
  <c r="N519" i="25" s="1"/>
  <c r="P519" i="25" s="1"/>
  <c r="S518" i="25"/>
  <c r="AA518" i="25" s="1"/>
  <c r="M518" i="25"/>
  <c r="K518" i="25"/>
  <c r="S517" i="25"/>
  <c r="AA517" i="25" s="1"/>
  <c r="M517" i="25"/>
  <c r="S516" i="25"/>
  <c r="AA516" i="25" s="1"/>
  <c r="M516" i="25"/>
  <c r="Z516" i="25" s="1"/>
  <c r="S515" i="25"/>
  <c r="AA515" i="25" s="1"/>
  <c r="M515" i="25"/>
  <c r="Z515" i="25" s="1"/>
  <c r="K515" i="25"/>
  <c r="S514" i="25"/>
  <c r="AA514" i="25" s="1"/>
  <c r="M514" i="25"/>
  <c r="N514" i="25" s="1"/>
  <c r="P514" i="25" s="1"/>
  <c r="S513" i="25"/>
  <c r="AA513" i="25" s="1"/>
  <c r="M513" i="25"/>
  <c r="Z513" i="25" s="1"/>
  <c r="S512" i="25"/>
  <c r="AA512" i="25" s="1"/>
  <c r="M512" i="25"/>
  <c r="S511" i="25"/>
  <c r="AA511" i="25" s="1"/>
  <c r="M511" i="25"/>
  <c r="N511" i="25" s="1"/>
  <c r="P511" i="25" s="1"/>
  <c r="S510" i="25"/>
  <c r="AA510" i="25" s="1"/>
  <c r="M510" i="25"/>
  <c r="Z510" i="25" s="1"/>
  <c r="S509" i="25"/>
  <c r="AA509" i="25" s="1"/>
  <c r="M509" i="25"/>
  <c r="K509" i="25"/>
  <c r="S508" i="25"/>
  <c r="AA508" i="25" s="1"/>
  <c r="M508" i="25"/>
  <c r="S507" i="25"/>
  <c r="AA507" i="25" s="1"/>
  <c r="M507" i="25"/>
  <c r="K507" i="25" s="1"/>
  <c r="S506" i="25"/>
  <c r="AA506" i="25" s="1"/>
  <c r="M506" i="25"/>
  <c r="S505" i="25"/>
  <c r="AA505" i="25" s="1"/>
  <c r="M505" i="25"/>
  <c r="Z505" i="25" s="1"/>
  <c r="S504" i="25"/>
  <c r="AA504" i="25" s="1"/>
  <c r="M504" i="25"/>
  <c r="Z504" i="25" s="1"/>
  <c r="S503" i="25"/>
  <c r="AA503" i="25" s="1"/>
  <c r="M503" i="25"/>
  <c r="S502" i="25"/>
  <c r="AA502" i="25" s="1"/>
  <c r="M502" i="25"/>
  <c r="Z502" i="25" s="1"/>
  <c r="S501" i="25"/>
  <c r="AA501" i="25" s="1"/>
  <c r="M501" i="25"/>
  <c r="S500" i="25"/>
  <c r="AA500" i="25" s="1"/>
  <c r="M500" i="25"/>
  <c r="S499" i="25"/>
  <c r="AA499" i="25" s="1"/>
  <c r="M499" i="25"/>
  <c r="S498" i="25"/>
  <c r="AA498" i="25" s="1"/>
  <c r="M498" i="25"/>
  <c r="K498" i="25" s="1"/>
  <c r="S497" i="25"/>
  <c r="AA497" i="25" s="1"/>
  <c r="M497" i="25"/>
  <c r="L497" i="25" s="1"/>
  <c r="S496" i="25"/>
  <c r="AA496" i="25" s="1"/>
  <c r="M496" i="25"/>
  <c r="L496" i="25" s="1"/>
  <c r="S495" i="25"/>
  <c r="AA495" i="25" s="1"/>
  <c r="M495" i="25"/>
  <c r="S494" i="25"/>
  <c r="AA494" i="25" s="1"/>
  <c r="M494" i="25"/>
  <c r="S493" i="25"/>
  <c r="AA493" i="25" s="1"/>
  <c r="M493" i="25"/>
  <c r="L493" i="25" s="1"/>
  <c r="S492" i="25"/>
  <c r="AA492" i="25" s="1"/>
  <c r="M492" i="25"/>
  <c r="S491" i="25"/>
  <c r="AA491" i="25" s="1"/>
  <c r="M491" i="25"/>
  <c r="Z491" i="25" s="1"/>
  <c r="S490" i="25"/>
  <c r="AA490" i="25" s="1"/>
  <c r="M490" i="25"/>
  <c r="Z490" i="25" s="1"/>
  <c r="S489" i="25"/>
  <c r="AA489" i="25" s="1"/>
  <c r="M489" i="25"/>
  <c r="K489" i="25"/>
  <c r="S488" i="25"/>
  <c r="AA488" i="25" s="1"/>
  <c r="M488" i="25"/>
  <c r="Z488" i="25" s="1"/>
  <c r="K488" i="25"/>
  <c r="S487" i="25"/>
  <c r="AA487" i="25" s="1"/>
  <c r="M487" i="25"/>
  <c r="Z487" i="25" s="1"/>
  <c r="K487" i="25"/>
  <c r="S486" i="25"/>
  <c r="AA486" i="25" s="1"/>
  <c r="M486" i="25"/>
  <c r="Z486" i="25" s="1"/>
  <c r="K486" i="25"/>
  <c r="F485" i="25"/>
  <c r="F484" i="25"/>
  <c r="F483" i="25"/>
  <c r="F482" i="25"/>
  <c r="M482" i="25" s="1"/>
  <c r="F481" i="25"/>
  <c r="S480" i="25"/>
  <c r="AA480" i="25" s="1"/>
  <c r="M480" i="25"/>
  <c r="F479" i="25"/>
  <c r="S478" i="25"/>
  <c r="AA478" i="25" s="1"/>
  <c r="M478" i="25"/>
  <c r="F477" i="25"/>
  <c r="M477" i="25" s="1"/>
  <c r="S476" i="25"/>
  <c r="AA476" i="25" s="1"/>
  <c r="M476" i="25"/>
  <c r="F475" i="25"/>
  <c r="M475" i="25" s="1"/>
  <c r="F474" i="25"/>
  <c r="F473" i="25"/>
  <c r="F472" i="25"/>
  <c r="F471" i="25"/>
  <c r="M471" i="25" s="1"/>
  <c r="F470" i="25"/>
  <c r="F469" i="25"/>
  <c r="M469" i="25" s="1"/>
  <c r="F468" i="25"/>
  <c r="M468" i="25" s="1"/>
  <c r="L468" i="25" s="1"/>
  <c r="F467" i="25"/>
  <c r="M467" i="25" s="1"/>
  <c r="L467" i="25" s="1"/>
  <c r="F466" i="25"/>
  <c r="F465" i="25"/>
  <c r="M465" i="25" s="1"/>
  <c r="F464" i="25"/>
  <c r="F463" i="25"/>
  <c r="M463" i="25" s="1"/>
  <c r="F462" i="25"/>
  <c r="S461" i="25"/>
  <c r="AA461" i="25" s="1"/>
  <c r="M461" i="25"/>
  <c r="Z461" i="25" s="1"/>
  <c r="F460" i="25"/>
  <c r="F459" i="25"/>
  <c r="M459" i="25" s="1"/>
  <c r="F458" i="25"/>
  <c r="F457" i="25"/>
  <c r="F456" i="25"/>
  <c r="S456" i="25" s="1"/>
  <c r="AA456" i="25" s="1"/>
  <c r="F455" i="25"/>
  <c r="F454" i="25"/>
  <c r="F453" i="25"/>
  <c r="F452" i="25"/>
  <c r="M452" i="25" s="1"/>
  <c r="L452" i="25" s="1"/>
  <c r="F451" i="25"/>
  <c r="M451" i="25" s="1"/>
  <c r="S450" i="25"/>
  <c r="AA450" i="25" s="1"/>
  <c r="M450" i="25"/>
  <c r="N450" i="25" s="1"/>
  <c r="P450" i="25" s="1"/>
  <c r="F449" i="25"/>
  <c r="M449" i="25" s="1"/>
  <c r="L449" i="25" s="1"/>
  <c r="S448" i="25"/>
  <c r="AA448" i="25" s="1"/>
  <c r="M448" i="25"/>
  <c r="Z448" i="25" s="1"/>
  <c r="F447" i="25"/>
  <c r="F446" i="25"/>
  <c r="M446" i="25" s="1"/>
  <c r="L446" i="25" s="1"/>
  <c r="S445" i="25"/>
  <c r="AA445" i="25" s="1"/>
  <c r="M445" i="25"/>
  <c r="Z445" i="25" s="1"/>
  <c r="S444" i="25"/>
  <c r="AA444" i="25" s="1"/>
  <c r="M444" i="25"/>
  <c r="S443" i="25"/>
  <c r="AA443" i="25" s="1"/>
  <c r="M443" i="25"/>
  <c r="N443" i="25" s="1"/>
  <c r="P443" i="25" s="1"/>
  <c r="K443" i="25"/>
  <c r="F442" i="25"/>
  <c r="S441" i="25"/>
  <c r="AA441" i="25" s="1"/>
  <c r="M441" i="25"/>
  <c r="F440" i="25"/>
  <c r="M440" i="25" s="1"/>
  <c r="L440" i="25" s="1"/>
  <c r="S439" i="25"/>
  <c r="AA439" i="25" s="1"/>
  <c r="M439" i="25"/>
  <c r="Z439" i="25" s="1"/>
  <c r="F438" i="25"/>
  <c r="S437" i="25"/>
  <c r="AA437" i="25" s="1"/>
  <c r="M437" i="25"/>
  <c r="F436" i="25"/>
  <c r="S435" i="25"/>
  <c r="AA435" i="25" s="1"/>
  <c r="M435" i="25"/>
  <c r="K435" i="25"/>
  <c r="F434" i="25"/>
  <c r="M434" i="25" s="1"/>
  <c r="L434" i="25" s="1"/>
  <c r="S433" i="25"/>
  <c r="AA433" i="25" s="1"/>
  <c r="M433" i="25"/>
  <c r="L433" i="25" s="1"/>
  <c r="K433" i="25"/>
  <c r="F432" i="25"/>
  <c r="S431" i="25"/>
  <c r="AA431" i="25" s="1"/>
  <c r="M431" i="25"/>
  <c r="S430" i="25"/>
  <c r="AA430" i="25" s="1"/>
  <c r="M430" i="25"/>
  <c r="Z430" i="25" s="1"/>
  <c r="S429" i="25"/>
  <c r="AA429" i="25" s="1"/>
  <c r="M429" i="25"/>
  <c r="K429" i="25"/>
  <c r="S428" i="25"/>
  <c r="AA428" i="25" s="1"/>
  <c r="M428" i="25"/>
  <c r="S427" i="25"/>
  <c r="AA427" i="25" s="1"/>
  <c r="M427" i="25"/>
  <c r="Z427" i="25" s="1"/>
  <c r="F426" i="25"/>
  <c r="S425" i="25"/>
  <c r="AA425" i="25" s="1"/>
  <c r="M425" i="25"/>
  <c r="F424" i="25"/>
  <c r="M424" i="25" s="1"/>
  <c r="L424" i="25" s="1"/>
  <c r="S423" i="25"/>
  <c r="AA423" i="25" s="1"/>
  <c r="M423" i="25"/>
  <c r="N423" i="25" s="1"/>
  <c r="P423" i="25" s="1"/>
  <c r="K423" i="25"/>
  <c r="S422" i="25"/>
  <c r="AA422" i="25" s="1"/>
  <c r="M422" i="25"/>
  <c r="L422" i="25" s="1"/>
  <c r="S421" i="25"/>
  <c r="AA421" i="25" s="1"/>
  <c r="M421" i="25"/>
  <c r="L421" i="25" s="1"/>
  <c r="F420" i="25"/>
  <c r="S419" i="25"/>
  <c r="AA419" i="25" s="1"/>
  <c r="M419" i="25"/>
  <c r="K419" i="25"/>
  <c r="F418" i="25"/>
  <c r="M418" i="25" s="1"/>
  <c r="S417" i="25"/>
  <c r="AA417" i="25" s="1"/>
  <c r="M417" i="25"/>
  <c r="F416" i="25"/>
  <c r="F415" i="25"/>
  <c r="M415" i="25" s="1"/>
  <c r="K415" i="25" s="1"/>
  <c r="S414" i="25"/>
  <c r="AA414" i="25" s="1"/>
  <c r="M414" i="25"/>
  <c r="K414" i="25"/>
  <c r="S413" i="25"/>
  <c r="AA413" i="25" s="1"/>
  <c r="M413" i="25"/>
  <c r="L413" i="25" s="1"/>
  <c r="S412" i="25"/>
  <c r="AA412" i="25" s="1"/>
  <c r="M412" i="25"/>
  <c r="L412" i="25" s="1"/>
  <c r="S411" i="25"/>
  <c r="AA411" i="25" s="1"/>
  <c r="M411" i="25"/>
  <c r="L411" i="25" s="1"/>
  <c r="S410" i="25"/>
  <c r="AA410" i="25" s="1"/>
  <c r="M410" i="25"/>
  <c r="L410" i="25" s="1"/>
  <c r="S409" i="25"/>
  <c r="AA409" i="25" s="1"/>
  <c r="M409" i="25"/>
  <c r="L409" i="25" s="1"/>
  <c r="S408" i="25"/>
  <c r="AA408" i="25" s="1"/>
  <c r="M408" i="25"/>
  <c r="K408" i="25"/>
  <c r="S407" i="25"/>
  <c r="AA407" i="25" s="1"/>
  <c r="M407" i="25"/>
  <c r="Z407" i="25" s="1"/>
  <c r="S406" i="25"/>
  <c r="AA406" i="25" s="1"/>
  <c r="M406" i="25"/>
  <c r="N406" i="25" s="1"/>
  <c r="P406" i="25" s="1"/>
  <c r="K406" i="25"/>
  <c r="S405" i="25"/>
  <c r="AA405" i="25" s="1"/>
  <c r="M405" i="25"/>
  <c r="N405" i="25" s="1"/>
  <c r="P405" i="25" s="1"/>
  <c r="K405" i="25"/>
  <c r="S404" i="25"/>
  <c r="AA404" i="25" s="1"/>
  <c r="M404" i="25"/>
  <c r="N404" i="25" s="1"/>
  <c r="P404" i="25" s="1"/>
  <c r="K404" i="25"/>
  <c r="S403" i="25"/>
  <c r="AA403" i="25" s="1"/>
  <c r="M403" i="25"/>
  <c r="N403" i="25" s="1"/>
  <c r="P403" i="25" s="1"/>
  <c r="K403" i="25"/>
  <c r="S402" i="25"/>
  <c r="AA402" i="25" s="1"/>
  <c r="M402" i="25"/>
  <c r="Z402" i="25" s="1"/>
  <c r="S401" i="25"/>
  <c r="AA401" i="25" s="1"/>
  <c r="M401" i="25"/>
  <c r="S400" i="25"/>
  <c r="AA400" i="25" s="1"/>
  <c r="M400" i="25"/>
  <c r="N400" i="25" s="1"/>
  <c r="P400" i="25" s="1"/>
  <c r="K400" i="25"/>
  <c r="S399" i="25"/>
  <c r="AA399" i="25" s="1"/>
  <c r="M399" i="25"/>
  <c r="N399" i="25" s="1"/>
  <c r="P399" i="25" s="1"/>
  <c r="K399" i="25"/>
  <c r="S398" i="25"/>
  <c r="AA398" i="25" s="1"/>
  <c r="M398" i="25"/>
  <c r="N398" i="25" s="1"/>
  <c r="P398" i="25" s="1"/>
  <c r="K398" i="25"/>
  <c r="S397" i="25"/>
  <c r="AA397" i="25" s="1"/>
  <c r="M397" i="25"/>
  <c r="L397" i="25" s="1"/>
  <c r="S396" i="25"/>
  <c r="AA396" i="25" s="1"/>
  <c r="M396" i="25"/>
  <c r="K396" i="25"/>
  <c r="S395" i="25"/>
  <c r="AA395" i="25" s="1"/>
  <c r="M395" i="25"/>
  <c r="N395" i="25" s="1"/>
  <c r="P395" i="25" s="1"/>
  <c r="K395" i="25"/>
  <c r="S394" i="25"/>
  <c r="AA394" i="25" s="1"/>
  <c r="M394" i="25"/>
  <c r="K394" i="25"/>
  <c r="S393" i="25"/>
  <c r="AA393" i="25" s="1"/>
  <c r="M393" i="25"/>
  <c r="K393" i="25"/>
  <c r="S392" i="25"/>
  <c r="AA392" i="25" s="1"/>
  <c r="M392" i="25"/>
  <c r="K392" i="25"/>
  <c r="S391" i="25"/>
  <c r="AA391" i="25" s="1"/>
  <c r="M391" i="25"/>
  <c r="S390" i="25"/>
  <c r="AA390" i="25" s="1"/>
  <c r="M390" i="25"/>
  <c r="N390" i="25" s="1"/>
  <c r="P390" i="25" s="1"/>
  <c r="K390" i="25"/>
  <c r="S389" i="25"/>
  <c r="AA389" i="25" s="1"/>
  <c r="M389" i="25"/>
  <c r="L389" i="25" s="1"/>
  <c r="S388" i="25"/>
  <c r="AA388" i="25" s="1"/>
  <c r="M388" i="25"/>
  <c r="L388" i="25" s="1"/>
  <c r="S387" i="25"/>
  <c r="AA387" i="25" s="1"/>
  <c r="M387" i="25"/>
  <c r="K387" i="25"/>
  <c r="S386" i="25"/>
  <c r="AA386" i="25" s="1"/>
  <c r="M386" i="25"/>
  <c r="S385" i="25"/>
  <c r="AA385" i="25" s="1"/>
  <c r="M385" i="25"/>
  <c r="L385" i="25" s="1"/>
  <c r="S384" i="25"/>
  <c r="AA384" i="25" s="1"/>
  <c r="M384" i="25"/>
  <c r="Z384" i="25" s="1"/>
  <c r="K384" i="25"/>
  <c r="S383" i="25"/>
  <c r="AA383" i="25" s="1"/>
  <c r="M383" i="25"/>
  <c r="K383" i="25"/>
  <c r="S382" i="25"/>
  <c r="AA382" i="25" s="1"/>
  <c r="M382" i="25"/>
  <c r="Z382" i="25" s="1"/>
  <c r="S381" i="25"/>
  <c r="AA381" i="25" s="1"/>
  <c r="M381" i="25"/>
  <c r="N381" i="25" s="1"/>
  <c r="P381" i="25" s="1"/>
  <c r="K381" i="25"/>
  <c r="S380" i="25"/>
  <c r="AA380" i="25" s="1"/>
  <c r="M380" i="25"/>
  <c r="S379" i="25"/>
  <c r="AA379" i="25" s="1"/>
  <c r="M379" i="25"/>
  <c r="N379" i="25" s="1"/>
  <c r="P379" i="25" s="1"/>
  <c r="K379" i="25"/>
  <c r="S378" i="25"/>
  <c r="AA378" i="25" s="1"/>
  <c r="M378" i="25"/>
  <c r="L378" i="25" s="1"/>
  <c r="S377" i="25"/>
  <c r="AA377" i="25" s="1"/>
  <c r="M377" i="25"/>
  <c r="N377" i="25" s="1"/>
  <c r="P377" i="25" s="1"/>
  <c r="K377" i="25"/>
  <c r="S376" i="25"/>
  <c r="AA376" i="25" s="1"/>
  <c r="M376" i="25"/>
  <c r="L376" i="25" s="1"/>
  <c r="S375" i="25"/>
  <c r="AA375" i="25" s="1"/>
  <c r="M375" i="25"/>
  <c r="L375" i="25" s="1"/>
  <c r="S374" i="25"/>
  <c r="AA374" i="25" s="1"/>
  <c r="M374" i="25"/>
  <c r="K374" i="25"/>
  <c r="S373" i="25"/>
  <c r="AA373" i="25" s="1"/>
  <c r="M373" i="25"/>
  <c r="N373" i="25" s="1"/>
  <c r="P373" i="25" s="1"/>
  <c r="K373" i="25"/>
  <c r="S372" i="25"/>
  <c r="AA372" i="25" s="1"/>
  <c r="M372" i="25"/>
  <c r="L372" i="25" s="1"/>
  <c r="S371" i="25"/>
  <c r="AA371" i="25" s="1"/>
  <c r="M371" i="25"/>
  <c r="N371" i="25" s="1"/>
  <c r="P371" i="25" s="1"/>
  <c r="K371" i="25"/>
  <c r="S370" i="25"/>
  <c r="AA370" i="25" s="1"/>
  <c r="M370" i="25"/>
  <c r="L370" i="25" s="1"/>
  <c r="S369" i="25"/>
  <c r="AA369" i="25" s="1"/>
  <c r="M369" i="25"/>
  <c r="L369" i="25" s="1"/>
  <c r="S368" i="25"/>
  <c r="AA368" i="25" s="1"/>
  <c r="M368" i="25"/>
  <c r="L368" i="25" s="1"/>
  <c r="S367" i="25"/>
  <c r="AA367" i="25" s="1"/>
  <c r="M367" i="25"/>
  <c r="Z367" i="25" s="1"/>
  <c r="K367" i="25"/>
  <c r="S366" i="25"/>
  <c r="AA366" i="25" s="1"/>
  <c r="M366" i="25"/>
  <c r="L366" i="25" s="1"/>
  <c r="S365" i="25"/>
  <c r="AA365" i="25" s="1"/>
  <c r="M365" i="25"/>
  <c r="L365" i="25" s="1"/>
  <c r="S364" i="25"/>
  <c r="AA364" i="25" s="1"/>
  <c r="M364" i="25"/>
  <c r="K364" i="25"/>
  <c r="S363" i="25"/>
  <c r="AA363" i="25" s="1"/>
  <c r="M363" i="25"/>
  <c r="Z363" i="25" s="1"/>
  <c r="S362" i="25"/>
  <c r="AA362" i="25" s="1"/>
  <c r="M362" i="25"/>
  <c r="N362" i="25" s="1"/>
  <c r="P362" i="25" s="1"/>
  <c r="K362" i="25"/>
  <c r="S361" i="25"/>
  <c r="AA361" i="25" s="1"/>
  <c r="M361" i="25"/>
  <c r="L361" i="25" s="1"/>
  <c r="S360" i="25"/>
  <c r="AA360" i="25" s="1"/>
  <c r="M360" i="25"/>
  <c r="K360" i="25"/>
  <c r="S359" i="25"/>
  <c r="AA359" i="25" s="1"/>
  <c r="M359" i="25"/>
  <c r="Z359" i="25" s="1"/>
  <c r="S358" i="25"/>
  <c r="AA358" i="25" s="1"/>
  <c r="M358" i="25"/>
  <c r="L358" i="25" s="1"/>
  <c r="K358" i="25"/>
  <c r="S357" i="25"/>
  <c r="AA357" i="25" s="1"/>
  <c r="M357" i="25"/>
  <c r="L357" i="25" s="1"/>
  <c r="S356" i="25"/>
  <c r="AA356" i="25" s="1"/>
  <c r="M356" i="25"/>
  <c r="L356" i="25" s="1"/>
  <c r="S355" i="25"/>
  <c r="AA355" i="25" s="1"/>
  <c r="M355" i="25"/>
  <c r="L355" i="25" s="1"/>
  <c r="S354" i="25"/>
  <c r="AA354" i="25" s="1"/>
  <c r="M354" i="25"/>
  <c r="L354" i="25" s="1"/>
  <c r="S353" i="25"/>
  <c r="AA353" i="25" s="1"/>
  <c r="M353" i="25"/>
  <c r="L353" i="25" s="1"/>
  <c r="S352" i="25"/>
  <c r="AA352" i="25" s="1"/>
  <c r="M352" i="25"/>
  <c r="K352" i="25"/>
  <c r="S351" i="25"/>
  <c r="AA351" i="25" s="1"/>
  <c r="M351" i="25"/>
  <c r="N351" i="25" s="1"/>
  <c r="P351" i="25" s="1"/>
  <c r="K351" i="25"/>
  <c r="S350" i="25"/>
  <c r="AA350" i="25" s="1"/>
  <c r="M350" i="25"/>
  <c r="S349" i="25"/>
  <c r="AA349" i="25" s="1"/>
  <c r="M349" i="25"/>
  <c r="N349" i="25" s="1"/>
  <c r="P349" i="25" s="1"/>
  <c r="K349" i="25"/>
  <c r="S348" i="25"/>
  <c r="AA348" i="25" s="1"/>
  <c r="M348" i="25"/>
  <c r="S347" i="25"/>
  <c r="AA347" i="25" s="1"/>
  <c r="M347" i="25"/>
  <c r="N347" i="25" s="1"/>
  <c r="P347" i="25" s="1"/>
  <c r="K347" i="25"/>
  <c r="S346" i="25"/>
  <c r="AA346" i="25" s="1"/>
  <c r="M346" i="25"/>
  <c r="L346" i="25" s="1"/>
  <c r="S345" i="25"/>
  <c r="AA345" i="25" s="1"/>
  <c r="M345" i="25"/>
  <c r="K345" i="25"/>
  <c r="S344" i="25"/>
  <c r="AA344" i="25" s="1"/>
  <c r="M344" i="25"/>
  <c r="S343" i="25"/>
  <c r="AA343" i="25" s="1"/>
  <c r="M343" i="25"/>
  <c r="N343" i="25" s="1"/>
  <c r="P343" i="25" s="1"/>
  <c r="K343" i="25"/>
  <c r="S342" i="25"/>
  <c r="AA342" i="25" s="1"/>
  <c r="M342" i="25"/>
  <c r="S341" i="25"/>
  <c r="AA341" i="25" s="1"/>
  <c r="M341" i="25"/>
  <c r="N341" i="25" s="1"/>
  <c r="P341" i="25" s="1"/>
  <c r="K341" i="25"/>
  <c r="S340" i="25"/>
  <c r="AA340" i="25" s="1"/>
  <c r="M340" i="25"/>
  <c r="S339" i="25"/>
  <c r="AA339" i="25" s="1"/>
  <c r="M339" i="25"/>
  <c r="N339" i="25" s="1"/>
  <c r="P339" i="25" s="1"/>
  <c r="K339" i="25"/>
  <c r="S338" i="25"/>
  <c r="AA338" i="25" s="1"/>
  <c r="M338" i="25"/>
  <c r="N338" i="25" s="1"/>
  <c r="P338" i="25" s="1"/>
  <c r="K338" i="25"/>
  <c r="S337" i="25"/>
  <c r="AA337" i="25" s="1"/>
  <c r="M337" i="25"/>
  <c r="N337" i="25" s="1"/>
  <c r="P337" i="25" s="1"/>
  <c r="K337" i="25"/>
  <c r="S336" i="25"/>
  <c r="AA336" i="25" s="1"/>
  <c r="M336" i="25"/>
  <c r="N336" i="25" s="1"/>
  <c r="P336" i="25" s="1"/>
  <c r="K336" i="25"/>
  <c r="S335" i="25"/>
  <c r="AA335" i="25" s="1"/>
  <c r="M335" i="25"/>
  <c r="N335" i="25" s="1"/>
  <c r="P335" i="25" s="1"/>
  <c r="K335" i="25"/>
  <c r="S334" i="25"/>
  <c r="AA334" i="25" s="1"/>
  <c r="M334" i="25"/>
  <c r="L334" i="25" s="1"/>
  <c r="S333" i="25"/>
  <c r="AA333" i="25" s="1"/>
  <c r="M333" i="25"/>
  <c r="K333" i="25"/>
  <c r="S332" i="25"/>
  <c r="AA332" i="25" s="1"/>
  <c r="M332" i="25"/>
  <c r="N332" i="25" s="1"/>
  <c r="P332" i="25" s="1"/>
  <c r="K332" i="25"/>
  <c r="S331" i="25"/>
  <c r="AA331" i="25" s="1"/>
  <c r="M331" i="25"/>
  <c r="K331" i="25"/>
  <c r="S330" i="25"/>
  <c r="AA330" i="25" s="1"/>
  <c r="M330" i="25"/>
  <c r="L330" i="25" s="1"/>
  <c r="S329" i="25"/>
  <c r="AA329" i="25" s="1"/>
  <c r="M329" i="25"/>
  <c r="L329" i="25" s="1"/>
  <c r="S328" i="25"/>
  <c r="AA328" i="25" s="1"/>
  <c r="M328" i="25"/>
  <c r="L328" i="25" s="1"/>
  <c r="S327" i="25"/>
  <c r="AA327" i="25" s="1"/>
  <c r="M327" i="25"/>
  <c r="L327" i="25" s="1"/>
  <c r="S326" i="25"/>
  <c r="AA326" i="25" s="1"/>
  <c r="M326" i="25"/>
  <c r="Z326" i="25" s="1"/>
  <c r="K326" i="25"/>
  <c r="S325" i="25"/>
  <c r="AA325" i="25" s="1"/>
  <c r="M325" i="25"/>
  <c r="K325" i="25"/>
  <c r="S324" i="25"/>
  <c r="AA324" i="25" s="1"/>
  <c r="M324" i="25"/>
  <c r="Z324" i="25" s="1"/>
  <c r="S323" i="25"/>
  <c r="AA323" i="25" s="1"/>
  <c r="M323" i="25"/>
  <c r="S322" i="25"/>
  <c r="AA322" i="25" s="1"/>
  <c r="M322" i="25"/>
  <c r="N322" i="25" s="1"/>
  <c r="P322" i="25" s="1"/>
  <c r="K322" i="25"/>
  <c r="S321" i="25"/>
  <c r="AA321" i="25" s="1"/>
  <c r="M321" i="25"/>
  <c r="N321" i="25" s="1"/>
  <c r="P321" i="25" s="1"/>
  <c r="K321" i="25"/>
  <c r="S320" i="25"/>
  <c r="AA320" i="25" s="1"/>
  <c r="M320" i="25"/>
  <c r="K320" i="25"/>
  <c r="S319" i="25"/>
  <c r="AA319" i="25" s="1"/>
  <c r="M319" i="25"/>
  <c r="K319" i="25"/>
  <c r="S318" i="25"/>
  <c r="AA318" i="25" s="1"/>
  <c r="M318" i="25"/>
  <c r="N318" i="25" s="1"/>
  <c r="P318" i="25" s="1"/>
  <c r="K318" i="25"/>
  <c r="S317" i="25"/>
  <c r="AA317" i="25" s="1"/>
  <c r="M317" i="25"/>
  <c r="N317" i="25" s="1"/>
  <c r="P317" i="25" s="1"/>
  <c r="K317" i="25"/>
  <c r="S316" i="25"/>
  <c r="AA316" i="25" s="1"/>
  <c r="M316" i="25"/>
  <c r="L316" i="25" s="1"/>
  <c r="S315" i="25"/>
  <c r="AA315" i="25" s="1"/>
  <c r="M315" i="25"/>
  <c r="L315" i="25" s="1"/>
  <c r="S314" i="25"/>
  <c r="AA314" i="25" s="1"/>
  <c r="M314" i="25"/>
  <c r="L314" i="25" s="1"/>
  <c r="S313" i="25"/>
  <c r="AA313" i="25" s="1"/>
  <c r="M313" i="25"/>
  <c r="L313" i="25" s="1"/>
  <c r="S312" i="25"/>
  <c r="AA312" i="25" s="1"/>
  <c r="M312" i="25"/>
  <c r="Z312" i="25" s="1"/>
  <c r="K312" i="25"/>
  <c r="S311" i="25"/>
  <c r="AA311" i="25" s="1"/>
  <c r="M311" i="25"/>
  <c r="K311" i="25"/>
  <c r="S310" i="25"/>
  <c r="AA310" i="25" s="1"/>
  <c r="M310" i="25"/>
  <c r="S309" i="25"/>
  <c r="AA309" i="25" s="1"/>
  <c r="M309" i="25"/>
  <c r="N309" i="25" s="1"/>
  <c r="P309" i="25" s="1"/>
  <c r="K309" i="25"/>
  <c r="S308" i="25"/>
  <c r="AA308" i="25" s="1"/>
  <c r="M308" i="25"/>
  <c r="N308" i="25" s="1"/>
  <c r="P308" i="25" s="1"/>
  <c r="K308" i="25"/>
  <c r="S307" i="25"/>
  <c r="AA307" i="25" s="1"/>
  <c r="M307" i="25"/>
  <c r="Z307" i="25" s="1"/>
  <c r="K307" i="25"/>
  <c r="S306" i="25"/>
  <c r="AA306" i="25" s="1"/>
  <c r="M306" i="25"/>
  <c r="K306" i="25"/>
  <c r="S305" i="25"/>
  <c r="AA305" i="25" s="1"/>
  <c r="M305" i="25"/>
  <c r="N305" i="25" s="1"/>
  <c r="P305" i="25" s="1"/>
  <c r="K305" i="25"/>
  <c r="S304" i="25"/>
  <c r="AA304" i="25" s="1"/>
  <c r="M304" i="25"/>
  <c r="N304" i="25" s="1"/>
  <c r="P304" i="25" s="1"/>
  <c r="K304" i="25"/>
  <c r="S303" i="25"/>
  <c r="AA303" i="25" s="1"/>
  <c r="M303" i="25"/>
  <c r="K303" i="25"/>
  <c r="S302" i="25"/>
  <c r="AA302" i="25" s="1"/>
  <c r="M302" i="25"/>
  <c r="L302" i="25" s="1"/>
  <c r="S301" i="25"/>
  <c r="AA301" i="25" s="1"/>
  <c r="M301" i="25"/>
  <c r="K301" i="25"/>
  <c r="S300" i="25"/>
  <c r="AA300" i="25" s="1"/>
  <c r="M300" i="25"/>
  <c r="N300" i="25" s="1"/>
  <c r="P300" i="25" s="1"/>
  <c r="K300" i="25"/>
  <c r="S299" i="25"/>
  <c r="AA299" i="25" s="1"/>
  <c r="M299" i="25"/>
  <c r="N299" i="25" s="1"/>
  <c r="P299" i="25" s="1"/>
  <c r="K299" i="25"/>
  <c r="S298" i="25"/>
  <c r="AA298" i="25" s="1"/>
  <c r="M298" i="25"/>
  <c r="N298" i="25" s="1"/>
  <c r="P298" i="25" s="1"/>
  <c r="K298" i="25"/>
  <c r="S297" i="25"/>
  <c r="AA297" i="25" s="1"/>
  <c r="M297" i="25"/>
  <c r="N297" i="25" s="1"/>
  <c r="P297" i="25" s="1"/>
  <c r="K297" i="25"/>
  <c r="S296" i="25"/>
  <c r="AA296" i="25" s="1"/>
  <c r="M296" i="25"/>
  <c r="S295" i="25"/>
  <c r="AA295" i="25" s="1"/>
  <c r="M295" i="25"/>
  <c r="Z295" i="25" s="1"/>
  <c r="S294" i="25"/>
  <c r="AA294" i="25" s="1"/>
  <c r="M294" i="25"/>
  <c r="S293" i="25"/>
  <c r="AA293" i="25" s="1"/>
  <c r="M293" i="25"/>
  <c r="Z293" i="25" s="1"/>
  <c r="S292" i="25"/>
  <c r="AA292" i="25" s="1"/>
  <c r="M292" i="25"/>
  <c r="S291" i="25"/>
  <c r="AA291" i="25" s="1"/>
  <c r="M291" i="25"/>
  <c r="Z291" i="25" s="1"/>
  <c r="S290" i="25"/>
  <c r="AA290" i="25" s="1"/>
  <c r="M290" i="25"/>
  <c r="N290" i="25" s="1"/>
  <c r="P290" i="25" s="1"/>
  <c r="K290" i="25"/>
  <c r="S289" i="25"/>
  <c r="AA289" i="25" s="1"/>
  <c r="M289" i="25"/>
  <c r="L289" i="25" s="1"/>
  <c r="S288" i="25"/>
  <c r="AA288" i="25" s="1"/>
  <c r="M288" i="25"/>
  <c r="N288" i="25" s="1"/>
  <c r="P288" i="25" s="1"/>
  <c r="K288" i="25"/>
  <c r="S287" i="25"/>
  <c r="AA287" i="25" s="1"/>
  <c r="M287" i="25"/>
  <c r="Z287" i="25" s="1"/>
  <c r="K287" i="25"/>
  <c r="S286" i="25"/>
  <c r="AA286" i="25" s="1"/>
  <c r="M286" i="25"/>
  <c r="L286" i="25" s="1"/>
  <c r="S285" i="25"/>
  <c r="AA285" i="25" s="1"/>
  <c r="M285" i="25"/>
  <c r="L285" i="25" s="1"/>
  <c r="S284" i="25"/>
  <c r="AA284" i="25" s="1"/>
  <c r="M284" i="25"/>
  <c r="L284" i="25" s="1"/>
  <c r="S283" i="25"/>
  <c r="AA283" i="25" s="1"/>
  <c r="M283" i="25"/>
  <c r="L283" i="25" s="1"/>
  <c r="S282" i="25"/>
  <c r="AA282" i="25" s="1"/>
  <c r="M282" i="25"/>
  <c r="L282" i="25" s="1"/>
  <c r="S281" i="25"/>
  <c r="AA281" i="25" s="1"/>
  <c r="M281" i="25"/>
  <c r="L281" i="25" s="1"/>
  <c r="S280" i="25"/>
  <c r="AA280" i="25" s="1"/>
  <c r="M280" i="25"/>
  <c r="L280" i="25" s="1"/>
  <c r="S279" i="25"/>
  <c r="AA279" i="25" s="1"/>
  <c r="M279" i="25"/>
  <c r="L279" i="25" s="1"/>
  <c r="S278" i="25"/>
  <c r="AA278" i="25" s="1"/>
  <c r="M278" i="25"/>
  <c r="L278" i="25" s="1"/>
  <c r="S277" i="25"/>
  <c r="AA277" i="25" s="1"/>
  <c r="M277" i="25"/>
  <c r="N277" i="25" s="1"/>
  <c r="P277" i="25" s="1"/>
  <c r="K277" i="25"/>
  <c r="S276" i="25"/>
  <c r="AA276" i="25" s="1"/>
  <c r="M276" i="25"/>
  <c r="Z276" i="25" s="1"/>
  <c r="S275" i="25"/>
  <c r="AA275" i="25" s="1"/>
  <c r="M275" i="25"/>
  <c r="S274" i="25"/>
  <c r="AA274" i="25" s="1"/>
  <c r="M274" i="25"/>
  <c r="S273" i="25"/>
  <c r="AA273" i="25" s="1"/>
  <c r="M273" i="25"/>
  <c r="N273" i="25" s="1"/>
  <c r="P273" i="25" s="1"/>
  <c r="K273" i="25"/>
  <c r="S272" i="25"/>
  <c r="AA272" i="25" s="1"/>
  <c r="M272" i="25"/>
  <c r="N272" i="25" s="1"/>
  <c r="P272" i="25" s="1"/>
  <c r="K272" i="25"/>
  <c r="S271" i="25"/>
  <c r="AA271" i="25" s="1"/>
  <c r="M271" i="25"/>
  <c r="N271" i="25" s="1"/>
  <c r="P271" i="25" s="1"/>
  <c r="K271" i="25"/>
  <c r="S270" i="25"/>
  <c r="AA270" i="25" s="1"/>
  <c r="M270" i="25"/>
  <c r="N270" i="25" s="1"/>
  <c r="P270" i="25" s="1"/>
  <c r="K270" i="25"/>
  <c r="S269" i="25"/>
  <c r="AA269" i="25" s="1"/>
  <c r="M269" i="25"/>
  <c r="N269" i="25" s="1"/>
  <c r="P269" i="25" s="1"/>
  <c r="K269" i="25"/>
  <c r="S268" i="25"/>
  <c r="AA268" i="25" s="1"/>
  <c r="M268" i="25"/>
  <c r="N268" i="25" s="1"/>
  <c r="P268" i="25" s="1"/>
  <c r="K268" i="25"/>
  <c r="S267" i="25"/>
  <c r="AA267" i="25" s="1"/>
  <c r="M267" i="25"/>
  <c r="K267" i="25"/>
  <c r="S266" i="25"/>
  <c r="AA266" i="25" s="1"/>
  <c r="M266" i="25"/>
  <c r="K266" i="25"/>
  <c r="S265" i="25"/>
  <c r="AA265" i="25" s="1"/>
  <c r="M265" i="25"/>
  <c r="N265" i="25" s="1"/>
  <c r="P265" i="25" s="1"/>
  <c r="K265" i="25"/>
  <c r="S264" i="25"/>
  <c r="AA264" i="25" s="1"/>
  <c r="M264" i="25"/>
  <c r="N264" i="25" s="1"/>
  <c r="P264" i="25" s="1"/>
  <c r="K264" i="25"/>
  <c r="S263" i="25"/>
  <c r="AA263" i="25" s="1"/>
  <c r="M263" i="25"/>
  <c r="N263" i="25" s="1"/>
  <c r="P263" i="25" s="1"/>
  <c r="K263" i="25"/>
  <c r="S262" i="25"/>
  <c r="AA262" i="25" s="1"/>
  <c r="M262" i="25"/>
  <c r="N262" i="25" s="1"/>
  <c r="P262" i="25" s="1"/>
  <c r="K262" i="25"/>
  <c r="S261" i="25"/>
  <c r="AA261" i="25" s="1"/>
  <c r="M261" i="25"/>
  <c r="N261" i="25" s="1"/>
  <c r="P261" i="25" s="1"/>
  <c r="K261" i="25"/>
  <c r="S260" i="25"/>
  <c r="AA260" i="25" s="1"/>
  <c r="M260" i="25"/>
  <c r="N260" i="25" s="1"/>
  <c r="P260" i="25" s="1"/>
  <c r="K260" i="25"/>
  <c r="S259" i="25"/>
  <c r="AA259" i="25" s="1"/>
  <c r="M259" i="25"/>
  <c r="K259" i="25"/>
  <c r="S258" i="25"/>
  <c r="AA258" i="25" s="1"/>
  <c r="M258" i="25"/>
  <c r="L258" i="25" s="1"/>
  <c r="S257" i="25"/>
  <c r="AA257" i="25" s="1"/>
  <c r="M257" i="25"/>
  <c r="L257" i="25" s="1"/>
  <c r="S256" i="25"/>
  <c r="AA256" i="25" s="1"/>
  <c r="M256" i="25"/>
  <c r="L256" i="25" s="1"/>
  <c r="S255" i="25"/>
  <c r="AA255" i="25" s="1"/>
  <c r="M255" i="25"/>
  <c r="L255" i="25" s="1"/>
  <c r="S254" i="25"/>
  <c r="AA254" i="25" s="1"/>
  <c r="M254" i="25"/>
  <c r="L254" i="25" s="1"/>
  <c r="S253" i="25"/>
  <c r="AA253" i="25" s="1"/>
  <c r="M253" i="25"/>
  <c r="L253" i="25" s="1"/>
  <c r="S252" i="25"/>
  <c r="AA252" i="25" s="1"/>
  <c r="M252" i="25"/>
  <c r="L252" i="25" s="1"/>
  <c r="S251" i="25"/>
  <c r="AA251" i="25" s="1"/>
  <c r="M251" i="25"/>
  <c r="L251" i="25" s="1"/>
  <c r="S250" i="25"/>
  <c r="AA250" i="25" s="1"/>
  <c r="M250" i="25"/>
  <c r="L250" i="25" s="1"/>
  <c r="S249" i="25"/>
  <c r="AA249" i="25" s="1"/>
  <c r="M249" i="25"/>
  <c r="K249" i="25"/>
  <c r="S248" i="25"/>
  <c r="AA248" i="25" s="1"/>
  <c r="M248" i="25"/>
  <c r="N248" i="25" s="1"/>
  <c r="P248" i="25" s="1"/>
  <c r="K248" i="25"/>
  <c r="S247" i="25"/>
  <c r="AA247" i="25" s="1"/>
  <c r="M247" i="25"/>
  <c r="L247" i="25" s="1"/>
  <c r="S246" i="25"/>
  <c r="AA246" i="25" s="1"/>
  <c r="M246" i="25"/>
  <c r="L246" i="25" s="1"/>
  <c r="S245" i="25"/>
  <c r="AA245" i="25" s="1"/>
  <c r="M245" i="25"/>
  <c r="L245" i="25" s="1"/>
  <c r="S244" i="25"/>
  <c r="AA244" i="25" s="1"/>
  <c r="M244" i="25"/>
  <c r="L244" i="25" s="1"/>
  <c r="S243" i="25"/>
  <c r="AA243" i="25" s="1"/>
  <c r="M243" i="25"/>
  <c r="N243" i="25" s="1"/>
  <c r="P243" i="25" s="1"/>
  <c r="K243" i="25"/>
  <c r="S242" i="25"/>
  <c r="AA242" i="25" s="1"/>
  <c r="M242" i="25"/>
  <c r="Z242" i="25" s="1"/>
  <c r="K242" i="25"/>
  <c r="S241" i="25"/>
  <c r="AA241" i="25" s="1"/>
  <c r="M241" i="25"/>
  <c r="L241" i="25" s="1"/>
  <c r="S240" i="25"/>
  <c r="AA240" i="25" s="1"/>
  <c r="M240" i="25"/>
  <c r="L240" i="25" s="1"/>
  <c r="S239" i="25"/>
  <c r="AA239" i="25" s="1"/>
  <c r="M239" i="25"/>
  <c r="K239" i="25"/>
  <c r="S238" i="25"/>
  <c r="AA238" i="25" s="1"/>
  <c r="M238" i="25"/>
  <c r="Z238" i="25" s="1"/>
  <c r="S237" i="25"/>
  <c r="AA237" i="25" s="1"/>
  <c r="M237" i="25"/>
  <c r="S236" i="25"/>
  <c r="AA236" i="25" s="1"/>
  <c r="M236" i="25"/>
  <c r="Z236" i="25" s="1"/>
  <c r="S235" i="25"/>
  <c r="AA235" i="25" s="1"/>
  <c r="M235" i="25"/>
  <c r="S234" i="25"/>
  <c r="AA234" i="25" s="1"/>
  <c r="M234" i="25"/>
  <c r="Z234" i="25" s="1"/>
  <c r="S233" i="25"/>
  <c r="AA233" i="25" s="1"/>
  <c r="M233" i="25"/>
  <c r="S232" i="25"/>
  <c r="AA232" i="25" s="1"/>
  <c r="M232" i="25"/>
  <c r="Z232" i="25" s="1"/>
  <c r="S231" i="25"/>
  <c r="AA231" i="25" s="1"/>
  <c r="M231" i="25"/>
  <c r="S230" i="25"/>
  <c r="AA230" i="25" s="1"/>
  <c r="M230" i="25"/>
  <c r="Z230" i="25" s="1"/>
  <c r="S229" i="25"/>
  <c r="AA229" i="25" s="1"/>
  <c r="M229" i="25"/>
  <c r="N229" i="25" s="1"/>
  <c r="P229" i="25" s="1"/>
  <c r="K229" i="25"/>
  <c r="S228" i="25"/>
  <c r="AA228" i="25" s="1"/>
  <c r="M228" i="25"/>
  <c r="L228" i="25" s="1"/>
  <c r="S227" i="25"/>
  <c r="AA227" i="25" s="1"/>
  <c r="M227" i="25"/>
  <c r="L227" i="25" s="1"/>
  <c r="S226" i="25"/>
  <c r="AA226" i="25" s="1"/>
  <c r="M226" i="25"/>
  <c r="N226" i="25" s="1"/>
  <c r="P226" i="25" s="1"/>
  <c r="K226" i="25"/>
  <c r="S225" i="25"/>
  <c r="AA225" i="25" s="1"/>
  <c r="M225" i="25"/>
  <c r="K225" i="25"/>
  <c r="S224" i="25"/>
  <c r="AA224" i="25" s="1"/>
  <c r="M224" i="25"/>
  <c r="L224" i="25" s="1"/>
  <c r="S223" i="25"/>
  <c r="AA223" i="25" s="1"/>
  <c r="M223" i="25"/>
  <c r="L223" i="25" s="1"/>
  <c r="S222" i="25"/>
  <c r="AA222" i="25" s="1"/>
  <c r="M222" i="25"/>
  <c r="L222" i="25" s="1"/>
  <c r="S221" i="25"/>
  <c r="AA221" i="25" s="1"/>
  <c r="M221" i="25"/>
  <c r="N221" i="25" s="1"/>
  <c r="P221" i="25" s="1"/>
  <c r="K221" i="25"/>
  <c r="S220" i="25"/>
  <c r="AA220" i="25" s="1"/>
  <c r="M220" i="25"/>
  <c r="N220" i="25" s="1"/>
  <c r="P220" i="25" s="1"/>
  <c r="K220" i="25"/>
  <c r="S219" i="25"/>
  <c r="AA219" i="25" s="1"/>
  <c r="M219" i="25"/>
  <c r="L219" i="25" s="1"/>
  <c r="S218" i="25"/>
  <c r="AA218" i="25" s="1"/>
  <c r="M218" i="25"/>
  <c r="L218" i="25" s="1"/>
  <c r="S217" i="25"/>
  <c r="AA217" i="25" s="1"/>
  <c r="M217" i="25"/>
  <c r="L217" i="25" s="1"/>
  <c r="S216" i="25"/>
  <c r="AA216" i="25" s="1"/>
  <c r="M216" i="25"/>
  <c r="L216" i="25" s="1"/>
  <c r="S215" i="25"/>
  <c r="AA215" i="25" s="1"/>
  <c r="M215" i="25"/>
  <c r="L215" i="25" s="1"/>
  <c r="S214" i="25"/>
  <c r="AA214" i="25" s="1"/>
  <c r="M214" i="25"/>
  <c r="L214" i="25" s="1"/>
  <c r="S213" i="25"/>
  <c r="AA213" i="25" s="1"/>
  <c r="M213" i="25"/>
  <c r="N213" i="25" s="1"/>
  <c r="P213" i="25" s="1"/>
  <c r="K213" i="25"/>
  <c r="S212" i="25"/>
  <c r="AA212" i="25" s="1"/>
  <c r="M212" i="25"/>
  <c r="Z212" i="25" s="1"/>
  <c r="S211" i="25"/>
  <c r="AA211" i="25" s="1"/>
  <c r="M211" i="25"/>
  <c r="Z211" i="25" s="1"/>
  <c r="S210" i="25"/>
  <c r="AA210" i="25" s="1"/>
  <c r="M210" i="25"/>
  <c r="S209" i="25"/>
  <c r="AA209" i="25" s="1"/>
  <c r="M209" i="25"/>
  <c r="Z209" i="25" s="1"/>
  <c r="S208" i="25"/>
  <c r="AA208" i="25" s="1"/>
  <c r="M208" i="25"/>
  <c r="Z208" i="25" s="1"/>
  <c r="S207" i="25"/>
  <c r="AA207" i="25" s="1"/>
  <c r="M207" i="25"/>
  <c r="Z207" i="25" s="1"/>
  <c r="S206" i="25"/>
  <c r="AA206" i="25" s="1"/>
  <c r="M206" i="25"/>
  <c r="S205" i="25"/>
  <c r="AA205" i="25" s="1"/>
  <c r="M205" i="25"/>
  <c r="Z205" i="25" s="1"/>
  <c r="S204" i="25"/>
  <c r="AA204" i="25" s="1"/>
  <c r="M204" i="25"/>
  <c r="Z204" i="25" s="1"/>
  <c r="S203" i="25"/>
  <c r="AA203" i="25" s="1"/>
  <c r="M203" i="25"/>
  <c r="Z203" i="25" s="1"/>
  <c r="S202" i="25"/>
  <c r="AA202" i="25" s="1"/>
  <c r="M202" i="25"/>
  <c r="S201" i="25"/>
  <c r="AA201" i="25" s="1"/>
  <c r="M201" i="25"/>
  <c r="Z201" i="25" s="1"/>
  <c r="S200" i="25"/>
  <c r="AA200" i="25" s="1"/>
  <c r="M200" i="25"/>
  <c r="Z200" i="25" s="1"/>
  <c r="S199" i="25"/>
  <c r="AA199" i="25" s="1"/>
  <c r="M199" i="25"/>
  <c r="Z199" i="25" s="1"/>
  <c r="S198" i="25"/>
  <c r="AA198" i="25" s="1"/>
  <c r="M198" i="25"/>
  <c r="S197" i="25"/>
  <c r="AA197" i="25" s="1"/>
  <c r="M197" i="25"/>
  <c r="Z197" i="25" s="1"/>
  <c r="S196" i="25"/>
  <c r="AA196" i="25" s="1"/>
  <c r="M196" i="25"/>
  <c r="Z196" i="25" s="1"/>
  <c r="S195" i="25"/>
  <c r="AA195" i="25" s="1"/>
  <c r="M195" i="25"/>
  <c r="Z195" i="25" s="1"/>
  <c r="S194" i="25"/>
  <c r="AA194" i="25" s="1"/>
  <c r="M194" i="25"/>
  <c r="S193" i="25"/>
  <c r="AA193" i="25" s="1"/>
  <c r="M193" i="25"/>
  <c r="Z193" i="25" s="1"/>
  <c r="S192" i="25"/>
  <c r="AA192" i="25" s="1"/>
  <c r="M192" i="25"/>
  <c r="Z192" i="25" s="1"/>
  <c r="S191" i="25"/>
  <c r="AA191" i="25" s="1"/>
  <c r="M191" i="25"/>
  <c r="Z191" i="25" s="1"/>
  <c r="S190" i="25"/>
  <c r="AA190" i="25" s="1"/>
  <c r="M190" i="25"/>
  <c r="S189" i="25"/>
  <c r="AA189" i="25" s="1"/>
  <c r="M189" i="25"/>
  <c r="Z189" i="25" s="1"/>
  <c r="S188" i="25"/>
  <c r="AA188" i="25" s="1"/>
  <c r="M188" i="25"/>
  <c r="N188" i="25" s="1"/>
  <c r="P188" i="25" s="1"/>
  <c r="K188" i="25"/>
  <c r="S187" i="25"/>
  <c r="AA187" i="25" s="1"/>
  <c r="M187" i="25"/>
  <c r="L187" i="25" s="1"/>
  <c r="S186" i="25"/>
  <c r="AA186" i="25" s="1"/>
  <c r="M186" i="25"/>
  <c r="K186" i="25"/>
  <c r="S185" i="25"/>
  <c r="AA185" i="25" s="1"/>
  <c r="M185" i="25"/>
  <c r="N185" i="25" s="1"/>
  <c r="P185" i="25" s="1"/>
  <c r="K185" i="25"/>
  <c r="S184" i="25"/>
  <c r="AA184" i="25" s="1"/>
  <c r="M184" i="25"/>
  <c r="N184" i="25" s="1"/>
  <c r="P184" i="25" s="1"/>
  <c r="K184" i="25"/>
  <c r="S183" i="25"/>
  <c r="AA183" i="25" s="1"/>
  <c r="M183" i="25"/>
  <c r="Z183" i="25" s="1"/>
  <c r="K183" i="25"/>
  <c r="S182" i="25"/>
  <c r="AA182" i="25" s="1"/>
  <c r="M182" i="25"/>
  <c r="L182" i="25" s="1"/>
  <c r="S181" i="25"/>
  <c r="AA181" i="25" s="1"/>
  <c r="M181" i="25"/>
  <c r="L181" i="25" s="1"/>
  <c r="S180" i="25"/>
  <c r="AA180" i="25" s="1"/>
  <c r="M180" i="25"/>
  <c r="L180" i="25" s="1"/>
  <c r="S179" i="25"/>
  <c r="AA179" i="25" s="1"/>
  <c r="M179" i="25"/>
  <c r="L179" i="25" s="1"/>
  <c r="S178" i="25"/>
  <c r="AA178" i="25" s="1"/>
  <c r="M178" i="25"/>
  <c r="L178" i="25" s="1"/>
  <c r="S177" i="25"/>
  <c r="AA177" i="25" s="1"/>
  <c r="M177" i="25"/>
  <c r="L177" i="25" s="1"/>
  <c r="S176" i="25"/>
  <c r="AA176" i="25" s="1"/>
  <c r="M176" i="25"/>
  <c r="L176" i="25" s="1"/>
  <c r="S175" i="25"/>
  <c r="AA175" i="25" s="1"/>
  <c r="M175" i="25"/>
  <c r="L175" i="25" s="1"/>
  <c r="S174" i="25"/>
  <c r="AA174" i="25" s="1"/>
  <c r="M174" i="25"/>
  <c r="L174" i="25" s="1"/>
  <c r="S173" i="25"/>
  <c r="AA173" i="25" s="1"/>
  <c r="M173" i="25"/>
  <c r="L173" i="25" s="1"/>
  <c r="S172" i="25"/>
  <c r="AA172" i="25" s="1"/>
  <c r="M172" i="25"/>
  <c r="L172" i="25" s="1"/>
  <c r="S171" i="25"/>
  <c r="AA171" i="25" s="1"/>
  <c r="M171" i="25"/>
  <c r="L171" i="25" s="1"/>
  <c r="S170" i="25"/>
  <c r="AA170" i="25" s="1"/>
  <c r="M170" i="25"/>
  <c r="L170" i="25" s="1"/>
  <c r="S169" i="25"/>
  <c r="AA169" i="25" s="1"/>
  <c r="M169" i="25"/>
  <c r="L169" i="25" s="1"/>
  <c r="S168" i="25"/>
  <c r="AA168" i="25" s="1"/>
  <c r="M168" i="25"/>
  <c r="L168" i="25" s="1"/>
  <c r="S167" i="25"/>
  <c r="AA167" i="25" s="1"/>
  <c r="M167" i="25"/>
  <c r="L167" i="25" s="1"/>
  <c r="S166" i="25"/>
  <c r="AA166" i="25" s="1"/>
  <c r="M166" i="25"/>
  <c r="L166" i="25" s="1"/>
  <c r="S165" i="25"/>
  <c r="AA165" i="25" s="1"/>
  <c r="M165" i="25"/>
  <c r="L165" i="25" s="1"/>
  <c r="S164" i="25"/>
  <c r="AA164" i="25" s="1"/>
  <c r="M164" i="25"/>
  <c r="L164" i="25" s="1"/>
  <c r="S163" i="25"/>
  <c r="AA163" i="25" s="1"/>
  <c r="M163" i="25"/>
  <c r="L163" i="25" s="1"/>
  <c r="S162" i="25"/>
  <c r="AA162" i="25" s="1"/>
  <c r="M162" i="25"/>
  <c r="L162" i="25" s="1"/>
  <c r="S161" i="25"/>
  <c r="AA161" i="25" s="1"/>
  <c r="M161" i="25"/>
  <c r="L161" i="25" s="1"/>
  <c r="S160" i="25"/>
  <c r="AA160" i="25" s="1"/>
  <c r="M160" i="25"/>
  <c r="L160" i="25" s="1"/>
  <c r="S159" i="25"/>
  <c r="AA159" i="25" s="1"/>
  <c r="M159" i="25"/>
  <c r="L159" i="25" s="1"/>
  <c r="S158" i="25"/>
  <c r="AA158" i="25" s="1"/>
  <c r="M158" i="25"/>
  <c r="L158" i="25" s="1"/>
  <c r="S157" i="25"/>
  <c r="AA157" i="25" s="1"/>
  <c r="M157" i="25"/>
  <c r="L157" i="25" s="1"/>
  <c r="S156" i="25"/>
  <c r="AA156" i="25" s="1"/>
  <c r="M156" i="25"/>
  <c r="L156" i="25" s="1"/>
  <c r="S155" i="25"/>
  <c r="AA155" i="25" s="1"/>
  <c r="M155" i="25"/>
  <c r="L155" i="25" s="1"/>
  <c r="S154" i="25"/>
  <c r="AA154" i="25" s="1"/>
  <c r="M154" i="25"/>
  <c r="L154" i="25" s="1"/>
  <c r="S153" i="25"/>
  <c r="AA153" i="25" s="1"/>
  <c r="M153" i="25"/>
  <c r="L153" i="25" s="1"/>
  <c r="S152" i="25"/>
  <c r="AA152" i="25" s="1"/>
  <c r="M152" i="25"/>
  <c r="K152" i="25"/>
  <c r="S151" i="25"/>
  <c r="AA151" i="25" s="1"/>
  <c r="M151" i="25"/>
  <c r="N151" i="25" s="1"/>
  <c r="P151" i="25" s="1"/>
  <c r="K151" i="25"/>
  <c r="S150" i="25"/>
  <c r="AA150" i="25" s="1"/>
  <c r="M150" i="25"/>
  <c r="L150" i="25" s="1"/>
  <c r="S149" i="25"/>
  <c r="AA149" i="25" s="1"/>
  <c r="M149" i="25"/>
  <c r="L149" i="25" s="1"/>
  <c r="S148" i="25"/>
  <c r="AA148" i="25" s="1"/>
  <c r="M148" i="25"/>
  <c r="L148" i="25" s="1"/>
  <c r="S147" i="25"/>
  <c r="AA147" i="25" s="1"/>
  <c r="M147" i="25"/>
  <c r="L147" i="25" s="1"/>
  <c r="S146" i="25"/>
  <c r="AA146" i="25" s="1"/>
  <c r="M146" i="25"/>
  <c r="L146" i="25" s="1"/>
  <c r="S145" i="25"/>
  <c r="AA145" i="25" s="1"/>
  <c r="M145" i="25"/>
  <c r="N145" i="25" s="1"/>
  <c r="P145" i="25" s="1"/>
  <c r="S144" i="25"/>
  <c r="AA144" i="25" s="1"/>
  <c r="M144" i="25"/>
  <c r="Z144" i="25" s="1"/>
  <c r="S143" i="25"/>
  <c r="AA143" i="25" s="1"/>
  <c r="M143" i="25"/>
  <c r="N143" i="25" s="1"/>
  <c r="P143" i="25" s="1"/>
  <c r="K143" i="25"/>
  <c r="S142" i="25"/>
  <c r="AA142" i="25" s="1"/>
  <c r="M142" i="25"/>
  <c r="N142" i="25" s="1"/>
  <c r="P142" i="25" s="1"/>
  <c r="K142" i="25"/>
  <c r="S141" i="25"/>
  <c r="AA141" i="25" s="1"/>
  <c r="M141" i="25"/>
  <c r="N141" i="25" s="1"/>
  <c r="P141" i="25" s="1"/>
  <c r="K141" i="25"/>
  <c r="S140" i="25"/>
  <c r="AA140" i="25" s="1"/>
  <c r="M140" i="25"/>
  <c r="N140" i="25" s="1"/>
  <c r="P140" i="25" s="1"/>
  <c r="K140" i="25"/>
  <c r="S139" i="25"/>
  <c r="AA139" i="25" s="1"/>
  <c r="M139" i="25"/>
  <c r="K139" i="25"/>
  <c r="S138" i="25"/>
  <c r="AA138" i="25" s="1"/>
  <c r="M138" i="25"/>
  <c r="L138" i="25" s="1"/>
  <c r="S137" i="25"/>
  <c r="AA137" i="25" s="1"/>
  <c r="M137" i="25"/>
  <c r="K137" i="25"/>
  <c r="S136" i="25"/>
  <c r="AA136" i="25" s="1"/>
  <c r="M136" i="25"/>
  <c r="N136" i="25" s="1"/>
  <c r="P136" i="25" s="1"/>
  <c r="K136" i="25"/>
  <c r="S135" i="25"/>
  <c r="AA135" i="25" s="1"/>
  <c r="M135" i="25"/>
  <c r="N135" i="25" s="1"/>
  <c r="P135" i="25" s="1"/>
  <c r="K135" i="25"/>
  <c r="S134" i="25"/>
  <c r="AA134" i="25" s="1"/>
  <c r="M134" i="25"/>
  <c r="Z134" i="25" s="1"/>
  <c r="K134" i="25"/>
  <c r="S133" i="25"/>
  <c r="AA133" i="25" s="1"/>
  <c r="M133" i="25"/>
  <c r="K133" i="25"/>
  <c r="S132" i="25"/>
  <c r="AA132" i="25" s="1"/>
  <c r="M132" i="25"/>
  <c r="N132" i="25" s="1"/>
  <c r="P132" i="25" s="1"/>
  <c r="K132" i="25"/>
  <c r="S131" i="25"/>
  <c r="AA131" i="25" s="1"/>
  <c r="M131" i="25"/>
  <c r="N131" i="25" s="1"/>
  <c r="P131" i="25" s="1"/>
  <c r="K131" i="25"/>
  <c r="S130" i="25"/>
  <c r="AA130" i="25" s="1"/>
  <c r="M130" i="25"/>
  <c r="Z130" i="25" s="1"/>
  <c r="K130" i="25"/>
  <c r="S129" i="25"/>
  <c r="AA129" i="25" s="1"/>
  <c r="M129" i="25"/>
  <c r="K129" i="25"/>
  <c r="S128" i="25"/>
  <c r="AA128" i="25" s="1"/>
  <c r="M128" i="25"/>
  <c r="N128" i="25" s="1"/>
  <c r="P128" i="25" s="1"/>
  <c r="K128" i="25"/>
  <c r="S127" i="25"/>
  <c r="AA127" i="25" s="1"/>
  <c r="M127" i="25"/>
  <c r="N127" i="25" s="1"/>
  <c r="P127" i="25" s="1"/>
  <c r="K127" i="25"/>
  <c r="S126" i="25"/>
  <c r="AA126" i="25" s="1"/>
  <c r="M126" i="25"/>
  <c r="Z126" i="25" s="1"/>
  <c r="K126" i="25"/>
  <c r="S125" i="25"/>
  <c r="AA125" i="25" s="1"/>
  <c r="M125" i="25"/>
  <c r="K125" i="25"/>
  <c r="S124" i="25"/>
  <c r="AA124" i="25" s="1"/>
  <c r="M124" i="25"/>
  <c r="S123" i="25"/>
  <c r="AA123" i="25" s="1"/>
  <c r="M123" i="25"/>
  <c r="Z123" i="25" s="1"/>
  <c r="S122" i="25"/>
  <c r="AA122" i="25" s="1"/>
  <c r="M122" i="25"/>
  <c r="S121" i="25"/>
  <c r="AA121" i="25" s="1"/>
  <c r="M121" i="25"/>
  <c r="Z121" i="25" s="1"/>
  <c r="S120" i="25"/>
  <c r="AA120" i="25" s="1"/>
  <c r="M120" i="25"/>
  <c r="S119" i="25"/>
  <c r="AA119" i="25" s="1"/>
  <c r="M119" i="25"/>
  <c r="Z119" i="25" s="1"/>
  <c r="S118" i="25"/>
  <c r="AA118" i="25" s="1"/>
  <c r="M118" i="25"/>
  <c r="S117" i="25"/>
  <c r="AA117" i="25" s="1"/>
  <c r="M117" i="25"/>
  <c r="Z117" i="25" s="1"/>
  <c r="S116" i="25"/>
  <c r="AA116" i="25" s="1"/>
  <c r="M116" i="25"/>
  <c r="S115" i="25"/>
  <c r="AA115" i="25" s="1"/>
  <c r="M115" i="25"/>
  <c r="Z115" i="25" s="1"/>
  <c r="S114" i="25"/>
  <c r="AA114" i="25" s="1"/>
  <c r="M114" i="25"/>
  <c r="S113" i="25"/>
  <c r="AA113" i="25" s="1"/>
  <c r="M113" i="25"/>
  <c r="Z113" i="25" s="1"/>
  <c r="S112" i="25"/>
  <c r="AA112" i="25" s="1"/>
  <c r="M112" i="25"/>
  <c r="S108" i="25"/>
  <c r="AA108" i="25" s="1"/>
  <c r="M108" i="25"/>
  <c r="Z108" i="25" s="1"/>
  <c r="S107" i="25"/>
  <c r="AA107" i="25" s="1"/>
  <c r="M107" i="25"/>
  <c r="S106" i="25"/>
  <c r="AA106" i="25" s="1"/>
  <c r="M106" i="25"/>
  <c r="Z106" i="25" s="1"/>
  <c r="S105" i="25"/>
  <c r="AA105" i="25" s="1"/>
  <c r="M105" i="25"/>
  <c r="S104" i="25"/>
  <c r="AA104" i="25" s="1"/>
  <c r="M104" i="25"/>
  <c r="Z104" i="25" s="1"/>
  <c r="S103" i="25"/>
  <c r="AA103" i="25" s="1"/>
  <c r="M103" i="25"/>
  <c r="Z103" i="25" s="1"/>
  <c r="S102" i="25"/>
  <c r="AA102" i="25" s="1"/>
  <c r="M102" i="25"/>
  <c r="S101" i="25"/>
  <c r="AA101" i="25" s="1"/>
  <c r="M101" i="25"/>
  <c r="Z101" i="25" s="1"/>
  <c r="S100" i="25"/>
  <c r="AA100" i="25" s="1"/>
  <c r="M100" i="25"/>
  <c r="S99" i="25"/>
  <c r="AA99" i="25" s="1"/>
  <c r="M99" i="25"/>
  <c r="Z99" i="25" s="1"/>
  <c r="S98" i="25"/>
  <c r="AA98" i="25" s="1"/>
  <c r="M98" i="25"/>
  <c r="S97" i="25"/>
  <c r="AA97" i="25" s="1"/>
  <c r="M97" i="25"/>
  <c r="Z97" i="25" s="1"/>
  <c r="S96" i="25"/>
  <c r="AA96" i="25" s="1"/>
  <c r="M96" i="25"/>
  <c r="S95" i="25"/>
  <c r="AA95" i="25" s="1"/>
  <c r="M95" i="25"/>
  <c r="N95" i="25" s="1"/>
  <c r="P95" i="25" s="1"/>
  <c r="K95" i="25"/>
  <c r="S94" i="25"/>
  <c r="AA94" i="25" s="1"/>
  <c r="M94" i="25"/>
  <c r="N94" i="25" s="1"/>
  <c r="P94" i="25" s="1"/>
  <c r="K94" i="25"/>
  <c r="S93" i="25"/>
  <c r="AA93" i="25" s="1"/>
  <c r="M93" i="25"/>
  <c r="Z93" i="25" s="1"/>
  <c r="K93" i="25"/>
  <c r="AA92" i="25"/>
  <c r="M92" i="25"/>
  <c r="L92" i="25" s="1"/>
  <c r="K92" i="25"/>
  <c r="S91" i="25"/>
  <c r="AA91" i="25" s="1"/>
  <c r="M91" i="25"/>
  <c r="Z91" i="25" s="1"/>
  <c r="K91" i="25"/>
  <c r="S90" i="25"/>
  <c r="AA90" i="25" s="1"/>
  <c r="M90" i="25"/>
  <c r="Z90" i="25" s="1"/>
  <c r="K90" i="25"/>
  <c r="S89" i="25"/>
  <c r="AA89" i="25" s="1"/>
  <c r="M89" i="25"/>
  <c r="Z89" i="25" s="1"/>
  <c r="K89" i="25"/>
  <c r="S88" i="25"/>
  <c r="AA88" i="25" s="1"/>
  <c r="M88" i="25"/>
  <c r="Z88" i="25" s="1"/>
  <c r="K88" i="25"/>
  <c r="S87" i="25"/>
  <c r="AA87" i="25" s="1"/>
  <c r="M87" i="25"/>
  <c r="Z87" i="25" s="1"/>
  <c r="S86" i="25"/>
  <c r="AA86" i="25" s="1"/>
  <c r="M86" i="25"/>
  <c r="K86" i="25" s="1"/>
  <c r="S85" i="25"/>
  <c r="AA85" i="25" s="1"/>
  <c r="M85" i="25"/>
  <c r="K85" i="25" s="1"/>
  <c r="S84" i="25"/>
  <c r="AA84" i="25" s="1"/>
  <c r="M84" i="25"/>
  <c r="K84" i="25" s="1"/>
  <c r="S83" i="25"/>
  <c r="AA83" i="25" s="1"/>
  <c r="M83" i="25"/>
  <c r="K83" i="25" s="1"/>
  <c r="S82" i="25"/>
  <c r="AA82" i="25" s="1"/>
  <c r="M82" i="25"/>
  <c r="K82" i="25"/>
  <c r="S81" i="25"/>
  <c r="AA81" i="25" s="1"/>
  <c r="M81" i="25"/>
  <c r="K81" i="25"/>
  <c r="S80" i="25"/>
  <c r="AA80" i="25" s="1"/>
  <c r="M80" i="25"/>
  <c r="K80" i="25" s="1"/>
  <c r="S79" i="25"/>
  <c r="AA79" i="25" s="1"/>
  <c r="M79" i="25"/>
  <c r="K79" i="25"/>
  <c r="S78" i="25"/>
  <c r="AA78" i="25" s="1"/>
  <c r="M78" i="25"/>
  <c r="K78" i="25"/>
  <c r="S77" i="25"/>
  <c r="AA77" i="25" s="1"/>
  <c r="M77" i="25"/>
  <c r="K77" i="25"/>
  <c r="S76" i="25"/>
  <c r="AA76" i="25" s="1"/>
  <c r="M76" i="25"/>
  <c r="K76" i="25" s="1"/>
  <c r="S75" i="25"/>
  <c r="AA75" i="25" s="1"/>
  <c r="M75" i="25"/>
  <c r="K75" i="25"/>
  <c r="S74" i="25"/>
  <c r="AA74" i="25" s="1"/>
  <c r="M74" i="25"/>
  <c r="S73" i="25"/>
  <c r="AA73" i="25" s="1"/>
  <c r="M73" i="25"/>
  <c r="K73" i="25" s="1"/>
  <c r="S72" i="25"/>
  <c r="AA72" i="25" s="1"/>
  <c r="M72" i="25"/>
  <c r="K72" i="25" s="1"/>
  <c r="S71" i="25"/>
  <c r="AA71" i="25" s="1"/>
  <c r="M71" i="25"/>
  <c r="K71" i="25" s="1"/>
  <c r="S68" i="25"/>
  <c r="AA68" i="25" s="1"/>
  <c r="M68" i="25"/>
  <c r="K68" i="25" s="1"/>
  <c r="S67" i="25"/>
  <c r="AA67" i="25" s="1"/>
  <c r="M67" i="25"/>
  <c r="K67" i="25" s="1"/>
  <c r="S66" i="25"/>
  <c r="AA66" i="25" s="1"/>
  <c r="M66" i="25"/>
  <c r="K66" i="25" s="1"/>
  <c r="S65" i="25"/>
  <c r="AA65" i="25" s="1"/>
  <c r="M65" i="25"/>
  <c r="K65" i="25" s="1"/>
  <c r="S64" i="25"/>
  <c r="AA64" i="25" s="1"/>
  <c r="M64" i="25"/>
  <c r="K64" i="25" s="1"/>
  <c r="S63" i="25"/>
  <c r="M63" i="25"/>
  <c r="L63" i="25" s="1"/>
  <c r="S62" i="25"/>
  <c r="M62" i="25"/>
  <c r="K62" i="25" s="1"/>
  <c r="S61" i="25"/>
  <c r="M61" i="25"/>
  <c r="L61" i="25" s="1"/>
  <c r="S60" i="25"/>
  <c r="AA60" i="25" s="1"/>
  <c r="M60" i="25"/>
  <c r="L60" i="25" s="1"/>
  <c r="S59" i="25"/>
  <c r="AA59" i="25" s="1"/>
  <c r="M59" i="25"/>
  <c r="L59" i="25" s="1"/>
  <c r="K59" i="25"/>
  <c r="F58" i="25"/>
  <c r="S58" i="25" s="1"/>
  <c r="AA58" i="25" s="1"/>
  <c r="S57" i="25"/>
  <c r="AA57" i="25" s="1"/>
  <c r="M57" i="25"/>
  <c r="Z57" i="25" s="1"/>
  <c r="F56" i="25"/>
  <c r="M56" i="25" s="1"/>
  <c r="F55" i="25"/>
  <c r="M55" i="25" s="1"/>
  <c r="F54" i="25"/>
  <c r="S54" i="25" s="1"/>
  <c r="AA54" i="25" s="1"/>
  <c r="S53" i="25"/>
  <c r="AA53" i="25" s="1"/>
  <c r="M53" i="25"/>
  <c r="L53" i="25" s="1"/>
  <c r="S52" i="25"/>
  <c r="AA52" i="25" s="1"/>
  <c r="M52" i="25"/>
  <c r="L52" i="25" s="1"/>
  <c r="S51" i="25"/>
  <c r="AA51" i="25" s="1"/>
  <c r="M51" i="25"/>
  <c r="L51" i="25" s="1"/>
  <c r="S50" i="25"/>
  <c r="AA50" i="25" s="1"/>
  <c r="M50" i="25"/>
  <c r="L50" i="25" s="1"/>
  <c r="S49" i="25"/>
  <c r="AA49" i="25" s="1"/>
  <c r="M49" i="25"/>
  <c r="L49" i="25" s="1"/>
  <c r="S48" i="25"/>
  <c r="AA48" i="25" s="1"/>
  <c r="M48" i="25"/>
  <c r="L48" i="25" s="1"/>
  <c r="S47" i="25"/>
  <c r="M47" i="25"/>
  <c r="K47" i="25" s="1"/>
  <c r="S46" i="25"/>
  <c r="AA46" i="25" s="1"/>
  <c r="M46" i="25"/>
  <c r="Z46" i="25" s="1"/>
  <c r="S45" i="25"/>
  <c r="AA45" i="25" s="1"/>
  <c r="M45" i="25"/>
  <c r="Z45" i="25" s="1"/>
  <c r="S44" i="25"/>
  <c r="AA44" i="25" s="1"/>
  <c r="M44" i="25"/>
  <c r="Z44" i="25" s="1"/>
  <c r="K44" i="25"/>
  <c r="S43" i="25"/>
  <c r="AA43" i="25" s="1"/>
  <c r="M43" i="25"/>
  <c r="Z43" i="25" s="1"/>
  <c r="S42" i="25"/>
  <c r="AA42" i="25" s="1"/>
  <c r="M42" i="25"/>
  <c r="K42" i="25" s="1"/>
  <c r="S41" i="25"/>
  <c r="AA41" i="25" s="1"/>
  <c r="M41" i="25"/>
  <c r="Z41" i="25" s="1"/>
  <c r="S40" i="25"/>
  <c r="AA40" i="25" s="1"/>
  <c r="M40" i="25"/>
  <c r="Z40" i="25" s="1"/>
  <c r="K40" i="25"/>
  <c r="S39" i="25"/>
  <c r="AA39" i="25" s="1"/>
  <c r="M39" i="25"/>
  <c r="Z39" i="25" s="1"/>
  <c r="S38" i="25"/>
  <c r="AA38" i="25" s="1"/>
  <c r="M38" i="25"/>
  <c r="Z38" i="25" s="1"/>
  <c r="S37" i="25"/>
  <c r="AA37" i="25" s="1"/>
  <c r="M37" i="25"/>
  <c r="Z37" i="25" s="1"/>
  <c r="S36" i="25"/>
  <c r="AA36" i="25" s="1"/>
  <c r="M36" i="25"/>
  <c r="Z36" i="25" s="1"/>
  <c r="S35" i="25"/>
  <c r="AA35" i="25" s="1"/>
  <c r="M35" i="25"/>
  <c r="Z35" i="25" s="1"/>
  <c r="K35" i="25"/>
  <c r="S34" i="25"/>
  <c r="AA34" i="25" s="1"/>
  <c r="M34" i="25"/>
  <c r="Z34" i="25" s="1"/>
  <c r="S33" i="25"/>
  <c r="AA33" i="25" s="1"/>
  <c r="M33" i="25"/>
  <c r="Z33" i="25" s="1"/>
  <c r="S32" i="25"/>
  <c r="AA32" i="25" s="1"/>
  <c r="M32" i="25"/>
  <c r="Z32" i="25" s="1"/>
  <c r="S31" i="25"/>
  <c r="AA31" i="25" s="1"/>
  <c r="M31" i="25"/>
  <c r="Z31" i="25" s="1"/>
  <c r="S30" i="25"/>
  <c r="AA30" i="25" s="1"/>
  <c r="M30" i="25"/>
  <c r="Z30" i="25" s="1"/>
  <c r="S29" i="25"/>
  <c r="AA29" i="25" s="1"/>
  <c r="M29" i="25"/>
  <c r="N29" i="25" s="1"/>
  <c r="P29" i="25" s="1"/>
  <c r="S28" i="25"/>
  <c r="AA28" i="25" s="1"/>
  <c r="M28" i="25"/>
  <c r="N28" i="25" s="1"/>
  <c r="P28" i="25" s="1"/>
  <c r="S27" i="25"/>
  <c r="AA27" i="25" s="1"/>
  <c r="M27" i="25"/>
  <c r="N27" i="25" s="1"/>
  <c r="P27" i="25" s="1"/>
  <c r="S26" i="25"/>
  <c r="AA26" i="25" s="1"/>
  <c r="M26" i="25"/>
  <c r="N26" i="25" s="1"/>
  <c r="P26" i="25" s="1"/>
  <c r="S25" i="25"/>
  <c r="AA25" i="25" s="1"/>
  <c r="M25" i="25"/>
  <c r="N25" i="25" s="1"/>
  <c r="P25" i="25" s="1"/>
  <c r="S24" i="25"/>
  <c r="AA24" i="25" s="1"/>
  <c r="M24" i="25"/>
  <c r="N24" i="25" s="1"/>
  <c r="P24" i="25" s="1"/>
  <c r="S23" i="25"/>
  <c r="AA23" i="25" s="1"/>
  <c r="M23" i="25"/>
  <c r="N23" i="25" s="1"/>
  <c r="P23" i="25" s="1"/>
  <c r="S22" i="25"/>
  <c r="AA22" i="25" s="1"/>
  <c r="M22" i="25"/>
  <c r="N22" i="25" s="1"/>
  <c r="P22" i="25" s="1"/>
  <c r="S21" i="25"/>
  <c r="AA21" i="25" s="1"/>
  <c r="M21" i="25"/>
  <c r="N21" i="25" s="1"/>
  <c r="P21" i="25" s="1"/>
  <c r="S20" i="25"/>
  <c r="AA20" i="25" s="1"/>
  <c r="M20" i="25"/>
  <c r="N20" i="25" s="1"/>
  <c r="P20" i="25" s="1"/>
  <c r="S19" i="25"/>
  <c r="AA19" i="25" s="1"/>
  <c r="M19" i="25"/>
  <c r="N19" i="25" s="1"/>
  <c r="P19" i="25" s="1"/>
  <c r="S18" i="25"/>
  <c r="AA18" i="25" s="1"/>
  <c r="M18" i="25"/>
  <c r="N18" i="25" s="1"/>
  <c r="P18" i="25" s="1"/>
  <c r="S17" i="25"/>
  <c r="AA17" i="25" s="1"/>
  <c r="M17" i="25"/>
  <c r="N17" i="25" s="1"/>
  <c r="P17" i="25" s="1"/>
  <c r="S16" i="25"/>
  <c r="AA16" i="25" s="1"/>
  <c r="M16" i="25"/>
  <c r="N16" i="25" s="1"/>
  <c r="P16" i="25" s="1"/>
  <c r="S15" i="25"/>
  <c r="AA15" i="25" s="1"/>
  <c r="M15" i="25"/>
  <c r="N15" i="25" s="1"/>
  <c r="P15" i="25" s="1"/>
  <c r="S14" i="25"/>
  <c r="AA14" i="25" s="1"/>
  <c r="M14" i="25"/>
  <c r="N14" i="25" s="1"/>
  <c r="P14" i="25" s="1"/>
  <c r="S13" i="25"/>
  <c r="AA13" i="25" s="1"/>
  <c r="M13" i="25"/>
  <c r="N13" i="25" s="1"/>
  <c r="P13" i="25" s="1"/>
  <c r="S12" i="25"/>
  <c r="AA12" i="25" s="1"/>
  <c r="M12" i="25"/>
  <c r="N12" i="25" s="1"/>
  <c r="P12" i="25" s="1"/>
  <c r="S11" i="25"/>
  <c r="AA11" i="25" s="1"/>
  <c r="M11" i="25"/>
  <c r="N11" i="25" s="1"/>
  <c r="P11" i="25" s="1"/>
  <c r="S10" i="25"/>
  <c r="AA10" i="25" s="1"/>
  <c r="M10" i="25"/>
  <c r="N10" i="25" s="1"/>
  <c r="P10" i="25" s="1"/>
  <c r="K10" i="25"/>
  <c r="S9" i="25"/>
  <c r="AA9" i="25" s="1"/>
  <c r="M9" i="25"/>
  <c r="N9" i="25" s="1"/>
  <c r="P9" i="25" s="1"/>
  <c r="K9" i="25"/>
  <c r="S8" i="25"/>
  <c r="AA8" i="25" s="1"/>
  <c r="M8" i="25"/>
  <c r="N8" i="25" s="1"/>
  <c r="P8" i="25" s="1"/>
  <c r="S7" i="25"/>
  <c r="AA7" i="25" s="1"/>
  <c r="M7" i="25"/>
  <c r="N7" i="25" s="1"/>
  <c r="P7" i="25" s="1"/>
  <c r="S6" i="25"/>
  <c r="AA6" i="25" s="1"/>
  <c r="M6" i="25"/>
  <c r="N6" i="25" s="1"/>
  <c r="P6" i="25" s="1"/>
  <c r="S5" i="25"/>
  <c r="AA5" i="25" s="1"/>
  <c r="M5" i="25"/>
  <c r="N5" i="25" s="1"/>
  <c r="P5" i="25" s="1"/>
  <c r="S4" i="25"/>
  <c r="AA4" i="25" s="1"/>
  <c r="M4" i="25"/>
  <c r="N4" i="25" s="1"/>
  <c r="P4" i="25" s="1"/>
  <c r="S3" i="25"/>
  <c r="AA3" i="25" s="1"/>
  <c r="M3" i="25"/>
  <c r="N3" i="25" s="1"/>
  <c r="P3" i="25" s="1"/>
  <c r="K145" i="25" l="1"/>
  <c r="S55" i="25"/>
  <c r="AA55" i="25" s="1"/>
  <c r="M54" i="25"/>
  <c r="K54" i="25" s="1"/>
  <c r="M58" i="25"/>
  <c r="L58" i="25" s="1"/>
  <c r="N1381" i="25"/>
  <c r="P1381" i="25" s="1"/>
  <c r="K1169" i="25"/>
  <c r="K1236" i="25"/>
  <c r="L197" i="25"/>
  <c r="L640" i="25"/>
  <c r="Z227" i="25"/>
  <c r="K1321" i="25"/>
  <c r="L13" i="25"/>
  <c r="N41" i="25"/>
  <c r="P41" i="25" s="1"/>
  <c r="Z845" i="25"/>
  <c r="N1082" i="25"/>
  <c r="P1082" i="25" s="1"/>
  <c r="K1137" i="25"/>
  <c r="N1236" i="25"/>
  <c r="P1236" i="25" s="1"/>
  <c r="N1243" i="25"/>
  <c r="P1243" i="25" s="1"/>
  <c r="L1261" i="25"/>
  <c r="Z228" i="25"/>
  <c r="K1153" i="25"/>
  <c r="L461" i="25"/>
  <c r="N534" i="25"/>
  <c r="P534" i="25" s="1"/>
  <c r="K1109" i="25"/>
  <c r="N1290" i="25"/>
  <c r="P1290" i="25" s="1"/>
  <c r="N1293" i="25"/>
  <c r="P1293" i="25" s="1"/>
  <c r="Z361" i="25"/>
  <c r="Z498" i="25"/>
  <c r="Z962" i="25"/>
  <c r="N461" i="25"/>
  <c r="P461" i="25" s="1"/>
  <c r="L534" i="25"/>
  <c r="L594" i="25"/>
  <c r="N825" i="25"/>
  <c r="P825" i="25" s="1"/>
  <c r="Z898" i="25"/>
  <c r="N1012" i="25"/>
  <c r="P1012" i="25" s="1"/>
  <c r="N1313" i="25"/>
  <c r="P1313" i="25" s="1"/>
  <c r="K1333" i="25"/>
  <c r="L205" i="25"/>
  <c r="N448" i="25"/>
  <c r="P448" i="25" s="1"/>
  <c r="N530" i="25"/>
  <c r="P530" i="25" s="1"/>
  <c r="L586" i="25"/>
  <c r="L618" i="25"/>
  <c r="Z788" i="25"/>
  <c r="N1299" i="25"/>
  <c r="P1299" i="25" s="1"/>
  <c r="N1369" i="25"/>
  <c r="P1369" i="25" s="1"/>
  <c r="N857" i="25"/>
  <c r="P857" i="25" s="1"/>
  <c r="N869" i="25"/>
  <c r="P869" i="25" s="1"/>
  <c r="N982" i="25"/>
  <c r="P982" i="25" s="1"/>
  <c r="L1012" i="25"/>
  <c r="N1106" i="25"/>
  <c r="P1106" i="25" s="1"/>
  <c r="N1114" i="25"/>
  <c r="P1114" i="25" s="1"/>
  <c r="N1125" i="25"/>
  <c r="P1125" i="25" s="1"/>
  <c r="K1192" i="25"/>
  <c r="Z1192" i="25"/>
  <c r="Z327" i="25"/>
  <c r="Z614" i="25"/>
  <c r="L3" i="25"/>
  <c r="L47" i="25"/>
  <c r="L54" i="25"/>
  <c r="L189" i="25"/>
  <c r="Z308" i="25"/>
  <c r="S434" i="25"/>
  <c r="AA434" i="25" s="1"/>
  <c r="K448" i="25"/>
  <c r="L530" i="25"/>
  <c r="L672" i="25"/>
  <c r="K1174" i="25"/>
  <c r="Z1188" i="25"/>
  <c r="L1192" i="25"/>
  <c r="L1202" i="25"/>
  <c r="Z1202" i="25"/>
  <c r="N1360" i="25"/>
  <c r="P1360" i="25" s="1"/>
  <c r="K1369" i="25"/>
  <c r="L8" i="25"/>
  <c r="L9" i="25"/>
  <c r="L10" i="25"/>
  <c r="L46" i="25"/>
  <c r="N87" i="25"/>
  <c r="P87" i="25" s="1"/>
  <c r="N90" i="25"/>
  <c r="P90" i="25" s="1"/>
  <c r="N91" i="25"/>
  <c r="P91" i="25" s="1"/>
  <c r="L201" i="25"/>
  <c r="L347" i="25"/>
  <c r="L398" i="25"/>
  <c r="K452" i="25"/>
  <c r="S468" i="25"/>
  <c r="AA468" i="25" s="1"/>
  <c r="N504" i="25"/>
  <c r="P504" i="25" s="1"/>
  <c r="L515" i="25"/>
  <c r="N532" i="25"/>
  <c r="P532" i="25" s="1"/>
  <c r="L545" i="25"/>
  <c r="K547" i="25"/>
  <c r="K560" i="25"/>
  <c r="Z582" i="25"/>
  <c r="Z598" i="25"/>
  <c r="L652" i="25"/>
  <c r="L688" i="25"/>
  <c r="N710" i="25"/>
  <c r="P710" i="25" s="1"/>
  <c r="Z784" i="25"/>
  <c r="N838" i="25"/>
  <c r="P838" i="25" s="1"/>
  <c r="N858" i="25"/>
  <c r="P858" i="25" s="1"/>
  <c r="N864" i="25"/>
  <c r="P864" i="25" s="1"/>
  <c r="K891" i="25"/>
  <c r="L996" i="25"/>
  <c r="N1023" i="25"/>
  <c r="P1023" i="25" s="1"/>
  <c r="L1046" i="25"/>
  <c r="K1065" i="25"/>
  <c r="N1141" i="25"/>
  <c r="P1141" i="25" s="1"/>
  <c r="N1142" i="25"/>
  <c r="P1142" i="25" s="1"/>
  <c r="K1154" i="25"/>
  <c r="K1157" i="25"/>
  <c r="K1158" i="25"/>
  <c r="K1178" i="25"/>
  <c r="L1213" i="25"/>
  <c r="N1237" i="25"/>
  <c r="P1237" i="25" s="1"/>
  <c r="L1247" i="25"/>
  <c r="L1267" i="25"/>
  <c r="L1271" i="25"/>
  <c r="K1292" i="25"/>
  <c r="N1305" i="25"/>
  <c r="P1305" i="25" s="1"/>
  <c r="K1307" i="25"/>
  <c r="K1310" i="25"/>
  <c r="K1383" i="25"/>
  <c r="N1387" i="25"/>
  <c r="P1387" i="25" s="1"/>
  <c r="K1391" i="25"/>
  <c r="Z313" i="25"/>
  <c r="Z628" i="25"/>
  <c r="Z660" i="25"/>
  <c r="Z970" i="25"/>
  <c r="Z388" i="25"/>
  <c r="L32" i="25"/>
  <c r="N40" i="25"/>
  <c r="P40" i="25" s="1"/>
  <c r="N57" i="25"/>
  <c r="P57" i="25" s="1"/>
  <c r="L89" i="25"/>
  <c r="L90" i="25"/>
  <c r="L144" i="25"/>
  <c r="L193" i="25"/>
  <c r="L209" i="25"/>
  <c r="L335" i="25"/>
  <c r="L359" i="25"/>
  <c r="L403" i="25"/>
  <c r="L404" i="25"/>
  <c r="S415" i="25"/>
  <c r="AA415" i="25" s="1"/>
  <c r="S469" i="25"/>
  <c r="AA469" i="25" s="1"/>
  <c r="N515" i="25"/>
  <c r="P515" i="25" s="1"/>
  <c r="N516" i="25"/>
  <c r="P516" i="25" s="1"/>
  <c r="L532" i="25"/>
  <c r="K533" i="25"/>
  <c r="N545" i="25"/>
  <c r="P545" i="25" s="1"/>
  <c r="L628" i="25"/>
  <c r="L660" i="25"/>
  <c r="L710" i="25"/>
  <c r="Z710" i="25"/>
  <c r="N868" i="25"/>
  <c r="P868" i="25" s="1"/>
  <c r="Z965" i="25"/>
  <c r="N996" i="25"/>
  <c r="P996" i="25" s="1"/>
  <c r="N1046" i="25"/>
  <c r="P1046" i="25" s="1"/>
  <c r="N1126" i="25"/>
  <c r="P1126" i="25" s="1"/>
  <c r="K1138" i="25"/>
  <c r="K1141" i="25"/>
  <c r="K1142" i="25"/>
  <c r="N1157" i="25"/>
  <c r="P1157" i="25" s="1"/>
  <c r="N1158" i="25"/>
  <c r="P1158" i="25" s="1"/>
  <c r="K1170" i="25"/>
  <c r="L1188" i="25"/>
  <c r="N1292" i="25"/>
  <c r="P1292" i="25" s="1"/>
  <c r="N1383" i="25"/>
  <c r="P1383" i="25" s="1"/>
  <c r="N1393" i="25"/>
  <c r="P1393" i="25" s="1"/>
  <c r="N374" i="25"/>
  <c r="P374" i="25" s="1"/>
  <c r="L374" i="25"/>
  <c r="N548" i="25"/>
  <c r="P548" i="25" s="1"/>
  <c r="K548" i="25"/>
  <c r="Z568" i="25"/>
  <c r="N568" i="25"/>
  <c r="P568" i="25" s="1"/>
  <c r="L568" i="25"/>
  <c r="Z602" i="25"/>
  <c r="L602" i="25"/>
  <c r="Z862" i="25"/>
  <c r="N862" i="25"/>
  <c r="P862" i="25" s="1"/>
  <c r="L939" i="25"/>
  <c r="N939" i="25"/>
  <c r="P939" i="25" s="1"/>
  <c r="N1036" i="25"/>
  <c r="P1036" i="25" s="1"/>
  <c r="L1036" i="25"/>
  <c r="L1058" i="25"/>
  <c r="N1058" i="25"/>
  <c r="P1058" i="25" s="1"/>
  <c r="N1176" i="25"/>
  <c r="P1176" i="25" s="1"/>
  <c r="K1176" i="25"/>
  <c r="Z1282" i="25"/>
  <c r="L1282" i="25"/>
  <c r="N1282" i="25"/>
  <c r="P1282" i="25" s="1"/>
  <c r="N34" i="25"/>
  <c r="P34" i="25" s="1"/>
  <c r="N35" i="25"/>
  <c r="P35" i="25" s="1"/>
  <c r="L419" i="25"/>
  <c r="N419" i="25"/>
  <c r="P419" i="25" s="1"/>
  <c r="Z429" i="25"/>
  <c r="N429" i="25"/>
  <c r="P429" i="25" s="1"/>
  <c r="S459" i="25"/>
  <c r="AA459" i="25" s="1"/>
  <c r="Z518" i="25"/>
  <c r="N518" i="25"/>
  <c r="P518" i="25" s="1"/>
  <c r="Z570" i="25"/>
  <c r="N570" i="25"/>
  <c r="P570" i="25" s="1"/>
  <c r="K570" i="25"/>
  <c r="Z801" i="25"/>
  <c r="N801" i="25"/>
  <c r="P801" i="25" s="1"/>
  <c r="Z861" i="25"/>
  <c r="N861" i="25"/>
  <c r="P861" i="25" s="1"/>
  <c r="Z986" i="25"/>
  <c r="N986" i="25"/>
  <c r="P986" i="25" s="1"/>
  <c r="L986" i="25"/>
  <c r="K1014" i="25"/>
  <c r="L1014" i="25"/>
  <c r="N1014" i="25"/>
  <c r="P1014" i="25" s="1"/>
  <c r="L1102" i="25"/>
  <c r="N1102" i="25"/>
  <c r="P1102" i="25" s="1"/>
  <c r="Z1133" i="25"/>
  <c r="N1133" i="25"/>
  <c r="P1133" i="25" s="1"/>
  <c r="K1133" i="25"/>
  <c r="Z1146" i="25"/>
  <c r="K1146" i="25"/>
  <c r="N1146" i="25"/>
  <c r="P1146" i="25" s="1"/>
  <c r="Z1165" i="25"/>
  <c r="N1165" i="25"/>
  <c r="P1165" i="25" s="1"/>
  <c r="K1165" i="25"/>
  <c r="N1209" i="25"/>
  <c r="P1209" i="25" s="1"/>
  <c r="L1209" i="25"/>
  <c r="N1227" i="25"/>
  <c r="P1227" i="25" s="1"/>
  <c r="L1227" i="25"/>
  <c r="Z1233" i="25"/>
  <c r="N1233" i="25"/>
  <c r="P1233" i="25" s="1"/>
  <c r="L1233" i="25"/>
  <c r="L7" i="25"/>
  <c r="K34" i="25"/>
  <c r="L39" i="25"/>
  <c r="L40" i="25"/>
  <c r="L41" i="25"/>
  <c r="N43" i="25"/>
  <c r="P43" i="25" s="1"/>
  <c r="Z190" i="25"/>
  <c r="L190" i="25"/>
  <c r="Z206" i="25"/>
  <c r="L206" i="25"/>
  <c r="N259" i="25"/>
  <c r="P259" i="25" s="1"/>
  <c r="L259" i="25"/>
  <c r="N267" i="25"/>
  <c r="P267" i="25" s="1"/>
  <c r="L267" i="25"/>
  <c r="N301" i="25"/>
  <c r="P301" i="25" s="1"/>
  <c r="L301" i="25"/>
  <c r="Z428" i="25"/>
  <c r="N428" i="25"/>
  <c r="P428" i="25" s="1"/>
  <c r="Z503" i="25"/>
  <c r="N503" i="25"/>
  <c r="P503" i="25" s="1"/>
  <c r="Z543" i="25"/>
  <c r="N543" i="25"/>
  <c r="P543" i="25" s="1"/>
  <c r="K684" i="25"/>
  <c r="L684" i="25"/>
  <c r="K704" i="25"/>
  <c r="N704" i="25"/>
  <c r="P704" i="25" s="1"/>
  <c r="Z704" i="25"/>
  <c r="L704" i="25"/>
  <c r="L806" i="25"/>
  <c r="N806" i="25"/>
  <c r="P806" i="25" s="1"/>
  <c r="Z841" i="25"/>
  <c r="N888" i="25"/>
  <c r="P888" i="25" s="1"/>
  <c r="Z888" i="25"/>
  <c r="N1212" i="25"/>
  <c r="P1212" i="25" s="1"/>
  <c r="L1212" i="25"/>
  <c r="N1221" i="25"/>
  <c r="P1221" i="25" s="1"/>
  <c r="L1221" i="25"/>
  <c r="N1257" i="25"/>
  <c r="P1257" i="25" s="1"/>
  <c r="L1257" i="25"/>
  <c r="Z1276" i="25"/>
  <c r="L1276" i="25"/>
  <c r="N1276" i="25"/>
  <c r="P1276" i="25" s="1"/>
  <c r="Z1280" i="25"/>
  <c r="L1280" i="25"/>
  <c r="N1280" i="25"/>
  <c r="P1280" i="25" s="1"/>
  <c r="Z1284" i="25"/>
  <c r="L1284" i="25"/>
  <c r="N1284" i="25"/>
  <c r="P1284" i="25" s="1"/>
  <c r="Z1288" i="25"/>
  <c r="L1288" i="25"/>
  <c r="N1288" i="25"/>
  <c r="P1288" i="25" s="1"/>
  <c r="K1302" i="25"/>
  <c r="L1302" i="25"/>
  <c r="K1315" i="25"/>
  <c r="N1315" i="25"/>
  <c r="P1315" i="25" s="1"/>
  <c r="Z198" i="25"/>
  <c r="L198" i="25"/>
  <c r="S455" i="25"/>
  <c r="AA455" i="25" s="1"/>
  <c r="M455" i="25"/>
  <c r="L455" i="25" s="1"/>
  <c r="Z478" i="25"/>
  <c r="L478" i="25"/>
  <c r="M484" i="25"/>
  <c r="L484" i="25" s="1"/>
  <c r="K692" i="25"/>
  <c r="L692" i="25"/>
  <c r="N1219" i="25"/>
  <c r="P1219" i="25" s="1"/>
  <c r="L1219" i="25"/>
  <c r="Z1278" i="25"/>
  <c r="L1278" i="25"/>
  <c r="N1278" i="25"/>
  <c r="P1278" i="25" s="1"/>
  <c r="Z1286" i="25"/>
  <c r="L1286" i="25"/>
  <c r="N1286" i="25"/>
  <c r="P1286" i="25" s="1"/>
  <c r="Z1349" i="25"/>
  <c r="N1349" i="25"/>
  <c r="P1349" i="25" s="1"/>
  <c r="N139" i="25"/>
  <c r="P139" i="25" s="1"/>
  <c r="L139" i="25"/>
  <c r="Z202" i="25"/>
  <c r="L202" i="25"/>
  <c r="Z417" i="25"/>
  <c r="N417" i="25"/>
  <c r="P417" i="25" s="1"/>
  <c r="S464" i="25"/>
  <c r="AA464" i="25" s="1"/>
  <c r="M464" i="25"/>
  <c r="L464" i="25" s="1"/>
  <c r="Z467" i="25"/>
  <c r="S484" i="25"/>
  <c r="AA484" i="25" s="1"/>
  <c r="K732" i="25"/>
  <c r="Z732" i="25"/>
  <c r="L732" i="25"/>
  <c r="N732" i="25"/>
  <c r="P732" i="25" s="1"/>
  <c r="K761" i="25"/>
  <c r="N761" i="25"/>
  <c r="P761" i="25" s="1"/>
  <c r="L761" i="25"/>
  <c r="L4" i="25"/>
  <c r="L14" i="25"/>
  <c r="L33" i="25"/>
  <c r="L34" i="25"/>
  <c r="L38" i="25"/>
  <c r="Z42" i="25"/>
  <c r="N42" i="25"/>
  <c r="P42" i="25" s="1"/>
  <c r="Z135" i="25"/>
  <c r="Z146" i="25"/>
  <c r="Z194" i="25"/>
  <c r="L194" i="25"/>
  <c r="Z210" i="25"/>
  <c r="L210" i="25"/>
  <c r="Z247" i="25"/>
  <c r="N266" i="25"/>
  <c r="P266" i="25" s="1"/>
  <c r="L266" i="25"/>
  <c r="Z378" i="25"/>
  <c r="Z379" i="25"/>
  <c r="M420" i="25"/>
  <c r="L420" i="25" s="1"/>
  <c r="S420" i="25"/>
  <c r="AA420" i="25" s="1"/>
  <c r="S477" i="25"/>
  <c r="AA477" i="25" s="1"/>
  <c r="Z527" i="25"/>
  <c r="N527" i="25"/>
  <c r="P527" i="25" s="1"/>
  <c r="L557" i="25"/>
  <c r="N557" i="25"/>
  <c r="P557" i="25" s="1"/>
  <c r="K624" i="25"/>
  <c r="L624" i="25"/>
  <c r="K656" i="25"/>
  <c r="L656" i="25"/>
  <c r="K750" i="25"/>
  <c r="Z750" i="25"/>
  <c r="L750" i="25"/>
  <c r="N750" i="25"/>
  <c r="P750" i="25" s="1"/>
  <c r="Z761" i="25"/>
  <c r="Z773" i="25"/>
  <c r="N773" i="25"/>
  <c r="P773" i="25" s="1"/>
  <c r="Z830" i="25"/>
  <c r="N830" i="25"/>
  <c r="P830" i="25" s="1"/>
  <c r="Z1130" i="25"/>
  <c r="K1130" i="25"/>
  <c r="N1130" i="25"/>
  <c r="P1130" i="25" s="1"/>
  <c r="Z1149" i="25"/>
  <c r="N1149" i="25"/>
  <c r="P1149" i="25" s="1"/>
  <c r="K1149" i="25"/>
  <c r="Z1162" i="25"/>
  <c r="K1162" i="25"/>
  <c r="N1162" i="25"/>
  <c r="P1162" i="25" s="1"/>
  <c r="N1172" i="25"/>
  <c r="P1172" i="25" s="1"/>
  <c r="K1172" i="25"/>
  <c r="N1224" i="25"/>
  <c r="P1224" i="25" s="1"/>
  <c r="L1224" i="25"/>
  <c r="N1229" i="25"/>
  <c r="P1229" i="25" s="1"/>
  <c r="L1229" i="25"/>
  <c r="Z1240" i="25"/>
  <c r="L1240" i="25"/>
  <c r="N1240" i="25"/>
  <c r="P1240" i="25" s="1"/>
  <c r="Z147" i="25"/>
  <c r="Z215" i="25"/>
  <c r="Z377" i="25"/>
  <c r="S452" i="25"/>
  <c r="AA452" i="25" s="1"/>
  <c r="K532" i="25"/>
  <c r="K726" i="25"/>
  <c r="Z726" i="25"/>
  <c r="L726" i="25"/>
  <c r="Z814" i="25"/>
  <c r="N814" i="25"/>
  <c r="P814" i="25" s="1"/>
  <c r="L958" i="25"/>
  <c r="Z958" i="25"/>
  <c r="L969" i="25"/>
  <c r="Z969" i="25"/>
  <c r="K1030" i="25"/>
  <c r="N1030" i="25"/>
  <c r="P1030" i="25" s="1"/>
  <c r="N1077" i="25"/>
  <c r="P1077" i="25" s="1"/>
  <c r="K1077" i="25"/>
  <c r="Z1129" i="25"/>
  <c r="K1129" i="25"/>
  <c r="Z1145" i="25"/>
  <c r="K1145" i="25"/>
  <c r="Z1161" i="25"/>
  <c r="K1161" i="25"/>
  <c r="N1211" i="25"/>
  <c r="P1211" i="25" s="1"/>
  <c r="L1211" i="25"/>
  <c r="N1220" i="25"/>
  <c r="P1220" i="25" s="1"/>
  <c r="L1220" i="25"/>
  <c r="N1225" i="25"/>
  <c r="P1225" i="25" s="1"/>
  <c r="L1225" i="25"/>
  <c r="N1231" i="25"/>
  <c r="P1231" i="25" s="1"/>
  <c r="L1231" i="25"/>
  <c r="Z1296" i="25"/>
  <c r="L1296" i="25"/>
  <c r="N1296" i="25"/>
  <c r="P1296" i="25" s="1"/>
  <c r="L1298" i="25"/>
  <c r="K1298" i="25"/>
  <c r="Z1357" i="25"/>
  <c r="K1357" i="25"/>
  <c r="N1357" i="25"/>
  <c r="P1357" i="25" s="1"/>
  <c r="Z1364" i="25"/>
  <c r="N1364" i="25"/>
  <c r="P1364" i="25" s="1"/>
  <c r="L961" i="25"/>
  <c r="Z961" i="25"/>
  <c r="L966" i="25"/>
  <c r="Z966" i="25"/>
  <c r="N1061" i="25"/>
  <c r="P1061" i="25" s="1"/>
  <c r="K1061" i="25"/>
  <c r="Z1134" i="25"/>
  <c r="N1134" i="25"/>
  <c r="P1134" i="25" s="1"/>
  <c r="Z1150" i="25"/>
  <c r="N1150" i="25"/>
  <c r="P1150" i="25" s="1"/>
  <c r="Z1166" i="25"/>
  <c r="N1166" i="25"/>
  <c r="P1166" i="25" s="1"/>
  <c r="N1208" i="25"/>
  <c r="P1208" i="25" s="1"/>
  <c r="L1208" i="25"/>
  <c r="N1216" i="25"/>
  <c r="P1216" i="25" s="1"/>
  <c r="L1216" i="25"/>
  <c r="N1223" i="25"/>
  <c r="P1223" i="25" s="1"/>
  <c r="L1223" i="25"/>
  <c r="N1228" i="25"/>
  <c r="P1228" i="25" s="1"/>
  <c r="L1228" i="25"/>
  <c r="Z1241" i="25"/>
  <c r="L1241" i="25"/>
  <c r="N1275" i="25"/>
  <c r="P1275" i="25" s="1"/>
  <c r="L1275" i="25"/>
  <c r="Z1297" i="25"/>
  <c r="L1297" i="25"/>
  <c r="N1297" i="25"/>
  <c r="P1297" i="25" s="1"/>
  <c r="Z1353" i="25"/>
  <c r="N1353" i="25"/>
  <c r="P1353" i="25" s="1"/>
  <c r="Z1388" i="25"/>
  <c r="L1388" i="25"/>
  <c r="N1388" i="25"/>
  <c r="P1388" i="25" s="1"/>
  <c r="K869" i="25"/>
  <c r="K874" i="25"/>
  <c r="L982" i="25"/>
  <c r="L1236" i="25"/>
  <c r="L1237" i="25"/>
  <c r="L1243" i="25"/>
  <c r="L1290" i="25"/>
  <c r="L1292" i="25"/>
  <c r="L1293" i="25"/>
  <c r="K1360" i="25"/>
  <c r="K1381" i="25"/>
  <c r="L1383" i="25"/>
  <c r="N1137" i="25"/>
  <c r="P1137" i="25" s="1"/>
  <c r="N1138" i="25"/>
  <c r="P1138" i="25" s="1"/>
  <c r="N1153" i="25"/>
  <c r="P1153" i="25" s="1"/>
  <c r="N1154" i="25"/>
  <c r="P1154" i="25" s="1"/>
  <c r="N1169" i="25"/>
  <c r="P1169" i="25" s="1"/>
  <c r="Z477" i="25"/>
  <c r="L477" i="25"/>
  <c r="Z508" i="25"/>
  <c r="N508" i="25"/>
  <c r="P508" i="25" s="1"/>
  <c r="Z512" i="25"/>
  <c r="K512" i="25"/>
  <c r="Z536" i="25"/>
  <c r="K536" i="25"/>
  <c r="Z549" i="25"/>
  <c r="L549" i="25"/>
  <c r="K549" i="25"/>
  <c r="Z552" i="25"/>
  <c r="L552" i="25"/>
  <c r="K552" i="25"/>
  <c r="Z555" i="25"/>
  <c r="L555" i="25"/>
  <c r="K555" i="25"/>
  <c r="K730" i="25"/>
  <c r="Z730" i="25"/>
  <c r="L730" i="25"/>
  <c r="N730" i="25"/>
  <c r="P730" i="25" s="1"/>
  <c r="K763" i="25"/>
  <c r="Z763" i="25"/>
  <c r="L763" i="25"/>
  <c r="N763" i="25"/>
  <c r="P763" i="25" s="1"/>
  <c r="Z769" i="25"/>
  <c r="N769" i="25"/>
  <c r="P769" i="25" s="1"/>
  <c r="L964" i="25"/>
  <c r="Z964" i="25"/>
  <c r="L1322" i="25"/>
  <c r="K1322" i="25"/>
  <c r="N30" i="25"/>
  <c r="P30" i="25" s="1"/>
  <c r="N36" i="25"/>
  <c r="P36" i="25" s="1"/>
  <c r="N37" i="25"/>
  <c r="P37" i="25" s="1"/>
  <c r="N44" i="25"/>
  <c r="P44" i="25" s="1"/>
  <c r="N88" i="25"/>
  <c r="P88" i="25" s="1"/>
  <c r="N92" i="25"/>
  <c r="P92" i="25" s="1"/>
  <c r="Z348" i="25"/>
  <c r="L348" i="25"/>
  <c r="Z476" i="25"/>
  <c r="N476" i="25"/>
  <c r="P476" i="25" s="1"/>
  <c r="Z522" i="25"/>
  <c r="K522" i="25"/>
  <c r="Z537" i="25"/>
  <c r="N537" i="25"/>
  <c r="P537" i="25" s="1"/>
  <c r="K644" i="25"/>
  <c r="L644" i="25"/>
  <c r="Z644" i="25"/>
  <c r="N804" i="25"/>
  <c r="P804" i="25" s="1"/>
  <c r="Z804" i="25"/>
  <c r="L967" i="25"/>
  <c r="Z967" i="25"/>
  <c r="N31" i="25"/>
  <c r="P31" i="25" s="1"/>
  <c r="N45" i="25"/>
  <c r="P45" i="25" s="1"/>
  <c r="K446" i="25"/>
  <c r="M460" i="25"/>
  <c r="L460" i="25" s="1"/>
  <c r="N486" i="25"/>
  <c r="P486" i="25" s="1"/>
  <c r="N487" i="25"/>
  <c r="P487" i="25" s="1"/>
  <c r="N490" i="25"/>
  <c r="P490" i="25" s="1"/>
  <c r="N491" i="25"/>
  <c r="P491" i="25" s="1"/>
  <c r="Z507" i="25"/>
  <c r="N507" i="25"/>
  <c r="P507" i="25" s="1"/>
  <c r="N512" i="25"/>
  <c r="P512" i="25" s="1"/>
  <c r="Z526" i="25"/>
  <c r="N526" i="25"/>
  <c r="P526" i="25" s="1"/>
  <c r="Z535" i="25"/>
  <c r="L535" i="25"/>
  <c r="K535" i="25"/>
  <c r="Z539" i="25"/>
  <c r="K539" i="25"/>
  <c r="N549" i="25"/>
  <c r="P549" i="25" s="1"/>
  <c r="N555" i="25"/>
  <c r="P555" i="25" s="1"/>
  <c r="Z565" i="25"/>
  <c r="L565" i="25"/>
  <c r="Z571" i="25"/>
  <c r="L571" i="25"/>
  <c r="Z610" i="25"/>
  <c r="L610" i="25"/>
  <c r="K632" i="25"/>
  <c r="L632" i="25"/>
  <c r="K680" i="25"/>
  <c r="L680" i="25"/>
  <c r="K736" i="25"/>
  <c r="Z736" i="25"/>
  <c r="L736" i="25"/>
  <c r="N736" i="25"/>
  <c r="P736" i="25" s="1"/>
  <c r="K757" i="25"/>
  <c r="Z757" i="25"/>
  <c r="L757" i="25"/>
  <c r="N757" i="25"/>
  <c r="P757" i="25" s="1"/>
  <c r="N776" i="25"/>
  <c r="P776" i="25" s="1"/>
  <c r="Z776" i="25"/>
  <c r="N994" i="25"/>
  <c r="P994" i="25" s="1"/>
  <c r="L994" i="25"/>
  <c r="Z1248" i="25"/>
  <c r="L1248" i="25"/>
  <c r="L6" i="25"/>
  <c r="L12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N32" i="25"/>
  <c r="P32" i="25" s="1"/>
  <c r="N33" i="25"/>
  <c r="P33" i="25" s="1"/>
  <c r="L35" i="25"/>
  <c r="K36" i="25"/>
  <c r="N38" i="25"/>
  <c r="P38" i="25" s="1"/>
  <c r="N39" i="25"/>
  <c r="P39" i="25" s="1"/>
  <c r="L42" i="25"/>
  <c r="L43" i="25"/>
  <c r="N46" i="25"/>
  <c r="P46" i="25" s="1"/>
  <c r="N47" i="25"/>
  <c r="P47" i="25" s="1"/>
  <c r="K57" i="25"/>
  <c r="L87" i="25"/>
  <c r="N89" i="25"/>
  <c r="P89" i="25" s="1"/>
  <c r="L91" i="25"/>
  <c r="Z92" i="25"/>
  <c r="L142" i="25"/>
  <c r="L143" i="25"/>
  <c r="L188" i="25"/>
  <c r="L192" i="25"/>
  <c r="L196" i="25"/>
  <c r="L200" i="25"/>
  <c r="L204" i="25"/>
  <c r="L208" i="25"/>
  <c r="L212" i="25"/>
  <c r="Z219" i="25"/>
  <c r="Z246" i="25"/>
  <c r="L262" i="25"/>
  <c r="L263" i="25"/>
  <c r="L270" i="25"/>
  <c r="L271" i="25"/>
  <c r="L277" i="25"/>
  <c r="Z340" i="25"/>
  <c r="L340" i="25"/>
  <c r="L377" i="25"/>
  <c r="L380" i="25"/>
  <c r="Z380" i="25"/>
  <c r="N408" i="25"/>
  <c r="P408" i="25" s="1"/>
  <c r="L408" i="25"/>
  <c r="K417" i="25"/>
  <c r="Z421" i="25"/>
  <c r="Z422" i="25"/>
  <c r="Z423" i="25"/>
  <c r="K428" i="25"/>
  <c r="S446" i="25"/>
  <c r="AA446" i="25" s="1"/>
  <c r="M456" i="25"/>
  <c r="L456" i="25" s="1"/>
  <c r="M483" i="25"/>
  <c r="Z483" i="25" s="1"/>
  <c r="S483" i="25"/>
  <c r="AA483" i="25" s="1"/>
  <c r="N496" i="25"/>
  <c r="P496" i="25" s="1"/>
  <c r="Z499" i="25"/>
  <c r="N499" i="25"/>
  <c r="P499" i="25" s="1"/>
  <c r="Z514" i="25"/>
  <c r="L514" i="25"/>
  <c r="Z519" i="25"/>
  <c r="L519" i="25"/>
  <c r="Z524" i="25"/>
  <c r="L524" i="25"/>
  <c r="K524" i="25"/>
  <c r="Z528" i="25"/>
  <c r="N528" i="25"/>
  <c r="P528" i="25" s="1"/>
  <c r="N535" i="25"/>
  <c r="P535" i="25" s="1"/>
  <c r="N565" i="25"/>
  <c r="P565" i="25" s="1"/>
  <c r="N571" i="25"/>
  <c r="P571" i="25" s="1"/>
  <c r="L590" i="25"/>
  <c r="K636" i="25"/>
  <c r="L636" i="25"/>
  <c r="Z636" i="25"/>
  <c r="K668" i="25"/>
  <c r="L668" i="25"/>
  <c r="Z668" i="25"/>
  <c r="N817" i="25"/>
  <c r="P817" i="25" s="1"/>
  <c r="Z817" i="25"/>
  <c r="L879" i="25"/>
  <c r="N879" i="25"/>
  <c r="P879" i="25" s="1"/>
  <c r="N881" i="25"/>
  <c r="P881" i="25" s="1"/>
  <c r="K881" i="25"/>
  <c r="N896" i="25"/>
  <c r="P896" i="25" s="1"/>
  <c r="Z896" i="25"/>
  <c r="L902" i="25"/>
  <c r="N902" i="25"/>
  <c r="P902" i="25" s="1"/>
  <c r="N904" i="25"/>
  <c r="P904" i="25" s="1"/>
  <c r="K904" i="25"/>
  <c r="N906" i="25"/>
  <c r="P906" i="25" s="1"/>
  <c r="K906" i="25"/>
  <c r="N908" i="25"/>
  <c r="P908" i="25" s="1"/>
  <c r="K908" i="25"/>
  <c r="N914" i="25"/>
  <c r="P914" i="25" s="1"/>
  <c r="K914" i="25"/>
  <c r="N922" i="25"/>
  <c r="P922" i="25" s="1"/>
  <c r="K922" i="25"/>
  <c r="N934" i="25"/>
  <c r="P934" i="25" s="1"/>
  <c r="K934" i="25"/>
  <c r="L963" i="25"/>
  <c r="Z963" i="25"/>
  <c r="L968" i="25"/>
  <c r="Z968" i="25"/>
  <c r="K971" i="25"/>
  <c r="Z971" i="25"/>
  <c r="L971" i="25"/>
  <c r="N331" i="25"/>
  <c r="P331" i="25" s="1"/>
  <c r="Z331" i="25"/>
  <c r="L350" i="25"/>
  <c r="Z350" i="25"/>
  <c r="N360" i="25"/>
  <c r="P360" i="25" s="1"/>
  <c r="Z360" i="25"/>
  <c r="S451" i="25"/>
  <c r="AA451" i="25" s="1"/>
  <c r="K500" i="25"/>
  <c r="N500" i="25"/>
  <c r="P500" i="25" s="1"/>
  <c r="Z511" i="25"/>
  <c r="K511" i="25"/>
  <c r="Z521" i="25"/>
  <c r="L521" i="25"/>
  <c r="Z525" i="25"/>
  <c r="K525" i="25"/>
  <c r="N552" i="25"/>
  <c r="P552" i="25" s="1"/>
  <c r="Z577" i="25"/>
  <c r="L577" i="25"/>
  <c r="Z976" i="25"/>
  <c r="N976" i="25"/>
  <c r="P976" i="25" s="1"/>
  <c r="Z987" i="25"/>
  <c r="L987" i="25"/>
  <c r="N987" i="25"/>
  <c r="P987" i="25" s="1"/>
  <c r="L1086" i="25"/>
  <c r="N1086" i="25"/>
  <c r="P1086" i="25" s="1"/>
  <c r="L1098" i="25"/>
  <c r="N1098" i="25"/>
  <c r="P1098" i="25" s="1"/>
  <c r="L1314" i="25"/>
  <c r="K1314" i="25"/>
  <c r="L5" i="25"/>
  <c r="L11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K32" i="25"/>
  <c r="L36" i="25"/>
  <c r="L37" i="25"/>
  <c r="K38" i="25"/>
  <c r="L44" i="25"/>
  <c r="L45" i="25"/>
  <c r="K46" i="25"/>
  <c r="L88" i="25"/>
  <c r="Z127" i="25"/>
  <c r="Z184" i="25"/>
  <c r="L191" i="25"/>
  <c r="L195" i="25"/>
  <c r="L199" i="25"/>
  <c r="L203" i="25"/>
  <c r="L207" i="25"/>
  <c r="L211" i="25"/>
  <c r="Z216" i="25"/>
  <c r="L221" i="25"/>
  <c r="L297" i="25"/>
  <c r="L298" i="25"/>
  <c r="Z316" i="25"/>
  <c r="Z317" i="25"/>
  <c r="Z330" i="25"/>
  <c r="L338" i="25"/>
  <c r="L339" i="25"/>
  <c r="L342" i="25"/>
  <c r="Z342" i="25"/>
  <c r="N358" i="25"/>
  <c r="P358" i="25" s="1"/>
  <c r="Z358" i="25"/>
  <c r="Z368" i="25"/>
  <c r="Z389" i="25"/>
  <c r="Z398" i="25"/>
  <c r="Z399" i="25"/>
  <c r="Z404" i="25"/>
  <c r="Z405" i="25"/>
  <c r="N435" i="25"/>
  <c r="P435" i="25" s="1"/>
  <c r="L435" i="25"/>
  <c r="S460" i="25"/>
  <c r="AA460" i="25" s="1"/>
  <c r="K490" i="25"/>
  <c r="K491" i="25"/>
  <c r="K508" i="25"/>
  <c r="Z531" i="25"/>
  <c r="L531" i="25"/>
  <c r="L537" i="25"/>
  <c r="Z540" i="25"/>
  <c r="L540" i="25"/>
  <c r="Z542" i="25"/>
  <c r="N542" i="25"/>
  <c r="P542" i="25" s="1"/>
  <c r="K553" i="25"/>
  <c r="L553" i="25"/>
  <c r="Z561" i="25"/>
  <c r="L561" i="25"/>
  <c r="K561" i="25"/>
  <c r="Z573" i="25"/>
  <c r="L573" i="25"/>
  <c r="K573" i="25"/>
  <c r="L606" i="25"/>
  <c r="N809" i="25"/>
  <c r="P809" i="25" s="1"/>
  <c r="Z809" i="25"/>
  <c r="Z850" i="25"/>
  <c r="N850" i="25"/>
  <c r="P850" i="25" s="1"/>
  <c r="N895" i="25"/>
  <c r="P895" i="25" s="1"/>
  <c r="K895" i="25"/>
  <c r="K503" i="25"/>
  <c r="K504" i="25"/>
  <c r="L516" i="25"/>
  <c r="L518" i="25"/>
  <c r="L527" i="25"/>
  <c r="L543" i="25"/>
  <c r="L559" i="25"/>
  <c r="L570" i="25"/>
  <c r="K648" i="25"/>
  <c r="L648" i="25"/>
  <c r="K696" i="25"/>
  <c r="L696" i="25"/>
  <c r="K718" i="25"/>
  <c r="Z718" i="25"/>
  <c r="L718" i="25"/>
  <c r="N718" i="25"/>
  <c r="P718" i="25" s="1"/>
  <c r="K742" i="25"/>
  <c r="N742" i="25"/>
  <c r="P742" i="25" s="1"/>
  <c r="Z742" i="25"/>
  <c r="L742" i="25"/>
  <c r="Z822" i="25"/>
  <c r="N822" i="25"/>
  <c r="P822" i="25" s="1"/>
  <c r="Z833" i="25"/>
  <c r="N833" i="25"/>
  <c r="P833" i="25" s="1"/>
  <c r="N894" i="25"/>
  <c r="P894" i="25" s="1"/>
  <c r="L894" i="25"/>
  <c r="N901" i="25"/>
  <c r="P901" i="25" s="1"/>
  <c r="K901" i="25"/>
  <c r="N1217" i="25"/>
  <c r="P1217" i="25" s="1"/>
  <c r="L1217" i="25"/>
  <c r="N1232" i="25"/>
  <c r="P1232" i="25" s="1"/>
  <c r="L1232" i="25"/>
  <c r="Z1244" i="25"/>
  <c r="N1244" i="25"/>
  <c r="P1244" i="25" s="1"/>
  <c r="L1244" i="25"/>
  <c r="K1244" i="25"/>
  <c r="L1306" i="25"/>
  <c r="K1306" i="25"/>
  <c r="K664" i="25"/>
  <c r="L664" i="25"/>
  <c r="K676" i="25"/>
  <c r="L676" i="25"/>
  <c r="K700" i="25"/>
  <c r="N700" i="25"/>
  <c r="P700" i="25" s="1"/>
  <c r="Z700" i="25"/>
  <c r="L700" i="25"/>
  <c r="Z781" i="25"/>
  <c r="N781" i="25"/>
  <c r="P781" i="25" s="1"/>
  <c r="Z853" i="25"/>
  <c r="N853" i="25"/>
  <c r="P853" i="25" s="1"/>
  <c r="L911" i="25"/>
  <c r="N911" i="25"/>
  <c r="P911" i="25" s="1"/>
  <c r="L919" i="25"/>
  <c r="N919" i="25"/>
  <c r="P919" i="25" s="1"/>
  <c r="L927" i="25"/>
  <c r="N927" i="25"/>
  <c r="P927" i="25" s="1"/>
  <c r="L931" i="25"/>
  <c r="N931" i="25"/>
  <c r="P931" i="25" s="1"/>
  <c r="K988" i="25"/>
  <c r="L988" i="25"/>
  <c r="N988" i="25"/>
  <c r="P988" i="25" s="1"/>
  <c r="K990" i="25"/>
  <c r="N990" i="25"/>
  <c r="P990" i="25" s="1"/>
  <c r="L990" i="25"/>
  <c r="N1034" i="25"/>
  <c r="P1034" i="25" s="1"/>
  <c r="L1034" i="25"/>
  <c r="N1089" i="25"/>
  <c r="P1089" i="25" s="1"/>
  <c r="K1089" i="25"/>
  <c r="N1093" i="25"/>
  <c r="P1093" i="25" s="1"/>
  <c r="K1093" i="25"/>
  <c r="N1204" i="25"/>
  <c r="P1204" i="25" s="1"/>
  <c r="Z1204" i="25"/>
  <c r="L1204" i="25"/>
  <c r="Z1242" i="25"/>
  <c r="L1242" i="25"/>
  <c r="N1242" i="25"/>
  <c r="P1242" i="25" s="1"/>
  <c r="K1242" i="25"/>
  <c r="Z1291" i="25"/>
  <c r="L1291" i="25"/>
  <c r="N1291" i="25"/>
  <c r="P1291" i="25" s="1"/>
  <c r="Z1294" i="25"/>
  <c r="N1294" i="25"/>
  <c r="P1294" i="25" s="1"/>
  <c r="L1294" i="25"/>
  <c r="Z652" i="25"/>
  <c r="Z684" i="25"/>
  <c r="L998" i="25"/>
  <c r="N998" i="25"/>
  <c r="P998" i="25" s="1"/>
  <c r="L1008" i="25"/>
  <c r="N1008" i="25"/>
  <c r="P1008" i="25" s="1"/>
  <c r="N1040" i="25"/>
  <c r="P1040" i="25" s="1"/>
  <c r="L1040" i="25"/>
  <c r="N1050" i="25"/>
  <c r="P1050" i="25" s="1"/>
  <c r="L1050" i="25"/>
  <c r="N1069" i="25"/>
  <c r="P1069" i="25" s="1"/>
  <c r="K1069" i="25"/>
  <c r="L1118" i="25"/>
  <c r="N1118" i="25"/>
  <c r="P1118" i="25" s="1"/>
  <c r="L1122" i="25"/>
  <c r="N1122" i="25"/>
  <c r="P1122" i="25" s="1"/>
  <c r="Z1235" i="25"/>
  <c r="L1235" i="25"/>
  <c r="N1235" i="25"/>
  <c r="P1235" i="25" s="1"/>
  <c r="Z1238" i="25"/>
  <c r="N1238" i="25"/>
  <c r="P1238" i="25" s="1"/>
  <c r="L1238" i="25"/>
  <c r="Z1246" i="25"/>
  <c r="Z1277" i="25"/>
  <c r="N1277" i="25"/>
  <c r="P1277" i="25" s="1"/>
  <c r="L1277" i="25"/>
  <c r="Z1279" i="25"/>
  <c r="L1279" i="25"/>
  <c r="N1279" i="25"/>
  <c r="P1279" i="25" s="1"/>
  <c r="Z1281" i="25"/>
  <c r="N1281" i="25"/>
  <c r="P1281" i="25" s="1"/>
  <c r="L1281" i="25"/>
  <c r="Z1283" i="25"/>
  <c r="L1283" i="25"/>
  <c r="N1283" i="25"/>
  <c r="P1283" i="25" s="1"/>
  <c r="Z1285" i="25"/>
  <c r="N1285" i="25"/>
  <c r="P1285" i="25" s="1"/>
  <c r="L1285" i="25"/>
  <c r="Z1287" i="25"/>
  <c r="L1287" i="25"/>
  <c r="N1287" i="25"/>
  <c r="P1287" i="25" s="1"/>
  <c r="Z1289" i="25"/>
  <c r="N1289" i="25"/>
  <c r="P1289" i="25" s="1"/>
  <c r="L1289" i="25"/>
  <c r="K1309" i="25"/>
  <c r="N1309" i="25"/>
  <c r="P1309" i="25" s="1"/>
  <c r="N1317" i="25"/>
  <c r="P1317" i="25" s="1"/>
  <c r="K1317" i="25"/>
  <c r="L1344" i="25"/>
  <c r="Z1344" i="25"/>
  <c r="N1344" i="25"/>
  <c r="P1344" i="25" s="1"/>
  <c r="L1345" i="25"/>
  <c r="N1345" i="25"/>
  <c r="P1345" i="25" s="1"/>
  <c r="Z1368" i="25"/>
  <c r="N1368" i="25"/>
  <c r="P1368" i="25" s="1"/>
  <c r="K1368" i="25"/>
  <c r="Z1385" i="25"/>
  <c r="N1385" i="25"/>
  <c r="P1385" i="25" s="1"/>
  <c r="L1385" i="25"/>
  <c r="Z1295" i="25"/>
  <c r="N1295" i="25"/>
  <c r="P1295" i="25" s="1"/>
  <c r="L1295" i="25"/>
  <c r="N1301" i="25"/>
  <c r="P1301" i="25" s="1"/>
  <c r="K1301" i="25"/>
  <c r="Z1352" i="25"/>
  <c r="N1352" i="25"/>
  <c r="P1352" i="25" s="1"/>
  <c r="Z1365" i="25"/>
  <c r="K1365" i="25"/>
  <c r="N1365" i="25"/>
  <c r="P1365" i="25" s="1"/>
  <c r="Z1376" i="25"/>
  <c r="N1376" i="25"/>
  <c r="P1376" i="25" s="1"/>
  <c r="K1376" i="25"/>
  <c r="K1002" i="25"/>
  <c r="L1002" i="25"/>
  <c r="N1002" i="25"/>
  <c r="P1002" i="25" s="1"/>
  <c r="N1018" i="25"/>
  <c r="P1018" i="25" s="1"/>
  <c r="L1018" i="25"/>
  <c r="N1053" i="25"/>
  <c r="P1053" i="25" s="1"/>
  <c r="K1053" i="25"/>
  <c r="N1198" i="25"/>
  <c r="P1198" i="25" s="1"/>
  <c r="Z1198" i="25"/>
  <c r="L1198" i="25"/>
  <c r="N1205" i="25"/>
  <c r="P1205" i="25" s="1"/>
  <c r="L1205" i="25"/>
  <c r="N1215" i="25"/>
  <c r="P1215" i="25" s="1"/>
  <c r="L1215" i="25"/>
  <c r="Z1234" i="25"/>
  <c r="L1234" i="25"/>
  <c r="N1234" i="25"/>
  <c r="P1234" i="25" s="1"/>
  <c r="Z1239" i="25"/>
  <c r="N1239" i="25"/>
  <c r="P1239" i="25" s="1"/>
  <c r="L1239" i="25"/>
  <c r="N1254" i="25"/>
  <c r="P1254" i="25" s="1"/>
  <c r="L1254" i="25"/>
  <c r="N1303" i="25"/>
  <c r="P1303" i="25" s="1"/>
  <c r="K1303" i="25"/>
  <c r="K1311" i="25"/>
  <c r="N1311" i="25"/>
  <c r="P1311" i="25" s="1"/>
  <c r="N1319" i="25"/>
  <c r="P1319" i="25" s="1"/>
  <c r="K1319" i="25"/>
  <c r="Z1373" i="25"/>
  <c r="N1373" i="25"/>
  <c r="P1373" i="25" s="1"/>
  <c r="K1373" i="25"/>
  <c r="Z1380" i="25"/>
  <c r="K1380" i="25"/>
  <c r="N1380" i="25"/>
  <c r="P1380" i="25" s="1"/>
  <c r="N1394" i="25"/>
  <c r="P1394" i="25" s="1"/>
  <c r="K1394" i="25"/>
  <c r="N1401" i="25"/>
  <c r="P1401" i="25" s="1"/>
  <c r="L1401" i="25"/>
  <c r="K1240" i="25"/>
  <c r="K1290" i="25"/>
  <c r="K1296" i="25"/>
  <c r="K1388" i="25"/>
  <c r="K1213" i="25"/>
  <c r="Z82" i="25"/>
  <c r="N82" i="25"/>
  <c r="P82" i="25" s="1"/>
  <c r="L82" i="25"/>
  <c r="N129" i="25"/>
  <c r="P129" i="25" s="1"/>
  <c r="L129" i="25"/>
  <c r="N137" i="25"/>
  <c r="P137" i="25" s="1"/>
  <c r="L137" i="25"/>
  <c r="N186" i="25"/>
  <c r="P186" i="25" s="1"/>
  <c r="L186" i="25"/>
  <c r="L865" i="25"/>
  <c r="K865" i="25"/>
  <c r="N865" i="25"/>
  <c r="P865" i="25" s="1"/>
  <c r="N62" i="25"/>
  <c r="P62" i="25" s="1"/>
  <c r="L62" i="25"/>
  <c r="Z71" i="25"/>
  <c r="L71" i="25"/>
  <c r="N71" i="25"/>
  <c r="P71" i="25" s="1"/>
  <c r="Z72" i="25"/>
  <c r="N72" i="25"/>
  <c r="P72" i="25" s="1"/>
  <c r="L72" i="25"/>
  <c r="Z73" i="25"/>
  <c r="L73" i="25"/>
  <c r="N73" i="25"/>
  <c r="P73" i="25" s="1"/>
  <c r="Z79" i="25"/>
  <c r="L79" i="25"/>
  <c r="N79" i="25"/>
  <c r="P79" i="25" s="1"/>
  <c r="Z80" i="25"/>
  <c r="N80" i="25"/>
  <c r="P80" i="25" s="1"/>
  <c r="L80" i="25"/>
  <c r="Z81" i="25"/>
  <c r="L81" i="25"/>
  <c r="N81" i="25"/>
  <c r="P81" i="25" s="1"/>
  <c r="Z94" i="25"/>
  <c r="N126" i="25"/>
  <c r="P126" i="25" s="1"/>
  <c r="L126" i="25"/>
  <c r="Z131" i="25"/>
  <c r="N134" i="25"/>
  <c r="P134" i="25" s="1"/>
  <c r="L134" i="25"/>
  <c r="Z148" i="25"/>
  <c r="N183" i="25"/>
  <c r="P183" i="25" s="1"/>
  <c r="L183" i="25"/>
  <c r="Z218" i="25"/>
  <c r="Z243" i="25"/>
  <c r="N249" i="25"/>
  <c r="P249" i="25" s="1"/>
  <c r="L249" i="25"/>
  <c r="Z288" i="25"/>
  <c r="Z315" i="25"/>
  <c r="N319" i="25"/>
  <c r="P319" i="25" s="1"/>
  <c r="L319" i="25"/>
  <c r="Z329" i="25"/>
  <c r="N333" i="25"/>
  <c r="P333" i="25" s="1"/>
  <c r="L333" i="25"/>
  <c r="N352" i="25"/>
  <c r="P352" i="25" s="1"/>
  <c r="L352" i="25"/>
  <c r="Z370" i="25"/>
  <c r="Z371" i="25"/>
  <c r="N384" i="25"/>
  <c r="P384" i="25" s="1"/>
  <c r="L384" i="25"/>
  <c r="Z437" i="25"/>
  <c r="N437" i="25"/>
  <c r="P437" i="25" s="1"/>
  <c r="L437" i="25"/>
  <c r="K437" i="25"/>
  <c r="S472" i="25"/>
  <c r="AA472" i="25" s="1"/>
  <c r="M472" i="25"/>
  <c r="L472" i="25" s="1"/>
  <c r="L475" i="25"/>
  <c r="N475" i="25"/>
  <c r="P475" i="25" s="1"/>
  <c r="Z475" i="25"/>
  <c r="M479" i="25"/>
  <c r="Z479" i="25" s="1"/>
  <c r="S479" i="25"/>
  <c r="AA479" i="25" s="1"/>
  <c r="K494" i="25"/>
  <c r="Z494" i="25"/>
  <c r="Z501" i="25"/>
  <c r="N501" i="25"/>
  <c r="P501" i="25" s="1"/>
  <c r="K501" i="25"/>
  <c r="Z520" i="25"/>
  <c r="N520" i="25"/>
  <c r="P520" i="25" s="1"/>
  <c r="L520" i="25"/>
  <c r="K520" i="25"/>
  <c r="Z523" i="25"/>
  <c r="N523" i="25"/>
  <c r="P523" i="25" s="1"/>
  <c r="L523" i="25"/>
  <c r="K609" i="25"/>
  <c r="N609" i="25"/>
  <c r="P609" i="25" s="1"/>
  <c r="Z609" i="25"/>
  <c r="L609" i="25"/>
  <c r="K638" i="25"/>
  <c r="L638" i="25"/>
  <c r="Z638" i="25"/>
  <c r="K670" i="25"/>
  <c r="L670" i="25"/>
  <c r="Z670" i="25"/>
  <c r="K708" i="25"/>
  <c r="Z708" i="25"/>
  <c r="L708" i="25"/>
  <c r="N708" i="25"/>
  <c r="P708" i="25" s="1"/>
  <c r="K720" i="25"/>
  <c r="Z720" i="25"/>
  <c r="L720" i="25"/>
  <c r="N720" i="25"/>
  <c r="P720" i="25" s="1"/>
  <c r="K738" i="25"/>
  <c r="N738" i="25"/>
  <c r="P738" i="25" s="1"/>
  <c r="Z738" i="25"/>
  <c r="L738" i="25"/>
  <c r="K748" i="25"/>
  <c r="Z748" i="25"/>
  <c r="L748" i="25"/>
  <c r="N748" i="25"/>
  <c r="P748" i="25" s="1"/>
  <c r="K759" i="25"/>
  <c r="Z759" i="25"/>
  <c r="L759" i="25"/>
  <c r="N759" i="25"/>
  <c r="P759" i="25" s="1"/>
  <c r="K765" i="25"/>
  <c r="N765" i="25"/>
  <c r="P765" i="25" s="1"/>
  <c r="Z765" i="25"/>
  <c r="L765" i="25"/>
  <c r="N930" i="25"/>
  <c r="P930" i="25" s="1"/>
  <c r="K930" i="25"/>
  <c r="N225" i="25"/>
  <c r="P225" i="25" s="1"/>
  <c r="L225" i="25"/>
  <c r="N303" i="25"/>
  <c r="P303" i="25" s="1"/>
  <c r="L303" i="25"/>
  <c r="N320" i="25"/>
  <c r="P320" i="25" s="1"/>
  <c r="L320" i="25"/>
  <c r="N392" i="25"/>
  <c r="P392" i="25" s="1"/>
  <c r="L392" i="25"/>
  <c r="N396" i="25"/>
  <c r="P396" i="25" s="1"/>
  <c r="L396" i="25"/>
  <c r="Z420" i="25"/>
  <c r="Z517" i="25"/>
  <c r="N517" i="25"/>
  <c r="P517" i="25" s="1"/>
  <c r="L517" i="25"/>
  <c r="K517" i="25"/>
  <c r="Z529" i="25"/>
  <c r="N529" i="25"/>
  <c r="P529" i="25" s="1"/>
  <c r="L529" i="25"/>
  <c r="Z68" i="25"/>
  <c r="N68" i="25"/>
  <c r="P68" i="25" s="1"/>
  <c r="L68" i="25"/>
  <c r="Z78" i="25"/>
  <c r="N78" i="25"/>
  <c r="P78" i="25" s="1"/>
  <c r="L78" i="25"/>
  <c r="Z86" i="25"/>
  <c r="N86" i="25"/>
  <c r="P86" i="25" s="1"/>
  <c r="L86" i="25"/>
  <c r="N125" i="25"/>
  <c r="P125" i="25" s="1"/>
  <c r="L125" i="25"/>
  <c r="N133" i="25"/>
  <c r="P133" i="25" s="1"/>
  <c r="L133" i="25"/>
  <c r="Z150" i="25"/>
  <c r="Z214" i="25"/>
  <c r="Z225" i="25"/>
  <c r="Z226" i="25"/>
  <c r="Z245" i="25"/>
  <c r="Z303" i="25"/>
  <c r="Z304" i="25"/>
  <c r="N307" i="25"/>
  <c r="P307" i="25" s="1"/>
  <c r="L307" i="25"/>
  <c r="N312" i="25"/>
  <c r="P312" i="25" s="1"/>
  <c r="L312" i="25"/>
  <c r="Z314" i="25"/>
  <c r="Z320" i="25"/>
  <c r="Z321" i="25"/>
  <c r="N326" i="25"/>
  <c r="P326" i="25" s="1"/>
  <c r="L326" i="25"/>
  <c r="Z328" i="25"/>
  <c r="N364" i="25"/>
  <c r="P364" i="25" s="1"/>
  <c r="L364" i="25"/>
  <c r="N367" i="25"/>
  <c r="P367" i="25" s="1"/>
  <c r="L367" i="25"/>
  <c r="Z369" i="25"/>
  <c r="N383" i="25"/>
  <c r="P383" i="25" s="1"/>
  <c r="L383" i="25"/>
  <c r="Z385" i="25"/>
  <c r="N387" i="25"/>
  <c r="P387" i="25" s="1"/>
  <c r="Z387" i="25"/>
  <c r="N394" i="25"/>
  <c r="P394" i="25" s="1"/>
  <c r="Z394" i="25"/>
  <c r="Z431" i="25"/>
  <c r="N431" i="25"/>
  <c r="P431" i="25" s="1"/>
  <c r="K431" i="25"/>
  <c r="L451" i="25"/>
  <c r="Z451" i="25"/>
  <c r="L463" i="25"/>
  <c r="Z463" i="25"/>
  <c r="M473" i="25"/>
  <c r="L473" i="25" s="1"/>
  <c r="S473" i="25"/>
  <c r="AA473" i="25" s="1"/>
  <c r="Z480" i="25"/>
  <c r="N480" i="25"/>
  <c r="P480" i="25" s="1"/>
  <c r="L480" i="25"/>
  <c r="K480" i="25"/>
  <c r="Z492" i="25"/>
  <c r="N492" i="25"/>
  <c r="P492" i="25" s="1"/>
  <c r="K492" i="25"/>
  <c r="Z538" i="25"/>
  <c r="N538" i="25"/>
  <c r="P538" i="25" s="1"/>
  <c r="L538" i="25"/>
  <c r="Z541" i="25"/>
  <c r="N541" i="25"/>
  <c r="P541" i="25" s="1"/>
  <c r="L541" i="25"/>
  <c r="Z551" i="25"/>
  <c r="L551" i="25"/>
  <c r="N551" i="25"/>
  <c r="P551" i="25" s="1"/>
  <c r="K551" i="25"/>
  <c r="Z562" i="25"/>
  <c r="L562" i="25"/>
  <c r="N562" i="25"/>
  <c r="P562" i="25" s="1"/>
  <c r="K562" i="25"/>
  <c r="K599" i="25"/>
  <c r="N599" i="25"/>
  <c r="P599" i="25" s="1"/>
  <c r="Z599" i="25"/>
  <c r="L599" i="25"/>
  <c r="K605" i="25"/>
  <c r="Z605" i="25"/>
  <c r="L605" i="25"/>
  <c r="N605" i="25"/>
  <c r="P605" i="25" s="1"/>
  <c r="K634" i="25"/>
  <c r="L634" i="25"/>
  <c r="Z634" i="25"/>
  <c r="K666" i="25"/>
  <c r="L666" i="25"/>
  <c r="Z666" i="25"/>
  <c r="K698" i="25"/>
  <c r="L698" i="25"/>
  <c r="Z698" i="25"/>
  <c r="Z74" i="25"/>
  <c r="N74" i="25"/>
  <c r="P74" i="25" s="1"/>
  <c r="L74" i="25"/>
  <c r="N414" i="25"/>
  <c r="P414" i="25" s="1"/>
  <c r="L414" i="25"/>
  <c r="Z414" i="25"/>
  <c r="Z425" i="25"/>
  <c r="N425" i="25"/>
  <c r="P425" i="25" s="1"/>
  <c r="L425" i="25"/>
  <c r="K425" i="25"/>
  <c r="M436" i="25"/>
  <c r="Z436" i="25" s="1"/>
  <c r="S436" i="25"/>
  <c r="AA436" i="25" s="1"/>
  <c r="M442" i="25"/>
  <c r="N442" i="25" s="1"/>
  <c r="P442" i="25" s="1"/>
  <c r="S442" i="25"/>
  <c r="AA442" i="25" s="1"/>
  <c r="L471" i="25"/>
  <c r="Z471" i="25"/>
  <c r="N471" i="25"/>
  <c r="P471" i="25" s="1"/>
  <c r="Z64" i="25"/>
  <c r="N64" i="25"/>
  <c r="P64" i="25" s="1"/>
  <c r="L64" i="25"/>
  <c r="Z65" i="25"/>
  <c r="L65" i="25"/>
  <c r="N65" i="25"/>
  <c r="P65" i="25" s="1"/>
  <c r="Z66" i="25"/>
  <c r="N66" i="25"/>
  <c r="P66" i="25" s="1"/>
  <c r="L66" i="25"/>
  <c r="Z67" i="25"/>
  <c r="L67" i="25"/>
  <c r="N67" i="25"/>
  <c r="P67" i="25" s="1"/>
  <c r="K74" i="25"/>
  <c r="Z75" i="25"/>
  <c r="L75" i="25"/>
  <c r="N75" i="25"/>
  <c r="P75" i="25" s="1"/>
  <c r="Z76" i="25"/>
  <c r="N76" i="25"/>
  <c r="P76" i="25" s="1"/>
  <c r="L76" i="25"/>
  <c r="Z77" i="25"/>
  <c r="L77" i="25"/>
  <c r="N77" i="25"/>
  <c r="P77" i="25" s="1"/>
  <c r="Z83" i="25"/>
  <c r="L83" i="25"/>
  <c r="N83" i="25"/>
  <c r="P83" i="25" s="1"/>
  <c r="Z84" i="25"/>
  <c r="N84" i="25"/>
  <c r="P84" i="25" s="1"/>
  <c r="L84" i="25"/>
  <c r="Z85" i="25"/>
  <c r="L85" i="25"/>
  <c r="N85" i="25"/>
  <c r="P85" i="25" s="1"/>
  <c r="N93" i="25"/>
  <c r="P93" i="25" s="1"/>
  <c r="L93" i="25"/>
  <c r="N130" i="25"/>
  <c r="P130" i="25" s="1"/>
  <c r="L130" i="25"/>
  <c r="N152" i="25"/>
  <c r="P152" i="25" s="1"/>
  <c r="L152" i="25"/>
  <c r="N239" i="25"/>
  <c r="P239" i="25" s="1"/>
  <c r="L239" i="25"/>
  <c r="N242" i="25"/>
  <c r="P242" i="25" s="1"/>
  <c r="L242" i="25"/>
  <c r="N287" i="25"/>
  <c r="P287" i="25" s="1"/>
  <c r="L287" i="25"/>
  <c r="N306" i="25"/>
  <c r="P306" i="25" s="1"/>
  <c r="L306" i="25"/>
  <c r="N311" i="25"/>
  <c r="P311" i="25" s="1"/>
  <c r="L311" i="25"/>
  <c r="N325" i="25"/>
  <c r="P325" i="25" s="1"/>
  <c r="L325" i="25"/>
  <c r="N345" i="25"/>
  <c r="P345" i="25" s="1"/>
  <c r="L345" i="25"/>
  <c r="L386" i="25"/>
  <c r="Z386" i="25"/>
  <c r="N393" i="25"/>
  <c r="P393" i="25" s="1"/>
  <c r="L393" i="25"/>
  <c r="Z393" i="25"/>
  <c r="L459" i="25"/>
  <c r="Z459" i="25"/>
  <c r="N463" i="25"/>
  <c r="P463" i="25" s="1"/>
  <c r="Z489" i="25"/>
  <c r="N489" i="25"/>
  <c r="P489" i="25" s="1"/>
  <c r="N495" i="25"/>
  <c r="P495" i="25" s="1"/>
  <c r="Z495" i="25"/>
  <c r="Z506" i="25"/>
  <c r="N506" i="25"/>
  <c r="P506" i="25" s="1"/>
  <c r="K506" i="25"/>
  <c r="Z509" i="25"/>
  <c r="N509" i="25"/>
  <c r="P509" i="25" s="1"/>
  <c r="Z550" i="25"/>
  <c r="N550" i="25"/>
  <c r="P550" i="25" s="1"/>
  <c r="L550" i="25"/>
  <c r="K550" i="25"/>
  <c r="Z558" i="25"/>
  <c r="L558" i="25"/>
  <c r="N558" i="25"/>
  <c r="P558" i="25" s="1"/>
  <c r="K558" i="25"/>
  <c r="Z574" i="25"/>
  <c r="L574" i="25"/>
  <c r="N574" i="25"/>
  <c r="P574" i="25" s="1"/>
  <c r="K574" i="25"/>
  <c r="K595" i="25"/>
  <c r="Z595" i="25"/>
  <c r="L595" i="25"/>
  <c r="N595" i="25"/>
  <c r="P595" i="25" s="1"/>
  <c r="N772" i="25"/>
  <c r="P772" i="25" s="1"/>
  <c r="Z772" i="25"/>
  <c r="Z777" i="25"/>
  <c r="N777" i="25"/>
  <c r="P777" i="25" s="1"/>
  <c r="N813" i="25"/>
  <c r="P813" i="25" s="1"/>
  <c r="Z813" i="25"/>
  <c r="Z818" i="25"/>
  <c r="N818" i="25"/>
  <c r="P818" i="25" s="1"/>
  <c r="N837" i="25"/>
  <c r="P837" i="25" s="1"/>
  <c r="Z837" i="25"/>
  <c r="Z546" i="25"/>
  <c r="L546" i="25"/>
  <c r="Z554" i="25"/>
  <c r="K554" i="25"/>
  <c r="Z556" i="25"/>
  <c r="N556" i="25"/>
  <c r="P556" i="25" s="1"/>
  <c r="Z564" i="25"/>
  <c r="L564" i="25"/>
  <c r="N564" i="25"/>
  <c r="P564" i="25" s="1"/>
  <c r="Z567" i="25"/>
  <c r="L567" i="25"/>
  <c r="N567" i="25"/>
  <c r="P567" i="25" s="1"/>
  <c r="Z572" i="25"/>
  <c r="N572" i="25"/>
  <c r="P572" i="25" s="1"/>
  <c r="L572" i="25"/>
  <c r="Z576" i="25"/>
  <c r="L576" i="25"/>
  <c r="N576" i="25"/>
  <c r="P576" i="25" s="1"/>
  <c r="Z579" i="25"/>
  <c r="L579" i="25"/>
  <c r="N579" i="25"/>
  <c r="P579" i="25" s="1"/>
  <c r="K583" i="25"/>
  <c r="N583" i="25"/>
  <c r="P583" i="25" s="1"/>
  <c r="Z583" i="25"/>
  <c r="L583" i="25"/>
  <c r="K589" i="25"/>
  <c r="Z589" i="25"/>
  <c r="L589" i="25"/>
  <c r="N589" i="25"/>
  <c r="P589" i="25" s="1"/>
  <c r="K593" i="25"/>
  <c r="N593" i="25"/>
  <c r="P593" i="25" s="1"/>
  <c r="Z593" i="25"/>
  <c r="L593" i="25"/>
  <c r="K611" i="25"/>
  <c r="Z611" i="25"/>
  <c r="L611" i="25"/>
  <c r="N611" i="25"/>
  <c r="P611" i="25" s="1"/>
  <c r="K615" i="25"/>
  <c r="N615" i="25"/>
  <c r="P615" i="25" s="1"/>
  <c r="Z615" i="25"/>
  <c r="L615" i="25"/>
  <c r="K622" i="25"/>
  <c r="L622" i="25"/>
  <c r="K650" i="25"/>
  <c r="L650" i="25"/>
  <c r="K654" i="25"/>
  <c r="L654" i="25"/>
  <c r="K682" i="25"/>
  <c r="L682" i="25"/>
  <c r="K686" i="25"/>
  <c r="L686" i="25"/>
  <c r="K702" i="25"/>
  <c r="N702" i="25"/>
  <c r="P702" i="25" s="1"/>
  <c r="Z702" i="25"/>
  <c r="L702" i="25"/>
  <c r="K714" i="25"/>
  <c r="N714" i="25"/>
  <c r="P714" i="25" s="1"/>
  <c r="Z714" i="25"/>
  <c r="L714" i="25"/>
  <c r="K724" i="25"/>
  <c r="Z724" i="25"/>
  <c r="L724" i="25"/>
  <c r="N724" i="25"/>
  <c r="P724" i="25" s="1"/>
  <c r="K744" i="25"/>
  <c r="Z744" i="25"/>
  <c r="L744" i="25"/>
  <c r="N744" i="25"/>
  <c r="P744" i="25" s="1"/>
  <c r="K754" i="25"/>
  <c r="N754" i="25"/>
  <c r="P754" i="25" s="1"/>
  <c r="Z754" i="25"/>
  <c r="L754" i="25"/>
  <c r="Z785" i="25"/>
  <c r="N785" i="25"/>
  <c r="P785" i="25" s="1"/>
  <c r="Z789" i="25"/>
  <c r="N789" i="25"/>
  <c r="P789" i="25" s="1"/>
  <c r="Z826" i="25"/>
  <c r="N826" i="25"/>
  <c r="P826" i="25" s="1"/>
  <c r="N849" i="25"/>
  <c r="P849" i="25" s="1"/>
  <c r="Z849" i="25"/>
  <c r="N926" i="25"/>
  <c r="P926" i="25" s="1"/>
  <c r="K926" i="25"/>
  <c r="N975" i="25"/>
  <c r="P975" i="25" s="1"/>
  <c r="Z975" i="25"/>
  <c r="L1038" i="25"/>
  <c r="N1038" i="25"/>
  <c r="P1038" i="25" s="1"/>
  <c r="N1042" i="25"/>
  <c r="P1042" i="25" s="1"/>
  <c r="L1042" i="25"/>
  <c r="K1042" i="25"/>
  <c r="N1044" i="25"/>
  <c r="P1044" i="25" s="1"/>
  <c r="L1044" i="25"/>
  <c r="K1044" i="25"/>
  <c r="L1074" i="25"/>
  <c r="N1074" i="25"/>
  <c r="P1074" i="25" s="1"/>
  <c r="N1097" i="25"/>
  <c r="P1097" i="25" s="1"/>
  <c r="K1097" i="25"/>
  <c r="L1110" i="25"/>
  <c r="N1110" i="25"/>
  <c r="P1110" i="25" s="1"/>
  <c r="Z1143" i="25"/>
  <c r="K1143" i="25"/>
  <c r="N1143" i="25"/>
  <c r="P1143" i="25" s="1"/>
  <c r="Z1152" i="25"/>
  <c r="N1152" i="25"/>
  <c r="P1152" i="25" s="1"/>
  <c r="K1152" i="25"/>
  <c r="N1196" i="25"/>
  <c r="P1196" i="25" s="1"/>
  <c r="L1196" i="25"/>
  <c r="N1197" i="25"/>
  <c r="P1197" i="25" s="1"/>
  <c r="L1197" i="25"/>
  <c r="Z1392" i="25"/>
  <c r="N1392" i="25"/>
  <c r="P1392" i="25" s="1"/>
  <c r="L1392" i="25"/>
  <c r="K1392" i="25"/>
  <c r="N1400" i="25"/>
  <c r="P1400" i="25" s="1"/>
  <c r="L1400" i="25"/>
  <c r="K1400" i="25"/>
  <c r="K31" i="25"/>
  <c r="K33" i="25"/>
  <c r="K37" i="25"/>
  <c r="K39" i="25"/>
  <c r="K41" i="25"/>
  <c r="K43" i="25"/>
  <c r="K45" i="25"/>
  <c r="K87" i="25"/>
  <c r="Z139" i="25"/>
  <c r="Z140" i="25"/>
  <c r="Z143" i="25"/>
  <c r="Z145" i="25"/>
  <c r="Z149" i="25"/>
  <c r="Z188" i="25"/>
  <c r="Z213" i="25"/>
  <c r="Z217" i="25"/>
  <c r="Z244" i="25"/>
  <c r="Z259" i="25"/>
  <c r="Z260" i="25"/>
  <c r="Z263" i="25"/>
  <c r="Z264" i="25"/>
  <c r="Z267" i="25"/>
  <c r="Z268" i="25"/>
  <c r="Z271" i="25"/>
  <c r="Z272" i="25"/>
  <c r="Z289" i="25"/>
  <c r="Z298" i="25"/>
  <c r="Z299" i="25"/>
  <c r="Z335" i="25"/>
  <c r="Z336" i="25"/>
  <c r="Z339" i="25"/>
  <c r="Z341" i="25"/>
  <c r="Z347" i="25"/>
  <c r="Z349" i="25"/>
  <c r="Z372" i="25"/>
  <c r="K424" i="25"/>
  <c r="N427" i="25"/>
  <c r="P427" i="25" s="1"/>
  <c r="N430" i="25"/>
  <c r="P430" i="25" s="1"/>
  <c r="N433" i="25"/>
  <c r="P433" i="25" s="1"/>
  <c r="Z435" i="25"/>
  <c r="N439" i="25"/>
  <c r="P439" i="25" s="1"/>
  <c r="K461" i="25"/>
  <c r="S465" i="25"/>
  <c r="AA465" i="25" s="1"/>
  <c r="N467" i="25"/>
  <c r="P467" i="25" s="1"/>
  <c r="N488" i="25"/>
  <c r="P488" i="25" s="1"/>
  <c r="N493" i="25"/>
  <c r="P493" i="25" s="1"/>
  <c r="N497" i="25"/>
  <c r="P497" i="25" s="1"/>
  <c r="N502" i="25"/>
  <c r="P502" i="25" s="1"/>
  <c r="N505" i="25"/>
  <c r="P505" i="25" s="1"/>
  <c r="N510" i="25"/>
  <c r="P510" i="25" s="1"/>
  <c r="N513" i="25"/>
  <c r="P513" i="25" s="1"/>
  <c r="K514" i="25"/>
  <c r="K516" i="25"/>
  <c r="K519" i="25"/>
  <c r="N522" i="25"/>
  <c r="P522" i="25" s="1"/>
  <c r="N525" i="25"/>
  <c r="P525" i="25" s="1"/>
  <c r="N533" i="25"/>
  <c r="P533" i="25" s="1"/>
  <c r="K534" i="25"/>
  <c r="N536" i="25"/>
  <c r="P536" i="25" s="1"/>
  <c r="N539" i="25"/>
  <c r="P539" i="25" s="1"/>
  <c r="K540" i="25"/>
  <c r="Z544" i="25"/>
  <c r="N544" i="25"/>
  <c r="P544" i="25" s="1"/>
  <c r="N546" i="25"/>
  <c r="P546" i="25" s="1"/>
  <c r="Z547" i="25"/>
  <c r="N547" i="25"/>
  <c r="P547" i="25" s="1"/>
  <c r="Z548" i="25"/>
  <c r="L548" i="25"/>
  <c r="N554" i="25"/>
  <c r="P554" i="25" s="1"/>
  <c r="Z557" i="25"/>
  <c r="K557" i="25"/>
  <c r="Z563" i="25"/>
  <c r="N563" i="25"/>
  <c r="P563" i="25" s="1"/>
  <c r="L563" i="25"/>
  <c r="Z566" i="25"/>
  <c r="N566" i="25"/>
  <c r="P566" i="25" s="1"/>
  <c r="L566" i="25"/>
  <c r="Z569" i="25"/>
  <c r="N569" i="25"/>
  <c r="P569" i="25" s="1"/>
  <c r="L569" i="25"/>
  <c r="Z575" i="25"/>
  <c r="N575" i="25"/>
  <c r="P575" i="25" s="1"/>
  <c r="L575" i="25"/>
  <c r="Z578" i="25"/>
  <c r="N578" i="25"/>
  <c r="P578" i="25" s="1"/>
  <c r="L578" i="25"/>
  <c r="K581" i="25"/>
  <c r="Z581" i="25"/>
  <c r="L581" i="25"/>
  <c r="N581" i="25"/>
  <c r="P581" i="25" s="1"/>
  <c r="K585" i="25"/>
  <c r="N585" i="25"/>
  <c r="P585" i="25" s="1"/>
  <c r="Z585" i="25"/>
  <c r="L585" i="25"/>
  <c r="K603" i="25"/>
  <c r="Z603" i="25"/>
  <c r="L603" i="25"/>
  <c r="N603" i="25"/>
  <c r="P603" i="25" s="1"/>
  <c r="K607" i="25"/>
  <c r="N607" i="25"/>
  <c r="P607" i="25" s="1"/>
  <c r="Z607" i="25"/>
  <c r="L607" i="25"/>
  <c r="K613" i="25"/>
  <c r="Z613" i="25"/>
  <c r="L613" i="25"/>
  <c r="N613" i="25"/>
  <c r="P613" i="25" s="1"/>
  <c r="K617" i="25"/>
  <c r="N617" i="25"/>
  <c r="P617" i="25" s="1"/>
  <c r="Z617" i="25"/>
  <c r="L617" i="25"/>
  <c r="K642" i="25"/>
  <c r="L642" i="25"/>
  <c r="K646" i="25"/>
  <c r="L646" i="25"/>
  <c r="K674" i="25"/>
  <c r="L674" i="25"/>
  <c r="K678" i="25"/>
  <c r="L678" i="25"/>
  <c r="K706" i="25"/>
  <c r="Z706" i="25"/>
  <c r="L706" i="25"/>
  <c r="N706" i="25"/>
  <c r="P706" i="25" s="1"/>
  <c r="K716" i="25"/>
  <c r="N716" i="25"/>
  <c r="P716" i="25" s="1"/>
  <c r="Z716" i="25"/>
  <c r="L716" i="25"/>
  <c r="K728" i="25"/>
  <c r="N728" i="25"/>
  <c r="P728" i="25" s="1"/>
  <c r="Z728" i="25"/>
  <c r="L728" i="25"/>
  <c r="K734" i="25"/>
  <c r="Z734" i="25"/>
  <c r="L734" i="25"/>
  <c r="N734" i="25"/>
  <c r="P734" i="25" s="1"/>
  <c r="K746" i="25"/>
  <c r="Z746" i="25"/>
  <c r="L746" i="25"/>
  <c r="N746" i="25"/>
  <c r="P746" i="25" s="1"/>
  <c r="N768" i="25"/>
  <c r="P768" i="25" s="1"/>
  <c r="Z768" i="25"/>
  <c r="N780" i="25"/>
  <c r="P780" i="25" s="1"/>
  <c r="Z780" i="25"/>
  <c r="N821" i="25"/>
  <c r="P821" i="25" s="1"/>
  <c r="Z821" i="25"/>
  <c r="Z842" i="25"/>
  <c r="N842" i="25"/>
  <c r="P842" i="25" s="1"/>
  <c r="Z846" i="25"/>
  <c r="N846" i="25"/>
  <c r="P846" i="25" s="1"/>
  <c r="L867" i="25"/>
  <c r="N867" i="25"/>
  <c r="P867" i="25" s="1"/>
  <c r="Z867" i="25"/>
  <c r="Z870" i="25"/>
  <c r="N899" i="25"/>
  <c r="P899" i="25" s="1"/>
  <c r="K899" i="25"/>
  <c r="L923" i="25"/>
  <c r="N923" i="25"/>
  <c r="P923" i="25" s="1"/>
  <c r="L1062" i="25"/>
  <c r="N1062" i="25"/>
  <c r="P1062" i="25" s="1"/>
  <c r="N1085" i="25"/>
  <c r="P1085" i="25" s="1"/>
  <c r="K1085" i="25"/>
  <c r="L1094" i="25"/>
  <c r="N1094" i="25"/>
  <c r="P1094" i="25" s="1"/>
  <c r="Z1128" i="25"/>
  <c r="N1128" i="25"/>
  <c r="P1128" i="25" s="1"/>
  <c r="K1128" i="25"/>
  <c r="Z1151" i="25"/>
  <c r="K1151" i="25"/>
  <c r="N1151" i="25"/>
  <c r="P1151" i="25" s="1"/>
  <c r="Z1160" i="25"/>
  <c r="N1160" i="25"/>
  <c r="P1160" i="25" s="1"/>
  <c r="K1160" i="25"/>
  <c r="Z1371" i="25"/>
  <c r="K1371" i="25"/>
  <c r="N1371" i="25"/>
  <c r="P1371" i="25" s="1"/>
  <c r="Z1377" i="25"/>
  <c r="N1377" i="25"/>
  <c r="P1377" i="25" s="1"/>
  <c r="K1377" i="25"/>
  <c r="Z1384" i="25"/>
  <c r="K1384" i="25"/>
  <c r="L1384" i="25"/>
  <c r="N1384" i="25"/>
  <c r="P1384" i="25" s="1"/>
  <c r="Z1127" i="25"/>
  <c r="K1127" i="25"/>
  <c r="N1127" i="25"/>
  <c r="P1127" i="25" s="1"/>
  <c r="Z1136" i="25"/>
  <c r="N1136" i="25"/>
  <c r="P1136" i="25" s="1"/>
  <c r="K1136" i="25"/>
  <c r="Z1159" i="25"/>
  <c r="K1159" i="25"/>
  <c r="N1159" i="25"/>
  <c r="P1159" i="25" s="1"/>
  <c r="Z1168" i="25"/>
  <c r="N1168" i="25"/>
  <c r="P1168" i="25" s="1"/>
  <c r="K1168" i="25"/>
  <c r="N1190" i="25"/>
  <c r="P1190" i="25" s="1"/>
  <c r="L1190" i="25"/>
  <c r="N1194" i="25"/>
  <c r="P1194" i="25" s="1"/>
  <c r="Z1194" i="25"/>
  <c r="L1194" i="25"/>
  <c r="Z1196" i="25"/>
  <c r="Z1197" i="25"/>
  <c r="N1218" i="25"/>
  <c r="P1218" i="25" s="1"/>
  <c r="L1218" i="25"/>
  <c r="K1218" i="25"/>
  <c r="N1222" i="25"/>
  <c r="P1222" i="25" s="1"/>
  <c r="L1222" i="25"/>
  <c r="N1226" i="25"/>
  <c r="P1226" i="25" s="1"/>
  <c r="L1226" i="25"/>
  <c r="N1230" i="25"/>
  <c r="P1230" i="25" s="1"/>
  <c r="L1230" i="25"/>
  <c r="N1245" i="25"/>
  <c r="P1245" i="25" s="1"/>
  <c r="K1245" i="25"/>
  <c r="N1253" i="25"/>
  <c r="P1253" i="25" s="1"/>
  <c r="L1253" i="25"/>
  <c r="L1338" i="25"/>
  <c r="N1338" i="25"/>
  <c r="P1338" i="25" s="1"/>
  <c r="K3" i="25"/>
  <c r="K4" i="25"/>
  <c r="K5" i="25"/>
  <c r="K6" i="25"/>
  <c r="K7" i="25"/>
  <c r="K8" i="25"/>
  <c r="K11" i="25"/>
  <c r="K12" i="25"/>
  <c r="K13" i="25"/>
  <c r="K14" i="25"/>
  <c r="K15" i="25"/>
  <c r="S424" i="25"/>
  <c r="AA424" i="25" s="1"/>
  <c r="K427" i="25"/>
  <c r="K430" i="25"/>
  <c r="Z433" i="25"/>
  <c r="K439" i="25"/>
  <c r="K493" i="25"/>
  <c r="K497" i="25"/>
  <c r="K502" i="25"/>
  <c r="K505" i="25"/>
  <c r="K510" i="25"/>
  <c r="K513" i="25"/>
  <c r="L522" i="25"/>
  <c r="L525" i="25"/>
  <c r="L533" i="25"/>
  <c r="L536" i="25"/>
  <c r="L539" i="25"/>
  <c r="Z553" i="25"/>
  <c r="N553" i="25"/>
  <c r="P553" i="25" s="1"/>
  <c r="L554" i="25"/>
  <c r="L556" i="25"/>
  <c r="Z559" i="25"/>
  <c r="N559" i="25"/>
  <c r="P559" i="25" s="1"/>
  <c r="Z560" i="25"/>
  <c r="L560" i="25"/>
  <c r="K564" i="25"/>
  <c r="K567" i="25"/>
  <c r="K572" i="25"/>
  <c r="K576" i="25"/>
  <c r="K579" i="25"/>
  <c r="K587" i="25"/>
  <c r="Z587" i="25"/>
  <c r="L587" i="25"/>
  <c r="N587" i="25"/>
  <c r="P587" i="25" s="1"/>
  <c r="K591" i="25"/>
  <c r="N591" i="25"/>
  <c r="P591" i="25" s="1"/>
  <c r="Z591" i="25"/>
  <c r="L591" i="25"/>
  <c r="K597" i="25"/>
  <c r="Z597" i="25"/>
  <c r="L597" i="25"/>
  <c r="N597" i="25"/>
  <c r="P597" i="25" s="1"/>
  <c r="K601" i="25"/>
  <c r="N601" i="25"/>
  <c r="P601" i="25" s="1"/>
  <c r="Z601" i="25"/>
  <c r="L601" i="25"/>
  <c r="K619" i="25"/>
  <c r="Z619" i="25"/>
  <c r="L619" i="25"/>
  <c r="N619" i="25"/>
  <c r="P619" i="25" s="1"/>
  <c r="K626" i="25"/>
  <c r="L626" i="25"/>
  <c r="K630" i="25"/>
  <c r="L630" i="25"/>
  <c r="K658" i="25"/>
  <c r="L658" i="25"/>
  <c r="K662" i="25"/>
  <c r="L662" i="25"/>
  <c r="K690" i="25"/>
  <c r="L690" i="25"/>
  <c r="K694" i="25"/>
  <c r="L694" i="25"/>
  <c r="K712" i="25"/>
  <c r="N712" i="25"/>
  <c r="P712" i="25" s="1"/>
  <c r="Z712" i="25"/>
  <c r="L712" i="25"/>
  <c r="K722" i="25"/>
  <c r="Z722" i="25"/>
  <c r="L722" i="25"/>
  <c r="N722" i="25"/>
  <c r="P722" i="25" s="1"/>
  <c r="K740" i="25"/>
  <c r="N740" i="25"/>
  <c r="P740" i="25" s="1"/>
  <c r="Z740" i="25"/>
  <c r="L740" i="25"/>
  <c r="K752" i="25"/>
  <c r="N752" i="25"/>
  <c r="P752" i="25" s="1"/>
  <c r="Z752" i="25"/>
  <c r="L752" i="25"/>
  <c r="N792" i="25"/>
  <c r="P792" i="25" s="1"/>
  <c r="Z792" i="25"/>
  <c r="Z810" i="25"/>
  <c r="N810" i="25"/>
  <c r="P810" i="25" s="1"/>
  <c r="N829" i="25"/>
  <c r="P829" i="25" s="1"/>
  <c r="Z829" i="25"/>
  <c r="Z834" i="25"/>
  <c r="N834" i="25"/>
  <c r="P834" i="25" s="1"/>
  <c r="Z854" i="25"/>
  <c r="N854" i="25"/>
  <c r="P854" i="25" s="1"/>
  <c r="N886" i="25"/>
  <c r="P886" i="25" s="1"/>
  <c r="L886" i="25"/>
  <c r="N910" i="25"/>
  <c r="P910" i="25" s="1"/>
  <c r="K910" i="25"/>
  <c r="L1004" i="25"/>
  <c r="N1004" i="25"/>
  <c r="P1004" i="25" s="1"/>
  <c r="K1004" i="25"/>
  <c r="L1006" i="25"/>
  <c r="N1006" i="25"/>
  <c r="P1006" i="25" s="1"/>
  <c r="K1006" i="25"/>
  <c r="N1010" i="25"/>
  <c r="P1010" i="25" s="1"/>
  <c r="L1010" i="25"/>
  <c r="K1010" i="25"/>
  <c r="N1113" i="25"/>
  <c r="P1113" i="25" s="1"/>
  <c r="K1113" i="25"/>
  <c r="Z1135" i="25"/>
  <c r="K1135" i="25"/>
  <c r="N1135" i="25"/>
  <c r="P1135" i="25" s="1"/>
  <c r="Z1144" i="25"/>
  <c r="N1144" i="25"/>
  <c r="P1144" i="25" s="1"/>
  <c r="K1144" i="25"/>
  <c r="Z1167" i="25"/>
  <c r="K1167" i="25"/>
  <c r="N1167" i="25"/>
  <c r="P1167" i="25" s="1"/>
  <c r="Z1370" i="25"/>
  <c r="N1370" i="25"/>
  <c r="P1370" i="25" s="1"/>
  <c r="K1370" i="25"/>
  <c r="Z1372" i="25"/>
  <c r="N1372" i="25"/>
  <c r="P1372" i="25" s="1"/>
  <c r="K1372" i="25"/>
  <c r="K565" i="25"/>
  <c r="K568" i="25"/>
  <c r="K571" i="25"/>
  <c r="K577" i="25"/>
  <c r="Z624" i="25"/>
  <c r="Z632" i="25"/>
  <c r="Z640" i="25"/>
  <c r="Z648" i="25"/>
  <c r="Z656" i="25"/>
  <c r="Z664" i="25"/>
  <c r="Z672" i="25"/>
  <c r="Z680" i="25"/>
  <c r="Z688" i="25"/>
  <c r="Z696" i="25"/>
  <c r="Z871" i="25"/>
  <c r="N871" i="25"/>
  <c r="P871" i="25" s="1"/>
  <c r="N878" i="25"/>
  <c r="P878" i="25" s="1"/>
  <c r="K878" i="25"/>
  <c r="N938" i="25"/>
  <c r="P938" i="25" s="1"/>
  <c r="K938" i="25"/>
  <c r="L943" i="25"/>
  <c r="K943" i="25"/>
  <c r="N943" i="25"/>
  <c r="P943" i="25" s="1"/>
  <c r="L947" i="25"/>
  <c r="K947" i="25"/>
  <c r="N947" i="25"/>
  <c r="P947" i="25" s="1"/>
  <c r="L951" i="25"/>
  <c r="K951" i="25"/>
  <c r="N951" i="25"/>
  <c r="P951" i="25" s="1"/>
  <c r="L955" i="25"/>
  <c r="K955" i="25"/>
  <c r="N955" i="25"/>
  <c r="P955" i="25" s="1"/>
  <c r="L960" i="25"/>
  <c r="K960" i="25"/>
  <c r="N960" i="25"/>
  <c r="P960" i="25" s="1"/>
  <c r="Z972" i="25"/>
  <c r="N972" i="25"/>
  <c r="P972" i="25" s="1"/>
  <c r="L980" i="25"/>
  <c r="N980" i="25"/>
  <c r="P980" i="25" s="1"/>
  <c r="N1020" i="25"/>
  <c r="P1020" i="25" s="1"/>
  <c r="L1020" i="25"/>
  <c r="L1026" i="25"/>
  <c r="N1026" i="25"/>
  <c r="P1026" i="25" s="1"/>
  <c r="N1032" i="25"/>
  <c r="P1032" i="25" s="1"/>
  <c r="L1032" i="25"/>
  <c r="L1054" i="25"/>
  <c r="N1054" i="25"/>
  <c r="P1054" i="25" s="1"/>
  <c r="N1073" i="25"/>
  <c r="P1073" i="25" s="1"/>
  <c r="K1073" i="25"/>
  <c r="L1078" i="25"/>
  <c r="N1078" i="25"/>
  <c r="P1078" i="25" s="1"/>
  <c r="N1081" i="25"/>
  <c r="P1081" i="25" s="1"/>
  <c r="K1081" i="25"/>
  <c r="N1105" i="25"/>
  <c r="P1105" i="25" s="1"/>
  <c r="K1105" i="25"/>
  <c r="N1121" i="25"/>
  <c r="P1121" i="25" s="1"/>
  <c r="K1121" i="25"/>
  <c r="Z1131" i="25"/>
  <c r="N1131" i="25"/>
  <c r="P1131" i="25" s="1"/>
  <c r="K1131" i="25"/>
  <c r="Z1132" i="25"/>
  <c r="K1132" i="25"/>
  <c r="N1132" i="25"/>
  <c r="P1132" i="25" s="1"/>
  <c r="Z1147" i="25"/>
  <c r="N1147" i="25"/>
  <c r="P1147" i="25" s="1"/>
  <c r="K1147" i="25"/>
  <c r="Z1148" i="25"/>
  <c r="K1148" i="25"/>
  <c r="N1148" i="25"/>
  <c r="P1148" i="25" s="1"/>
  <c r="Z1163" i="25"/>
  <c r="N1163" i="25"/>
  <c r="P1163" i="25" s="1"/>
  <c r="K1163" i="25"/>
  <c r="Z1164" i="25"/>
  <c r="K1164" i="25"/>
  <c r="N1164" i="25"/>
  <c r="P1164" i="25" s="1"/>
  <c r="N1181" i="25"/>
  <c r="P1181" i="25" s="1"/>
  <c r="Z1181" i="25"/>
  <c r="L1181" i="25"/>
  <c r="N1186" i="25"/>
  <c r="P1186" i="25" s="1"/>
  <c r="Z1186" i="25"/>
  <c r="L1186" i="25"/>
  <c r="N1189" i="25"/>
  <c r="P1189" i="25" s="1"/>
  <c r="Z1189" i="25"/>
  <c r="L1189" i="25"/>
  <c r="N1206" i="25"/>
  <c r="P1206" i="25" s="1"/>
  <c r="Z1206" i="25"/>
  <c r="L1206" i="25"/>
  <c r="N1268" i="25"/>
  <c r="P1268" i="25" s="1"/>
  <c r="Z1268" i="25"/>
  <c r="L1268" i="25"/>
  <c r="N1273" i="25"/>
  <c r="P1273" i="25" s="1"/>
  <c r="L1273" i="25"/>
  <c r="L1342" i="25"/>
  <c r="N1342" i="25"/>
  <c r="P1342" i="25" s="1"/>
  <c r="Z1348" i="25"/>
  <c r="Z1350" i="25"/>
  <c r="N1350" i="25"/>
  <c r="P1350" i="25" s="1"/>
  <c r="Z1386" i="25"/>
  <c r="N1386" i="25"/>
  <c r="P1386" i="25" s="1"/>
  <c r="L1386" i="25"/>
  <c r="K1386" i="25"/>
  <c r="L872" i="25"/>
  <c r="N872" i="25"/>
  <c r="P872" i="25" s="1"/>
  <c r="L875" i="25"/>
  <c r="N875" i="25"/>
  <c r="P875" i="25" s="1"/>
  <c r="L915" i="25"/>
  <c r="N915" i="25"/>
  <c r="P915" i="25" s="1"/>
  <c r="N918" i="25"/>
  <c r="P918" i="25" s="1"/>
  <c r="K918" i="25"/>
  <c r="L935" i="25"/>
  <c r="N935" i="25"/>
  <c r="P935" i="25" s="1"/>
  <c r="L945" i="25"/>
  <c r="K945" i="25"/>
  <c r="N945" i="25"/>
  <c r="P945" i="25" s="1"/>
  <c r="L949" i="25"/>
  <c r="K949" i="25"/>
  <c r="N949" i="25"/>
  <c r="P949" i="25" s="1"/>
  <c r="L953" i="25"/>
  <c r="K953" i="25"/>
  <c r="N953" i="25"/>
  <c r="P953" i="25" s="1"/>
  <c r="L957" i="25"/>
  <c r="K957" i="25"/>
  <c r="N957" i="25"/>
  <c r="P957" i="25" s="1"/>
  <c r="L978" i="25"/>
  <c r="N978" i="25"/>
  <c r="P978" i="25" s="1"/>
  <c r="N984" i="25"/>
  <c r="P984" i="25" s="1"/>
  <c r="L984" i="25"/>
  <c r="L992" i="25"/>
  <c r="N992" i="25"/>
  <c r="P992" i="25" s="1"/>
  <c r="N1000" i="25"/>
  <c r="P1000" i="25" s="1"/>
  <c r="L1000" i="25"/>
  <c r="L1016" i="25"/>
  <c r="N1016" i="25"/>
  <c r="P1016" i="25" s="1"/>
  <c r="N1022" i="25"/>
  <c r="P1022" i="25" s="1"/>
  <c r="L1022" i="25"/>
  <c r="L1024" i="25"/>
  <c r="N1024" i="25"/>
  <c r="P1024" i="25" s="1"/>
  <c r="L1028" i="25"/>
  <c r="N1028" i="25"/>
  <c r="P1028" i="25" s="1"/>
  <c r="L1048" i="25"/>
  <c r="N1048" i="25"/>
  <c r="P1048" i="25" s="1"/>
  <c r="N1057" i="25"/>
  <c r="P1057" i="25" s="1"/>
  <c r="K1057" i="25"/>
  <c r="L1066" i="25"/>
  <c r="N1066" i="25"/>
  <c r="P1066" i="25" s="1"/>
  <c r="L1070" i="25"/>
  <c r="N1070" i="25"/>
  <c r="P1070" i="25" s="1"/>
  <c r="L1090" i="25"/>
  <c r="N1090" i="25"/>
  <c r="P1090" i="25" s="1"/>
  <c r="N1101" i="25"/>
  <c r="P1101" i="25" s="1"/>
  <c r="K1101" i="25"/>
  <c r="N1117" i="25"/>
  <c r="P1117" i="25" s="1"/>
  <c r="K1117" i="25"/>
  <c r="L1123" i="25"/>
  <c r="N1123" i="25"/>
  <c r="P1123" i="25" s="1"/>
  <c r="K1123" i="25"/>
  <c r="Z1139" i="25"/>
  <c r="N1139" i="25"/>
  <c r="P1139" i="25" s="1"/>
  <c r="K1139" i="25"/>
  <c r="Z1140" i="25"/>
  <c r="K1140" i="25"/>
  <c r="N1140" i="25"/>
  <c r="P1140" i="25" s="1"/>
  <c r="Z1155" i="25"/>
  <c r="N1155" i="25"/>
  <c r="P1155" i="25" s="1"/>
  <c r="K1155" i="25"/>
  <c r="Z1156" i="25"/>
  <c r="K1156" i="25"/>
  <c r="N1156" i="25"/>
  <c r="P1156" i="25" s="1"/>
  <c r="N1195" i="25"/>
  <c r="P1195" i="25" s="1"/>
  <c r="Z1195" i="25"/>
  <c r="N1270" i="25"/>
  <c r="P1270" i="25" s="1"/>
  <c r="L1270" i="25"/>
  <c r="Z1382" i="25"/>
  <c r="K1382" i="25"/>
  <c r="N1382" i="25"/>
  <c r="P1382" i="25" s="1"/>
  <c r="N1398" i="25"/>
  <c r="P1398" i="25" s="1"/>
  <c r="L1398" i="25"/>
  <c r="K1398" i="25"/>
  <c r="Z880" i="25"/>
  <c r="K986" i="25"/>
  <c r="Z1124" i="25"/>
  <c r="Z1187" i="25"/>
  <c r="Z1203" i="25"/>
  <c r="N1210" i="25"/>
  <c r="P1210" i="25" s="1"/>
  <c r="L1210" i="25"/>
  <c r="N1214" i="25"/>
  <c r="P1214" i="25" s="1"/>
  <c r="L1214" i="25"/>
  <c r="N1258" i="25"/>
  <c r="P1258" i="25" s="1"/>
  <c r="L1258" i="25"/>
  <c r="N1272" i="25"/>
  <c r="P1272" i="25" s="1"/>
  <c r="L1272" i="25"/>
  <c r="L1346" i="25"/>
  <c r="N1346" i="25"/>
  <c r="P1346" i="25" s="1"/>
  <c r="Z1351" i="25"/>
  <c r="N1351" i="25"/>
  <c r="P1351" i="25" s="1"/>
  <c r="Z1355" i="25"/>
  <c r="K1355" i="25"/>
  <c r="N1355" i="25"/>
  <c r="P1355" i="25" s="1"/>
  <c r="Z1361" i="25"/>
  <c r="K1361" i="25"/>
  <c r="N1361" i="25"/>
  <c r="P1361" i="25" s="1"/>
  <c r="Z1366" i="25"/>
  <c r="K1366" i="25"/>
  <c r="N1366" i="25"/>
  <c r="P1366" i="25" s="1"/>
  <c r="Z1367" i="25"/>
  <c r="N1367" i="25"/>
  <c r="P1367" i="25" s="1"/>
  <c r="K1367" i="25"/>
  <c r="Z1390" i="25"/>
  <c r="K1390" i="25"/>
  <c r="N1390" i="25"/>
  <c r="P1390" i="25" s="1"/>
  <c r="L1390" i="25"/>
  <c r="N1399" i="25"/>
  <c r="P1399" i="25" s="1"/>
  <c r="L1399" i="25"/>
  <c r="Z1404" i="25"/>
  <c r="L1404" i="25"/>
  <c r="K1404" i="25"/>
  <c r="N1404" i="25"/>
  <c r="P1404" i="25" s="1"/>
  <c r="Z1405" i="25"/>
  <c r="N1405" i="25"/>
  <c r="P1405" i="25" s="1"/>
  <c r="L1405" i="25"/>
  <c r="Z1408" i="25"/>
  <c r="L1408" i="25"/>
  <c r="K1408" i="25"/>
  <c r="N1408" i="25"/>
  <c r="P1408" i="25" s="1"/>
  <c r="N1180" i="25"/>
  <c r="P1180" i="25" s="1"/>
  <c r="K1180" i="25"/>
  <c r="N1183" i="25"/>
  <c r="P1183" i="25" s="1"/>
  <c r="Z1183" i="25"/>
  <c r="N1200" i="25"/>
  <c r="P1200" i="25" s="1"/>
  <c r="Z1200" i="25"/>
  <c r="L1200" i="25"/>
  <c r="N1262" i="25"/>
  <c r="P1262" i="25" s="1"/>
  <c r="L1262" i="25"/>
  <c r="N1274" i="25"/>
  <c r="P1274" i="25" s="1"/>
  <c r="L1274" i="25"/>
  <c r="N1325" i="25"/>
  <c r="P1325" i="25" s="1"/>
  <c r="K1325" i="25"/>
  <c r="N1327" i="25"/>
  <c r="P1327" i="25" s="1"/>
  <c r="K1327" i="25"/>
  <c r="N1329" i="25"/>
  <c r="P1329" i="25" s="1"/>
  <c r="K1329" i="25"/>
  <c r="N1331" i="25"/>
  <c r="P1331" i="25" s="1"/>
  <c r="K1331" i="25"/>
  <c r="L1341" i="25"/>
  <c r="N1341" i="25"/>
  <c r="P1341" i="25" s="1"/>
  <c r="Z1354" i="25"/>
  <c r="N1354" i="25"/>
  <c r="P1354" i="25" s="1"/>
  <c r="Z1356" i="25"/>
  <c r="K1356" i="25"/>
  <c r="N1356" i="25"/>
  <c r="P1356" i="25" s="1"/>
  <c r="N1395" i="25"/>
  <c r="P1395" i="25" s="1"/>
  <c r="L1395" i="25"/>
  <c r="K1395" i="25"/>
  <c r="Z1402" i="25"/>
  <c r="L1402" i="25"/>
  <c r="N1402" i="25"/>
  <c r="P1402" i="25" s="1"/>
  <c r="K1402" i="25"/>
  <c r="Z1403" i="25"/>
  <c r="N1403" i="25"/>
  <c r="P1403" i="25" s="1"/>
  <c r="L1403" i="25"/>
  <c r="Z1406" i="25"/>
  <c r="L1406" i="25"/>
  <c r="N1406" i="25"/>
  <c r="P1406" i="25" s="1"/>
  <c r="K1406" i="25"/>
  <c r="Z1407" i="25"/>
  <c r="N1407" i="25"/>
  <c r="P1407" i="25" s="1"/>
  <c r="L1407" i="25"/>
  <c r="Z1300" i="25"/>
  <c r="N1300" i="25"/>
  <c r="P1300" i="25" s="1"/>
  <c r="Z1301" i="25"/>
  <c r="L1301" i="25"/>
  <c r="Z1304" i="25"/>
  <c r="N1304" i="25"/>
  <c r="P1304" i="25" s="1"/>
  <c r="Z1305" i="25"/>
  <c r="L1305" i="25"/>
  <c r="Z1308" i="25"/>
  <c r="N1308" i="25"/>
  <c r="P1308" i="25" s="1"/>
  <c r="Z1309" i="25"/>
  <c r="L1309" i="25"/>
  <c r="Z1312" i="25"/>
  <c r="N1312" i="25"/>
  <c r="P1312" i="25" s="1"/>
  <c r="Z1313" i="25"/>
  <c r="L1313" i="25"/>
  <c r="Z1316" i="25"/>
  <c r="N1316" i="25"/>
  <c r="P1316" i="25" s="1"/>
  <c r="Z1317" i="25"/>
  <c r="L1317" i="25"/>
  <c r="Z1320" i="25"/>
  <c r="N1320" i="25"/>
  <c r="P1320" i="25" s="1"/>
  <c r="Z1321" i="25"/>
  <c r="L1321" i="25"/>
  <c r="L1337" i="25"/>
  <c r="N1337" i="25"/>
  <c r="P1337" i="25" s="1"/>
  <c r="Z1358" i="25"/>
  <c r="K1358" i="25"/>
  <c r="Z1362" i="25"/>
  <c r="N1362" i="25"/>
  <c r="P1362" i="25" s="1"/>
  <c r="Z1363" i="25"/>
  <c r="K1363" i="25"/>
  <c r="Z1375" i="25"/>
  <c r="N1375" i="25"/>
  <c r="P1375" i="25" s="1"/>
  <c r="Z1387" i="25"/>
  <c r="K1387" i="25"/>
  <c r="Z1389" i="25"/>
  <c r="N1389" i="25"/>
  <c r="P1389" i="25" s="1"/>
  <c r="Z1393" i="25"/>
  <c r="K1393" i="25"/>
  <c r="N1396" i="25"/>
  <c r="P1396" i="25" s="1"/>
  <c r="L1396" i="25"/>
  <c r="N1397" i="25"/>
  <c r="P1397" i="25" s="1"/>
  <c r="K1397" i="25"/>
  <c r="K1215" i="25"/>
  <c r="K1216" i="25"/>
  <c r="K1217" i="25"/>
  <c r="K1232" i="25"/>
  <c r="K1233" i="25"/>
  <c r="K1235" i="25"/>
  <c r="K1237" i="25"/>
  <c r="K1239" i="25"/>
  <c r="K1241" i="25"/>
  <c r="Z1247" i="25"/>
  <c r="Z1254" i="25"/>
  <c r="Z1257" i="25"/>
  <c r="Z1261" i="25"/>
  <c r="Z1267" i="25"/>
  <c r="K1271" i="25"/>
  <c r="K1293" i="25"/>
  <c r="K1295" i="25"/>
  <c r="K1297" i="25"/>
  <c r="Z1298" i="25"/>
  <c r="N1298" i="25"/>
  <c r="P1298" i="25" s="1"/>
  <c r="Z1299" i="25"/>
  <c r="L1299" i="25"/>
  <c r="K1300" i="25"/>
  <c r="Z1302" i="25"/>
  <c r="N1302" i="25"/>
  <c r="P1302" i="25" s="1"/>
  <c r="Z1303" i="25"/>
  <c r="L1303" i="25"/>
  <c r="K1304" i="25"/>
  <c r="Z1306" i="25"/>
  <c r="N1306" i="25"/>
  <c r="P1306" i="25" s="1"/>
  <c r="Z1307" i="25"/>
  <c r="L1307" i="25"/>
  <c r="K1308" i="25"/>
  <c r="Z1310" i="25"/>
  <c r="N1310" i="25"/>
  <c r="P1310" i="25" s="1"/>
  <c r="Z1311" i="25"/>
  <c r="L1311" i="25"/>
  <c r="K1312" i="25"/>
  <c r="Z1314" i="25"/>
  <c r="N1314" i="25"/>
  <c r="P1314" i="25" s="1"/>
  <c r="Z1315" i="25"/>
  <c r="L1315" i="25"/>
  <c r="K1316" i="25"/>
  <c r="Z1318" i="25"/>
  <c r="N1318" i="25"/>
  <c r="P1318" i="25" s="1"/>
  <c r="Z1319" i="25"/>
  <c r="L1319" i="25"/>
  <c r="K1320" i="25"/>
  <c r="Z1322" i="25"/>
  <c r="N1322" i="25"/>
  <c r="P1322" i="25" s="1"/>
  <c r="Z1323" i="25"/>
  <c r="L1323" i="25"/>
  <c r="Z1359" i="25"/>
  <c r="N1359" i="25"/>
  <c r="P1359" i="25" s="1"/>
  <c r="Z1374" i="25"/>
  <c r="K1374" i="25"/>
  <c r="Z1378" i="25"/>
  <c r="N1378" i="25"/>
  <c r="P1378" i="25" s="1"/>
  <c r="Z1379" i="25"/>
  <c r="K1379" i="25"/>
  <c r="K1389" i="25"/>
  <c r="Z1391" i="25"/>
  <c r="L1391" i="25"/>
  <c r="Z56" i="25"/>
  <c r="L56" i="25"/>
  <c r="N56" i="25"/>
  <c r="P56" i="25" s="1"/>
  <c r="L482" i="25"/>
  <c r="N482" i="25"/>
  <c r="P482" i="25" s="1"/>
  <c r="Z482" i="25"/>
  <c r="N55" i="25"/>
  <c r="P55" i="25" s="1"/>
  <c r="K55" i="25"/>
  <c r="Z55" i="25"/>
  <c r="L55" i="25"/>
  <c r="L418" i="25"/>
  <c r="N418" i="25"/>
  <c r="P418" i="25" s="1"/>
  <c r="Z418" i="25"/>
  <c r="Z49" i="25"/>
  <c r="Z51" i="25"/>
  <c r="Z60" i="25"/>
  <c r="K96" i="25"/>
  <c r="N96" i="25"/>
  <c r="P96" i="25" s="1"/>
  <c r="K98" i="25"/>
  <c r="N98" i="25"/>
  <c r="P98" i="25" s="1"/>
  <c r="K100" i="25"/>
  <c r="N100" i="25"/>
  <c r="P100" i="25" s="1"/>
  <c r="K102" i="25"/>
  <c r="N102" i="25"/>
  <c r="P102" i="25" s="1"/>
  <c r="K105" i="25"/>
  <c r="N105" i="25"/>
  <c r="P105" i="25" s="1"/>
  <c r="K107" i="25"/>
  <c r="N107" i="25"/>
  <c r="P107" i="25" s="1"/>
  <c r="K112" i="25"/>
  <c r="N112" i="25"/>
  <c r="P112" i="25" s="1"/>
  <c r="K114" i="25"/>
  <c r="N114" i="25"/>
  <c r="P114" i="25" s="1"/>
  <c r="K116" i="25"/>
  <c r="N116" i="25"/>
  <c r="P116" i="25" s="1"/>
  <c r="K118" i="25"/>
  <c r="N118" i="25"/>
  <c r="P118" i="25" s="1"/>
  <c r="K120" i="25"/>
  <c r="N120" i="25"/>
  <c r="P120" i="25" s="1"/>
  <c r="K122" i="25"/>
  <c r="N122" i="25"/>
  <c r="P122" i="25" s="1"/>
  <c r="K124" i="25"/>
  <c r="N124" i="25"/>
  <c r="P124" i="25" s="1"/>
  <c r="K231" i="25"/>
  <c r="N231" i="25"/>
  <c r="P231" i="25" s="1"/>
  <c r="K233" i="25"/>
  <c r="N233" i="25"/>
  <c r="P233" i="25" s="1"/>
  <c r="K235" i="25"/>
  <c r="N235" i="25"/>
  <c r="P235" i="25" s="1"/>
  <c r="K237" i="25"/>
  <c r="N237" i="25"/>
  <c r="P237" i="25" s="1"/>
  <c r="K274" i="25"/>
  <c r="N274" i="25"/>
  <c r="P274" i="25" s="1"/>
  <c r="K275" i="25"/>
  <c r="N275" i="25"/>
  <c r="P275" i="25" s="1"/>
  <c r="K292" i="25"/>
  <c r="N292" i="25"/>
  <c r="P292" i="25" s="1"/>
  <c r="K294" i="25"/>
  <c r="N294" i="25"/>
  <c r="P294" i="25" s="1"/>
  <c r="K296" i="25"/>
  <c r="N296" i="25"/>
  <c r="P296" i="25" s="1"/>
  <c r="K310" i="25"/>
  <c r="N310" i="25"/>
  <c r="P310" i="25" s="1"/>
  <c r="K323" i="25"/>
  <c r="N323" i="25"/>
  <c r="P323" i="25" s="1"/>
  <c r="K344" i="25"/>
  <c r="N344" i="25"/>
  <c r="P344" i="25" s="1"/>
  <c r="K391" i="25"/>
  <c r="N391" i="25"/>
  <c r="P391" i="25" s="1"/>
  <c r="K401" i="25"/>
  <c r="N401" i="25"/>
  <c r="P401" i="25" s="1"/>
  <c r="S432" i="25"/>
  <c r="AA432" i="25" s="1"/>
  <c r="K444" i="25"/>
  <c r="N444" i="25"/>
  <c r="P444" i="25" s="1"/>
  <c r="S454" i="25"/>
  <c r="AA454" i="25" s="1"/>
  <c r="S458" i="25"/>
  <c r="AA458" i="25" s="1"/>
  <c r="N465" i="25"/>
  <c r="P465" i="25" s="1"/>
  <c r="Z465" i="25"/>
  <c r="N469" i="25"/>
  <c r="P469" i="25" s="1"/>
  <c r="Z469" i="25"/>
  <c r="M481" i="25"/>
  <c r="S481" i="25"/>
  <c r="AA481" i="25" s="1"/>
  <c r="K627" i="25"/>
  <c r="Z627" i="25"/>
  <c r="L627" i="25"/>
  <c r="N627" i="25"/>
  <c r="P627" i="25" s="1"/>
  <c r="K635" i="25"/>
  <c r="Z635" i="25"/>
  <c r="L635" i="25"/>
  <c r="N635" i="25"/>
  <c r="P635" i="25" s="1"/>
  <c r="K643" i="25"/>
  <c r="Z643" i="25"/>
  <c r="L643" i="25"/>
  <c r="N643" i="25"/>
  <c r="P643" i="25" s="1"/>
  <c r="K651" i="25"/>
  <c r="Z651" i="25"/>
  <c r="L651" i="25"/>
  <c r="N651" i="25"/>
  <c r="P651" i="25" s="1"/>
  <c r="K667" i="25"/>
  <c r="Z667" i="25"/>
  <c r="L667" i="25"/>
  <c r="N667" i="25"/>
  <c r="P667" i="25" s="1"/>
  <c r="K683" i="25"/>
  <c r="Z683" i="25"/>
  <c r="L683" i="25"/>
  <c r="N683" i="25"/>
  <c r="P683" i="25" s="1"/>
  <c r="K699" i="25"/>
  <c r="Z699" i="25"/>
  <c r="L699" i="25"/>
  <c r="N699" i="25"/>
  <c r="P699" i="25" s="1"/>
  <c r="K721" i="25"/>
  <c r="Z721" i="25"/>
  <c r="L721" i="25"/>
  <c r="K731" i="25"/>
  <c r="Z731" i="25"/>
  <c r="L731" i="25"/>
  <c r="N731" i="25"/>
  <c r="P731" i="25" s="1"/>
  <c r="K753" i="25"/>
  <c r="Z753" i="25"/>
  <c r="L753" i="25"/>
  <c r="K762" i="25"/>
  <c r="Z762" i="25"/>
  <c r="L762" i="25"/>
  <c r="N762" i="25"/>
  <c r="P762" i="25" s="1"/>
  <c r="L805" i="25"/>
  <c r="Z805" i="25"/>
  <c r="L811" i="25"/>
  <c r="K811" i="25"/>
  <c r="Z811" i="25"/>
  <c r="L832" i="25"/>
  <c r="K832" i="25"/>
  <c r="N832" i="25"/>
  <c r="P832" i="25" s="1"/>
  <c r="Z832" i="25"/>
  <c r="N920" i="25"/>
  <c r="P920" i="25" s="1"/>
  <c r="K920" i="25"/>
  <c r="N1185" i="25"/>
  <c r="P1185" i="25" s="1"/>
  <c r="L1185" i="25"/>
  <c r="Z1185" i="25"/>
  <c r="N48" i="25"/>
  <c r="P48" i="25" s="1"/>
  <c r="N51" i="25"/>
  <c r="P51" i="25" s="1"/>
  <c r="N52" i="25"/>
  <c r="P52" i="25" s="1"/>
  <c r="K56" i="25"/>
  <c r="N59" i="25"/>
  <c r="P59" i="25" s="1"/>
  <c r="K138" i="25"/>
  <c r="N138" i="25"/>
  <c r="P138" i="25" s="1"/>
  <c r="K154" i="25"/>
  <c r="N154" i="25"/>
  <c r="P154" i="25" s="1"/>
  <c r="K156" i="25"/>
  <c r="N156" i="25"/>
  <c r="P156" i="25" s="1"/>
  <c r="K158" i="25"/>
  <c r="N158" i="25"/>
  <c r="P158" i="25" s="1"/>
  <c r="K160" i="25"/>
  <c r="N160" i="25"/>
  <c r="P160" i="25" s="1"/>
  <c r="K161" i="25"/>
  <c r="N161" i="25"/>
  <c r="P161" i="25" s="1"/>
  <c r="K163" i="25"/>
  <c r="N163" i="25"/>
  <c r="P163" i="25" s="1"/>
  <c r="K165" i="25"/>
  <c r="N165" i="25"/>
  <c r="P165" i="25" s="1"/>
  <c r="K167" i="25"/>
  <c r="N167" i="25"/>
  <c r="P167" i="25" s="1"/>
  <c r="K170" i="25"/>
  <c r="N170" i="25"/>
  <c r="P170" i="25" s="1"/>
  <c r="K172" i="25"/>
  <c r="N172" i="25"/>
  <c r="P172" i="25" s="1"/>
  <c r="K173" i="25"/>
  <c r="N173" i="25"/>
  <c r="P173" i="25" s="1"/>
  <c r="K175" i="25"/>
  <c r="N175" i="25"/>
  <c r="P175" i="25" s="1"/>
  <c r="K178" i="25"/>
  <c r="N178" i="25"/>
  <c r="P178" i="25" s="1"/>
  <c r="K180" i="25"/>
  <c r="N180" i="25"/>
  <c r="P180" i="25" s="1"/>
  <c r="K182" i="25"/>
  <c r="N182" i="25"/>
  <c r="P182" i="25" s="1"/>
  <c r="K187" i="25"/>
  <c r="N187" i="25"/>
  <c r="P187" i="25" s="1"/>
  <c r="K222" i="25"/>
  <c r="N222" i="25"/>
  <c r="P222" i="25" s="1"/>
  <c r="K224" i="25"/>
  <c r="N224" i="25"/>
  <c r="P224" i="25" s="1"/>
  <c r="K240" i="25"/>
  <c r="N240" i="25"/>
  <c r="P240" i="25" s="1"/>
  <c r="K251" i="25"/>
  <c r="N251" i="25"/>
  <c r="P251" i="25" s="1"/>
  <c r="K253" i="25"/>
  <c r="N253" i="25"/>
  <c r="P253" i="25" s="1"/>
  <c r="K255" i="25"/>
  <c r="N255" i="25"/>
  <c r="P255" i="25" s="1"/>
  <c r="K257" i="25"/>
  <c r="N257" i="25"/>
  <c r="P257" i="25" s="1"/>
  <c r="K278" i="25"/>
  <c r="N278" i="25"/>
  <c r="P278" i="25" s="1"/>
  <c r="K280" i="25"/>
  <c r="N280" i="25"/>
  <c r="P280" i="25" s="1"/>
  <c r="K282" i="25"/>
  <c r="N282" i="25"/>
  <c r="P282" i="25" s="1"/>
  <c r="K284" i="25"/>
  <c r="N284" i="25"/>
  <c r="P284" i="25" s="1"/>
  <c r="K286" i="25"/>
  <c r="N286" i="25"/>
  <c r="P286" i="25" s="1"/>
  <c r="K302" i="25"/>
  <c r="N302" i="25"/>
  <c r="P302" i="25" s="1"/>
  <c r="K353" i="25"/>
  <c r="N353" i="25"/>
  <c r="P353" i="25" s="1"/>
  <c r="K355" i="25"/>
  <c r="N355" i="25"/>
  <c r="P355" i="25" s="1"/>
  <c r="K356" i="25"/>
  <c r="N356" i="25"/>
  <c r="P356" i="25" s="1"/>
  <c r="K366" i="25"/>
  <c r="N366" i="25"/>
  <c r="P366" i="25" s="1"/>
  <c r="K376" i="25"/>
  <c r="N376" i="25"/>
  <c r="P376" i="25" s="1"/>
  <c r="K410" i="25"/>
  <c r="N410" i="25"/>
  <c r="P410" i="25" s="1"/>
  <c r="K412" i="25"/>
  <c r="N412" i="25"/>
  <c r="P412" i="25" s="1"/>
  <c r="M426" i="25"/>
  <c r="K426" i="25" s="1"/>
  <c r="S426" i="25"/>
  <c r="AA426" i="25" s="1"/>
  <c r="K434" i="25"/>
  <c r="N434" i="25"/>
  <c r="P434" i="25" s="1"/>
  <c r="M458" i="25"/>
  <c r="K465" i="25"/>
  <c r="K468" i="25"/>
  <c r="N468" i="25"/>
  <c r="P468" i="25" s="1"/>
  <c r="M470" i="25"/>
  <c r="S470" i="25"/>
  <c r="AA470" i="25" s="1"/>
  <c r="M474" i="25"/>
  <c r="S474" i="25"/>
  <c r="AA474" i="25" s="1"/>
  <c r="K592" i="25"/>
  <c r="N592" i="25"/>
  <c r="P592" i="25" s="1"/>
  <c r="L592" i="25"/>
  <c r="Z592" i="25"/>
  <c r="K600" i="25"/>
  <c r="N600" i="25"/>
  <c r="P600" i="25" s="1"/>
  <c r="L600" i="25"/>
  <c r="Z600" i="25"/>
  <c r="K649" i="25"/>
  <c r="Z649" i="25"/>
  <c r="L649" i="25"/>
  <c r="N649" i="25"/>
  <c r="P649" i="25" s="1"/>
  <c r="K681" i="25"/>
  <c r="Z681" i="25"/>
  <c r="L681" i="25"/>
  <c r="N681" i="25"/>
  <c r="P681" i="25" s="1"/>
  <c r="K697" i="25"/>
  <c r="Z697" i="25"/>
  <c r="L697" i="25"/>
  <c r="N697" i="25"/>
  <c r="P697" i="25" s="1"/>
  <c r="N721" i="25"/>
  <c r="P721" i="25" s="1"/>
  <c r="K745" i="25"/>
  <c r="Z745" i="25"/>
  <c r="L745" i="25"/>
  <c r="K755" i="25"/>
  <c r="Z755" i="25"/>
  <c r="L755" i="25"/>
  <c r="N755" i="25"/>
  <c r="P755" i="25" s="1"/>
  <c r="L828" i="25"/>
  <c r="K828" i="25"/>
  <c r="N828" i="25"/>
  <c r="P828" i="25" s="1"/>
  <c r="Z828" i="25"/>
  <c r="L831" i="25"/>
  <c r="K831" i="25"/>
  <c r="Z831" i="25"/>
  <c r="N831" i="25"/>
  <c r="P831" i="25" s="1"/>
  <c r="L877" i="25"/>
  <c r="N877" i="25"/>
  <c r="P877" i="25" s="1"/>
  <c r="K877" i="25"/>
  <c r="N905" i="25"/>
  <c r="P905" i="25" s="1"/>
  <c r="K905" i="25"/>
  <c r="Z905" i="25"/>
  <c r="L905" i="25"/>
  <c r="N1177" i="25"/>
  <c r="P1177" i="25" s="1"/>
  <c r="K1177" i="25"/>
  <c r="L1177" i="25"/>
  <c r="Z1177" i="25"/>
  <c r="N1263" i="25"/>
  <c r="P1263" i="25" s="1"/>
  <c r="L1263" i="25"/>
  <c r="Z1263" i="25"/>
  <c r="Z4" i="25"/>
  <c r="Z6" i="25"/>
  <c r="Z8" i="25"/>
  <c r="Z10" i="25"/>
  <c r="Z12" i="25"/>
  <c r="Z15" i="25"/>
  <c r="Z16" i="25"/>
  <c r="Z18" i="25"/>
  <c r="Z19" i="25"/>
  <c r="Z20" i="25"/>
  <c r="Z21" i="25"/>
  <c r="Z22" i="25"/>
  <c r="Z23" i="25"/>
  <c r="Z24" i="25"/>
  <c r="Z25" i="25"/>
  <c r="Z26" i="25"/>
  <c r="Z27" i="25"/>
  <c r="Z28" i="25"/>
  <c r="Z29" i="25"/>
  <c r="K48" i="25"/>
  <c r="K49" i="25"/>
  <c r="K50" i="25"/>
  <c r="K51" i="25"/>
  <c r="K52" i="25"/>
  <c r="K53" i="25"/>
  <c r="S56" i="25"/>
  <c r="AA56" i="25" s="1"/>
  <c r="L57" i="25"/>
  <c r="K60" i="25"/>
  <c r="K61" i="25"/>
  <c r="K63" i="25"/>
  <c r="L94" i="25"/>
  <c r="Z95" i="25"/>
  <c r="Z96" i="25"/>
  <c r="Z98" i="25"/>
  <c r="Z100" i="25"/>
  <c r="Z102" i="25"/>
  <c r="Z105" i="25"/>
  <c r="Z107" i="25"/>
  <c r="Z112" i="25"/>
  <c r="Z114" i="25"/>
  <c r="Z116" i="25"/>
  <c r="Z118" i="25"/>
  <c r="Z120" i="25"/>
  <c r="Z122" i="25"/>
  <c r="Z124" i="25"/>
  <c r="L127" i="25"/>
  <c r="Z128" i="25"/>
  <c r="L131" i="25"/>
  <c r="Z132" i="25"/>
  <c r="L135" i="25"/>
  <c r="Z136" i="25"/>
  <c r="L140" i="25"/>
  <c r="Z141" i="25"/>
  <c r="K144" i="25"/>
  <c r="N144" i="25"/>
  <c r="P144" i="25" s="1"/>
  <c r="L145" i="25"/>
  <c r="Z151" i="25"/>
  <c r="L184" i="25"/>
  <c r="Z185" i="25"/>
  <c r="K189" i="25"/>
  <c r="N189" i="25"/>
  <c r="P189" i="25" s="1"/>
  <c r="K190" i="25"/>
  <c r="N190" i="25"/>
  <c r="P190" i="25" s="1"/>
  <c r="K191" i="25"/>
  <c r="N191" i="25"/>
  <c r="P191" i="25" s="1"/>
  <c r="K192" i="25"/>
  <c r="N192" i="25"/>
  <c r="P192" i="25" s="1"/>
  <c r="K193" i="25"/>
  <c r="N193" i="25"/>
  <c r="P193" i="25" s="1"/>
  <c r="K194" i="25"/>
  <c r="N194" i="25"/>
  <c r="P194" i="25" s="1"/>
  <c r="K195" i="25"/>
  <c r="N195" i="25"/>
  <c r="P195" i="25" s="1"/>
  <c r="K196" i="25"/>
  <c r="N196" i="25"/>
  <c r="P196" i="25" s="1"/>
  <c r="K197" i="25"/>
  <c r="N197" i="25"/>
  <c r="P197" i="25" s="1"/>
  <c r="K198" i="25"/>
  <c r="N198" i="25"/>
  <c r="P198" i="25" s="1"/>
  <c r="K199" i="25"/>
  <c r="N199" i="25"/>
  <c r="P199" i="25" s="1"/>
  <c r="K200" i="25"/>
  <c r="N200" i="25"/>
  <c r="P200" i="25" s="1"/>
  <c r="K201" i="25"/>
  <c r="N201" i="25"/>
  <c r="P201" i="25" s="1"/>
  <c r="K202" i="25"/>
  <c r="N202" i="25"/>
  <c r="P202" i="25" s="1"/>
  <c r="K203" i="25"/>
  <c r="N203" i="25"/>
  <c r="P203" i="25" s="1"/>
  <c r="K204" i="25"/>
  <c r="N204" i="25"/>
  <c r="P204" i="25" s="1"/>
  <c r="K205" i="25"/>
  <c r="N205" i="25"/>
  <c r="P205" i="25" s="1"/>
  <c r="K206" i="25"/>
  <c r="N206" i="25"/>
  <c r="P206" i="25" s="1"/>
  <c r="K207" i="25"/>
  <c r="N207" i="25"/>
  <c r="P207" i="25" s="1"/>
  <c r="K208" i="25"/>
  <c r="N208" i="25"/>
  <c r="P208" i="25" s="1"/>
  <c r="K209" i="25"/>
  <c r="N209" i="25"/>
  <c r="P209" i="25" s="1"/>
  <c r="K210" i="25"/>
  <c r="N210" i="25"/>
  <c r="P210" i="25" s="1"/>
  <c r="K211" i="25"/>
  <c r="N211" i="25"/>
  <c r="P211" i="25" s="1"/>
  <c r="K212" i="25"/>
  <c r="N212" i="25"/>
  <c r="P212" i="25" s="1"/>
  <c r="L213" i="25"/>
  <c r="Z220" i="25"/>
  <c r="L226" i="25"/>
  <c r="Z229" i="25"/>
  <c r="Z231" i="25"/>
  <c r="Z233" i="25"/>
  <c r="Z235" i="25"/>
  <c r="Z237" i="25"/>
  <c r="L243" i="25"/>
  <c r="Z248" i="25"/>
  <c r="L260" i="25"/>
  <c r="Z261" i="25"/>
  <c r="L264" i="25"/>
  <c r="Z265" i="25"/>
  <c r="L268" i="25"/>
  <c r="Z269" i="25"/>
  <c r="L272" i="25"/>
  <c r="Z273" i="25"/>
  <c r="Z274" i="25"/>
  <c r="Z275" i="25"/>
  <c r="L288" i="25"/>
  <c r="Z290" i="25"/>
  <c r="Z292" i="25"/>
  <c r="Z294" i="25"/>
  <c r="Z296" i="25"/>
  <c r="L299" i="25"/>
  <c r="Z300" i="25"/>
  <c r="L304" i="25"/>
  <c r="Z305" i="25"/>
  <c r="L308" i="25"/>
  <c r="Z309" i="25"/>
  <c r="Z310" i="25"/>
  <c r="K313" i="25"/>
  <c r="N313" i="25"/>
  <c r="P313" i="25" s="1"/>
  <c r="K314" i="25"/>
  <c r="N314" i="25"/>
  <c r="P314" i="25" s="1"/>
  <c r="K315" i="25"/>
  <c r="N315" i="25"/>
  <c r="P315" i="25" s="1"/>
  <c r="K316" i="25"/>
  <c r="N316" i="25"/>
  <c r="P316" i="25" s="1"/>
  <c r="L317" i="25"/>
  <c r="Z318" i="25"/>
  <c r="L321" i="25"/>
  <c r="Z322" i="25"/>
  <c r="Z323" i="25"/>
  <c r="K327" i="25"/>
  <c r="N327" i="25"/>
  <c r="P327" i="25" s="1"/>
  <c r="K328" i="25"/>
  <c r="N328" i="25"/>
  <c r="P328" i="25" s="1"/>
  <c r="K329" i="25"/>
  <c r="N329" i="25"/>
  <c r="P329" i="25" s="1"/>
  <c r="K330" i="25"/>
  <c r="N330" i="25"/>
  <c r="P330" i="25" s="1"/>
  <c r="L331" i="25"/>
  <c r="Z332" i="25"/>
  <c r="L336" i="25"/>
  <c r="Z337" i="25"/>
  <c r="K340" i="25"/>
  <c r="N340" i="25"/>
  <c r="P340" i="25" s="1"/>
  <c r="L341" i="25"/>
  <c r="Z343" i="25"/>
  <c r="Z344" i="25"/>
  <c r="K348" i="25"/>
  <c r="N348" i="25"/>
  <c r="P348" i="25" s="1"/>
  <c r="L349" i="25"/>
  <c r="Z351" i="25"/>
  <c r="K359" i="25"/>
  <c r="N359" i="25"/>
  <c r="P359" i="25" s="1"/>
  <c r="L360" i="25"/>
  <c r="Z362" i="25"/>
  <c r="K368" i="25"/>
  <c r="N368" i="25"/>
  <c r="P368" i="25" s="1"/>
  <c r="K369" i="25"/>
  <c r="N369" i="25"/>
  <c r="P369" i="25" s="1"/>
  <c r="K370" i="25"/>
  <c r="N370" i="25"/>
  <c r="P370" i="25" s="1"/>
  <c r="L371" i="25"/>
  <c r="Z373" i="25"/>
  <c r="K378" i="25"/>
  <c r="N378" i="25"/>
  <c r="P378" i="25" s="1"/>
  <c r="L379" i="25"/>
  <c r="Z381" i="25"/>
  <c r="K385" i="25"/>
  <c r="N385" i="25"/>
  <c r="P385" i="25" s="1"/>
  <c r="K386" i="25"/>
  <c r="N386" i="25"/>
  <c r="P386" i="25" s="1"/>
  <c r="L387" i="25"/>
  <c r="Z390" i="25"/>
  <c r="Z391" i="25"/>
  <c r="L394" i="25"/>
  <c r="Z395" i="25"/>
  <c r="L399" i="25"/>
  <c r="Z400" i="25"/>
  <c r="Z401" i="25"/>
  <c r="L405" i="25"/>
  <c r="Z406" i="25"/>
  <c r="M416" i="25"/>
  <c r="S416" i="25"/>
  <c r="AA416" i="25" s="1"/>
  <c r="Z419" i="25"/>
  <c r="K421" i="25"/>
  <c r="N421" i="25"/>
  <c r="P421" i="25" s="1"/>
  <c r="K422" i="25"/>
  <c r="N422" i="25"/>
  <c r="P422" i="25" s="1"/>
  <c r="L423" i="25"/>
  <c r="N424" i="25"/>
  <c r="P424" i="25" s="1"/>
  <c r="Z424" i="25"/>
  <c r="Z440" i="25"/>
  <c r="Z443" i="25"/>
  <c r="Z444" i="25"/>
  <c r="Z449" i="25"/>
  <c r="N452" i="25"/>
  <c r="P452" i="25" s="1"/>
  <c r="Z452" i="25"/>
  <c r="S463" i="25"/>
  <c r="AA463" i="25" s="1"/>
  <c r="K463" i="25"/>
  <c r="L465" i="25"/>
  <c r="S467" i="25"/>
  <c r="AA467" i="25" s="1"/>
  <c r="K467" i="25"/>
  <c r="L469" i="25"/>
  <c r="S471" i="25"/>
  <c r="AA471" i="25" s="1"/>
  <c r="K471" i="25"/>
  <c r="S475" i="25"/>
  <c r="AA475" i="25" s="1"/>
  <c r="K475" i="25"/>
  <c r="K477" i="25"/>
  <c r="N477" i="25"/>
  <c r="P477" i="25" s="1"/>
  <c r="K478" i="25"/>
  <c r="N478" i="25"/>
  <c r="P478" i="25" s="1"/>
  <c r="L494" i="25"/>
  <c r="N494" i="25"/>
  <c r="P494" i="25" s="1"/>
  <c r="L495" i="25"/>
  <c r="K495" i="25"/>
  <c r="K623" i="25"/>
  <c r="Z623" i="25"/>
  <c r="L623" i="25"/>
  <c r="N623" i="25"/>
  <c r="P623" i="25" s="1"/>
  <c r="K631" i="25"/>
  <c r="Z631" i="25"/>
  <c r="L631" i="25"/>
  <c r="N631" i="25"/>
  <c r="P631" i="25" s="1"/>
  <c r="K639" i="25"/>
  <c r="Z639" i="25"/>
  <c r="L639" i="25"/>
  <c r="N639" i="25"/>
  <c r="P639" i="25" s="1"/>
  <c r="K647" i="25"/>
  <c r="Z647" i="25"/>
  <c r="L647" i="25"/>
  <c r="N647" i="25"/>
  <c r="P647" i="25" s="1"/>
  <c r="K655" i="25"/>
  <c r="Z655" i="25"/>
  <c r="L655" i="25"/>
  <c r="N655" i="25"/>
  <c r="P655" i="25" s="1"/>
  <c r="K663" i="25"/>
  <c r="Z663" i="25"/>
  <c r="L663" i="25"/>
  <c r="N663" i="25"/>
  <c r="P663" i="25" s="1"/>
  <c r="K671" i="25"/>
  <c r="Z671" i="25"/>
  <c r="L671" i="25"/>
  <c r="N671" i="25"/>
  <c r="P671" i="25" s="1"/>
  <c r="K679" i="25"/>
  <c r="Z679" i="25"/>
  <c r="L679" i="25"/>
  <c r="N679" i="25"/>
  <c r="P679" i="25" s="1"/>
  <c r="K687" i="25"/>
  <c r="Z687" i="25"/>
  <c r="L687" i="25"/>
  <c r="N687" i="25"/>
  <c r="P687" i="25" s="1"/>
  <c r="K695" i="25"/>
  <c r="Z695" i="25"/>
  <c r="L695" i="25"/>
  <c r="N695" i="25"/>
  <c r="P695" i="25" s="1"/>
  <c r="K705" i="25"/>
  <c r="Z705" i="25"/>
  <c r="L705" i="25"/>
  <c r="K715" i="25"/>
  <c r="Z715" i="25"/>
  <c r="L715" i="25"/>
  <c r="N715" i="25"/>
  <c r="P715" i="25" s="1"/>
  <c r="K737" i="25"/>
  <c r="Z737" i="25"/>
  <c r="L737" i="25"/>
  <c r="N745" i="25"/>
  <c r="P745" i="25" s="1"/>
  <c r="K747" i="25"/>
  <c r="Z747" i="25"/>
  <c r="L747" i="25"/>
  <c r="N747" i="25"/>
  <c r="P747" i="25" s="1"/>
  <c r="L770" i="25"/>
  <c r="K770" i="25"/>
  <c r="Z770" i="25"/>
  <c r="L771" i="25"/>
  <c r="K771" i="25"/>
  <c r="N771" i="25"/>
  <c r="P771" i="25" s="1"/>
  <c r="Z771" i="25"/>
  <c r="L774" i="25"/>
  <c r="K774" i="25"/>
  <c r="Z774" i="25"/>
  <c r="N774" i="25"/>
  <c r="P774" i="25" s="1"/>
  <c r="L791" i="25"/>
  <c r="K791" i="25"/>
  <c r="N791" i="25"/>
  <c r="P791" i="25" s="1"/>
  <c r="Z791" i="25"/>
  <c r="L843" i="25"/>
  <c r="K843" i="25"/>
  <c r="Z843" i="25"/>
  <c r="L844" i="25"/>
  <c r="K844" i="25"/>
  <c r="N844" i="25"/>
  <c r="P844" i="25" s="1"/>
  <c r="Z844" i="25"/>
  <c r="L847" i="25"/>
  <c r="K847" i="25"/>
  <c r="Z847" i="25"/>
  <c r="N847" i="25"/>
  <c r="P847" i="25" s="1"/>
  <c r="L866" i="25"/>
  <c r="N866" i="25"/>
  <c r="P866" i="25" s="1"/>
  <c r="Z866" i="25"/>
  <c r="N873" i="25"/>
  <c r="P873" i="25" s="1"/>
  <c r="K873" i="25"/>
  <c r="Z873" i="25"/>
  <c r="L979" i="25"/>
  <c r="K979" i="25"/>
  <c r="N979" i="25"/>
  <c r="P979" i="25" s="1"/>
  <c r="L1005" i="25"/>
  <c r="K1005" i="25"/>
  <c r="N1005" i="25"/>
  <c r="P1005" i="25" s="1"/>
  <c r="L1025" i="25"/>
  <c r="K1025" i="25"/>
  <c r="N1025" i="25"/>
  <c r="P1025" i="25" s="1"/>
  <c r="L1060" i="25"/>
  <c r="N1060" i="25"/>
  <c r="P1060" i="25" s="1"/>
  <c r="K1060" i="25"/>
  <c r="Z48" i="25"/>
  <c r="Z50" i="25"/>
  <c r="Z52" i="25"/>
  <c r="Z53" i="25"/>
  <c r="Z59" i="25"/>
  <c r="K97" i="25"/>
  <c r="N97" i="25"/>
  <c r="P97" i="25" s="1"/>
  <c r="K99" i="25"/>
  <c r="N99" i="25"/>
  <c r="P99" i="25" s="1"/>
  <c r="K101" i="25"/>
  <c r="N101" i="25"/>
  <c r="P101" i="25" s="1"/>
  <c r="K103" i="25"/>
  <c r="N103" i="25"/>
  <c r="P103" i="25" s="1"/>
  <c r="K104" i="25"/>
  <c r="N104" i="25"/>
  <c r="P104" i="25" s="1"/>
  <c r="K106" i="25"/>
  <c r="N106" i="25"/>
  <c r="P106" i="25" s="1"/>
  <c r="K108" i="25"/>
  <c r="N108" i="25"/>
  <c r="P108" i="25" s="1"/>
  <c r="K113" i="25"/>
  <c r="N113" i="25"/>
  <c r="P113" i="25" s="1"/>
  <c r="K115" i="25"/>
  <c r="N115" i="25"/>
  <c r="P115" i="25" s="1"/>
  <c r="K117" i="25"/>
  <c r="N117" i="25"/>
  <c r="P117" i="25" s="1"/>
  <c r="K119" i="25"/>
  <c r="N119" i="25"/>
  <c r="P119" i="25" s="1"/>
  <c r="K121" i="25"/>
  <c r="N121" i="25"/>
  <c r="P121" i="25" s="1"/>
  <c r="K123" i="25"/>
  <c r="N123" i="25"/>
  <c r="P123" i="25" s="1"/>
  <c r="K230" i="25"/>
  <c r="N230" i="25"/>
  <c r="P230" i="25" s="1"/>
  <c r="K232" i="25"/>
  <c r="N232" i="25"/>
  <c r="P232" i="25" s="1"/>
  <c r="K234" i="25"/>
  <c r="N234" i="25"/>
  <c r="P234" i="25" s="1"/>
  <c r="K236" i="25"/>
  <c r="N236" i="25"/>
  <c r="P236" i="25" s="1"/>
  <c r="K238" i="25"/>
  <c r="N238" i="25"/>
  <c r="P238" i="25" s="1"/>
  <c r="K276" i="25"/>
  <c r="N276" i="25"/>
  <c r="P276" i="25" s="1"/>
  <c r="K291" i="25"/>
  <c r="N291" i="25"/>
  <c r="P291" i="25" s="1"/>
  <c r="K293" i="25"/>
  <c r="N293" i="25"/>
  <c r="P293" i="25" s="1"/>
  <c r="K295" i="25"/>
  <c r="N295" i="25"/>
  <c r="P295" i="25" s="1"/>
  <c r="K324" i="25"/>
  <c r="N324" i="25"/>
  <c r="P324" i="25" s="1"/>
  <c r="K363" i="25"/>
  <c r="N363" i="25"/>
  <c r="P363" i="25" s="1"/>
  <c r="K382" i="25"/>
  <c r="N382" i="25"/>
  <c r="P382" i="25" s="1"/>
  <c r="K402" i="25"/>
  <c r="N402" i="25"/>
  <c r="P402" i="25" s="1"/>
  <c r="K407" i="25"/>
  <c r="N407" i="25"/>
  <c r="P407" i="25" s="1"/>
  <c r="M438" i="25"/>
  <c r="K438" i="25" s="1"/>
  <c r="S438" i="25"/>
  <c r="AA438" i="25" s="1"/>
  <c r="L441" i="25"/>
  <c r="K441" i="25"/>
  <c r="K445" i="25"/>
  <c r="N445" i="25"/>
  <c r="P445" i="25" s="1"/>
  <c r="M447" i="25"/>
  <c r="K447" i="25" s="1"/>
  <c r="S447" i="25"/>
  <c r="AA447" i="25" s="1"/>
  <c r="L450" i="25"/>
  <c r="K450" i="25"/>
  <c r="M485" i="25"/>
  <c r="K485" i="25" s="1"/>
  <c r="S485" i="25"/>
  <c r="AA485" i="25" s="1"/>
  <c r="K659" i="25"/>
  <c r="Z659" i="25"/>
  <c r="L659" i="25"/>
  <c r="N659" i="25"/>
  <c r="P659" i="25" s="1"/>
  <c r="K675" i="25"/>
  <c r="Z675" i="25"/>
  <c r="L675" i="25"/>
  <c r="N675" i="25"/>
  <c r="P675" i="25" s="1"/>
  <c r="K691" i="25"/>
  <c r="Z691" i="25"/>
  <c r="L691" i="25"/>
  <c r="N691" i="25"/>
  <c r="P691" i="25" s="1"/>
  <c r="L812" i="25"/>
  <c r="K812" i="25"/>
  <c r="N812" i="25"/>
  <c r="P812" i="25" s="1"/>
  <c r="Z812" i="25"/>
  <c r="L815" i="25"/>
  <c r="K815" i="25"/>
  <c r="Z815" i="25"/>
  <c r="N815" i="25"/>
  <c r="P815" i="25" s="1"/>
  <c r="N1179" i="25"/>
  <c r="P1179" i="25" s="1"/>
  <c r="Z1179" i="25"/>
  <c r="L1179" i="25"/>
  <c r="N1265" i="25"/>
  <c r="P1265" i="25" s="1"/>
  <c r="Z1265" i="25"/>
  <c r="L1265" i="25"/>
  <c r="N49" i="25"/>
  <c r="P49" i="25" s="1"/>
  <c r="N50" i="25"/>
  <c r="P50" i="25" s="1"/>
  <c r="N53" i="25"/>
  <c r="P53" i="25" s="1"/>
  <c r="N60" i="25"/>
  <c r="P60" i="25" s="1"/>
  <c r="N61" i="25"/>
  <c r="P61" i="25" s="1"/>
  <c r="N63" i="25"/>
  <c r="P63" i="25" s="1"/>
  <c r="K153" i="25"/>
  <c r="N153" i="25"/>
  <c r="P153" i="25" s="1"/>
  <c r="K155" i="25"/>
  <c r="N155" i="25"/>
  <c r="P155" i="25" s="1"/>
  <c r="K157" i="25"/>
  <c r="N157" i="25"/>
  <c r="P157" i="25" s="1"/>
  <c r="K159" i="25"/>
  <c r="N159" i="25"/>
  <c r="P159" i="25" s="1"/>
  <c r="K162" i="25"/>
  <c r="N162" i="25"/>
  <c r="P162" i="25" s="1"/>
  <c r="K164" i="25"/>
  <c r="N164" i="25"/>
  <c r="P164" i="25" s="1"/>
  <c r="K166" i="25"/>
  <c r="N166" i="25"/>
  <c r="P166" i="25" s="1"/>
  <c r="K168" i="25"/>
  <c r="N168" i="25"/>
  <c r="P168" i="25" s="1"/>
  <c r="K169" i="25"/>
  <c r="N169" i="25"/>
  <c r="P169" i="25" s="1"/>
  <c r="K171" i="25"/>
  <c r="N171" i="25"/>
  <c r="P171" i="25" s="1"/>
  <c r="K174" i="25"/>
  <c r="N174" i="25"/>
  <c r="P174" i="25" s="1"/>
  <c r="K176" i="25"/>
  <c r="N176" i="25"/>
  <c r="P176" i="25" s="1"/>
  <c r="K177" i="25"/>
  <c r="N177" i="25"/>
  <c r="P177" i="25" s="1"/>
  <c r="K179" i="25"/>
  <c r="N179" i="25"/>
  <c r="P179" i="25" s="1"/>
  <c r="K181" i="25"/>
  <c r="N181" i="25"/>
  <c r="P181" i="25" s="1"/>
  <c r="K223" i="25"/>
  <c r="N223" i="25"/>
  <c r="P223" i="25" s="1"/>
  <c r="K241" i="25"/>
  <c r="N241" i="25"/>
  <c r="P241" i="25" s="1"/>
  <c r="K250" i="25"/>
  <c r="N250" i="25"/>
  <c r="P250" i="25" s="1"/>
  <c r="K252" i="25"/>
  <c r="N252" i="25"/>
  <c r="P252" i="25" s="1"/>
  <c r="K254" i="25"/>
  <c r="N254" i="25"/>
  <c r="P254" i="25" s="1"/>
  <c r="K256" i="25"/>
  <c r="N256" i="25"/>
  <c r="P256" i="25" s="1"/>
  <c r="K258" i="25"/>
  <c r="N258" i="25"/>
  <c r="P258" i="25" s="1"/>
  <c r="K279" i="25"/>
  <c r="N279" i="25"/>
  <c r="P279" i="25" s="1"/>
  <c r="K281" i="25"/>
  <c r="N281" i="25"/>
  <c r="P281" i="25" s="1"/>
  <c r="K283" i="25"/>
  <c r="N283" i="25"/>
  <c r="P283" i="25" s="1"/>
  <c r="K285" i="25"/>
  <c r="N285" i="25"/>
  <c r="P285" i="25" s="1"/>
  <c r="K334" i="25"/>
  <c r="N334" i="25"/>
  <c r="P334" i="25" s="1"/>
  <c r="K346" i="25"/>
  <c r="N346" i="25"/>
  <c r="P346" i="25" s="1"/>
  <c r="K354" i="25"/>
  <c r="N354" i="25"/>
  <c r="P354" i="25" s="1"/>
  <c r="K357" i="25"/>
  <c r="N357" i="25"/>
  <c r="P357" i="25" s="1"/>
  <c r="K365" i="25"/>
  <c r="N365" i="25"/>
  <c r="P365" i="25" s="1"/>
  <c r="K375" i="25"/>
  <c r="N375" i="25"/>
  <c r="P375" i="25" s="1"/>
  <c r="K397" i="25"/>
  <c r="N397" i="25"/>
  <c r="P397" i="25" s="1"/>
  <c r="K409" i="25"/>
  <c r="N409" i="25"/>
  <c r="P409" i="25" s="1"/>
  <c r="K411" i="25"/>
  <c r="N411" i="25"/>
  <c r="P411" i="25" s="1"/>
  <c r="K413" i="25"/>
  <c r="N413" i="25"/>
  <c r="P413" i="25" s="1"/>
  <c r="N415" i="25"/>
  <c r="P415" i="25" s="1"/>
  <c r="Z415" i="25"/>
  <c r="S418" i="25"/>
  <c r="AA418" i="25" s="1"/>
  <c r="K418" i="25"/>
  <c r="M432" i="25"/>
  <c r="N440" i="25"/>
  <c r="P440" i="25" s="1"/>
  <c r="N441" i="25"/>
  <c r="P441" i="25" s="1"/>
  <c r="N449" i="25"/>
  <c r="P449" i="25" s="1"/>
  <c r="M454" i="25"/>
  <c r="M462" i="25"/>
  <c r="S462" i="25"/>
  <c r="AA462" i="25" s="1"/>
  <c r="M466" i="25"/>
  <c r="S466" i="25"/>
  <c r="AA466" i="25" s="1"/>
  <c r="K469" i="25"/>
  <c r="S482" i="25"/>
  <c r="AA482" i="25" s="1"/>
  <c r="K482" i="25"/>
  <c r="K584" i="25"/>
  <c r="N584" i="25"/>
  <c r="P584" i="25" s="1"/>
  <c r="L584" i="25"/>
  <c r="Z584" i="25"/>
  <c r="K608" i="25"/>
  <c r="N608" i="25"/>
  <c r="P608" i="25" s="1"/>
  <c r="L608" i="25"/>
  <c r="Z608" i="25"/>
  <c r="K616" i="25"/>
  <c r="N616" i="25"/>
  <c r="P616" i="25" s="1"/>
  <c r="L616" i="25"/>
  <c r="Z616" i="25"/>
  <c r="K625" i="25"/>
  <c r="Z625" i="25"/>
  <c r="L625" i="25"/>
  <c r="N625" i="25"/>
  <c r="P625" i="25" s="1"/>
  <c r="K633" i="25"/>
  <c r="Z633" i="25"/>
  <c r="L633" i="25"/>
  <c r="N633" i="25"/>
  <c r="P633" i="25" s="1"/>
  <c r="K641" i="25"/>
  <c r="Z641" i="25"/>
  <c r="L641" i="25"/>
  <c r="N641" i="25"/>
  <c r="P641" i="25" s="1"/>
  <c r="K657" i="25"/>
  <c r="Z657" i="25"/>
  <c r="L657" i="25"/>
  <c r="N657" i="25"/>
  <c r="P657" i="25" s="1"/>
  <c r="K665" i="25"/>
  <c r="Z665" i="25"/>
  <c r="L665" i="25"/>
  <c r="N665" i="25"/>
  <c r="P665" i="25" s="1"/>
  <c r="K673" i="25"/>
  <c r="Z673" i="25"/>
  <c r="L673" i="25"/>
  <c r="N673" i="25"/>
  <c r="P673" i="25" s="1"/>
  <c r="K689" i="25"/>
  <c r="Z689" i="25"/>
  <c r="L689" i="25"/>
  <c r="N689" i="25"/>
  <c r="P689" i="25" s="1"/>
  <c r="K713" i="25"/>
  <c r="Z713" i="25"/>
  <c r="L713" i="25"/>
  <c r="K723" i="25"/>
  <c r="Z723" i="25"/>
  <c r="L723" i="25"/>
  <c r="N723" i="25"/>
  <c r="P723" i="25" s="1"/>
  <c r="N753" i="25"/>
  <c r="P753" i="25" s="1"/>
  <c r="L775" i="25"/>
  <c r="K775" i="25"/>
  <c r="N775" i="25"/>
  <c r="P775" i="25" s="1"/>
  <c r="Z775" i="25"/>
  <c r="N805" i="25"/>
  <c r="P805" i="25" s="1"/>
  <c r="N811" i="25"/>
  <c r="P811" i="25" s="1"/>
  <c r="L827" i="25"/>
  <c r="K827" i="25"/>
  <c r="Z827" i="25"/>
  <c r="L848" i="25"/>
  <c r="K848" i="25"/>
  <c r="N848" i="25"/>
  <c r="P848" i="25" s="1"/>
  <c r="Z848" i="25"/>
  <c r="N1115" i="25"/>
  <c r="P1115" i="25" s="1"/>
  <c r="K1115" i="25"/>
  <c r="L1115" i="25"/>
  <c r="L1120" i="25"/>
  <c r="N1120" i="25"/>
  <c r="P1120" i="25" s="1"/>
  <c r="N1173" i="25"/>
  <c r="P1173" i="25" s="1"/>
  <c r="K1173" i="25"/>
  <c r="L1173" i="25"/>
  <c r="Z1173" i="25"/>
  <c r="N1326" i="25"/>
  <c r="P1326" i="25" s="1"/>
  <c r="K1326" i="25"/>
  <c r="Z1326" i="25"/>
  <c r="Z3" i="25"/>
  <c r="Z5" i="25"/>
  <c r="Z7" i="25"/>
  <c r="Z9" i="25"/>
  <c r="Z11" i="25"/>
  <c r="Z13" i="25"/>
  <c r="Z14" i="25"/>
  <c r="Z17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124" i="25"/>
  <c r="Z125" i="25"/>
  <c r="L128" i="25"/>
  <c r="Z129" i="25"/>
  <c r="L132" i="25"/>
  <c r="Z133" i="25"/>
  <c r="L136" i="25"/>
  <c r="Z137" i="25"/>
  <c r="Z138" i="25"/>
  <c r="L141" i="25"/>
  <c r="Z142" i="25"/>
  <c r="K146" i="25"/>
  <c r="N146" i="25"/>
  <c r="P146" i="25" s="1"/>
  <c r="K147" i="25"/>
  <c r="N147" i="25"/>
  <c r="P147" i="25" s="1"/>
  <c r="K148" i="25"/>
  <c r="N148" i="25"/>
  <c r="P148" i="25" s="1"/>
  <c r="K149" i="25"/>
  <c r="N149" i="25"/>
  <c r="P149" i="25" s="1"/>
  <c r="K150" i="25"/>
  <c r="N150" i="25"/>
  <c r="P150" i="25" s="1"/>
  <c r="L151" i="25"/>
  <c r="Z152" i="25"/>
  <c r="Z153" i="25"/>
  <c r="Z154" i="25"/>
  <c r="Z155" i="25"/>
  <c r="Z156" i="25"/>
  <c r="Z157" i="25"/>
  <c r="Z158" i="25"/>
  <c r="Z159" i="25"/>
  <c r="Z160" i="25"/>
  <c r="Z161" i="25"/>
  <c r="Z162" i="25"/>
  <c r="Z163" i="25"/>
  <c r="Z164" i="25"/>
  <c r="Z165" i="25"/>
  <c r="Z166" i="25"/>
  <c r="Z167" i="25"/>
  <c r="Z168" i="25"/>
  <c r="Z169" i="25"/>
  <c r="Z170" i="25"/>
  <c r="Z171" i="25"/>
  <c r="Z172" i="25"/>
  <c r="Z173" i="25"/>
  <c r="Z174" i="25"/>
  <c r="Z175" i="25"/>
  <c r="Z176" i="25"/>
  <c r="Z177" i="25"/>
  <c r="Z178" i="25"/>
  <c r="Z179" i="25"/>
  <c r="Z180" i="25"/>
  <c r="Z181" i="25"/>
  <c r="Z182" i="25"/>
  <c r="L185" i="25"/>
  <c r="Z186" i="25"/>
  <c r="Z187" i="25"/>
  <c r="K214" i="25"/>
  <c r="N214" i="25"/>
  <c r="P214" i="25" s="1"/>
  <c r="K215" i="25"/>
  <c r="N215" i="25"/>
  <c r="P215" i="25" s="1"/>
  <c r="K216" i="25"/>
  <c r="N216" i="25"/>
  <c r="P216" i="25" s="1"/>
  <c r="K217" i="25"/>
  <c r="N217" i="25"/>
  <c r="P217" i="25" s="1"/>
  <c r="K218" i="25"/>
  <c r="N218" i="25"/>
  <c r="P218" i="25" s="1"/>
  <c r="K219" i="25"/>
  <c r="N219" i="25"/>
  <c r="P219" i="25" s="1"/>
  <c r="L220" i="25"/>
  <c r="Z221" i="25"/>
  <c r="Z222" i="25"/>
  <c r="Z223" i="25"/>
  <c r="Z224" i="25"/>
  <c r="K227" i="25"/>
  <c r="N227" i="25"/>
  <c r="P227" i="25" s="1"/>
  <c r="K228" i="25"/>
  <c r="N228" i="25"/>
  <c r="P228" i="25" s="1"/>
  <c r="L229" i="25"/>
  <c r="L230" i="25"/>
  <c r="L231" i="25"/>
  <c r="L232" i="25"/>
  <c r="L233" i="25"/>
  <c r="L234" i="25"/>
  <c r="L235" i="25"/>
  <c r="L236" i="25"/>
  <c r="L237" i="25"/>
  <c r="L238" i="25"/>
  <c r="Z239" i="25"/>
  <c r="Z240" i="25"/>
  <c r="Z241" i="25"/>
  <c r="K244" i="25"/>
  <c r="N244" i="25"/>
  <c r="P244" i="25" s="1"/>
  <c r="K245" i="25"/>
  <c r="N245" i="25"/>
  <c r="P245" i="25" s="1"/>
  <c r="K246" i="25"/>
  <c r="N246" i="25"/>
  <c r="P246" i="25" s="1"/>
  <c r="K247" i="25"/>
  <c r="N247" i="25"/>
  <c r="P247" i="25" s="1"/>
  <c r="L248" i="25"/>
  <c r="Z249" i="25"/>
  <c r="Z250" i="25"/>
  <c r="Z251" i="25"/>
  <c r="Z252" i="25"/>
  <c r="Z253" i="25"/>
  <c r="Z254" i="25"/>
  <c r="Z255" i="25"/>
  <c r="Z256" i="25"/>
  <c r="Z257" i="25"/>
  <c r="Z258" i="25"/>
  <c r="L261" i="25"/>
  <c r="Z262" i="25"/>
  <c r="L265" i="25"/>
  <c r="Z266" i="25"/>
  <c r="L269" i="25"/>
  <c r="Z270" i="25"/>
  <c r="L273" i="25"/>
  <c r="L274" i="25"/>
  <c r="L275" i="25"/>
  <c r="L276" i="25"/>
  <c r="Z277" i="25"/>
  <c r="Z278" i="25"/>
  <c r="Z279" i="25"/>
  <c r="Z280" i="25"/>
  <c r="Z281" i="25"/>
  <c r="Z282" i="25"/>
  <c r="Z283" i="25"/>
  <c r="Z284" i="25"/>
  <c r="Z285" i="25"/>
  <c r="Z286" i="25"/>
  <c r="K289" i="25"/>
  <c r="N289" i="25"/>
  <c r="P289" i="25" s="1"/>
  <c r="L290" i="25"/>
  <c r="L291" i="25"/>
  <c r="L292" i="25"/>
  <c r="L293" i="25"/>
  <c r="L294" i="25"/>
  <c r="L295" i="25"/>
  <c r="L296" i="25"/>
  <c r="Z297" i="25"/>
  <c r="L300" i="25"/>
  <c r="Z301" i="25"/>
  <c r="Z302" i="25"/>
  <c r="L305" i="25"/>
  <c r="Z306" i="25"/>
  <c r="L309" i="25"/>
  <c r="L310" i="25"/>
  <c r="Z311" i="25"/>
  <c r="L318" i="25"/>
  <c r="Z319" i="25"/>
  <c r="L322" i="25"/>
  <c r="L323" i="25"/>
  <c r="L324" i="25"/>
  <c r="Z325" i="25"/>
  <c r="L332" i="25"/>
  <c r="Z333" i="25"/>
  <c r="Z334" i="25"/>
  <c r="L337" i="25"/>
  <c r="Z338" i="25"/>
  <c r="K342" i="25"/>
  <c r="N342" i="25"/>
  <c r="P342" i="25" s="1"/>
  <c r="L343" i="25"/>
  <c r="L344" i="25"/>
  <c r="Z345" i="25"/>
  <c r="Z346" i="25"/>
  <c r="K350" i="25"/>
  <c r="N350" i="25"/>
  <c r="P350" i="25" s="1"/>
  <c r="L351" i="25"/>
  <c r="Z352" i="25"/>
  <c r="Z353" i="25"/>
  <c r="Z354" i="25"/>
  <c r="Z355" i="25"/>
  <c r="Z356" i="25"/>
  <c r="Z357" i="25"/>
  <c r="K361" i="25"/>
  <c r="N361" i="25"/>
  <c r="P361" i="25" s="1"/>
  <c r="L362" i="25"/>
  <c r="L363" i="25"/>
  <c r="Z364" i="25"/>
  <c r="Z365" i="25"/>
  <c r="Z366" i="25"/>
  <c r="K372" i="25"/>
  <c r="N372" i="25"/>
  <c r="P372" i="25" s="1"/>
  <c r="L373" i="25"/>
  <c r="Z374" i="25"/>
  <c r="Z375" i="25"/>
  <c r="Z376" i="25"/>
  <c r="K380" i="25"/>
  <c r="N380" i="25"/>
  <c r="P380" i="25" s="1"/>
  <c r="L381" i="25"/>
  <c r="L382" i="25"/>
  <c r="Z383" i="25"/>
  <c r="K388" i="25"/>
  <c r="N388" i="25"/>
  <c r="P388" i="25" s="1"/>
  <c r="K389" i="25"/>
  <c r="N389" i="25"/>
  <c r="P389" i="25" s="1"/>
  <c r="L390" i="25"/>
  <c r="L391" i="25"/>
  <c r="Z392" i="25"/>
  <c r="L395" i="25"/>
  <c r="Z396" i="25"/>
  <c r="Z397" i="25"/>
  <c r="L400" i="25"/>
  <c r="L401" i="25"/>
  <c r="L402" i="25"/>
  <c r="Z403" i="25"/>
  <c r="L406" i="25"/>
  <c r="L407" i="25"/>
  <c r="Z408" i="25"/>
  <c r="Z409" i="25"/>
  <c r="Z410" i="25"/>
  <c r="Z411" i="25"/>
  <c r="Z412" i="25"/>
  <c r="Z413" i="25"/>
  <c r="L415" i="25"/>
  <c r="Z434" i="25"/>
  <c r="S440" i="25"/>
  <c r="AA440" i="25" s="1"/>
  <c r="K440" i="25"/>
  <c r="Z441" i="25"/>
  <c r="L443" i="25"/>
  <c r="L444" i="25"/>
  <c r="L445" i="25"/>
  <c r="N446" i="25"/>
  <c r="P446" i="25" s="1"/>
  <c r="Z446" i="25"/>
  <c r="S449" i="25"/>
  <c r="AA449" i="25" s="1"/>
  <c r="K449" i="25"/>
  <c r="Z450" i="25"/>
  <c r="K451" i="25"/>
  <c r="N451" i="25"/>
  <c r="P451" i="25" s="1"/>
  <c r="M453" i="25"/>
  <c r="S453" i="25"/>
  <c r="AA453" i="25" s="1"/>
  <c r="M457" i="25"/>
  <c r="S457" i="25"/>
  <c r="AA457" i="25" s="1"/>
  <c r="K459" i="25"/>
  <c r="N459" i="25"/>
  <c r="P459" i="25" s="1"/>
  <c r="Z468" i="25"/>
  <c r="L476" i="25"/>
  <c r="K476" i="25"/>
  <c r="L498" i="25"/>
  <c r="N498" i="25"/>
  <c r="P498" i="25" s="1"/>
  <c r="L499" i="25"/>
  <c r="K499" i="25"/>
  <c r="K580" i="25"/>
  <c r="N580" i="25"/>
  <c r="P580" i="25" s="1"/>
  <c r="L580" i="25"/>
  <c r="Z580" i="25"/>
  <c r="K588" i="25"/>
  <c r="N588" i="25"/>
  <c r="P588" i="25" s="1"/>
  <c r="L588" i="25"/>
  <c r="Z588" i="25"/>
  <c r="K596" i="25"/>
  <c r="N596" i="25"/>
  <c r="P596" i="25" s="1"/>
  <c r="L596" i="25"/>
  <c r="Z596" i="25"/>
  <c r="K604" i="25"/>
  <c r="N604" i="25"/>
  <c r="P604" i="25" s="1"/>
  <c r="L604" i="25"/>
  <c r="Z604" i="25"/>
  <c r="K612" i="25"/>
  <c r="N612" i="25"/>
  <c r="P612" i="25" s="1"/>
  <c r="L612" i="25"/>
  <c r="Z612" i="25"/>
  <c r="K620" i="25"/>
  <c r="N620" i="25"/>
  <c r="P620" i="25" s="1"/>
  <c r="L620" i="25"/>
  <c r="Z620" i="25"/>
  <c r="Z621" i="25"/>
  <c r="L621" i="25"/>
  <c r="N621" i="25"/>
  <c r="P621" i="25" s="1"/>
  <c r="K629" i="25"/>
  <c r="Z629" i="25"/>
  <c r="L629" i="25"/>
  <c r="N629" i="25"/>
  <c r="P629" i="25" s="1"/>
  <c r="K637" i="25"/>
  <c r="Z637" i="25"/>
  <c r="L637" i="25"/>
  <c r="N637" i="25"/>
  <c r="P637" i="25" s="1"/>
  <c r="K645" i="25"/>
  <c r="Z645" i="25"/>
  <c r="L645" i="25"/>
  <c r="N645" i="25"/>
  <c r="P645" i="25" s="1"/>
  <c r="K653" i="25"/>
  <c r="Z653" i="25"/>
  <c r="L653" i="25"/>
  <c r="N653" i="25"/>
  <c r="P653" i="25" s="1"/>
  <c r="K661" i="25"/>
  <c r="Z661" i="25"/>
  <c r="L661" i="25"/>
  <c r="N661" i="25"/>
  <c r="P661" i="25" s="1"/>
  <c r="K669" i="25"/>
  <c r="Z669" i="25"/>
  <c r="L669" i="25"/>
  <c r="N669" i="25"/>
  <c r="P669" i="25" s="1"/>
  <c r="K677" i="25"/>
  <c r="Z677" i="25"/>
  <c r="L677" i="25"/>
  <c r="N677" i="25"/>
  <c r="P677" i="25" s="1"/>
  <c r="K685" i="25"/>
  <c r="Z685" i="25"/>
  <c r="L685" i="25"/>
  <c r="N685" i="25"/>
  <c r="P685" i="25" s="1"/>
  <c r="K693" i="25"/>
  <c r="Z693" i="25"/>
  <c r="L693" i="25"/>
  <c r="N693" i="25"/>
  <c r="P693" i="25" s="1"/>
  <c r="K707" i="25"/>
  <c r="Z707" i="25"/>
  <c r="L707" i="25"/>
  <c r="N707" i="25"/>
  <c r="P707" i="25" s="1"/>
  <c r="K729" i="25"/>
  <c r="Z729" i="25"/>
  <c r="L729" i="25"/>
  <c r="K739" i="25"/>
  <c r="Z739" i="25"/>
  <c r="L739" i="25"/>
  <c r="N739" i="25"/>
  <c r="P739" i="25" s="1"/>
  <c r="K760" i="25"/>
  <c r="Z760" i="25"/>
  <c r="L760" i="25"/>
  <c r="L786" i="25"/>
  <c r="K786" i="25"/>
  <c r="Z786" i="25"/>
  <c r="L787" i="25"/>
  <c r="K787" i="25"/>
  <c r="N787" i="25"/>
  <c r="P787" i="25" s="1"/>
  <c r="Z787" i="25"/>
  <c r="L790" i="25"/>
  <c r="K790" i="25"/>
  <c r="Z790" i="25"/>
  <c r="N790" i="25"/>
  <c r="P790" i="25" s="1"/>
  <c r="L816" i="25"/>
  <c r="K816" i="25"/>
  <c r="N816" i="25"/>
  <c r="P816" i="25" s="1"/>
  <c r="Z816" i="25"/>
  <c r="L859" i="25"/>
  <c r="K859" i="25"/>
  <c r="Z859" i="25"/>
  <c r="L860" i="25"/>
  <c r="K860" i="25"/>
  <c r="N860" i="25"/>
  <c r="P860" i="25" s="1"/>
  <c r="Z860" i="25"/>
  <c r="L863" i="25"/>
  <c r="K863" i="25"/>
  <c r="Z863" i="25"/>
  <c r="N863" i="25"/>
  <c r="P863" i="25" s="1"/>
  <c r="N903" i="25"/>
  <c r="P903" i="25" s="1"/>
  <c r="K903" i="25"/>
  <c r="Z903" i="25"/>
  <c r="N912" i="25"/>
  <c r="P912" i="25" s="1"/>
  <c r="K912" i="25"/>
  <c r="L912" i="25"/>
  <c r="L920" i="25"/>
  <c r="L929" i="25"/>
  <c r="N929" i="25"/>
  <c r="P929" i="25" s="1"/>
  <c r="K929" i="25"/>
  <c r="L937" i="25"/>
  <c r="N937" i="25"/>
  <c r="P937" i="25" s="1"/>
  <c r="K937" i="25"/>
  <c r="L995" i="25"/>
  <c r="K995" i="25"/>
  <c r="N995" i="25"/>
  <c r="P995" i="25" s="1"/>
  <c r="N1055" i="25"/>
  <c r="P1055" i="25" s="1"/>
  <c r="K1055" i="25"/>
  <c r="L1055" i="25"/>
  <c r="L417" i="25"/>
  <c r="L427" i="25"/>
  <c r="L428" i="25"/>
  <c r="L429" i="25"/>
  <c r="L430" i="25"/>
  <c r="L431" i="25"/>
  <c r="L439" i="25"/>
  <c r="L448" i="25"/>
  <c r="L486" i="25"/>
  <c r="L487" i="25"/>
  <c r="L488" i="25"/>
  <c r="L489" i="25"/>
  <c r="L490" i="25"/>
  <c r="L491" i="25"/>
  <c r="L492" i="25"/>
  <c r="Z493" i="25"/>
  <c r="K496" i="25"/>
  <c r="Z497" i="25"/>
  <c r="K582" i="25"/>
  <c r="N582" i="25"/>
  <c r="P582" i="25" s="1"/>
  <c r="K586" i="25"/>
  <c r="N586" i="25"/>
  <c r="P586" i="25" s="1"/>
  <c r="K590" i="25"/>
  <c r="N590" i="25"/>
  <c r="P590" i="25" s="1"/>
  <c r="K594" i="25"/>
  <c r="N594" i="25"/>
  <c r="P594" i="25" s="1"/>
  <c r="K598" i="25"/>
  <c r="N598" i="25"/>
  <c r="P598" i="25" s="1"/>
  <c r="K602" i="25"/>
  <c r="N602" i="25"/>
  <c r="P602" i="25" s="1"/>
  <c r="K606" i="25"/>
  <c r="N606" i="25"/>
  <c r="P606" i="25" s="1"/>
  <c r="K610" i="25"/>
  <c r="N610" i="25"/>
  <c r="P610" i="25" s="1"/>
  <c r="K614" i="25"/>
  <c r="N614" i="25"/>
  <c r="P614" i="25" s="1"/>
  <c r="K618" i="25"/>
  <c r="N618" i="25"/>
  <c r="P618" i="25" s="1"/>
  <c r="K701" i="25"/>
  <c r="Z701" i="25"/>
  <c r="L701" i="25"/>
  <c r="K709" i="25"/>
  <c r="Z709" i="25"/>
  <c r="L709" i="25"/>
  <c r="K717" i="25"/>
  <c r="Z717" i="25"/>
  <c r="L717" i="25"/>
  <c r="K725" i="25"/>
  <c r="Z725" i="25"/>
  <c r="L725" i="25"/>
  <c r="K733" i="25"/>
  <c r="Z733" i="25"/>
  <c r="L733" i="25"/>
  <c r="K741" i="25"/>
  <c r="Z741" i="25"/>
  <c r="L741" i="25"/>
  <c r="K749" i="25"/>
  <c r="Z749" i="25"/>
  <c r="L749" i="25"/>
  <c r="K756" i="25"/>
  <c r="Z756" i="25"/>
  <c r="L756" i="25"/>
  <c r="K764" i="25"/>
  <c r="Z764" i="25"/>
  <c r="L764" i="25"/>
  <c r="L778" i="25"/>
  <c r="K778" i="25"/>
  <c r="Z778" i="25"/>
  <c r="L779" i="25"/>
  <c r="K779" i="25"/>
  <c r="N779" i="25"/>
  <c r="P779" i="25" s="1"/>
  <c r="L802" i="25"/>
  <c r="K802" i="25"/>
  <c r="Z802" i="25"/>
  <c r="L803" i="25"/>
  <c r="K803" i="25"/>
  <c r="N803" i="25"/>
  <c r="P803" i="25" s="1"/>
  <c r="L819" i="25"/>
  <c r="K819" i="25"/>
  <c r="Z819" i="25"/>
  <c r="L820" i="25"/>
  <c r="K820" i="25"/>
  <c r="N820" i="25"/>
  <c r="P820" i="25" s="1"/>
  <c r="L835" i="25"/>
  <c r="K835" i="25"/>
  <c r="Z835" i="25"/>
  <c r="L836" i="25"/>
  <c r="K836" i="25"/>
  <c r="N836" i="25"/>
  <c r="P836" i="25" s="1"/>
  <c r="L851" i="25"/>
  <c r="K851" i="25"/>
  <c r="Z851" i="25"/>
  <c r="L852" i="25"/>
  <c r="K852" i="25"/>
  <c r="N852" i="25"/>
  <c r="P852" i="25" s="1"/>
  <c r="N900" i="25"/>
  <c r="P900" i="25" s="1"/>
  <c r="L900" i="25"/>
  <c r="Z900" i="25"/>
  <c r="N909" i="25"/>
  <c r="P909" i="25" s="1"/>
  <c r="K909" i="25"/>
  <c r="Z909" i="25"/>
  <c r="L913" i="25"/>
  <c r="N913" i="25"/>
  <c r="P913" i="25" s="1"/>
  <c r="K913" i="25"/>
  <c r="N928" i="25"/>
  <c r="P928" i="25" s="1"/>
  <c r="K928" i="25"/>
  <c r="L1033" i="25"/>
  <c r="K1033" i="25"/>
  <c r="L1043" i="25"/>
  <c r="K1043" i="25"/>
  <c r="N1043" i="25"/>
  <c r="P1043" i="25" s="1"/>
  <c r="N1099" i="25"/>
  <c r="P1099" i="25" s="1"/>
  <c r="K1099" i="25"/>
  <c r="L1099" i="25"/>
  <c r="L1104" i="25"/>
  <c r="N1104" i="25"/>
  <c r="P1104" i="25" s="1"/>
  <c r="Z496" i="25"/>
  <c r="Z500" i="25"/>
  <c r="L500" i="25"/>
  <c r="K703" i="25"/>
  <c r="Z703" i="25"/>
  <c r="L703" i="25"/>
  <c r="K711" i="25"/>
  <c r="Z711" i="25"/>
  <c r="L711" i="25"/>
  <c r="K719" i="25"/>
  <c r="Z719" i="25"/>
  <c r="L719" i="25"/>
  <c r="K727" i="25"/>
  <c r="Z727" i="25"/>
  <c r="L727" i="25"/>
  <c r="K735" i="25"/>
  <c r="Z735" i="25"/>
  <c r="L735" i="25"/>
  <c r="K743" i="25"/>
  <c r="Z743" i="25"/>
  <c r="L743" i="25"/>
  <c r="K751" i="25"/>
  <c r="Z751" i="25"/>
  <c r="L751" i="25"/>
  <c r="K758" i="25"/>
  <c r="Z758" i="25"/>
  <c r="L758" i="25"/>
  <c r="K766" i="25"/>
  <c r="Z766" i="25"/>
  <c r="L766" i="25"/>
  <c r="L767" i="25"/>
  <c r="K767" i="25"/>
  <c r="N767" i="25"/>
  <c r="P767" i="25" s="1"/>
  <c r="L782" i="25"/>
  <c r="K782" i="25"/>
  <c r="Z782" i="25"/>
  <c r="L783" i="25"/>
  <c r="K783" i="25"/>
  <c r="N783" i="25"/>
  <c r="P783" i="25" s="1"/>
  <c r="L807" i="25"/>
  <c r="Z807" i="25"/>
  <c r="L808" i="25"/>
  <c r="K808" i="25"/>
  <c r="N808" i="25"/>
  <c r="P808" i="25" s="1"/>
  <c r="L823" i="25"/>
  <c r="K823" i="25"/>
  <c r="Z823" i="25"/>
  <c r="L824" i="25"/>
  <c r="K824" i="25"/>
  <c r="N824" i="25"/>
  <c r="P824" i="25" s="1"/>
  <c r="L839" i="25"/>
  <c r="K839" i="25"/>
  <c r="Z839" i="25"/>
  <c r="L840" i="25"/>
  <c r="K840" i="25"/>
  <c r="N840" i="25"/>
  <c r="P840" i="25" s="1"/>
  <c r="L855" i="25"/>
  <c r="K855" i="25"/>
  <c r="Z855" i="25"/>
  <c r="L856" i="25"/>
  <c r="K856" i="25"/>
  <c r="N856" i="25"/>
  <c r="P856" i="25" s="1"/>
  <c r="N876" i="25"/>
  <c r="P876" i="25" s="1"/>
  <c r="K876" i="25"/>
  <c r="N882" i="25"/>
  <c r="P882" i="25" s="1"/>
  <c r="L882" i="25"/>
  <c r="Z882" i="25"/>
  <c r="N884" i="25"/>
  <c r="P884" i="25" s="1"/>
  <c r="Z884" i="25"/>
  <c r="N890" i="25"/>
  <c r="P890" i="25" s="1"/>
  <c r="L890" i="25"/>
  <c r="Z890" i="25"/>
  <c r="N892" i="25"/>
  <c r="P892" i="25" s="1"/>
  <c r="Z892" i="25"/>
  <c r="N907" i="25"/>
  <c r="P907" i="25" s="1"/>
  <c r="K907" i="25"/>
  <c r="Z907" i="25"/>
  <c r="L921" i="25"/>
  <c r="N921" i="25"/>
  <c r="P921" i="25" s="1"/>
  <c r="K921" i="25"/>
  <c r="N936" i="25"/>
  <c r="P936" i="25" s="1"/>
  <c r="K936" i="25"/>
  <c r="L1003" i="25"/>
  <c r="K1003" i="25"/>
  <c r="L1013" i="25"/>
  <c r="K1013" i="25"/>
  <c r="N1013" i="25"/>
  <c r="P1013" i="25" s="1"/>
  <c r="L1035" i="25"/>
  <c r="K1035" i="25"/>
  <c r="N1035" i="25"/>
  <c r="P1035" i="25" s="1"/>
  <c r="N1071" i="25"/>
  <c r="P1071" i="25" s="1"/>
  <c r="K1071" i="25"/>
  <c r="L1071" i="25"/>
  <c r="N1083" i="25"/>
  <c r="P1083" i="25" s="1"/>
  <c r="K1083" i="25"/>
  <c r="L1083" i="25"/>
  <c r="L1088" i="25"/>
  <c r="N1088" i="25"/>
  <c r="P1088" i="25" s="1"/>
  <c r="L501" i="25"/>
  <c r="L502" i="25"/>
  <c r="L503" i="25"/>
  <c r="L504" i="25"/>
  <c r="L505" i="25"/>
  <c r="L506" i="25"/>
  <c r="L507" i="25"/>
  <c r="L508" i="25"/>
  <c r="L509" i="25"/>
  <c r="L510" i="25"/>
  <c r="L511" i="25"/>
  <c r="L512" i="25"/>
  <c r="L513" i="25"/>
  <c r="L768" i="25"/>
  <c r="K768" i="25"/>
  <c r="L772" i="25"/>
  <c r="K772" i="25"/>
  <c r="L776" i="25"/>
  <c r="K776" i="25"/>
  <c r="L780" i="25"/>
  <c r="K780" i="25"/>
  <c r="L784" i="25"/>
  <c r="K784" i="25"/>
  <c r="L788" i="25"/>
  <c r="K788" i="25"/>
  <c r="L792" i="25"/>
  <c r="K792" i="25"/>
  <c r="L804" i="25"/>
  <c r="K804" i="25"/>
  <c r="L809" i="25"/>
  <c r="K809" i="25"/>
  <c r="L813" i="25"/>
  <c r="K813" i="25"/>
  <c r="L817" i="25"/>
  <c r="K817" i="25"/>
  <c r="L821" i="25"/>
  <c r="K821" i="25"/>
  <c r="L825" i="25"/>
  <c r="K825" i="25"/>
  <c r="L829" i="25"/>
  <c r="K829" i="25"/>
  <c r="L833" i="25"/>
  <c r="K833" i="25"/>
  <c r="L837" i="25"/>
  <c r="K837" i="25"/>
  <c r="L841" i="25"/>
  <c r="K841" i="25"/>
  <c r="L845" i="25"/>
  <c r="K845" i="25"/>
  <c r="L849" i="25"/>
  <c r="K849" i="25"/>
  <c r="L853" i="25"/>
  <c r="K853" i="25"/>
  <c r="L857" i="25"/>
  <c r="K857" i="25"/>
  <c r="L861" i="25"/>
  <c r="K861" i="25"/>
  <c r="L888" i="25"/>
  <c r="L896" i="25"/>
  <c r="L917" i="25"/>
  <c r="N917" i="25"/>
  <c r="P917" i="25" s="1"/>
  <c r="L925" i="25"/>
  <c r="N925" i="25"/>
  <c r="P925" i="25" s="1"/>
  <c r="L933" i="25"/>
  <c r="N933" i="25"/>
  <c r="P933" i="25" s="1"/>
  <c r="L941" i="25"/>
  <c r="N941" i="25"/>
  <c r="P941" i="25" s="1"/>
  <c r="L973" i="25"/>
  <c r="K973" i="25"/>
  <c r="Z973" i="25"/>
  <c r="L974" i="25"/>
  <c r="K974" i="25"/>
  <c r="N974" i="25"/>
  <c r="P974" i="25" s="1"/>
  <c r="L985" i="25"/>
  <c r="K985" i="25"/>
  <c r="L997" i="25"/>
  <c r="K997" i="25"/>
  <c r="N997" i="25"/>
  <c r="P997" i="25" s="1"/>
  <c r="L1019" i="25"/>
  <c r="K1019" i="25"/>
  <c r="L1027" i="25"/>
  <c r="K1027" i="25"/>
  <c r="N1027" i="25"/>
  <c r="P1027" i="25" s="1"/>
  <c r="L1049" i="25"/>
  <c r="K1049" i="25"/>
  <c r="L1052" i="25"/>
  <c r="N1052" i="25"/>
  <c r="P1052" i="25" s="1"/>
  <c r="N1063" i="25"/>
  <c r="P1063" i="25" s="1"/>
  <c r="K1063" i="25"/>
  <c r="L1063" i="25"/>
  <c r="L1068" i="25"/>
  <c r="N1068" i="25"/>
  <c r="P1068" i="25" s="1"/>
  <c r="N1075" i="25"/>
  <c r="P1075" i="25" s="1"/>
  <c r="L1075" i="25"/>
  <c r="N1201" i="25"/>
  <c r="P1201" i="25" s="1"/>
  <c r="L1201" i="25"/>
  <c r="Z1201" i="25"/>
  <c r="N622" i="25"/>
  <c r="P622" i="25" s="1"/>
  <c r="N624" i="25"/>
  <c r="P624" i="25" s="1"/>
  <c r="N626" i="25"/>
  <c r="P626" i="25" s="1"/>
  <c r="N628" i="25"/>
  <c r="P628" i="25" s="1"/>
  <c r="N630" i="25"/>
  <c r="P630" i="25" s="1"/>
  <c r="N632" i="25"/>
  <c r="P632" i="25" s="1"/>
  <c r="N634" i="25"/>
  <c r="P634" i="25" s="1"/>
  <c r="N636" i="25"/>
  <c r="P636" i="25" s="1"/>
  <c r="N638" i="25"/>
  <c r="P638" i="25" s="1"/>
  <c r="N640" i="25"/>
  <c r="P640" i="25" s="1"/>
  <c r="N642" i="25"/>
  <c r="P642" i="25" s="1"/>
  <c r="N644" i="25"/>
  <c r="P644" i="25" s="1"/>
  <c r="N646" i="25"/>
  <c r="P646" i="25" s="1"/>
  <c r="N648" i="25"/>
  <c r="P648" i="25" s="1"/>
  <c r="N650" i="25"/>
  <c r="P650" i="25" s="1"/>
  <c r="N652" i="25"/>
  <c r="P652" i="25" s="1"/>
  <c r="N654" i="25"/>
  <c r="P654" i="25" s="1"/>
  <c r="N656" i="25"/>
  <c r="P656" i="25" s="1"/>
  <c r="N658" i="25"/>
  <c r="P658" i="25" s="1"/>
  <c r="N660" i="25"/>
  <c r="P660" i="25" s="1"/>
  <c r="N662" i="25"/>
  <c r="P662" i="25" s="1"/>
  <c r="N664" i="25"/>
  <c r="P664" i="25" s="1"/>
  <c r="N666" i="25"/>
  <c r="P666" i="25" s="1"/>
  <c r="N668" i="25"/>
  <c r="P668" i="25" s="1"/>
  <c r="N670" i="25"/>
  <c r="P670" i="25" s="1"/>
  <c r="N672" i="25"/>
  <c r="P672" i="25" s="1"/>
  <c r="N674" i="25"/>
  <c r="P674" i="25" s="1"/>
  <c r="N676" i="25"/>
  <c r="P676" i="25" s="1"/>
  <c r="N678" i="25"/>
  <c r="P678" i="25" s="1"/>
  <c r="N680" i="25"/>
  <c r="P680" i="25" s="1"/>
  <c r="N682" i="25"/>
  <c r="P682" i="25" s="1"/>
  <c r="N684" i="25"/>
  <c r="P684" i="25" s="1"/>
  <c r="N686" i="25"/>
  <c r="P686" i="25" s="1"/>
  <c r="N688" i="25"/>
  <c r="P688" i="25" s="1"/>
  <c r="N690" i="25"/>
  <c r="P690" i="25" s="1"/>
  <c r="N692" i="25"/>
  <c r="P692" i="25" s="1"/>
  <c r="N694" i="25"/>
  <c r="P694" i="25" s="1"/>
  <c r="N696" i="25"/>
  <c r="P696" i="25" s="1"/>
  <c r="N698" i="25"/>
  <c r="P698" i="25" s="1"/>
  <c r="L769" i="25"/>
  <c r="K769" i="25"/>
  <c r="L773" i="25"/>
  <c r="K773" i="25"/>
  <c r="L777" i="25"/>
  <c r="K777" i="25"/>
  <c r="L781" i="25"/>
  <c r="K781" i="25"/>
  <c r="L785" i="25"/>
  <c r="K785" i="25"/>
  <c r="L789" i="25"/>
  <c r="K789" i="25"/>
  <c r="L801" i="25"/>
  <c r="K801" i="25"/>
  <c r="L810" i="25"/>
  <c r="K810" i="25"/>
  <c r="L814" i="25"/>
  <c r="K814" i="25"/>
  <c r="L818" i="25"/>
  <c r="K818" i="25"/>
  <c r="L822" i="25"/>
  <c r="K822" i="25"/>
  <c r="L826" i="25"/>
  <c r="K826" i="25"/>
  <c r="L830" i="25"/>
  <c r="K830" i="25"/>
  <c r="L834" i="25"/>
  <c r="K834" i="25"/>
  <c r="L838" i="25"/>
  <c r="K838" i="25"/>
  <c r="L842" i="25"/>
  <c r="K842" i="25"/>
  <c r="L846" i="25"/>
  <c r="K846" i="25"/>
  <c r="L850" i="25"/>
  <c r="K850" i="25"/>
  <c r="L854" i="25"/>
  <c r="K854" i="25"/>
  <c r="L858" i="25"/>
  <c r="K858" i="25"/>
  <c r="L862" i="25"/>
  <c r="K862" i="25"/>
  <c r="L870" i="25"/>
  <c r="N870" i="25"/>
  <c r="P870" i="25" s="1"/>
  <c r="L871" i="25"/>
  <c r="K871" i="25"/>
  <c r="N880" i="25"/>
  <c r="P880" i="25" s="1"/>
  <c r="K880" i="25"/>
  <c r="N898" i="25"/>
  <c r="P898" i="25" s="1"/>
  <c r="K898" i="25"/>
  <c r="N916" i="25"/>
  <c r="P916" i="25" s="1"/>
  <c r="K916" i="25"/>
  <c r="N924" i="25"/>
  <c r="P924" i="25" s="1"/>
  <c r="K924" i="25"/>
  <c r="N932" i="25"/>
  <c r="P932" i="25" s="1"/>
  <c r="K932" i="25"/>
  <c r="N940" i="25"/>
  <c r="P940" i="25" s="1"/>
  <c r="K940" i="25"/>
  <c r="L977" i="25"/>
  <c r="K977" i="25"/>
  <c r="L989" i="25"/>
  <c r="K989" i="25"/>
  <c r="N989" i="25"/>
  <c r="P989" i="25" s="1"/>
  <c r="L1011" i="25"/>
  <c r="K1011" i="25"/>
  <c r="L1021" i="25"/>
  <c r="K1021" i="25"/>
  <c r="N1021" i="25"/>
  <c r="P1021" i="25" s="1"/>
  <c r="L1041" i="25"/>
  <c r="K1041" i="25"/>
  <c r="L1051" i="25"/>
  <c r="K1051" i="25"/>
  <c r="N1051" i="25"/>
  <c r="P1051" i="25" s="1"/>
  <c r="L1080" i="25"/>
  <c r="N1080" i="25"/>
  <c r="P1080" i="25" s="1"/>
  <c r="N1091" i="25"/>
  <c r="P1091" i="25" s="1"/>
  <c r="K1091" i="25"/>
  <c r="L1091" i="25"/>
  <c r="L1096" i="25"/>
  <c r="N1096" i="25"/>
  <c r="P1096" i="25" s="1"/>
  <c r="N1107" i="25"/>
  <c r="P1107" i="25" s="1"/>
  <c r="K1107" i="25"/>
  <c r="L1107" i="25"/>
  <c r="L1112" i="25"/>
  <c r="N1112" i="25"/>
  <c r="P1112" i="25" s="1"/>
  <c r="N1193" i="25"/>
  <c r="P1193" i="25" s="1"/>
  <c r="L1193" i="25"/>
  <c r="Z1193" i="25"/>
  <c r="K864" i="25"/>
  <c r="Z865" i="25"/>
  <c r="K868" i="25"/>
  <c r="Z869" i="25"/>
  <c r="K872" i="25"/>
  <c r="L874" i="25"/>
  <c r="K875" i="25"/>
  <c r="L878" i="25"/>
  <c r="K879" i="25"/>
  <c r="L881" i="25"/>
  <c r="Z881" i="25"/>
  <c r="L883" i="25"/>
  <c r="Z883" i="25"/>
  <c r="L885" i="25"/>
  <c r="Z885" i="25"/>
  <c r="L887" i="25"/>
  <c r="Z887" i="25"/>
  <c r="L889" i="25"/>
  <c r="Z889" i="25"/>
  <c r="L891" i="25"/>
  <c r="Z891" i="25"/>
  <c r="L893" i="25"/>
  <c r="Z893" i="25"/>
  <c r="L895" i="25"/>
  <c r="Z895" i="25"/>
  <c r="L897" i="25"/>
  <c r="Z897" i="25"/>
  <c r="L899" i="25"/>
  <c r="Z899" i="25"/>
  <c r="L901" i="25"/>
  <c r="L904" i="25"/>
  <c r="Z904" i="25"/>
  <c r="L906" i="25"/>
  <c r="Z906" i="25"/>
  <c r="L908" i="25"/>
  <c r="Z908" i="25"/>
  <c r="L910" i="25"/>
  <c r="K911" i="25"/>
  <c r="L914" i="25"/>
  <c r="K915" i="25"/>
  <c r="L918" i="25"/>
  <c r="K919" i="25"/>
  <c r="L922" i="25"/>
  <c r="K923" i="25"/>
  <c r="L926" i="25"/>
  <c r="K927" i="25"/>
  <c r="L930" i="25"/>
  <c r="K931" i="25"/>
  <c r="L934" i="25"/>
  <c r="K935" i="25"/>
  <c r="L938" i="25"/>
  <c r="K939" i="25"/>
  <c r="K942" i="25"/>
  <c r="N942" i="25"/>
  <c r="P942" i="25" s="1"/>
  <c r="K944" i="25"/>
  <c r="N944" i="25"/>
  <c r="P944" i="25" s="1"/>
  <c r="K946" i="25"/>
  <c r="N946" i="25"/>
  <c r="P946" i="25" s="1"/>
  <c r="K948" i="25"/>
  <c r="N948" i="25"/>
  <c r="P948" i="25" s="1"/>
  <c r="K950" i="25"/>
  <c r="N950" i="25"/>
  <c r="P950" i="25" s="1"/>
  <c r="K952" i="25"/>
  <c r="N952" i="25"/>
  <c r="P952" i="25" s="1"/>
  <c r="K954" i="25"/>
  <c r="N954" i="25"/>
  <c r="P954" i="25" s="1"/>
  <c r="K956" i="25"/>
  <c r="N956" i="25"/>
  <c r="P956" i="25" s="1"/>
  <c r="K958" i="25"/>
  <c r="N958" i="25"/>
  <c r="P958" i="25" s="1"/>
  <c r="K959" i="25"/>
  <c r="N959" i="25"/>
  <c r="P959" i="25" s="1"/>
  <c r="K961" i="25"/>
  <c r="N961" i="25"/>
  <c r="P961" i="25" s="1"/>
  <c r="K962" i="25"/>
  <c r="N962" i="25"/>
  <c r="P962" i="25" s="1"/>
  <c r="K963" i="25"/>
  <c r="N963" i="25"/>
  <c r="P963" i="25" s="1"/>
  <c r="K964" i="25"/>
  <c r="N964" i="25"/>
  <c r="P964" i="25" s="1"/>
  <c r="K965" i="25"/>
  <c r="N965" i="25"/>
  <c r="P965" i="25" s="1"/>
  <c r="K966" i="25"/>
  <c r="N966" i="25"/>
  <c r="P966" i="25" s="1"/>
  <c r="K967" i="25"/>
  <c r="N967" i="25"/>
  <c r="P967" i="25" s="1"/>
  <c r="K968" i="25"/>
  <c r="N968" i="25"/>
  <c r="P968" i="25" s="1"/>
  <c r="K969" i="25"/>
  <c r="N969" i="25"/>
  <c r="P969" i="25" s="1"/>
  <c r="K970" i="25"/>
  <c r="N970" i="25"/>
  <c r="P970" i="25" s="1"/>
  <c r="L975" i="25"/>
  <c r="K975" i="25"/>
  <c r="L981" i="25"/>
  <c r="K981" i="25"/>
  <c r="L991" i="25"/>
  <c r="K991" i="25"/>
  <c r="L999" i="25"/>
  <c r="K999" i="25"/>
  <c r="L1007" i="25"/>
  <c r="K1007" i="25"/>
  <c r="L1015" i="25"/>
  <c r="K1015" i="25"/>
  <c r="L1029" i="25"/>
  <c r="K1029" i="25"/>
  <c r="L1037" i="25"/>
  <c r="K1037" i="25"/>
  <c r="L1045" i="25"/>
  <c r="K1045" i="25"/>
  <c r="N1059" i="25"/>
  <c r="P1059" i="25" s="1"/>
  <c r="K1059" i="25"/>
  <c r="N1067" i="25"/>
  <c r="P1067" i="25" s="1"/>
  <c r="K1067" i="25"/>
  <c r="N1079" i="25"/>
  <c r="P1079" i="25" s="1"/>
  <c r="K1079" i="25"/>
  <c r="N1087" i="25"/>
  <c r="P1087" i="25" s="1"/>
  <c r="K1087" i="25"/>
  <c r="N1095" i="25"/>
  <c r="P1095" i="25" s="1"/>
  <c r="K1095" i="25"/>
  <c r="N1103" i="25"/>
  <c r="P1103" i="25" s="1"/>
  <c r="K1103" i="25"/>
  <c r="N1111" i="25"/>
  <c r="P1111" i="25" s="1"/>
  <c r="K1111" i="25"/>
  <c r="N1119" i="25"/>
  <c r="P1119" i="25" s="1"/>
  <c r="K1119" i="25"/>
  <c r="N1171" i="25"/>
  <c r="P1171" i="25" s="1"/>
  <c r="K1171" i="25"/>
  <c r="L1171" i="25"/>
  <c r="Z1171" i="25"/>
  <c r="N1175" i="25"/>
  <c r="P1175" i="25" s="1"/>
  <c r="K1175" i="25"/>
  <c r="L1175" i="25"/>
  <c r="Z1175" i="25"/>
  <c r="Z864" i="25"/>
  <c r="Z868" i="25"/>
  <c r="L972" i="25"/>
  <c r="K972" i="25"/>
  <c r="L976" i="25"/>
  <c r="K976" i="25"/>
  <c r="L983" i="25"/>
  <c r="K983" i="25"/>
  <c r="L993" i="25"/>
  <c r="K993" i="25"/>
  <c r="L1001" i="25"/>
  <c r="K1001" i="25"/>
  <c r="L1009" i="25"/>
  <c r="K1009" i="25"/>
  <c r="L1017" i="25"/>
  <c r="K1017" i="25"/>
  <c r="L1031" i="25"/>
  <c r="K1031" i="25"/>
  <c r="L1039" i="25"/>
  <c r="K1039" i="25"/>
  <c r="L1047" i="25"/>
  <c r="K1047" i="25"/>
  <c r="L1056" i="25"/>
  <c r="N1056" i="25"/>
  <c r="P1056" i="25" s="1"/>
  <c r="L1064" i="25"/>
  <c r="N1064" i="25"/>
  <c r="P1064" i="25" s="1"/>
  <c r="L1072" i="25"/>
  <c r="N1072" i="25"/>
  <c r="P1072" i="25" s="1"/>
  <c r="L1076" i="25"/>
  <c r="N1076" i="25"/>
  <c r="P1076" i="25" s="1"/>
  <c r="L1084" i="25"/>
  <c r="N1084" i="25"/>
  <c r="P1084" i="25" s="1"/>
  <c r="L1092" i="25"/>
  <c r="N1092" i="25"/>
  <c r="P1092" i="25" s="1"/>
  <c r="L1100" i="25"/>
  <c r="N1100" i="25"/>
  <c r="P1100" i="25" s="1"/>
  <c r="L1108" i="25"/>
  <c r="N1108" i="25"/>
  <c r="P1108" i="25" s="1"/>
  <c r="L1116" i="25"/>
  <c r="N1116" i="25"/>
  <c r="P1116" i="25" s="1"/>
  <c r="L1124" i="25"/>
  <c r="N1124" i="25"/>
  <c r="P1124" i="25" s="1"/>
  <c r="L1125" i="25"/>
  <c r="K1125" i="25"/>
  <c r="N1191" i="25"/>
  <c r="P1191" i="25" s="1"/>
  <c r="Z1191" i="25"/>
  <c r="N1199" i="25"/>
  <c r="P1199" i="25" s="1"/>
  <c r="Z1199" i="25"/>
  <c r="N1207" i="25"/>
  <c r="P1207" i="25" s="1"/>
  <c r="Z1207" i="25"/>
  <c r="N1249" i="25"/>
  <c r="P1249" i="25" s="1"/>
  <c r="L1249" i="25"/>
  <c r="Z1249" i="25"/>
  <c r="K1251" i="25"/>
  <c r="N1251" i="25"/>
  <c r="P1251" i="25" s="1"/>
  <c r="L1251" i="25"/>
  <c r="Z1251" i="25"/>
  <c r="N1252" i="25"/>
  <c r="P1252" i="25" s="1"/>
  <c r="Z1252" i="25"/>
  <c r="L1053" i="25"/>
  <c r="K1054" i="25"/>
  <c r="L1057" i="25"/>
  <c r="K1058" i="25"/>
  <c r="L1061" i="25"/>
  <c r="K1062" i="25"/>
  <c r="L1065" i="25"/>
  <c r="K1066" i="25"/>
  <c r="L1069" i="25"/>
  <c r="K1070" i="25"/>
  <c r="L1073" i="25"/>
  <c r="L1077" i="25"/>
  <c r="K1078" i="25"/>
  <c r="L1081" i="25"/>
  <c r="K1082" i="25"/>
  <c r="L1085" i="25"/>
  <c r="K1086" i="25"/>
  <c r="L1089" i="25"/>
  <c r="K1090" i="25"/>
  <c r="L1093" i="25"/>
  <c r="K1094" i="25"/>
  <c r="L1097" i="25"/>
  <c r="K1098" i="25"/>
  <c r="L1101" i="25"/>
  <c r="K1102" i="25"/>
  <c r="L1105" i="25"/>
  <c r="K1106" i="25"/>
  <c r="L1109" i="25"/>
  <c r="K1110" i="25"/>
  <c r="L1113" i="25"/>
  <c r="K1114" i="25"/>
  <c r="L1117" i="25"/>
  <c r="K1118" i="25"/>
  <c r="L1121" i="25"/>
  <c r="K1122" i="25"/>
  <c r="Z1123" i="25"/>
  <c r="K1126" i="25"/>
  <c r="L1183" i="25"/>
  <c r="L1187" i="25"/>
  <c r="L1195" i="25"/>
  <c r="L1203" i="25"/>
  <c r="N1255" i="25"/>
  <c r="P1255" i="25" s="1"/>
  <c r="L1255" i="25"/>
  <c r="Z1255" i="25"/>
  <c r="N1256" i="25"/>
  <c r="P1256" i="25" s="1"/>
  <c r="Z1256" i="25"/>
  <c r="L1335" i="25"/>
  <c r="N1335" i="25"/>
  <c r="P1335" i="25" s="1"/>
  <c r="Z1335" i="25"/>
  <c r="L1336" i="25"/>
  <c r="N1336" i="25"/>
  <c r="P1336" i="25" s="1"/>
  <c r="Z1336" i="25"/>
  <c r="L1347" i="25"/>
  <c r="N1347" i="25"/>
  <c r="P1347" i="25" s="1"/>
  <c r="Z1347" i="25"/>
  <c r="Z1122" i="25"/>
  <c r="Z1126" i="25"/>
  <c r="K1250" i="25"/>
  <c r="N1250" i="25"/>
  <c r="P1250" i="25" s="1"/>
  <c r="L1250" i="25"/>
  <c r="Z1250" i="25"/>
  <c r="N1259" i="25"/>
  <c r="P1259" i="25" s="1"/>
  <c r="L1259" i="25"/>
  <c r="Z1259" i="25"/>
  <c r="N1260" i="25"/>
  <c r="P1260" i="25" s="1"/>
  <c r="Z1260" i="25"/>
  <c r="N1269" i="25"/>
  <c r="P1269" i="25" s="1"/>
  <c r="Z1269" i="25"/>
  <c r="N1328" i="25"/>
  <c r="P1328" i="25" s="1"/>
  <c r="K1328" i="25"/>
  <c r="Z1328" i="25"/>
  <c r="L1328" i="25"/>
  <c r="N1334" i="25"/>
  <c r="P1334" i="25" s="1"/>
  <c r="K1334" i="25"/>
  <c r="L1127" i="25"/>
  <c r="L1128" i="25"/>
  <c r="L1129" i="25"/>
  <c r="L1130" i="25"/>
  <c r="L1131" i="25"/>
  <c r="L1132" i="25"/>
  <c r="L1133" i="25"/>
  <c r="L1134" i="25"/>
  <c r="L1135" i="25"/>
  <c r="L1136" i="25"/>
  <c r="L1137" i="25"/>
  <c r="L1138" i="25"/>
  <c r="L1139" i="25"/>
  <c r="L1140" i="25"/>
  <c r="L1141" i="25"/>
  <c r="L1142" i="25"/>
  <c r="L1143" i="25"/>
  <c r="L1144" i="25"/>
  <c r="L1145" i="25"/>
  <c r="L1146" i="25"/>
  <c r="L1147" i="25"/>
  <c r="L1148" i="25"/>
  <c r="L1149" i="25"/>
  <c r="L1150" i="25"/>
  <c r="L1151" i="25"/>
  <c r="L1152" i="25"/>
  <c r="L1153" i="25"/>
  <c r="L1154" i="25"/>
  <c r="L1155" i="25"/>
  <c r="L1156" i="25"/>
  <c r="L1157" i="25"/>
  <c r="L1158" i="25"/>
  <c r="L1159" i="25"/>
  <c r="L1160" i="25"/>
  <c r="L1161" i="25"/>
  <c r="L1162" i="25"/>
  <c r="L1163" i="25"/>
  <c r="L1164" i="25"/>
  <c r="L1165" i="25"/>
  <c r="L1166" i="25"/>
  <c r="L1167" i="25"/>
  <c r="L1168" i="25"/>
  <c r="L1169" i="25"/>
  <c r="L1170" i="25"/>
  <c r="Z1170" i="25"/>
  <c r="L1172" i="25"/>
  <c r="Z1172" i="25"/>
  <c r="L1174" i="25"/>
  <c r="Z1174" i="25"/>
  <c r="L1176" i="25"/>
  <c r="Z1176" i="25"/>
  <c r="L1178" i="25"/>
  <c r="Z1178" i="25"/>
  <c r="L1180" i="25"/>
  <c r="Z1180" i="25"/>
  <c r="L1182" i="25"/>
  <c r="Z1182" i="25"/>
  <c r="L1184" i="25"/>
  <c r="Z1184" i="25"/>
  <c r="K1246" i="25"/>
  <c r="N1246" i="25"/>
  <c r="P1246" i="25" s="1"/>
  <c r="N1324" i="25"/>
  <c r="P1324" i="25" s="1"/>
  <c r="Z1324" i="25"/>
  <c r="N1332" i="25"/>
  <c r="P1332" i="25" s="1"/>
  <c r="K1332" i="25"/>
  <c r="Z1332" i="25"/>
  <c r="L1340" i="25"/>
  <c r="Z1340" i="25"/>
  <c r="K1248" i="25"/>
  <c r="N1248" i="25"/>
  <c r="P1248" i="25" s="1"/>
  <c r="N1330" i="25"/>
  <c r="P1330" i="25" s="1"/>
  <c r="K1330" i="25"/>
  <c r="Z1330" i="25"/>
  <c r="Z1208" i="25"/>
  <c r="Z1209" i="25"/>
  <c r="Z1210" i="25"/>
  <c r="Z1211" i="25"/>
  <c r="Z1212" i="25"/>
  <c r="Z1213" i="25"/>
  <c r="Z1214" i="25"/>
  <c r="Z1215" i="25"/>
  <c r="Z1216" i="25"/>
  <c r="Z1217" i="25"/>
  <c r="Z1218" i="25"/>
  <c r="Z1219" i="25"/>
  <c r="Z1220" i="25"/>
  <c r="Z1221" i="25"/>
  <c r="Z1222" i="25"/>
  <c r="Z1223" i="25"/>
  <c r="Z1224" i="25"/>
  <c r="Z1225" i="25"/>
  <c r="Z1226" i="25"/>
  <c r="Z1227" i="25"/>
  <c r="Z1228" i="25"/>
  <c r="Z1229" i="25"/>
  <c r="Z1230" i="25"/>
  <c r="Z1231" i="25"/>
  <c r="Z1232" i="25"/>
  <c r="L1264" i="25"/>
  <c r="Z1264" i="25"/>
  <c r="L1266" i="25"/>
  <c r="Z1266" i="25"/>
  <c r="L1343" i="25"/>
  <c r="N1343" i="25"/>
  <c r="P1343" i="25" s="1"/>
  <c r="L1339" i="25"/>
  <c r="N1339" i="25"/>
  <c r="P1339" i="25" s="1"/>
  <c r="N1348" i="25"/>
  <c r="P1348" i="25" s="1"/>
  <c r="Z1270" i="25"/>
  <c r="Z1271" i="25"/>
  <c r="Z1272" i="25"/>
  <c r="Z1273" i="25"/>
  <c r="Z1274" i="25"/>
  <c r="Z1275" i="25"/>
  <c r="L1325" i="25"/>
  <c r="Z1325" i="25"/>
  <c r="L1327" i="25"/>
  <c r="Z1327" i="25"/>
  <c r="L1329" i="25"/>
  <c r="Z1329" i="25"/>
  <c r="L1331" i="25"/>
  <c r="Z1331" i="25"/>
  <c r="L1333" i="25"/>
  <c r="Z1333" i="25"/>
  <c r="Z1338" i="25"/>
  <c r="Z1342" i="25"/>
  <c r="Z1346" i="25"/>
  <c r="Z1337" i="25"/>
  <c r="Z1341" i="25"/>
  <c r="Z1345" i="25"/>
  <c r="L1349" i="25"/>
  <c r="L1350" i="25"/>
  <c r="L1351" i="25"/>
  <c r="L1352" i="25"/>
  <c r="L1353" i="25"/>
  <c r="L1354" i="25"/>
  <c r="L1355" i="25"/>
  <c r="L1356" i="25"/>
  <c r="L1357" i="25"/>
  <c r="L1358" i="25"/>
  <c r="L1359" i="25"/>
  <c r="L1360" i="25"/>
  <c r="L1361" i="25"/>
  <c r="L1362" i="25"/>
  <c r="L1363" i="25"/>
  <c r="L1364" i="25"/>
  <c r="L1365" i="25"/>
  <c r="L1366" i="25"/>
  <c r="L1367" i="25"/>
  <c r="L1368" i="25"/>
  <c r="L1369" i="25"/>
  <c r="L1370" i="25"/>
  <c r="L1371" i="25"/>
  <c r="L1372" i="25"/>
  <c r="L1373" i="25"/>
  <c r="L1374" i="25"/>
  <c r="L1375" i="25"/>
  <c r="L1376" i="25"/>
  <c r="L1377" i="25"/>
  <c r="L1378" i="25"/>
  <c r="L1379" i="25"/>
  <c r="L1380" i="25"/>
  <c r="L1381" i="25"/>
  <c r="L1382" i="25"/>
  <c r="Z1394" i="25"/>
  <c r="Z1395" i="25"/>
  <c r="Z1396" i="25"/>
  <c r="Z1397" i="25"/>
  <c r="Z1398" i="25"/>
  <c r="Z1399" i="25"/>
  <c r="Z1400" i="25"/>
  <c r="Z1401" i="25"/>
  <c r="K67" i="4"/>
  <c r="Z58" i="25" l="1"/>
  <c r="N54" i="25"/>
  <c r="P54" i="25" s="1"/>
  <c r="Z54" i="25"/>
  <c r="N483" i="25"/>
  <c r="P483" i="25" s="1"/>
  <c r="K58" i="25"/>
  <c r="N58" i="25"/>
  <c r="P58" i="25" s="1"/>
  <c r="K455" i="25"/>
  <c r="Z473" i="25"/>
  <c r="Z456" i="25"/>
  <c r="N464" i="25"/>
  <c r="P464" i="25" s="1"/>
  <c r="N460" i="25"/>
  <c r="P460" i="25" s="1"/>
  <c r="K436" i="25"/>
  <c r="N420" i="25"/>
  <c r="P420" i="25" s="1"/>
  <c r="N479" i="25"/>
  <c r="P479" i="25" s="1"/>
  <c r="K464" i="25"/>
  <c r="K479" i="25"/>
  <c r="K420" i="25"/>
  <c r="L479" i="25"/>
  <c r="Z464" i="25"/>
  <c r="Z460" i="25"/>
  <c r="K460" i="25"/>
  <c r="N455" i="25"/>
  <c r="P455" i="25" s="1"/>
  <c r="Z455" i="25"/>
  <c r="Z484" i="25"/>
  <c r="N436" i="25"/>
  <c r="P436" i="25" s="1"/>
  <c r="N484" i="25"/>
  <c r="P484" i="25" s="1"/>
  <c r="K472" i="25"/>
  <c r="K484" i="25"/>
  <c r="L483" i="25"/>
  <c r="K483" i="25"/>
  <c r="N456" i="25"/>
  <c r="P456" i="25" s="1"/>
  <c r="K456" i="25"/>
  <c r="Z472" i="25"/>
  <c r="K473" i="25"/>
  <c r="N473" i="25"/>
  <c r="P473" i="25" s="1"/>
  <c r="L442" i="25"/>
  <c r="Z442" i="25"/>
  <c r="K442" i="25"/>
  <c r="L436" i="25"/>
  <c r="N472" i="25"/>
  <c r="P472" i="25" s="1"/>
  <c r="L454" i="25"/>
  <c r="Z454" i="25"/>
  <c r="N454" i="25"/>
  <c r="P454" i="25" s="1"/>
  <c r="Z485" i="25"/>
  <c r="L485" i="25"/>
  <c r="N485" i="25"/>
  <c r="P485" i="25" s="1"/>
  <c r="Z474" i="25"/>
  <c r="L474" i="25"/>
  <c r="N474" i="25"/>
  <c r="P474" i="25" s="1"/>
  <c r="L458" i="25"/>
  <c r="Z458" i="25"/>
  <c r="N458" i="25"/>
  <c r="P458" i="25" s="1"/>
  <c r="K458" i="25"/>
  <c r="Z457" i="25"/>
  <c r="L457" i="25"/>
  <c r="N457" i="25"/>
  <c r="P457" i="25" s="1"/>
  <c r="K457" i="25"/>
  <c r="Z453" i="25"/>
  <c r="L453" i="25"/>
  <c r="N453" i="25"/>
  <c r="P453" i="25" s="1"/>
  <c r="K453" i="25"/>
  <c r="Z416" i="25"/>
  <c r="L416" i="25"/>
  <c r="K416" i="25"/>
  <c r="N416" i="25"/>
  <c r="P416" i="25" s="1"/>
  <c r="Z481" i="25"/>
  <c r="L481" i="25"/>
  <c r="N481" i="25"/>
  <c r="P481" i="25" s="1"/>
  <c r="L432" i="25"/>
  <c r="Z432" i="25"/>
  <c r="N432" i="25"/>
  <c r="P432" i="25" s="1"/>
  <c r="Z447" i="25"/>
  <c r="L447" i="25"/>
  <c r="N447" i="25"/>
  <c r="P447" i="25" s="1"/>
  <c r="Z426" i="25"/>
  <c r="L426" i="25"/>
  <c r="N426" i="25"/>
  <c r="P426" i="25" s="1"/>
  <c r="K454" i="25"/>
  <c r="K432" i="25"/>
  <c r="Z438" i="25"/>
  <c r="L438" i="25"/>
  <c r="N438" i="25"/>
  <c r="P438" i="25" s="1"/>
  <c r="Z470" i="25"/>
  <c r="L470" i="25"/>
  <c r="N470" i="25"/>
  <c r="P470" i="25" s="1"/>
  <c r="K481" i="25"/>
  <c r="Z466" i="25"/>
  <c r="L466" i="25"/>
  <c r="N466" i="25"/>
  <c r="P466" i="25" s="1"/>
  <c r="Z462" i="25"/>
  <c r="L462" i="25"/>
  <c r="N462" i="25"/>
  <c r="P462" i="25" s="1"/>
  <c r="K474" i="25"/>
  <c r="K470" i="25"/>
  <c r="K462" i="25"/>
  <c r="K466" i="25"/>
  <c r="K66" i="4"/>
  <c r="K65" i="4" l="1"/>
  <c r="AJ898" i="3" l="1"/>
  <c r="J898" i="3"/>
  <c r="AC898" i="3"/>
  <c r="AD898" i="3" s="1"/>
  <c r="AA898" i="3"/>
  <c r="AJ890" i="3"/>
  <c r="J890" i="3"/>
  <c r="AC890" i="3"/>
  <c r="AD890" i="3" s="1"/>
  <c r="AA890" i="3"/>
  <c r="AJ900" i="3"/>
  <c r="J900" i="3"/>
  <c r="AC900" i="3"/>
  <c r="AD900" i="3" s="1"/>
  <c r="AA900" i="3"/>
  <c r="AJ896" i="3"/>
  <c r="J896" i="3"/>
  <c r="AC896" i="3"/>
  <c r="AD896" i="3" s="1"/>
  <c r="AA896" i="3"/>
  <c r="AJ892" i="3"/>
  <c r="J892" i="3"/>
  <c r="AC892" i="3"/>
  <c r="AD892" i="3" s="1"/>
  <c r="AA892" i="3"/>
  <c r="AJ811" i="3" l="1"/>
  <c r="J811" i="3"/>
  <c r="AC811" i="3"/>
  <c r="AD811" i="3" s="1"/>
  <c r="AA811" i="3"/>
  <c r="M811" i="3"/>
  <c r="AJ810" i="3"/>
  <c r="J810" i="3"/>
  <c r="AC810" i="3"/>
  <c r="AD810" i="3" s="1"/>
  <c r="AA810" i="3"/>
  <c r="M810" i="3"/>
  <c r="AJ813" i="3"/>
  <c r="J813" i="3"/>
  <c r="AC813" i="3"/>
  <c r="AD813" i="3" s="1"/>
  <c r="AA813" i="3"/>
  <c r="M813" i="3"/>
  <c r="AJ814" i="3"/>
  <c r="J814" i="3"/>
  <c r="AC814" i="3"/>
  <c r="AD814" i="3" s="1"/>
  <c r="AA814" i="3"/>
  <c r="M814" i="3"/>
  <c r="AJ812" i="3"/>
  <c r="J812" i="3"/>
  <c r="AC812" i="3"/>
  <c r="AD812" i="3" s="1"/>
  <c r="AA812" i="3"/>
  <c r="M812" i="3"/>
  <c r="AJ863" i="3"/>
  <c r="J863" i="3"/>
  <c r="AC863" i="3"/>
  <c r="AD863" i="3" s="1"/>
  <c r="AA863" i="3"/>
  <c r="AJ860" i="3"/>
  <c r="J860" i="3"/>
  <c r="AC860" i="3"/>
  <c r="AD860" i="3" s="1"/>
  <c r="AA860" i="3"/>
  <c r="AJ864" i="3"/>
  <c r="J864" i="3"/>
  <c r="AC864" i="3"/>
  <c r="AD864" i="3" s="1"/>
  <c r="AA864" i="3"/>
  <c r="AJ861" i="3"/>
  <c r="J861" i="3"/>
  <c r="AC861" i="3"/>
  <c r="AD861" i="3" s="1"/>
  <c r="AA861" i="3"/>
  <c r="AJ862" i="3"/>
  <c r="J862" i="3"/>
  <c r="AC862" i="3"/>
  <c r="AD862" i="3" s="1"/>
  <c r="AA862" i="3"/>
  <c r="AJ853" i="3"/>
  <c r="J853" i="3"/>
  <c r="AC853" i="3"/>
  <c r="AD853" i="3" s="1"/>
  <c r="AA853" i="3"/>
  <c r="AJ858" i="3"/>
  <c r="J858" i="3"/>
  <c r="AC858" i="3"/>
  <c r="AD858" i="3" s="1"/>
  <c r="AA858" i="3"/>
  <c r="K64" i="4" l="1"/>
  <c r="K63" i="4"/>
  <c r="K62" i="4"/>
  <c r="K61" i="4"/>
  <c r="K60" i="4"/>
  <c r="K59" i="4"/>
  <c r="AJ825" i="3" l="1"/>
  <c r="J825" i="3"/>
  <c r="AC825" i="3"/>
  <c r="AD825" i="3" s="1"/>
  <c r="AA825" i="3"/>
  <c r="M825" i="3"/>
  <c r="AJ827" i="3"/>
  <c r="J827" i="3"/>
  <c r="AC827" i="3"/>
  <c r="AD827" i="3" s="1"/>
  <c r="AA827" i="3"/>
  <c r="M827" i="3"/>
  <c r="AJ824" i="3"/>
  <c r="J824" i="3"/>
  <c r="AC824" i="3"/>
  <c r="AD824" i="3" s="1"/>
  <c r="AA824" i="3"/>
  <c r="M824" i="3"/>
  <c r="AJ826" i="3"/>
  <c r="J826" i="3"/>
  <c r="AC826" i="3"/>
  <c r="AD826" i="3" s="1"/>
  <c r="AA826" i="3"/>
  <c r="M826" i="3"/>
  <c r="AJ828" i="3"/>
  <c r="J828" i="3"/>
  <c r="AC828" i="3"/>
  <c r="AD828" i="3" s="1"/>
  <c r="AA828" i="3"/>
  <c r="M828" i="3"/>
  <c r="K4" i="4" l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N21" i="4" s="1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N48" i="4" s="1"/>
  <c r="K49" i="4"/>
  <c r="K50" i="4"/>
  <c r="K51" i="4"/>
  <c r="K52" i="4"/>
  <c r="K53" i="4"/>
  <c r="K54" i="4"/>
  <c r="K55" i="4"/>
  <c r="K56" i="4"/>
  <c r="K57" i="4"/>
  <c r="K58" i="4"/>
  <c r="K3" i="4"/>
  <c r="AC731" i="3"/>
  <c r="AD731" i="3" s="1"/>
  <c r="AJ731" i="3"/>
  <c r="AA731" i="3"/>
  <c r="M731" i="3"/>
  <c r="J731" i="3" l="1"/>
  <c r="AJ715" i="3"/>
  <c r="J715" i="3"/>
  <c r="AC715" i="3"/>
  <c r="AD715" i="3" s="1"/>
  <c r="AA715" i="3"/>
  <c r="M715" i="3"/>
  <c r="AJ641" i="3"/>
  <c r="J641" i="3"/>
  <c r="AC641" i="3"/>
  <c r="AD641" i="3" s="1"/>
  <c r="AA641" i="3"/>
  <c r="M641" i="3"/>
  <c r="J628" i="3"/>
  <c r="N628" i="3" s="1"/>
  <c r="AG628" i="3" s="1"/>
  <c r="M628" i="3"/>
  <c r="AA628" i="3"/>
  <c r="AC628" i="3"/>
  <c r="AD628" i="3" s="1"/>
  <c r="AJ628" i="3"/>
  <c r="AJ806" i="3" l="1"/>
  <c r="J806" i="3"/>
  <c r="AC806" i="3"/>
  <c r="AD806" i="3" s="1"/>
  <c r="AA806" i="3"/>
  <c r="M806" i="3"/>
  <c r="AJ807" i="3"/>
  <c r="J807" i="3"/>
  <c r="AC807" i="3"/>
  <c r="AD807" i="3" s="1"/>
  <c r="AA807" i="3"/>
  <c r="M807" i="3"/>
  <c r="AJ808" i="3"/>
  <c r="J808" i="3"/>
  <c r="AC808" i="3"/>
  <c r="AD808" i="3" s="1"/>
  <c r="AA808" i="3"/>
  <c r="M808" i="3"/>
  <c r="AJ809" i="3"/>
  <c r="J809" i="3"/>
  <c r="AC809" i="3"/>
  <c r="AD809" i="3" s="1"/>
  <c r="AA809" i="3"/>
  <c r="M809" i="3"/>
  <c r="AJ720" i="3" l="1"/>
  <c r="J720" i="3"/>
  <c r="AC720" i="3"/>
  <c r="AD720" i="3" s="1"/>
  <c r="AA720" i="3"/>
  <c r="M720" i="3"/>
  <c r="AJ113" i="3"/>
  <c r="AC113" i="3"/>
  <c r="AD113" i="3" s="1"/>
  <c r="AA113" i="3"/>
  <c r="M113" i="3"/>
  <c r="J113" i="3"/>
  <c r="AJ657" i="3"/>
  <c r="J657" i="3"/>
  <c r="AC657" i="3"/>
  <c r="AD657" i="3" s="1"/>
  <c r="AA657" i="3"/>
  <c r="M657" i="3"/>
  <c r="AJ624" i="3"/>
  <c r="J624" i="3"/>
  <c r="AC624" i="3"/>
  <c r="AD624" i="3" s="1"/>
  <c r="AA624" i="3"/>
  <c r="M624" i="3"/>
  <c r="AJ799" i="3" l="1"/>
  <c r="J799" i="3"/>
  <c r="AC799" i="3"/>
  <c r="AD799" i="3" s="1"/>
  <c r="AA799" i="3"/>
  <c r="M799" i="3"/>
  <c r="AJ802" i="3"/>
  <c r="J802" i="3"/>
  <c r="AC802" i="3"/>
  <c r="AD802" i="3" s="1"/>
  <c r="AA802" i="3"/>
  <c r="M802" i="3"/>
  <c r="AJ804" i="3"/>
  <c r="J804" i="3"/>
  <c r="AC804" i="3"/>
  <c r="AD804" i="3" s="1"/>
  <c r="AA804" i="3"/>
  <c r="M804" i="3"/>
  <c r="AJ800" i="3"/>
  <c r="J800" i="3"/>
  <c r="AC800" i="3"/>
  <c r="AD800" i="3" s="1"/>
  <c r="AA800" i="3"/>
  <c r="M800" i="3"/>
  <c r="AJ797" i="3"/>
  <c r="J797" i="3"/>
  <c r="AC797" i="3"/>
  <c r="AD797" i="3" s="1"/>
  <c r="AA797" i="3"/>
  <c r="M797" i="3"/>
  <c r="AJ805" i="3"/>
  <c r="J805" i="3"/>
  <c r="AC805" i="3"/>
  <c r="AD805" i="3" s="1"/>
  <c r="AA805" i="3"/>
  <c r="M805" i="3"/>
  <c r="AJ801" i="3"/>
  <c r="J801" i="3"/>
  <c r="AC801" i="3"/>
  <c r="AD801" i="3" s="1"/>
  <c r="AA801" i="3"/>
  <c r="M801" i="3"/>
  <c r="AJ803" i="3"/>
  <c r="J803" i="3"/>
  <c r="AC803" i="3"/>
  <c r="AD803" i="3" s="1"/>
  <c r="AA803" i="3"/>
  <c r="M803" i="3"/>
  <c r="AJ782" i="3"/>
  <c r="J782" i="3"/>
  <c r="AC782" i="3"/>
  <c r="AD782" i="3" s="1"/>
  <c r="AA782" i="3"/>
  <c r="M782" i="3"/>
  <c r="AJ781" i="3"/>
  <c r="J781" i="3"/>
  <c r="AC781" i="3"/>
  <c r="AD781" i="3" s="1"/>
  <c r="AA781" i="3"/>
  <c r="M781" i="3"/>
  <c r="AJ786" i="3"/>
  <c r="J786" i="3"/>
  <c r="AC786" i="3"/>
  <c r="AD786" i="3" s="1"/>
  <c r="AA786" i="3"/>
  <c r="M786" i="3"/>
  <c r="AJ787" i="3"/>
  <c r="J787" i="3"/>
  <c r="AC787" i="3"/>
  <c r="AD787" i="3" s="1"/>
  <c r="AA787" i="3"/>
  <c r="M787" i="3"/>
  <c r="AJ790" i="3"/>
  <c r="J790" i="3"/>
  <c r="AC790" i="3"/>
  <c r="AD790" i="3" s="1"/>
  <c r="AA790" i="3"/>
  <c r="M790" i="3"/>
  <c r="AJ777" i="3"/>
  <c r="J777" i="3"/>
  <c r="AC777" i="3"/>
  <c r="AD777" i="3" s="1"/>
  <c r="AA777" i="3"/>
  <c r="M777" i="3"/>
  <c r="AJ775" i="3"/>
  <c r="J775" i="3"/>
  <c r="AC775" i="3"/>
  <c r="AD775" i="3" s="1"/>
  <c r="AA775" i="3"/>
  <c r="M775" i="3"/>
  <c r="AJ796" i="3"/>
  <c r="J796" i="3"/>
  <c r="AC796" i="3"/>
  <c r="AD796" i="3" s="1"/>
  <c r="AA796" i="3"/>
  <c r="M796" i="3"/>
  <c r="AJ774" i="3"/>
  <c r="J774" i="3"/>
  <c r="AC774" i="3"/>
  <c r="AD774" i="3" s="1"/>
  <c r="AA774" i="3"/>
  <c r="M774" i="3"/>
  <c r="AJ780" i="3"/>
  <c r="J780" i="3"/>
  <c r="AC780" i="3"/>
  <c r="AD780" i="3" s="1"/>
  <c r="AA780" i="3"/>
  <c r="M780" i="3"/>
  <c r="AJ776" i="3"/>
  <c r="J776" i="3"/>
  <c r="AC776" i="3"/>
  <c r="AD776" i="3" s="1"/>
  <c r="AA776" i="3"/>
  <c r="M776" i="3"/>
  <c r="AJ779" i="3"/>
  <c r="J779" i="3"/>
  <c r="AC779" i="3"/>
  <c r="AD779" i="3" s="1"/>
  <c r="AA779" i="3"/>
  <c r="M779" i="3"/>
  <c r="AJ778" i="3"/>
  <c r="J778" i="3"/>
  <c r="AC778" i="3"/>
  <c r="AD778" i="3" s="1"/>
  <c r="AA778" i="3"/>
  <c r="M778" i="3"/>
  <c r="AJ773" i="3"/>
  <c r="J773" i="3"/>
  <c r="AC773" i="3"/>
  <c r="AD773" i="3" s="1"/>
  <c r="AA773" i="3"/>
  <c r="M773" i="3"/>
  <c r="AJ766" i="3"/>
  <c r="J766" i="3"/>
  <c r="AC766" i="3"/>
  <c r="AD766" i="3" s="1"/>
  <c r="AA766" i="3"/>
  <c r="M766" i="3"/>
  <c r="AJ767" i="3"/>
  <c r="J767" i="3"/>
  <c r="AC767" i="3"/>
  <c r="AD767" i="3" s="1"/>
  <c r="AA767" i="3"/>
  <c r="M767" i="3"/>
  <c r="AJ771" i="3"/>
  <c r="J771" i="3"/>
  <c r="AC771" i="3"/>
  <c r="AD771" i="3" s="1"/>
  <c r="AA771" i="3"/>
  <c r="M771" i="3"/>
  <c r="AJ792" i="3"/>
  <c r="J792" i="3"/>
  <c r="AC792" i="3"/>
  <c r="AD792" i="3" s="1"/>
  <c r="AA792" i="3"/>
  <c r="M792" i="3"/>
  <c r="AJ793" i="3"/>
  <c r="J793" i="3"/>
  <c r="AC793" i="3"/>
  <c r="AD793" i="3" s="1"/>
  <c r="AA793" i="3"/>
  <c r="M793" i="3"/>
  <c r="AJ785" i="3"/>
  <c r="J785" i="3"/>
  <c r="AC785" i="3"/>
  <c r="AD785" i="3" s="1"/>
  <c r="AA785" i="3"/>
  <c r="M785" i="3"/>
  <c r="AJ789" i="3"/>
  <c r="J789" i="3"/>
  <c r="AC789" i="3"/>
  <c r="AD789" i="3" s="1"/>
  <c r="AA789" i="3"/>
  <c r="M789" i="3"/>
  <c r="AJ784" i="3"/>
  <c r="J784" i="3"/>
  <c r="AC784" i="3"/>
  <c r="AD784" i="3" s="1"/>
  <c r="AA784" i="3"/>
  <c r="M784" i="3"/>
  <c r="AJ783" i="3"/>
  <c r="J783" i="3"/>
  <c r="AC783" i="3"/>
  <c r="AD783" i="3" s="1"/>
  <c r="AA783" i="3"/>
  <c r="M783" i="3"/>
  <c r="AJ788" i="3"/>
  <c r="J788" i="3"/>
  <c r="AC788" i="3"/>
  <c r="AD788" i="3" s="1"/>
  <c r="AA788" i="3"/>
  <c r="M788" i="3"/>
  <c r="AJ791" i="3"/>
  <c r="J791" i="3"/>
  <c r="AC791" i="3"/>
  <c r="AD791" i="3" s="1"/>
  <c r="AA791" i="3"/>
  <c r="M791" i="3"/>
  <c r="AJ768" i="3" l="1"/>
  <c r="J768" i="3"/>
  <c r="AC768" i="3"/>
  <c r="AD768" i="3" s="1"/>
  <c r="AA768" i="3"/>
  <c r="M768" i="3"/>
  <c r="AJ772" i="3"/>
  <c r="J772" i="3"/>
  <c r="AC772" i="3"/>
  <c r="AD772" i="3" s="1"/>
  <c r="AA772" i="3"/>
  <c r="M772" i="3"/>
  <c r="AJ769" i="3"/>
  <c r="J769" i="3"/>
  <c r="AC769" i="3"/>
  <c r="AD769" i="3" s="1"/>
  <c r="AA769" i="3"/>
  <c r="M769" i="3"/>
  <c r="AJ770" i="3"/>
  <c r="J770" i="3"/>
  <c r="AC770" i="3"/>
  <c r="AD770" i="3" s="1"/>
  <c r="AA770" i="3"/>
  <c r="M770" i="3"/>
  <c r="AJ764" i="3" l="1"/>
  <c r="J764" i="3"/>
  <c r="AC764" i="3"/>
  <c r="AD764" i="3" s="1"/>
  <c r="AA764" i="3"/>
  <c r="M764" i="3"/>
  <c r="AJ760" i="3"/>
  <c r="J760" i="3"/>
  <c r="AC760" i="3"/>
  <c r="AD760" i="3" s="1"/>
  <c r="AA760" i="3"/>
  <c r="M760" i="3"/>
  <c r="AJ762" i="3"/>
  <c r="J762" i="3"/>
  <c r="AC762" i="3"/>
  <c r="AD762" i="3" s="1"/>
  <c r="AA762" i="3"/>
  <c r="M762" i="3"/>
  <c r="AJ763" i="3"/>
  <c r="J763" i="3"/>
  <c r="AC763" i="3"/>
  <c r="AD763" i="3" s="1"/>
  <c r="AA763" i="3"/>
  <c r="M763" i="3"/>
  <c r="AJ765" i="3"/>
  <c r="J765" i="3"/>
  <c r="AC765" i="3"/>
  <c r="AD765" i="3" s="1"/>
  <c r="AA765" i="3"/>
  <c r="M765" i="3"/>
  <c r="AJ761" i="3"/>
  <c r="J761" i="3"/>
  <c r="AC761" i="3"/>
  <c r="AD761" i="3" s="1"/>
  <c r="AA761" i="3"/>
  <c r="M761" i="3"/>
  <c r="AJ759" i="3"/>
  <c r="J759" i="3"/>
  <c r="AC759" i="3"/>
  <c r="AD759" i="3" s="1"/>
  <c r="AA759" i="3"/>
  <c r="M759" i="3"/>
  <c r="AJ757" i="3"/>
  <c r="J757" i="3"/>
  <c r="AC757" i="3"/>
  <c r="AD757" i="3" s="1"/>
  <c r="AA757" i="3"/>
  <c r="M757" i="3"/>
  <c r="AJ756" i="3"/>
  <c r="J756" i="3"/>
  <c r="AC756" i="3"/>
  <c r="AD756" i="3" s="1"/>
  <c r="AA756" i="3"/>
  <c r="M756" i="3"/>
  <c r="AJ758" i="3"/>
  <c r="J758" i="3"/>
  <c r="AC758" i="3"/>
  <c r="AD758" i="3" s="1"/>
  <c r="AA758" i="3"/>
  <c r="M758" i="3"/>
  <c r="AJ752" i="3" l="1"/>
  <c r="J752" i="3"/>
  <c r="AC752" i="3"/>
  <c r="AD752" i="3" s="1"/>
  <c r="AA752" i="3"/>
  <c r="M752" i="3"/>
  <c r="AJ751" i="3"/>
  <c r="J751" i="3"/>
  <c r="AC751" i="3"/>
  <c r="AD751" i="3" s="1"/>
  <c r="AA751" i="3"/>
  <c r="M751" i="3"/>
  <c r="AJ750" i="3"/>
  <c r="J750" i="3"/>
  <c r="AC750" i="3"/>
  <c r="AD750" i="3" s="1"/>
  <c r="AA750" i="3"/>
  <c r="M750" i="3"/>
  <c r="AJ749" i="3"/>
  <c r="J749" i="3"/>
  <c r="AC749" i="3"/>
  <c r="AD749" i="3" s="1"/>
  <c r="AA749" i="3"/>
  <c r="M749" i="3"/>
  <c r="AJ753" i="3"/>
  <c r="J753" i="3"/>
  <c r="AC753" i="3"/>
  <c r="AD753" i="3" s="1"/>
  <c r="AA753" i="3"/>
  <c r="M753" i="3"/>
  <c r="AJ748" i="3"/>
  <c r="J748" i="3"/>
  <c r="AC748" i="3"/>
  <c r="AD748" i="3" s="1"/>
  <c r="AA748" i="3"/>
  <c r="M748" i="3"/>
  <c r="AJ755" i="3"/>
  <c r="J755" i="3"/>
  <c r="AC755" i="3"/>
  <c r="AD755" i="3" s="1"/>
  <c r="AA755" i="3"/>
  <c r="M755" i="3"/>
  <c r="AJ754" i="3"/>
  <c r="J754" i="3"/>
  <c r="AC754" i="3"/>
  <c r="AD754" i="3" s="1"/>
  <c r="AA754" i="3"/>
  <c r="M754" i="3"/>
  <c r="AJ741" i="3"/>
  <c r="J741" i="3"/>
  <c r="AC741" i="3"/>
  <c r="AD741" i="3" s="1"/>
  <c r="AA741" i="3"/>
  <c r="M741" i="3"/>
  <c r="AJ738" i="3"/>
  <c r="J738" i="3"/>
  <c r="AC738" i="3"/>
  <c r="AD738" i="3" s="1"/>
  <c r="AA738" i="3"/>
  <c r="M738" i="3"/>
  <c r="AJ744" i="3"/>
  <c r="J744" i="3"/>
  <c r="AC744" i="3"/>
  <c r="AD744" i="3" s="1"/>
  <c r="AA744" i="3"/>
  <c r="M744" i="3"/>
  <c r="AJ743" i="3"/>
  <c r="J743" i="3"/>
  <c r="AC743" i="3"/>
  <c r="AD743" i="3" s="1"/>
  <c r="AA743" i="3"/>
  <c r="M743" i="3"/>
  <c r="AJ740" i="3"/>
  <c r="J740" i="3"/>
  <c r="AC740" i="3"/>
  <c r="AD740" i="3" s="1"/>
  <c r="AA740" i="3"/>
  <c r="M740" i="3"/>
  <c r="AJ737" i="3"/>
  <c r="J737" i="3"/>
  <c r="AC737" i="3"/>
  <c r="AD737" i="3" s="1"/>
  <c r="AA737" i="3"/>
  <c r="M737" i="3"/>
  <c r="AJ736" i="3"/>
  <c r="J736" i="3"/>
  <c r="AC736" i="3"/>
  <c r="AD736" i="3" s="1"/>
  <c r="AA736" i="3"/>
  <c r="M736" i="3"/>
  <c r="AJ739" i="3"/>
  <c r="J739" i="3"/>
  <c r="AC739" i="3"/>
  <c r="AD739" i="3" s="1"/>
  <c r="AA739" i="3"/>
  <c r="M739" i="3"/>
  <c r="AJ735" i="3"/>
  <c r="J735" i="3"/>
  <c r="AC735" i="3"/>
  <c r="AD735" i="3" s="1"/>
  <c r="AA735" i="3"/>
  <c r="M735" i="3"/>
  <c r="AJ742" i="3"/>
  <c r="J742" i="3"/>
  <c r="AC742" i="3"/>
  <c r="AD742" i="3" s="1"/>
  <c r="AA742" i="3"/>
  <c r="M742" i="3"/>
  <c r="AJ721" i="3"/>
  <c r="J721" i="3"/>
  <c r="AC721" i="3"/>
  <c r="AD721" i="3" s="1"/>
  <c r="AA721" i="3"/>
  <c r="M721" i="3"/>
  <c r="AJ718" i="3"/>
  <c r="J718" i="3"/>
  <c r="AC718" i="3"/>
  <c r="AD718" i="3" s="1"/>
  <c r="AA718" i="3"/>
  <c r="M718" i="3"/>
  <c r="AJ719" i="3"/>
  <c r="J719" i="3"/>
  <c r="AC719" i="3"/>
  <c r="AD719" i="3" s="1"/>
  <c r="AA719" i="3"/>
  <c r="M719" i="3"/>
  <c r="AJ717" i="3"/>
  <c r="J717" i="3"/>
  <c r="AC717" i="3"/>
  <c r="AD717" i="3" s="1"/>
  <c r="AA717" i="3"/>
  <c r="M717" i="3"/>
  <c r="AJ722" i="3"/>
  <c r="J722" i="3"/>
  <c r="AC722" i="3"/>
  <c r="AD722" i="3" s="1"/>
  <c r="AA722" i="3"/>
  <c r="M722" i="3"/>
  <c r="AJ795" i="3"/>
  <c r="J795" i="3"/>
  <c r="AC795" i="3"/>
  <c r="AD795" i="3" s="1"/>
  <c r="AA795" i="3"/>
  <c r="M795" i="3"/>
  <c r="AJ714" i="3"/>
  <c r="J714" i="3"/>
  <c r="AC714" i="3"/>
  <c r="AD714" i="3" s="1"/>
  <c r="AA714" i="3"/>
  <c r="M714" i="3"/>
  <c r="AJ710" i="3"/>
  <c r="J710" i="3"/>
  <c r="AC710" i="3"/>
  <c r="AD710" i="3" s="1"/>
  <c r="AA710" i="3"/>
  <c r="M710" i="3"/>
  <c r="AJ711" i="3"/>
  <c r="J711" i="3"/>
  <c r="AC711" i="3"/>
  <c r="AD711" i="3" s="1"/>
  <c r="AA711" i="3"/>
  <c r="M711" i="3"/>
  <c r="AJ712" i="3"/>
  <c r="J712" i="3"/>
  <c r="AC712" i="3"/>
  <c r="AD712" i="3" s="1"/>
  <c r="AA712" i="3"/>
  <c r="M712" i="3"/>
  <c r="AJ713" i="3"/>
  <c r="J713" i="3"/>
  <c r="AC713" i="3"/>
  <c r="AD713" i="3" s="1"/>
  <c r="AA713" i="3"/>
  <c r="M713" i="3"/>
  <c r="AJ716" i="3"/>
  <c r="J716" i="3"/>
  <c r="AC716" i="3"/>
  <c r="AD716" i="3" s="1"/>
  <c r="AA716" i="3"/>
  <c r="M716" i="3"/>
  <c r="AJ680" i="3"/>
  <c r="J680" i="3"/>
  <c r="AC680" i="3"/>
  <c r="AD680" i="3" s="1"/>
  <c r="AA680" i="3"/>
  <c r="M680" i="3"/>
  <c r="AJ686" i="3"/>
  <c r="J686" i="3"/>
  <c r="AC686" i="3"/>
  <c r="AD686" i="3" s="1"/>
  <c r="AA686" i="3"/>
  <c r="M686" i="3"/>
  <c r="AJ682" i="3"/>
  <c r="J682" i="3"/>
  <c r="AC682" i="3"/>
  <c r="AD682" i="3" s="1"/>
  <c r="AA682" i="3"/>
  <c r="M682" i="3"/>
  <c r="AJ679" i="3"/>
  <c r="J679" i="3"/>
  <c r="AC679" i="3"/>
  <c r="AD679" i="3" s="1"/>
  <c r="AA679" i="3"/>
  <c r="M679" i="3"/>
  <c r="AJ674" i="3"/>
  <c r="J674" i="3"/>
  <c r="AC674" i="3"/>
  <c r="AD674" i="3" s="1"/>
  <c r="AA674" i="3"/>
  <c r="M674" i="3"/>
  <c r="AJ683" i="3"/>
  <c r="J683" i="3"/>
  <c r="AC683" i="3"/>
  <c r="AD683" i="3" s="1"/>
  <c r="AA683" i="3"/>
  <c r="M683" i="3"/>
  <c r="AJ676" i="3"/>
  <c r="J676" i="3"/>
  <c r="AC676" i="3"/>
  <c r="AD676" i="3" s="1"/>
  <c r="AA676" i="3"/>
  <c r="M676" i="3"/>
  <c r="AJ696" i="3"/>
  <c r="J696" i="3"/>
  <c r="AC696" i="3"/>
  <c r="AD696" i="3" s="1"/>
  <c r="AA696" i="3"/>
  <c r="M696" i="3"/>
  <c r="AJ704" i="3"/>
  <c r="J704" i="3"/>
  <c r="AC704" i="3"/>
  <c r="AD704" i="3" s="1"/>
  <c r="AA704" i="3"/>
  <c r="M704" i="3"/>
  <c r="AJ697" i="3"/>
  <c r="J697" i="3"/>
  <c r="AC697" i="3"/>
  <c r="AD697" i="3" s="1"/>
  <c r="AA697" i="3"/>
  <c r="M697" i="3"/>
  <c r="AJ699" i="3"/>
  <c r="J699" i="3"/>
  <c r="AC699" i="3"/>
  <c r="AD699" i="3" s="1"/>
  <c r="AA699" i="3"/>
  <c r="M699" i="3"/>
  <c r="AJ698" i="3"/>
  <c r="J698" i="3"/>
  <c r="AC698" i="3"/>
  <c r="AD698" i="3" s="1"/>
  <c r="AA698" i="3"/>
  <c r="M698" i="3"/>
  <c r="AJ706" i="3"/>
  <c r="J706" i="3"/>
  <c r="AC706" i="3"/>
  <c r="AD706" i="3" s="1"/>
  <c r="AA706" i="3"/>
  <c r="M706" i="3"/>
  <c r="AJ693" i="3"/>
  <c r="J693" i="3"/>
  <c r="AC693" i="3"/>
  <c r="AD693" i="3" s="1"/>
  <c r="AA693" i="3"/>
  <c r="M693" i="3"/>
  <c r="AJ684" i="3"/>
  <c r="J684" i="3"/>
  <c r="AC684" i="3"/>
  <c r="AD684" i="3" s="1"/>
  <c r="AA684" i="3"/>
  <c r="M684" i="3"/>
  <c r="AJ677" i="3"/>
  <c r="J677" i="3"/>
  <c r="AC677" i="3"/>
  <c r="AD677" i="3" s="1"/>
  <c r="AA677" i="3"/>
  <c r="M677" i="3"/>
  <c r="AJ678" i="3"/>
  <c r="J678" i="3"/>
  <c r="AC678" i="3"/>
  <c r="AD678" i="3" s="1"/>
  <c r="AA678" i="3"/>
  <c r="M678" i="3"/>
  <c r="AJ685" i="3"/>
  <c r="J685" i="3"/>
  <c r="AC685" i="3"/>
  <c r="AD685" i="3" s="1"/>
  <c r="AA685" i="3"/>
  <c r="M685" i="3"/>
  <c r="AJ681" i="3"/>
  <c r="J681" i="3"/>
  <c r="AC681" i="3"/>
  <c r="AD681" i="3" s="1"/>
  <c r="AA681" i="3"/>
  <c r="M681" i="3"/>
  <c r="AJ794" i="3"/>
  <c r="J794" i="3"/>
  <c r="AC794" i="3"/>
  <c r="AD794" i="3" s="1"/>
  <c r="AA794" i="3"/>
  <c r="M794" i="3"/>
  <c r="AJ688" i="3"/>
  <c r="J688" i="3"/>
  <c r="AC688" i="3"/>
  <c r="AD688" i="3" s="1"/>
  <c r="AA688" i="3"/>
  <c r="M688" i="3"/>
  <c r="AJ687" i="3"/>
  <c r="J687" i="3"/>
  <c r="AC687" i="3"/>
  <c r="AD687" i="3" s="1"/>
  <c r="AA687" i="3"/>
  <c r="M687" i="3"/>
  <c r="AJ689" i="3"/>
  <c r="J689" i="3"/>
  <c r="AC689" i="3"/>
  <c r="AD689" i="3" s="1"/>
  <c r="AA689" i="3"/>
  <c r="M689" i="3"/>
  <c r="AJ690" i="3"/>
  <c r="J690" i="3"/>
  <c r="AC690" i="3"/>
  <c r="AD690" i="3" s="1"/>
  <c r="AA690" i="3"/>
  <c r="M690" i="3"/>
  <c r="AJ691" i="3"/>
  <c r="J691" i="3"/>
  <c r="AC691" i="3"/>
  <c r="AD691" i="3" s="1"/>
  <c r="AA691" i="3"/>
  <c r="M691" i="3"/>
  <c r="AJ692" i="3"/>
  <c r="J692" i="3"/>
  <c r="AC692" i="3"/>
  <c r="AD692" i="3" s="1"/>
  <c r="AA692" i="3"/>
  <c r="M692" i="3"/>
  <c r="AJ694" i="3"/>
  <c r="J694" i="3"/>
  <c r="AC694" i="3"/>
  <c r="AD694" i="3" s="1"/>
  <c r="AA694" i="3"/>
  <c r="M694" i="3"/>
  <c r="AJ702" i="3"/>
  <c r="J702" i="3"/>
  <c r="AC702" i="3"/>
  <c r="AD702" i="3" s="1"/>
  <c r="AA702" i="3"/>
  <c r="M702" i="3"/>
  <c r="AJ700" i="3"/>
  <c r="J700" i="3"/>
  <c r="AC700" i="3"/>
  <c r="AD700" i="3" s="1"/>
  <c r="AA700" i="3"/>
  <c r="M700" i="3"/>
  <c r="AJ705" i="3"/>
  <c r="J705" i="3"/>
  <c r="AC705" i="3"/>
  <c r="AD705" i="3" s="1"/>
  <c r="AA705" i="3"/>
  <c r="M705" i="3"/>
  <c r="AJ703" i="3"/>
  <c r="J703" i="3"/>
  <c r="AC703" i="3"/>
  <c r="AD703" i="3" s="1"/>
  <c r="AA703" i="3"/>
  <c r="M703" i="3"/>
  <c r="AJ695" i="3"/>
  <c r="J695" i="3"/>
  <c r="AC695" i="3"/>
  <c r="AD695" i="3" s="1"/>
  <c r="AA695" i="3"/>
  <c r="M695" i="3"/>
  <c r="AJ701" i="3"/>
  <c r="J701" i="3"/>
  <c r="AC701" i="3"/>
  <c r="AD701" i="3" s="1"/>
  <c r="AA701" i="3"/>
  <c r="M701" i="3"/>
  <c r="AJ707" i="3"/>
  <c r="J707" i="3"/>
  <c r="AC707" i="3"/>
  <c r="AD707" i="3" s="1"/>
  <c r="AA707" i="3"/>
  <c r="M707" i="3"/>
  <c r="AJ708" i="3"/>
  <c r="J708" i="3"/>
  <c r="AC708" i="3"/>
  <c r="AD708" i="3" s="1"/>
  <c r="AA708" i="3"/>
  <c r="M708" i="3"/>
  <c r="AJ709" i="3"/>
  <c r="J709" i="3"/>
  <c r="AC709" i="3"/>
  <c r="AD709" i="3" s="1"/>
  <c r="AA709" i="3"/>
  <c r="M709" i="3"/>
  <c r="AJ745" i="3" l="1"/>
  <c r="J745" i="3"/>
  <c r="AC745" i="3"/>
  <c r="AD745" i="3" s="1"/>
  <c r="AA745" i="3"/>
  <c r="M745" i="3"/>
  <c r="AJ747" i="3"/>
  <c r="J747" i="3"/>
  <c r="AC747" i="3"/>
  <c r="AD747" i="3" s="1"/>
  <c r="AA747" i="3"/>
  <c r="M747" i="3"/>
  <c r="AJ746" i="3"/>
  <c r="J746" i="3"/>
  <c r="AC746" i="3"/>
  <c r="AD746" i="3" s="1"/>
  <c r="AA746" i="3"/>
  <c r="M746" i="3"/>
  <c r="AJ675" i="3" l="1"/>
  <c r="J675" i="3"/>
  <c r="AC675" i="3"/>
  <c r="AD675" i="3" s="1"/>
  <c r="AA675" i="3"/>
  <c r="M675" i="3"/>
  <c r="AJ728" i="3"/>
  <c r="J728" i="3"/>
  <c r="AC728" i="3"/>
  <c r="AD728" i="3" s="1"/>
  <c r="AA728" i="3"/>
  <c r="M728" i="3"/>
  <c r="AJ733" i="3"/>
  <c r="J733" i="3"/>
  <c r="AC733" i="3"/>
  <c r="AD733" i="3" s="1"/>
  <c r="AA733" i="3"/>
  <c r="M733" i="3"/>
  <c r="AJ732" i="3"/>
  <c r="J732" i="3"/>
  <c r="AC732" i="3"/>
  <c r="AD732" i="3" s="1"/>
  <c r="AA732" i="3"/>
  <c r="M732" i="3"/>
  <c r="AJ734" i="3"/>
  <c r="J734" i="3"/>
  <c r="AC734" i="3"/>
  <c r="AD734" i="3" s="1"/>
  <c r="AA734" i="3"/>
  <c r="M734" i="3"/>
  <c r="AJ730" i="3"/>
  <c r="J730" i="3"/>
  <c r="AC730" i="3"/>
  <c r="AD730" i="3" s="1"/>
  <c r="AA730" i="3"/>
  <c r="M730" i="3"/>
  <c r="AJ729" i="3"/>
  <c r="J729" i="3"/>
  <c r="AC729" i="3"/>
  <c r="AD729" i="3" s="1"/>
  <c r="AA729" i="3"/>
  <c r="M729" i="3"/>
  <c r="AJ673" i="3" l="1"/>
  <c r="J673" i="3"/>
  <c r="AC673" i="3"/>
  <c r="AD673" i="3" s="1"/>
  <c r="AA673" i="3"/>
  <c r="M673" i="3"/>
  <c r="AJ672" i="3"/>
  <c r="J672" i="3"/>
  <c r="AC672" i="3"/>
  <c r="AD672" i="3" s="1"/>
  <c r="AA672" i="3"/>
  <c r="M672" i="3"/>
  <c r="AJ671" i="3"/>
  <c r="J671" i="3"/>
  <c r="AC671" i="3"/>
  <c r="AD671" i="3" s="1"/>
  <c r="AA671" i="3"/>
  <c r="M671" i="3"/>
  <c r="AJ667" i="3"/>
  <c r="J667" i="3"/>
  <c r="AC667" i="3"/>
  <c r="AD667" i="3" s="1"/>
  <c r="AA667" i="3"/>
  <c r="M667" i="3"/>
  <c r="AJ664" i="3"/>
  <c r="J664" i="3"/>
  <c r="AC664" i="3"/>
  <c r="AD664" i="3" s="1"/>
  <c r="AA664" i="3"/>
  <c r="M664" i="3"/>
  <c r="AJ663" i="3"/>
  <c r="J663" i="3"/>
  <c r="AC663" i="3"/>
  <c r="AD663" i="3" s="1"/>
  <c r="AA663" i="3"/>
  <c r="M663" i="3"/>
  <c r="AJ670" i="3"/>
  <c r="J670" i="3"/>
  <c r="AC670" i="3"/>
  <c r="AD670" i="3" s="1"/>
  <c r="AA670" i="3"/>
  <c r="M670" i="3"/>
  <c r="AJ666" i="3"/>
  <c r="J666" i="3"/>
  <c r="AC666" i="3"/>
  <c r="AD666" i="3" s="1"/>
  <c r="AA666" i="3"/>
  <c r="M666" i="3"/>
  <c r="AJ665" i="3"/>
  <c r="J665" i="3"/>
  <c r="AC665" i="3"/>
  <c r="AD665" i="3" s="1"/>
  <c r="AA665" i="3"/>
  <c r="M665" i="3"/>
  <c r="AJ661" i="3"/>
  <c r="J661" i="3"/>
  <c r="AC661" i="3"/>
  <c r="AD661" i="3" s="1"/>
  <c r="AA661" i="3"/>
  <c r="M661" i="3"/>
  <c r="AJ668" i="3"/>
  <c r="J668" i="3"/>
  <c r="AC668" i="3"/>
  <c r="AD668" i="3" s="1"/>
  <c r="AA668" i="3"/>
  <c r="M668" i="3"/>
  <c r="M616" i="3" l="1"/>
  <c r="AJ616" i="3"/>
  <c r="AC616" i="3"/>
  <c r="AD616" i="3" s="1"/>
  <c r="AA616" i="3"/>
  <c r="J616" i="3"/>
  <c r="N616" i="3" s="1"/>
  <c r="AG616" i="3" s="1"/>
  <c r="AJ669" i="3"/>
  <c r="J669" i="3"/>
  <c r="AC669" i="3"/>
  <c r="AD669" i="3" s="1"/>
  <c r="AA669" i="3"/>
  <c r="M669" i="3"/>
  <c r="J651" i="3" l="1"/>
  <c r="M651" i="3"/>
  <c r="AJ651" i="3"/>
  <c r="AC651" i="3"/>
  <c r="AD651" i="3" s="1"/>
  <c r="AA651" i="3"/>
  <c r="AJ656" i="3"/>
  <c r="J656" i="3"/>
  <c r="AC656" i="3"/>
  <c r="AD656" i="3" s="1"/>
  <c r="AA656" i="3"/>
  <c r="M656" i="3"/>
  <c r="AJ653" i="3"/>
  <c r="J653" i="3"/>
  <c r="AC653" i="3"/>
  <c r="AD653" i="3" s="1"/>
  <c r="AA653" i="3"/>
  <c r="M653" i="3"/>
  <c r="AJ644" i="3"/>
  <c r="J644" i="3"/>
  <c r="AC644" i="3"/>
  <c r="AD644" i="3" s="1"/>
  <c r="AA644" i="3"/>
  <c r="M644" i="3"/>
  <c r="AJ643" i="3"/>
  <c r="J643" i="3"/>
  <c r="AC643" i="3"/>
  <c r="AD643" i="3" s="1"/>
  <c r="AA643" i="3"/>
  <c r="M643" i="3"/>
  <c r="AJ727" i="3"/>
  <c r="J727" i="3"/>
  <c r="AC727" i="3"/>
  <c r="AD727" i="3" s="1"/>
  <c r="AA727" i="3"/>
  <c r="M727" i="3"/>
  <c r="AJ648" i="3"/>
  <c r="J648" i="3"/>
  <c r="AC648" i="3"/>
  <c r="AD648" i="3" s="1"/>
  <c r="AA648" i="3"/>
  <c r="M648" i="3"/>
  <c r="AJ642" i="3"/>
  <c r="J642" i="3"/>
  <c r="AC642" i="3"/>
  <c r="AD642" i="3" s="1"/>
  <c r="AA642" i="3"/>
  <c r="M642" i="3"/>
  <c r="AJ647" i="3"/>
  <c r="J647" i="3"/>
  <c r="AC647" i="3"/>
  <c r="AD647" i="3" s="1"/>
  <c r="AA647" i="3"/>
  <c r="M647" i="3"/>
  <c r="AJ646" i="3"/>
  <c r="J646" i="3"/>
  <c r="AC646" i="3"/>
  <c r="AD646" i="3" s="1"/>
  <c r="AA646" i="3"/>
  <c r="M646" i="3"/>
  <c r="AJ649" i="3"/>
  <c r="J649" i="3"/>
  <c r="AC649" i="3"/>
  <c r="AD649" i="3" s="1"/>
  <c r="AA649" i="3"/>
  <c r="M649" i="3"/>
  <c r="AJ645" i="3"/>
  <c r="J645" i="3"/>
  <c r="AC645" i="3"/>
  <c r="AD645" i="3" s="1"/>
  <c r="AA645" i="3"/>
  <c r="M645" i="3"/>
  <c r="AJ637" i="3"/>
  <c r="J637" i="3"/>
  <c r="AC637" i="3"/>
  <c r="AD637" i="3" s="1"/>
  <c r="AA637" i="3"/>
  <c r="M637" i="3"/>
  <c r="AJ726" i="3"/>
  <c r="J726" i="3"/>
  <c r="AC726" i="3"/>
  <c r="AD726" i="3" s="1"/>
  <c r="AA726" i="3"/>
  <c r="M726" i="3"/>
  <c r="AJ632" i="3"/>
  <c r="J632" i="3"/>
  <c r="AC632" i="3"/>
  <c r="AD632" i="3" s="1"/>
  <c r="AA632" i="3"/>
  <c r="M632" i="3"/>
  <c r="AJ633" i="3"/>
  <c r="J633" i="3"/>
  <c r="AC633" i="3"/>
  <c r="AD633" i="3" s="1"/>
  <c r="AA633" i="3"/>
  <c r="M633" i="3"/>
  <c r="AJ630" i="3"/>
  <c r="J630" i="3"/>
  <c r="AC630" i="3"/>
  <c r="AD630" i="3" s="1"/>
  <c r="AA630" i="3"/>
  <c r="M630" i="3"/>
  <c r="AJ631" i="3"/>
  <c r="J631" i="3"/>
  <c r="AC631" i="3"/>
  <c r="AD631" i="3" s="1"/>
  <c r="AA631" i="3"/>
  <c r="M631" i="3"/>
  <c r="AJ626" i="3"/>
  <c r="J626" i="3"/>
  <c r="AC626" i="3"/>
  <c r="AD626" i="3" s="1"/>
  <c r="AA626" i="3"/>
  <c r="M626" i="3"/>
  <c r="AJ629" i="3"/>
  <c r="J629" i="3"/>
  <c r="AC629" i="3"/>
  <c r="AD629" i="3" s="1"/>
  <c r="AA629" i="3"/>
  <c r="M629" i="3"/>
  <c r="AJ625" i="3"/>
  <c r="J625" i="3"/>
  <c r="AC625" i="3"/>
  <c r="AD625" i="3" s="1"/>
  <c r="AA625" i="3"/>
  <c r="M625" i="3"/>
  <c r="AJ627" i="3"/>
  <c r="J627" i="3"/>
  <c r="AC627" i="3"/>
  <c r="AD627" i="3" s="1"/>
  <c r="AA627" i="3"/>
  <c r="M627" i="3"/>
  <c r="AJ658" i="3"/>
  <c r="J658" i="3"/>
  <c r="AC658" i="3"/>
  <c r="AD658" i="3" s="1"/>
  <c r="AA658" i="3"/>
  <c r="M658" i="3"/>
  <c r="AJ659" i="3"/>
  <c r="J659" i="3"/>
  <c r="AC659" i="3"/>
  <c r="AD659" i="3" s="1"/>
  <c r="AA659" i="3"/>
  <c r="M659" i="3"/>
  <c r="AJ654" i="3"/>
  <c r="J654" i="3"/>
  <c r="AC654" i="3"/>
  <c r="AD654" i="3" s="1"/>
  <c r="AA654" i="3"/>
  <c r="M654" i="3"/>
  <c r="AJ655" i="3"/>
  <c r="J655" i="3"/>
  <c r="AC655" i="3"/>
  <c r="AD655" i="3" s="1"/>
  <c r="AA655" i="3"/>
  <c r="M655" i="3"/>
  <c r="AJ652" i="3"/>
  <c r="J652" i="3"/>
  <c r="AC652" i="3"/>
  <c r="AD652" i="3" s="1"/>
  <c r="AA652" i="3"/>
  <c r="M652" i="3"/>
  <c r="AJ660" i="3"/>
  <c r="J660" i="3"/>
  <c r="AC660" i="3"/>
  <c r="AD660" i="3" s="1"/>
  <c r="AA660" i="3"/>
  <c r="M660" i="3"/>
  <c r="AJ650" i="3"/>
  <c r="J650" i="3"/>
  <c r="AC650" i="3"/>
  <c r="AD650" i="3" s="1"/>
  <c r="AA650" i="3"/>
  <c r="M650" i="3"/>
  <c r="AJ662" i="3"/>
  <c r="J662" i="3"/>
  <c r="AC662" i="3"/>
  <c r="AD662" i="3" s="1"/>
  <c r="AA662" i="3"/>
  <c r="M662" i="3"/>
  <c r="AJ635" i="3" l="1"/>
  <c r="J635" i="3"/>
  <c r="AC635" i="3"/>
  <c r="AD635" i="3" s="1"/>
  <c r="AA635" i="3"/>
  <c r="M635" i="3"/>
  <c r="AJ640" i="3"/>
  <c r="J640" i="3"/>
  <c r="AC640" i="3"/>
  <c r="AD640" i="3" s="1"/>
  <c r="AA640" i="3"/>
  <c r="M640" i="3"/>
  <c r="AJ638" i="3"/>
  <c r="J638" i="3"/>
  <c r="AC638" i="3"/>
  <c r="AD638" i="3" s="1"/>
  <c r="AA638" i="3"/>
  <c r="M638" i="3"/>
  <c r="AJ636" i="3"/>
  <c r="J636" i="3"/>
  <c r="AC636" i="3"/>
  <c r="AD636" i="3" s="1"/>
  <c r="AA636" i="3"/>
  <c r="M636" i="3"/>
  <c r="AJ639" i="3"/>
  <c r="J639" i="3"/>
  <c r="AC639" i="3"/>
  <c r="AD639" i="3" s="1"/>
  <c r="AA639" i="3"/>
  <c r="M639" i="3"/>
  <c r="AJ634" i="3"/>
  <c r="J634" i="3"/>
  <c r="AC634" i="3"/>
  <c r="AD634" i="3" s="1"/>
  <c r="AA634" i="3"/>
  <c r="M634" i="3"/>
  <c r="F10" i="21" l="1"/>
  <c r="AJ619" i="3" l="1"/>
  <c r="J619" i="3"/>
  <c r="AC619" i="3"/>
  <c r="AD619" i="3" s="1"/>
  <c r="AA619" i="3"/>
  <c r="M619" i="3"/>
  <c r="AJ725" i="3"/>
  <c r="J725" i="3"/>
  <c r="AC725" i="3"/>
  <c r="AD725" i="3" s="1"/>
  <c r="AA725" i="3"/>
  <c r="M725" i="3"/>
  <c r="AJ620" i="3"/>
  <c r="J620" i="3"/>
  <c r="AC620" i="3"/>
  <c r="AD620" i="3" s="1"/>
  <c r="AA620" i="3"/>
  <c r="M620" i="3"/>
  <c r="AJ623" i="3"/>
  <c r="J623" i="3"/>
  <c r="AC623" i="3"/>
  <c r="AD623" i="3" s="1"/>
  <c r="AA623" i="3"/>
  <c r="M623" i="3"/>
  <c r="AJ618" i="3"/>
  <c r="J618" i="3"/>
  <c r="AC618" i="3"/>
  <c r="AD618" i="3" s="1"/>
  <c r="AA618" i="3"/>
  <c r="M618" i="3"/>
  <c r="AJ622" i="3"/>
  <c r="J622" i="3"/>
  <c r="AC622" i="3"/>
  <c r="AD622" i="3" s="1"/>
  <c r="AA622" i="3"/>
  <c r="M622" i="3"/>
  <c r="AJ621" i="3"/>
  <c r="J621" i="3"/>
  <c r="AC621" i="3"/>
  <c r="AD621" i="3" s="1"/>
  <c r="AA621" i="3"/>
  <c r="M621" i="3"/>
  <c r="AJ724" i="3"/>
  <c r="J724" i="3"/>
  <c r="AC724" i="3"/>
  <c r="AD724" i="3" s="1"/>
  <c r="AA724" i="3"/>
  <c r="M724" i="3"/>
  <c r="AJ614" i="3"/>
  <c r="J614" i="3"/>
  <c r="AC614" i="3"/>
  <c r="AD614" i="3" s="1"/>
  <c r="AA614" i="3"/>
  <c r="M614" i="3"/>
  <c r="AJ615" i="3"/>
  <c r="J615" i="3"/>
  <c r="AC615" i="3"/>
  <c r="AD615" i="3" s="1"/>
  <c r="AA615" i="3"/>
  <c r="M615" i="3"/>
  <c r="AJ617" i="3"/>
  <c r="J617" i="3"/>
  <c r="AC617" i="3"/>
  <c r="AD617" i="3" s="1"/>
  <c r="AA617" i="3"/>
  <c r="M617" i="3"/>
  <c r="AJ611" i="3"/>
  <c r="J611" i="3"/>
  <c r="AC611" i="3"/>
  <c r="AD611" i="3" s="1"/>
  <c r="AA611" i="3"/>
  <c r="M611" i="3"/>
  <c r="AJ610" i="3"/>
  <c r="J610" i="3"/>
  <c r="AC610" i="3"/>
  <c r="AD610" i="3" s="1"/>
  <c r="AA610" i="3"/>
  <c r="M610" i="3"/>
  <c r="AJ613" i="3"/>
  <c r="J613" i="3"/>
  <c r="AC613" i="3"/>
  <c r="AD613" i="3" s="1"/>
  <c r="AA613" i="3"/>
  <c r="M613" i="3"/>
  <c r="AJ612" i="3"/>
  <c r="J612" i="3"/>
  <c r="AC612" i="3"/>
  <c r="AD612" i="3" s="1"/>
  <c r="AA612" i="3"/>
  <c r="M612" i="3"/>
  <c r="AJ608" i="3"/>
  <c r="J608" i="3"/>
  <c r="AC608" i="3"/>
  <c r="AD608" i="3" s="1"/>
  <c r="AA608" i="3"/>
  <c r="M608" i="3"/>
  <c r="AJ607" i="3"/>
  <c r="J607" i="3"/>
  <c r="AC607" i="3"/>
  <c r="AD607" i="3" s="1"/>
  <c r="AA607" i="3"/>
  <c r="M607" i="3"/>
  <c r="AJ609" i="3"/>
  <c r="J609" i="3"/>
  <c r="AC609" i="3"/>
  <c r="AD609" i="3" s="1"/>
  <c r="AA609" i="3"/>
  <c r="M609" i="3"/>
  <c r="AJ606" i="3"/>
  <c r="J606" i="3"/>
  <c r="AC606" i="3"/>
  <c r="AD606" i="3" s="1"/>
  <c r="AA606" i="3"/>
  <c r="M606" i="3"/>
  <c r="AJ723" i="3"/>
  <c r="J723" i="3"/>
  <c r="AC723" i="3"/>
  <c r="AD723" i="3" s="1"/>
  <c r="AA723" i="3"/>
  <c r="M723" i="3"/>
  <c r="AA571" i="3" l="1"/>
  <c r="Q13" i="21" l="1"/>
  <c r="AJ605" i="3"/>
  <c r="J605" i="3"/>
  <c r="AC605" i="3"/>
  <c r="AD605" i="3" s="1"/>
  <c r="AA605" i="3"/>
  <c r="M605" i="3"/>
  <c r="J3" i="3" l="1"/>
  <c r="N3" i="3" s="1"/>
  <c r="AG3" i="3" s="1"/>
  <c r="M3" i="3"/>
  <c r="AA3" i="3"/>
  <c r="AC3" i="3"/>
  <c r="AD3" i="3" s="1"/>
  <c r="AJ3" i="3"/>
  <c r="J9" i="3"/>
  <c r="N9" i="3" s="1"/>
  <c r="AG9" i="3" s="1"/>
  <c r="M9" i="3"/>
  <c r="AA9" i="3"/>
  <c r="AC9" i="3"/>
  <c r="AD9" i="3" s="1"/>
  <c r="AJ9" i="3"/>
  <c r="J5" i="3"/>
  <c r="N5" i="3" s="1"/>
  <c r="AG5" i="3" s="1"/>
  <c r="M5" i="3"/>
  <c r="AA5" i="3"/>
  <c r="AC5" i="3"/>
  <c r="AD5" i="3" s="1"/>
  <c r="AJ5" i="3"/>
  <c r="J10" i="3"/>
  <c r="N10" i="3" s="1"/>
  <c r="AG10" i="3" s="1"/>
  <c r="M10" i="3"/>
  <c r="AA10" i="3"/>
  <c r="AC10" i="3"/>
  <c r="AD10" i="3" s="1"/>
  <c r="AJ10" i="3"/>
  <c r="J16" i="3"/>
  <c r="N16" i="3" s="1"/>
  <c r="AG16" i="3" s="1"/>
  <c r="M16" i="3"/>
  <c r="AA16" i="3"/>
  <c r="AC16" i="3"/>
  <c r="AD16" i="3" s="1"/>
  <c r="AJ16" i="3"/>
  <c r="J12" i="3"/>
  <c r="N12" i="3" s="1"/>
  <c r="AG12" i="3" s="1"/>
  <c r="M12" i="3"/>
  <c r="AA12" i="3"/>
  <c r="AC12" i="3"/>
  <c r="AD12" i="3" s="1"/>
  <c r="AJ12" i="3"/>
  <c r="J13" i="3"/>
  <c r="N13" i="3" s="1"/>
  <c r="AG13" i="3" s="1"/>
  <c r="M13" i="3"/>
  <c r="AA13" i="3"/>
  <c r="AC13" i="3"/>
  <c r="AD13" i="3" s="1"/>
  <c r="AJ13" i="3"/>
  <c r="J7" i="3"/>
  <c r="N7" i="3" s="1"/>
  <c r="AG7" i="3" s="1"/>
  <c r="M7" i="3"/>
  <c r="AA7" i="3"/>
  <c r="AC7" i="3"/>
  <c r="AD7" i="3" s="1"/>
  <c r="AJ7" i="3"/>
  <c r="J8" i="3"/>
  <c r="N8" i="3" s="1"/>
  <c r="AG8" i="3" s="1"/>
  <c r="M8" i="3"/>
  <c r="AA8" i="3"/>
  <c r="AC8" i="3"/>
  <c r="AD8" i="3" s="1"/>
  <c r="AJ8" i="3"/>
  <c r="J6" i="3"/>
  <c r="N6" i="3" s="1"/>
  <c r="AG6" i="3" s="1"/>
  <c r="M6" i="3"/>
  <c r="AA6" i="3"/>
  <c r="AC6" i="3"/>
  <c r="AD6" i="3" s="1"/>
  <c r="AJ6" i="3"/>
  <c r="J14" i="3"/>
  <c r="M14" i="3"/>
  <c r="AA14" i="3"/>
  <c r="AC14" i="3"/>
  <c r="AD14" i="3" s="1"/>
  <c r="AJ14" i="3"/>
  <c r="J15" i="3"/>
  <c r="N15" i="3" s="1"/>
  <c r="AG15" i="3" s="1"/>
  <c r="M15" i="3"/>
  <c r="AA15" i="3"/>
  <c r="AC15" i="3"/>
  <c r="AD15" i="3" s="1"/>
  <c r="AJ15" i="3"/>
  <c r="J11" i="3"/>
  <c r="N11" i="3" s="1"/>
  <c r="AG11" i="3" s="1"/>
  <c r="M11" i="3"/>
  <c r="AA11" i="3"/>
  <c r="AC11" i="3"/>
  <c r="AD11" i="3" s="1"/>
  <c r="AJ11" i="3"/>
  <c r="J17" i="3"/>
  <c r="N17" i="3" s="1"/>
  <c r="AG17" i="3" s="1"/>
  <c r="M17" i="3"/>
  <c r="AA17" i="3"/>
  <c r="AC17" i="3"/>
  <c r="AD17" i="3" s="1"/>
  <c r="AJ17" i="3"/>
  <c r="J18" i="3"/>
  <c r="N18" i="3" s="1"/>
  <c r="AG18" i="3" s="1"/>
  <c r="M18" i="3"/>
  <c r="AA18" i="3"/>
  <c r="AC18" i="3"/>
  <c r="AD18" i="3" s="1"/>
  <c r="AJ18" i="3"/>
  <c r="J19" i="3"/>
  <c r="N19" i="3" s="1"/>
  <c r="AG19" i="3" s="1"/>
  <c r="M19" i="3"/>
  <c r="AA19" i="3"/>
  <c r="AC19" i="3"/>
  <c r="AD19" i="3" s="1"/>
  <c r="AJ19" i="3"/>
  <c r="J20" i="3"/>
  <c r="N20" i="3" s="1"/>
  <c r="AG20" i="3" s="1"/>
  <c r="M20" i="3"/>
  <c r="AA20" i="3"/>
  <c r="AC20" i="3"/>
  <c r="AD20" i="3" s="1"/>
  <c r="AJ20" i="3"/>
  <c r="J30" i="3"/>
  <c r="M30" i="3"/>
  <c r="AA30" i="3"/>
  <c r="AC30" i="3"/>
  <c r="AD30" i="3" s="1"/>
  <c r="AJ30" i="3"/>
  <c r="J27" i="3"/>
  <c r="N27" i="3" s="1"/>
  <c r="AG27" i="3" s="1"/>
  <c r="M27" i="3"/>
  <c r="AA27" i="3"/>
  <c r="AC27" i="3"/>
  <c r="AD27" i="3" s="1"/>
  <c r="AJ27" i="3"/>
  <c r="J25" i="3"/>
  <c r="N25" i="3" s="1"/>
  <c r="AG25" i="3" s="1"/>
  <c r="M25" i="3"/>
  <c r="AA25" i="3"/>
  <c r="AC25" i="3"/>
  <c r="AD25" i="3" s="1"/>
  <c r="AJ25" i="3"/>
  <c r="J22" i="3"/>
  <c r="N22" i="3" s="1"/>
  <c r="AG22" i="3" s="1"/>
  <c r="M22" i="3"/>
  <c r="AA22" i="3"/>
  <c r="AC22" i="3"/>
  <c r="AD22" i="3" s="1"/>
  <c r="AJ22" i="3"/>
  <c r="J31" i="3"/>
  <c r="N31" i="3" s="1"/>
  <c r="AG31" i="3" s="1"/>
  <c r="M31" i="3"/>
  <c r="AA31" i="3"/>
  <c r="AC31" i="3"/>
  <c r="AD31" i="3" s="1"/>
  <c r="AJ31" i="3"/>
  <c r="J21" i="3"/>
  <c r="N21" i="3" s="1"/>
  <c r="AG21" i="3" s="1"/>
  <c r="M21" i="3"/>
  <c r="AA21" i="3"/>
  <c r="AC21" i="3"/>
  <c r="AD21" i="3" s="1"/>
  <c r="AJ21" i="3"/>
  <c r="J24" i="3"/>
  <c r="N24" i="3" s="1"/>
  <c r="AG24" i="3" s="1"/>
  <c r="M24" i="3"/>
  <c r="AA24" i="3"/>
  <c r="AC24" i="3"/>
  <c r="AD24" i="3" s="1"/>
  <c r="AJ24" i="3"/>
  <c r="J23" i="3"/>
  <c r="N23" i="3" s="1"/>
  <c r="AG23" i="3" s="1"/>
  <c r="M23" i="3"/>
  <c r="AA23" i="3"/>
  <c r="AC23" i="3"/>
  <c r="AD23" i="3" s="1"/>
  <c r="AJ23" i="3"/>
  <c r="J28" i="3"/>
  <c r="N28" i="3" s="1"/>
  <c r="AG28" i="3" s="1"/>
  <c r="M28" i="3"/>
  <c r="AA28" i="3"/>
  <c r="AC28" i="3"/>
  <c r="AD28" i="3" s="1"/>
  <c r="AJ28" i="3"/>
  <c r="J26" i="3"/>
  <c r="N26" i="3" s="1"/>
  <c r="AG26" i="3" s="1"/>
  <c r="M26" i="3"/>
  <c r="AA26" i="3"/>
  <c r="AC26" i="3"/>
  <c r="AD26" i="3" s="1"/>
  <c r="AJ26" i="3"/>
  <c r="J29" i="3"/>
  <c r="N29" i="3" s="1"/>
  <c r="AG29" i="3" s="1"/>
  <c r="M29" i="3"/>
  <c r="AA29" i="3"/>
  <c r="AC29" i="3"/>
  <c r="AD29" i="3" s="1"/>
  <c r="AJ29" i="3"/>
  <c r="J32" i="3"/>
  <c r="N32" i="3" s="1"/>
  <c r="AG32" i="3" s="1"/>
  <c r="M32" i="3"/>
  <c r="AA32" i="3"/>
  <c r="AC32" i="3"/>
  <c r="AD32" i="3" s="1"/>
  <c r="AJ32" i="3"/>
  <c r="J33" i="3"/>
  <c r="N33" i="3" s="1"/>
  <c r="AG33" i="3" s="1"/>
  <c r="M33" i="3"/>
  <c r="AA33" i="3"/>
  <c r="AC33" i="3"/>
  <c r="AD33" i="3" s="1"/>
  <c r="AJ33" i="3"/>
  <c r="J34" i="3"/>
  <c r="N34" i="3" s="1"/>
  <c r="AG34" i="3" s="1"/>
  <c r="M34" i="3"/>
  <c r="AA34" i="3"/>
  <c r="AC34" i="3"/>
  <c r="AD34" i="3" s="1"/>
  <c r="AJ34" i="3"/>
  <c r="J36" i="3"/>
  <c r="M36" i="3"/>
  <c r="AA36" i="3"/>
  <c r="AC36" i="3"/>
  <c r="AD36" i="3" s="1"/>
  <c r="AJ36" i="3"/>
  <c r="J42" i="3"/>
  <c r="N42" i="3" s="1"/>
  <c r="AG42" i="3" s="1"/>
  <c r="M42" i="3"/>
  <c r="AA42" i="3"/>
  <c r="AC42" i="3"/>
  <c r="AD42" i="3" s="1"/>
  <c r="AJ42" i="3"/>
  <c r="J37" i="3"/>
  <c r="N37" i="3" s="1"/>
  <c r="AG37" i="3" s="1"/>
  <c r="M37" i="3"/>
  <c r="AA37" i="3"/>
  <c r="AC37" i="3"/>
  <c r="AD37" i="3" s="1"/>
  <c r="AJ37" i="3"/>
  <c r="J40" i="3"/>
  <c r="N40" i="3" s="1"/>
  <c r="AG40" i="3" s="1"/>
  <c r="M40" i="3"/>
  <c r="AA40" i="3"/>
  <c r="AC40" i="3"/>
  <c r="AD40" i="3" s="1"/>
  <c r="AJ40" i="3"/>
  <c r="J43" i="3"/>
  <c r="N43" i="3" s="1"/>
  <c r="AG43" i="3" s="1"/>
  <c r="M43" i="3"/>
  <c r="AA43" i="3"/>
  <c r="AC43" i="3"/>
  <c r="AD43" i="3" s="1"/>
  <c r="AJ43" i="3"/>
  <c r="J41" i="3"/>
  <c r="N41" i="3" s="1"/>
  <c r="AG41" i="3" s="1"/>
  <c r="M41" i="3"/>
  <c r="AA41" i="3"/>
  <c r="AC41" i="3"/>
  <c r="AD41" i="3" s="1"/>
  <c r="AJ41" i="3"/>
  <c r="J35" i="3"/>
  <c r="N35" i="3" s="1"/>
  <c r="AG35" i="3" s="1"/>
  <c r="M35" i="3"/>
  <c r="AA35" i="3"/>
  <c r="AC35" i="3"/>
  <c r="AD35" i="3" s="1"/>
  <c r="AJ35" i="3"/>
  <c r="J38" i="3"/>
  <c r="N38" i="3" s="1"/>
  <c r="AG38" i="3" s="1"/>
  <c r="M38" i="3"/>
  <c r="AA38" i="3"/>
  <c r="AC38" i="3"/>
  <c r="AD38" i="3" s="1"/>
  <c r="AJ38" i="3"/>
  <c r="J39" i="3"/>
  <c r="N39" i="3" s="1"/>
  <c r="AG39" i="3" s="1"/>
  <c r="M39" i="3"/>
  <c r="AA39" i="3"/>
  <c r="AC39" i="3"/>
  <c r="AD39" i="3" s="1"/>
  <c r="AJ39" i="3"/>
  <c r="J49" i="3"/>
  <c r="N49" i="3" s="1"/>
  <c r="AG49" i="3" s="1"/>
  <c r="M49" i="3"/>
  <c r="AA49" i="3"/>
  <c r="AC49" i="3"/>
  <c r="AD49" i="3" s="1"/>
  <c r="AJ49" i="3"/>
  <c r="J47" i="3"/>
  <c r="N47" i="3" s="1"/>
  <c r="AG47" i="3" s="1"/>
  <c r="M47" i="3"/>
  <c r="AA47" i="3"/>
  <c r="AC47" i="3"/>
  <c r="AD47" i="3" s="1"/>
  <c r="AJ47" i="3"/>
  <c r="J44" i="3"/>
  <c r="N44" i="3" s="1"/>
  <c r="AG44" i="3" s="1"/>
  <c r="M44" i="3"/>
  <c r="AA44" i="3"/>
  <c r="AC44" i="3"/>
  <c r="AD44" i="3" s="1"/>
  <c r="AJ44" i="3"/>
  <c r="J46" i="3"/>
  <c r="N46" i="3" s="1"/>
  <c r="AG46" i="3" s="1"/>
  <c r="M46" i="3"/>
  <c r="AA46" i="3"/>
  <c r="AC46" i="3"/>
  <c r="AD46" i="3" s="1"/>
  <c r="AJ46" i="3"/>
  <c r="J45" i="3"/>
  <c r="N45" i="3" s="1"/>
  <c r="AG45" i="3" s="1"/>
  <c r="M45" i="3"/>
  <c r="AA45" i="3"/>
  <c r="AC45" i="3"/>
  <c r="AD45" i="3" s="1"/>
  <c r="AJ45" i="3"/>
  <c r="J48" i="3"/>
  <c r="N48" i="3" s="1"/>
  <c r="AG48" i="3" s="1"/>
  <c r="M48" i="3"/>
  <c r="AA48" i="3"/>
  <c r="AC48" i="3"/>
  <c r="AD48" i="3" s="1"/>
  <c r="AJ48" i="3"/>
  <c r="J53" i="3"/>
  <c r="N53" i="3" s="1"/>
  <c r="AG53" i="3" s="1"/>
  <c r="M53" i="3"/>
  <c r="AA53" i="3"/>
  <c r="AC53" i="3"/>
  <c r="AD53" i="3" s="1"/>
  <c r="AJ53" i="3"/>
  <c r="J51" i="3"/>
  <c r="N51" i="3" s="1"/>
  <c r="AG51" i="3" s="1"/>
  <c r="M51" i="3"/>
  <c r="AA51" i="3"/>
  <c r="AC51" i="3"/>
  <c r="AD51" i="3" s="1"/>
  <c r="AJ51" i="3"/>
  <c r="J54" i="3"/>
  <c r="N54" i="3" s="1"/>
  <c r="AG54" i="3" s="1"/>
  <c r="M54" i="3"/>
  <c r="AA54" i="3"/>
  <c r="AC54" i="3"/>
  <c r="AD54" i="3" s="1"/>
  <c r="AJ54" i="3"/>
  <c r="J58" i="3"/>
  <c r="N58" i="3" s="1"/>
  <c r="AG58" i="3" s="1"/>
  <c r="M58" i="3"/>
  <c r="AA58" i="3"/>
  <c r="AC58" i="3"/>
  <c r="AD58" i="3" s="1"/>
  <c r="AJ58" i="3"/>
  <c r="J59" i="3"/>
  <c r="N59" i="3" s="1"/>
  <c r="AG59" i="3" s="1"/>
  <c r="M59" i="3"/>
  <c r="AA59" i="3"/>
  <c r="AC59" i="3"/>
  <c r="AD59" i="3" s="1"/>
  <c r="AJ59" i="3"/>
  <c r="J60" i="3"/>
  <c r="N60" i="3" s="1"/>
  <c r="AG60" i="3" s="1"/>
  <c r="M60" i="3"/>
  <c r="AA60" i="3"/>
  <c r="AC60" i="3"/>
  <c r="AD60" i="3" s="1"/>
  <c r="AJ60" i="3"/>
  <c r="J61" i="3"/>
  <c r="N61" i="3" s="1"/>
  <c r="AG61" i="3" s="1"/>
  <c r="M61" i="3"/>
  <c r="AA61" i="3"/>
  <c r="AC61" i="3"/>
  <c r="AD61" i="3" s="1"/>
  <c r="AJ61" i="3"/>
  <c r="J56" i="3"/>
  <c r="N56" i="3" s="1"/>
  <c r="AG56" i="3" s="1"/>
  <c r="M56" i="3"/>
  <c r="AA56" i="3"/>
  <c r="AC56" i="3"/>
  <c r="AD56" i="3" s="1"/>
  <c r="AJ56" i="3"/>
  <c r="J50" i="3"/>
  <c r="N50" i="3" s="1"/>
  <c r="AG50" i="3" s="1"/>
  <c r="M50" i="3"/>
  <c r="AA50" i="3"/>
  <c r="AC50" i="3"/>
  <c r="AD50" i="3" s="1"/>
  <c r="AJ50" i="3"/>
  <c r="J52" i="3"/>
  <c r="N52" i="3" s="1"/>
  <c r="AG52" i="3" s="1"/>
  <c r="M52" i="3"/>
  <c r="AA52" i="3"/>
  <c r="AC52" i="3"/>
  <c r="AD52" i="3" s="1"/>
  <c r="AJ52" i="3"/>
  <c r="J55" i="3"/>
  <c r="N55" i="3" s="1"/>
  <c r="AG55" i="3" s="1"/>
  <c r="M55" i="3"/>
  <c r="AA55" i="3"/>
  <c r="AC55" i="3"/>
  <c r="AD55" i="3" s="1"/>
  <c r="AJ55" i="3"/>
  <c r="J62" i="3"/>
  <c r="N62" i="3" s="1"/>
  <c r="AG62" i="3" s="1"/>
  <c r="M62" i="3"/>
  <c r="AA62" i="3"/>
  <c r="AC62" i="3"/>
  <c r="AD62" i="3" s="1"/>
  <c r="AJ62" i="3"/>
  <c r="J57" i="3"/>
  <c r="N57" i="3" s="1"/>
  <c r="AG57" i="3" s="1"/>
  <c r="M57" i="3"/>
  <c r="AA57" i="3"/>
  <c r="AC57" i="3"/>
  <c r="AD57" i="3" s="1"/>
  <c r="AJ57" i="3"/>
  <c r="J63" i="3"/>
  <c r="M63" i="3"/>
  <c r="AA63" i="3"/>
  <c r="AC63" i="3"/>
  <c r="AD63" i="3" s="1"/>
  <c r="AJ63" i="3"/>
  <c r="J64" i="3"/>
  <c r="N64" i="3" s="1"/>
  <c r="AG64" i="3" s="1"/>
  <c r="M64" i="3"/>
  <c r="AA64" i="3"/>
  <c r="AC64" i="3"/>
  <c r="AD64" i="3" s="1"/>
  <c r="AJ64" i="3"/>
  <c r="J67" i="3"/>
  <c r="N67" i="3" s="1"/>
  <c r="AG67" i="3" s="1"/>
  <c r="M67" i="3"/>
  <c r="AA67" i="3"/>
  <c r="AC67" i="3"/>
  <c r="AD67" i="3" s="1"/>
  <c r="AJ67" i="3"/>
  <c r="J66" i="3"/>
  <c r="N66" i="3" s="1"/>
  <c r="AG66" i="3" s="1"/>
  <c r="M66" i="3"/>
  <c r="AA66" i="3"/>
  <c r="AC66" i="3"/>
  <c r="AD66" i="3" s="1"/>
  <c r="AJ66" i="3"/>
  <c r="J65" i="3"/>
  <c r="N65" i="3" s="1"/>
  <c r="AG65" i="3" s="1"/>
  <c r="M65" i="3"/>
  <c r="AA65" i="3"/>
  <c r="AC65" i="3"/>
  <c r="AD65" i="3" s="1"/>
  <c r="AJ65" i="3"/>
  <c r="J75" i="3"/>
  <c r="N75" i="3" s="1"/>
  <c r="AG75" i="3" s="1"/>
  <c r="M75" i="3"/>
  <c r="AA75" i="3"/>
  <c r="AC75" i="3"/>
  <c r="AD75" i="3" s="1"/>
  <c r="AJ75" i="3"/>
  <c r="J73" i="3"/>
  <c r="N73" i="3" s="1"/>
  <c r="AG73" i="3" s="1"/>
  <c r="M73" i="3"/>
  <c r="AA73" i="3"/>
  <c r="AC73" i="3"/>
  <c r="AD73" i="3" s="1"/>
  <c r="AJ73" i="3"/>
  <c r="J74" i="3"/>
  <c r="N74" i="3" s="1"/>
  <c r="AG74" i="3" s="1"/>
  <c r="M74" i="3"/>
  <c r="AA74" i="3"/>
  <c r="AC74" i="3"/>
  <c r="AD74" i="3" s="1"/>
  <c r="AJ74" i="3"/>
  <c r="J69" i="3"/>
  <c r="N69" i="3" s="1"/>
  <c r="AG69" i="3" s="1"/>
  <c r="M69" i="3"/>
  <c r="AA69" i="3"/>
  <c r="AC69" i="3"/>
  <c r="AD69" i="3" s="1"/>
  <c r="AJ69" i="3"/>
  <c r="J68" i="3"/>
  <c r="N68" i="3" s="1"/>
  <c r="AG68" i="3" s="1"/>
  <c r="M68" i="3"/>
  <c r="AA68" i="3"/>
  <c r="AC68" i="3"/>
  <c r="AD68" i="3" s="1"/>
  <c r="AJ68" i="3"/>
  <c r="J72" i="3"/>
  <c r="N72" i="3" s="1"/>
  <c r="AG72" i="3" s="1"/>
  <c r="M72" i="3"/>
  <c r="AA72" i="3"/>
  <c r="AC72" i="3"/>
  <c r="AD72" i="3" s="1"/>
  <c r="AJ72" i="3"/>
  <c r="J70" i="3"/>
  <c r="N70" i="3" s="1"/>
  <c r="AG70" i="3" s="1"/>
  <c r="M70" i="3"/>
  <c r="AA70" i="3"/>
  <c r="AC70" i="3"/>
  <c r="AD70" i="3" s="1"/>
  <c r="AJ70" i="3"/>
  <c r="J71" i="3"/>
  <c r="N71" i="3" s="1"/>
  <c r="AG71" i="3" s="1"/>
  <c r="M71" i="3"/>
  <c r="AA71" i="3"/>
  <c r="AC71" i="3"/>
  <c r="AD71" i="3" s="1"/>
  <c r="AJ71" i="3"/>
  <c r="J79" i="3"/>
  <c r="N79" i="3" s="1"/>
  <c r="AG79" i="3" s="1"/>
  <c r="M79" i="3"/>
  <c r="AA79" i="3"/>
  <c r="AC79" i="3"/>
  <c r="AD79" i="3" s="1"/>
  <c r="AJ79" i="3"/>
  <c r="J78" i="3"/>
  <c r="N78" i="3" s="1"/>
  <c r="AG78" i="3" s="1"/>
  <c r="M78" i="3"/>
  <c r="AA78" i="3"/>
  <c r="AC78" i="3"/>
  <c r="AD78" i="3" s="1"/>
  <c r="AJ78" i="3"/>
  <c r="J80" i="3"/>
  <c r="N80" i="3" s="1"/>
  <c r="AG80" i="3" s="1"/>
  <c r="M80" i="3"/>
  <c r="AA80" i="3"/>
  <c r="AC80" i="3"/>
  <c r="AD80" i="3" s="1"/>
  <c r="AJ80" i="3"/>
  <c r="J82" i="3"/>
  <c r="N82" i="3" s="1"/>
  <c r="AG82" i="3" s="1"/>
  <c r="M82" i="3"/>
  <c r="AA82" i="3"/>
  <c r="AC82" i="3"/>
  <c r="AD82" i="3" s="1"/>
  <c r="AJ82" i="3"/>
  <c r="J77" i="3"/>
  <c r="N77" i="3" s="1"/>
  <c r="AG77" i="3" s="1"/>
  <c r="M77" i="3"/>
  <c r="AA77" i="3"/>
  <c r="AC77" i="3"/>
  <c r="AD77" i="3" s="1"/>
  <c r="AJ77" i="3"/>
  <c r="J81" i="3"/>
  <c r="N81" i="3" s="1"/>
  <c r="AG81" i="3" s="1"/>
  <c r="M81" i="3"/>
  <c r="AA81" i="3"/>
  <c r="AC81" i="3"/>
  <c r="AD81" i="3" s="1"/>
  <c r="AJ81" i="3"/>
  <c r="J76" i="3"/>
  <c r="N76" i="3" s="1"/>
  <c r="AG76" i="3" s="1"/>
  <c r="M76" i="3"/>
  <c r="AA76" i="3"/>
  <c r="AC76" i="3"/>
  <c r="AD76" i="3" s="1"/>
  <c r="AJ76" i="3"/>
  <c r="J85" i="3"/>
  <c r="M85" i="3"/>
  <c r="AA85" i="3"/>
  <c r="AC85" i="3"/>
  <c r="AD85" i="3" s="1"/>
  <c r="AJ85" i="3"/>
  <c r="J84" i="3"/>
  <c r="N84" i="3" s="1"/>
  <c r="AG84" i="3" s="1"/>
  <c r="M84" i="3"/>
  <c r="AA84" i="3"/>
  <c r="AC84" i="3"/>
  <c r="AD84" i="3" s="1"/>
  <c r="AJ84" i="3"/>
  <c r="J83" i="3"/>
  <c r="N83" i="3" s="1"/>
  <c r="AG83" i="3" s="1"/>
  <c r="M83" i="3"/>
  <c r="AA83" i="3"/>
  <c r="AC83" i="3"/>
  <c r="AD83" i="3" s="1"/>
  <c r="AJ83" i="3"/>
  <c r="J91" i="3"/>
  <c r="N91" i="3" s="1"/>
  <c r="AG91" i="3" s="1"/>
  <c r="M91" i="3"/>
  <c r="AA91" i="3"/>
  <c r="AC91" i="3"/>
  <c r="AD91" i="3" s="1"/>
  <c r="AJ91" i="3"/>
  <c r="J87" i="3"/>
  <c r="N87" i="3" s="1"/>
  <c r="AG87" i="3" s="1"/>
  <c r="M87" i="3"/>
  <c r="AA87" i="3"/>
  <c r="AC87" i="3"/>
  <c r="AD87" i="3" s="1"/>
  <c r="AJ87" i="3"/>
  <c r="J96" i="3"/>
  <c r="N96" i="3" s="1"/>
  <c r="AG96" i="3" s="1"/>
  <c r="M96" i="3"/>
  <c r="AA96" i="3"/>
  <c r="AC96" i="3"/>
  <c r="AD96" i="3" s="1"/>
  <c r="AJ96" i="3"/>
  <c r="J94" i="3"/>
  <c r="N94" i="3" s="1"/>
  <c r="AG94" i="3" s="1"/>
  <c r="M94" i="3"/>
  <c r="AA94" i="3"/>
  <c r="AC94" i="3"/>
  <c r="AD94" i="3" s="1"/>
  <c r="AJ94" i="3"/>
  <c r="J92" i="3"/>
  <c r="N92" i="3" s="1"/>
  <c r="AG92" i="3" s="1"/>
  <c r="M92" i="3"/>
  <c r="AA92" i="3"/>
  <c r="AC92" i="3"/>
  <c r="AD92" i="3" s="1"/>
  <c r="AJ92" i="3"/>
  <c r="J93" i="3"/>
  <c r="N93" i="3" s="1"/>
  <c r="AG93" i="3" s="1"/>
  <c r="M93" i="3"/>
  <c r="AA93" i="3"/>
  <c r="AC93" i="3"/>
  <c r="AD93" i="3" s="1"/>
  <c r="AJ93" i="3"/>
  <c r="J97" i="3"/>
  <c r="N97" i="3" s="1"/>
  <c r="AG97" i="3" s="1"/>
  <c r="M97" i="3"/>
  <c r="AA97" i="3"/>
  <c r="AC97" i="3"/>
  <c r="AD97" i="3" s="1"/>
  <c r="AJ97" i="3"/>
  <c r="J95" i="3"/>
  <c r="N95" i="3" s="1"/>
  <c r="AG95" i="3" s="1"/>
  <c r="M95" i="3"/>
  <c r="AA95" i="3"/>
  <c r="AC95" i="3"/>
  <c r="AD95" i="3" s="1"/>
  <c r="AJ95" i="3"/>
  <c r="J86" i="3"/>
  <c r="N86" i="3" s="1"/>
  <c r="AG86" i="3" s="1"/>
  <c r="M86" i="3"/>
  <c r="AA86" i="3"/>
  <c r="AC86" i="3"/>
  <c r="AD86" i="3" s="1"/>
  <c r="AJ86" i="3"/>
  <c r="J90" i="3"/>
  <c r="N90" i="3" s="1"/>
  <c r="AG90" i="3" s="1"/>
  <c r="M90" i="3"/>
  <c r="AA90" i="3"/>
  <c r="AC90" i="3"/>
  <c r="AD90" i="3" s="1"/>
  <c r="AJ90" i="3"/>
  <c r="J89" i="3"/>
  <c r="N89" i="3" s="1"/>
  <c r="AG89" i="3" s="1"/>
  <c r="M89" i="3"/>
  <c r="AA89" i="3"/>
  <c r="AC89" i="3"/>
  <c r="AD89" i="3" s="1"/>
  <c r="AJ89" i="3"/>
  <c r="J88" i="3"/>
  <c r="M88" i="3"/>
  <c r="AA88" i="3"/>
  <c r="AC88" i="3"/>
  <c r="AD88" i="3" s="1"/>
  <c r="AJ88" i="3"/>
  <c r="J101" i="3"/>
  <c r="N101" i="3" s="1"/>
  <c r="AG101" i="3" s="1"/>
  <c r="M101" i="3"/>
  <c r="AA101" i="3"/>
  <c r="AC101" i="3"/>
  <c r="AD101" i="3" s="1"/>
  <c r="AJ101" i="3"/>
  <c r="J99" i="3"/>
  <c r="M99" i="3"/>
  <c r="AA99" i="3"/>
  <c r="AC99" i="3"/>
  <c r="AD99" i="3" s="1"/>
  <c r="AJ99" i="3"/>
  <c r="J98" i="3"/>
  <c r="M98" i="3"/>
  <c r="AA98" i="3"/>
  <c r="AC98" i="3"/>
  <c r="AD98" i="3" s="1"/>
  <c r="AJ98" i="3"/>
  <c r="J100" i="3"/>
  <c r="M100" i="3"/>
  <c r="AA100" i="3"/>
  <c r="AC100" i="3"/>
  <c r="AD100" i="3" s="1"/>
  <c r="AJ100" i="3"/>
  <c r="J108" i="3"/>
  <c r="N108" i="3" s="1"/>
  <c r="AG108" i="3" s="1"/>
  <c r="M108" i="3"/>
  <c r="AA108" i="3"/>
  <c r="AC108" i="3"/>
  <c r="AD108" i="3" s="1"/>
  <c r="AJ108" i="3"/>
  <c r="J105" i="3"/>
  <c r="N105" i="3" s="1"/>
  <c r="AG105" i="3" s="1"/>
  <c r="M105" i="3"/>
  <c r="AA105" i="3"/>
  <c r="AC105" i="3"/>
  <c r="AD105" i="3" s="1"/>
  <c r="AJ105" i="3"/>
  <c r="J110" i="3"/>
  <c r="N110" i="3" s="1"/>
  <c r="AG110" i="3" s="1"/>
  <c r="M110" i="3"/>
  <c r="AA110" i="3"/>
  <c r="AC110" i="3"/>
  <c r="AD110" i="3" s="1"/>
  <c r="AJ110" i="3"/>
  <c r="J109" i="3"/>
  <c r="N109" i="3" s="1"/>
  <c r="AG109" i="3" s="1"/>
  <c r="M109" i="3"/>
  <c r="AA109" i="3"/>
  <c r="AC109" i="3"/>
  <c r="AD109" i="3" s="1"/>
  <c r="AJ109" i="3"/>
  <c r="J102" i="3"/>
  <c r="N102" i="3" s="1"/>
  <c r="AG102" i="3" s="1"/>
  <c r="M102" i="3"/>
  <c r="AA102" i="3"/>
  <c r="AC102" i="3"/>
  <c r="AD102" i="3" s="1"/>
  <c r="AJ102" i="3"/>
  <c r="J107" i="3"/>
  <c r="N107" i="3" s="1"/>
  <c r="AG107" i="3" s="1"/>
  <c r="M107" i="3"/>
  <c r="AA107" i="3"/>
  <c r="AC107" i="3"/>
  <c r="AD107" i="3" s="1"/>
  <c r="AJ107" i="3"/>
  <c r="J111" i="3"/>
  <c r="M111" i="3"/>
  <c r="AA111" i="3"/>
  <c r="AC111" i="3"/>
  <c r="AD111" i="3" s="1"/>
  <c r="AJ111" i="3"/>
  <c r="J106" i="3"/>
  <c r="N106" i="3" s="1"/>
  <c r="AG106" i="3" s="1"/>
  <c r="M106" i="3"/>
  <c r="AA106" i="3"/>
  <c r="AC106" i="3"/>
  <c r="AD106" i="3" s="1"/>
  <c r="AJ106" i="3"/>
  <c r="J103" i="3"/>
  <c r="M103" i="3"/>
  <c r="AA103" i="3"/>
  <c r="AC103" i="3"/>
  <c r="AD103" i="3" s="1"/>
  <c r="AJ103" i="3"/>
  <c r="J104" i="3"/>
  <c r="N104" i="3" s="1"/>
  <c r="AG104" i="3" s="1"/>
  <c r="M104" i="3"/>
  <c r="AA104" i="3"/>
  <c r="AC104" i="3"/>
  <c r="AD104" i="3" s="1"/>
  <c r="AJ104" i="3"/>
  <c r="J119" i="3"/>
  <c r="N119" i="3" s="1"/>
  <c r="AG119" i="3" s="1"/>
  <c r="M119" i="3"/>
  <c r="AA119" i="3"/>
  <c r="AC119" i="3"/>
  <c r="AD119" i="3" s="1"/>
  <c r="AJ119" i="3"/>
  <c r="J115" i="3"/>
  <c r="M115" i="3"/>
  <c r="AA115" i="3"/>
  <c r="AC115" i="3"/>
  <c r="AD115" i="3" s="1"/>
  <c r="AJ115" i="3"/>
  <c r="J114" i="3"/>
  <c r="M114" i="3"/>
  <c r="AA114" i="3"/>
  <c r="AC114" i="3"/>
  <c r="AD114" i="3" s="1"/>
  <c r="AJ114" i="3"/>
  <c r="J117" i="3"/>
  <c r="M117" i="3"/>
  <c r="AA117" i="3"/>
  <c r="AC117" i="3"/>
  <c r="AD117" i="3" s="1"/>
  <c r="AJ117" i="3"/>
  <c r="J116" i="3"/>
  <c r="M116" i="3"/>
  <c r="AA116" i="3"/>
  <c r="AC116" i="3"/>
  <c r="AD116" i="3" s="1"/>
  <c r="AJ116" i="3"/>
  <c r="J118" i="3"/>
  <c r="M118" i="3"/>
  <c r="AA118" i="3"/>
  <c r="AC118" i="3"/>
  <c r="AD118" i="3" s="1"/>
  <c r="AJ118" i="3"/>
  <c r="J112" i="3"/>
  <c r="M112" i="3"/>
  <c r="AA112" i="3"/>
  <c r="AC112" i="3"/>
  <c r="AD112" i="3" s="1"/>
  <c r="AJ112" i="3"/>
  <c r="J131" i="3"/>
  <c r="N131" i="3" s="1"/>
  <c r="AG131" i="3" s="1"/>
  <c r="M131" i="3"/>
  <c r="AA131" i="3"/>
  <c r="AC131" i="3"/>
  <c r="AD131" i="3" s="1"/>
  <c r="AJ131" i="3"/>
  <c r="J130" i="3"/>
  <c r="N130" i="3" s="1"/>
  <c r="AG130" i="3" s="1"/>
  <c r="M130" i="3"/>
  <c r="AA130" i="3"/>
  <c r="AC130" i="3"/>
  <c r="AD130" i="3" s="1"/>
  <c r="AJ130" i="3"/>
  <c r="J128" i="3"/>
  <c r="N128" i="3" s="1"/>
  <c r="AG128" i="3" s="1"/>
  <c r="M128" i="3"/>
  <c r="AA128" i="3"/>
  <c r="AC128" i="3"/>
  <c r="AD128" i="3" s="1"/>
  <c r="AJ128" i="3"/>
  <c r="J120" i="3"/>
  <c r="M120" i="3"/>
  <c r="AA120" i="3"/>
  <c r="AC120" i="3"/>
  <c r="AD120" i="3" s="1"/>
  <c r="AJ120" i="3"/>
  <c r="J129" i="3"/>
  <c r="M129" i="3"/>
  <c r="AA129" i="3"/>
  <c r="AC129" i="3"/>
  <c r="AD129" i="3" s="1"/>
  <c r="AJ129" i="3"/>
  <c r="J126" i="3"/>
  <c r="M126" i="3"/>
  <c r="AA126" i="3"/>
  <c r="AC126" i="3"/>
  <c r="AD126" i="3" s="1"/>
  <c r="AJ126" i="3"/>
  <c r="J124" i="3"/>
  <c r="M124" i="3"/>
  <c r="AA124" i="3"/>
  <c r="AC124" i="3"/>
  <c r="AD124" i="3" s="1"/>
  <c r="AJ124" i="3"/>
  <c r="J125" i="3"/>
  <c r="M125" i="3"/>
  <c r="AA125" i="3"/>
  <c r="AC125" i="3"/>
  <c r="AD125" i="3" s="1"/>
  <c r="AJ125" i="3"/>
  <c r="J121" i="3"/>
  <c r="N121" i="3" s="1"/>
  <c r="AG121" i="3" s="1"/>
  <c r="M121" i="3"/>
  <c r="AA121" i="3"/>
  <c r="AC121" i="3"/>
  <c r="AD121" i="3" s="1"/>
  <c r="AJ121" i="3"/>
  <c r="J123" i="3"/>
  <c r="N123" i="3" s="1"/>
  <c r="AG123" i="3" s="1"/>
  <c r="M123" i="3"/>
  <c r="AA123" i="3"/>
  <c r="AC123" i="3"/>
  <c r="AD123" i="3" s="1"/>
  <c r="AJ123" i="3"/>
  <c r="J122" i="3"/>
  <c r="N122" i="3" s="1"/>
  <c r="AG122" i="3" s="1"/>
  <c r="M122" i="3"/>
  <c r="AA122" i="3"/>
  <c r="AC122" i="3"/>
  <c r="AD122" i="3" s="1"/>
  <c r="AJ122" i="3"/>
  <c r="J127" i="3"/>
  <c r="N127" i="3" s="1"/>
  <c r="AG127" i="3" s="1"/>
  <c r="M127" i="3"/>
  <c r="AA127" i="3"/>
  <c r="AC127" i="3"/>
  <c r="AD127" i="3" s="1"/>
  <c r="AJ127" i="3"/>
  <c r="J143" i="3"/>
  <c r="M143" i="3"/>
  <c r="AA143" i="3"/>
  <c r="AC143" i="3"/>
  <c r="AD143" i="3" s="1"/>
  <c r="AJ143" i="3"/>
  <c r="J134" i="3"/>
  <c r="N134" i="3" s="1"/>
  <c r="AG134" i="3" s="1"/>
  <c r="M134" i="3"/>
  <c r="AA134" i="3"/>
  <c r="AC134" i="3"/>
  <c r="AD134" i="3" s="1"/>
  <c r="AJ134" i="3"/>
  <c r="J133" i="3"/>
  <c r="M133" i="3"/>
  <c r="AA133" i="3"/>
  <c r="AC133" i="3"/>
  <c r="AD133" i="3" s="1"/>
  <c r="AJ133" i="3"/>
  <c r="J141" i="3"/>
  <c r="M141" i="3"/>
  <c r="AA141" i="3"/>
  <c r="AC141" i="3"/>
  <c r="AD141" i="3" s="1"/>
  <c r="AJ141" i="3"/>
  <c r="J135" i="3"/>
  <c r="M135" i="3"/>
  <c r="AA135" i="3"/>
  <c r="AC135" i="3"/>
  <c r="AD135" i="3" s="1"/>
  <c r="AJ135" i="3"/>
  <c r="J140" i="3"/>
  <c r="N140" i="3" s="1"/>
  <c r="AG140" i="3" s="1"/>
  <c r="M140" i="3"/>
  <c r="AA140" i="3"/>
  <c r="AC140" i="3"/>
  <c r="AD140" i="3" s="1"/>
  <c r="AJ140" i="3"/>
  <c r="J144" i="3"/>
  <c r="N144" i="3" s="1"/>
  <c r="AG144" i="3" s="1"/>
  <c r="M144" i="3"/>
  <c r="AA144" i="3"/>
  <c r="AC144" i="3"/>
  <c r="AD144" i="3" s="1"/>
  <c r="AJ144" i="3"/>
  <c r="J139" i="3"/>
  <c r="N139" i="3" s="1"/>
  <c r="AG139" i="3" s="1"/>
  <c r="M139" i="3"/>
  <c r="AA139" i="3"/>
  <c r="AC139" i="3"/>
  <c r="AD139" i="3" s="1"/>
  <c r="AJ139" i="3"/>
  <c r="J142" i="3"/>
  <c r="N142" i="3" s="1"/>
  <c r="AG142" i="3" s="1"/>
  <c r="M142" i="3"/>
  <c r="AA142" i="3"/>
  <c r="AC142" i="3"/>
  <c r="AD142" i="3" s="1"/>
  <c r="AJ142" i="3"/>
  <c r="J132" i="3"/>
  <c r="N132" i="3" s="1"/>
  <c r="AG132" i="3" s="1"/>
  <c r="M132" i="3"/>
  <c r="AA132" i="3"/>
  <c r="AC132" i="3"/>
  <c r="AD132" i="3" s="1"/>
  <c r="AJ132" i="3"/>
  <c r="J136" i="3"/>
  <c r="N136" i="3" s="1"/>
  <c r="AG136" i="3" s="1"/>
  <c r="M136" i="3"/>
  <c r="AA136" i="3"/>
  <c r="AC136" i="3"/>
  <c r="AD136" i="3" s="1"/>
  <c r="AJ136" i="3"/>
  <c r="J137" i="3"/>
  <c r="M137" i="3"/>
  <c r="AA137" i="3"/>
  <c r="AC137" i="3"/>
  <c r="AD137" i="3" s="1"/>
  <c r="AJ137" i="3"/>
  <c r="J138" i="3"/>
  <c r="M138" i="3"/>
  <c r="AA138" i="3"/>
  <c r="AC138" i="3"/>
  <c r="AD138" i="3" s="1"/>
  <c r="AJ138" i="3"/>
  <c r="J151" i="3"/>
  <c r="N151" i="3" s="1"/>
  <c r="AG151" i="3" s="1"/>
  <c r="M151" i="3"/>
  <c r="AA151" i="3"/>
  <c r="AC151" i="3"/>
  <c r="AD151" i="3" s="1"/>
  <c r="AJ151" i="3"/>
  <c r="J148" i="3"/>
  <c r="M148" i="3"/>
  <c r="AA148" i="3"/>
  <c r="AC148" i="3"/>
  <c r="AD148" i="3" s="1"/>
  <c r="AJ148" i="3"/>
  <c r="J153" i="3"/>
  <c r="M153" i="3"/>
  <c r="AA153" i="3"/>
  <c r="AC153" i="3"/>
  <c r="AD153" i="3" s="1"/>
  <c r="AJ153" i="3"/>
  <c r="J154" i="3"/>
  <c r="N154" i="3" s="1"/>
  <c r="AG154" i="3" s="1"/>
  <c r="M154" i="3"/>
  <c r="AA154" i="3"/>
  <c r="AC154" i="3"/>
  <c r="AD154" i="3" s="1"/>
  <c r="AJ154" i="3"/>
  <c r="J155" i="3"/>
  <c r="N155" i="3" s="1"/>
  <c r="AG155" i="3" s="1"/>
  <c r="M155" i="3"/>
  <c r="AA155" i="3"/>
  <c r="AC155" i="3"/>
  <c r="AD155" i="3" s="1"/>
  <c r="AJ155" i="3"/>
  <c r="J156" i="3"/>
  <c r="N156" i="3" s="1"/>
  <c r="AG156" i="3" s="1"/>
  <c r="M156" i="3"/>
  <c r="AA156" i="3"/>
  <c r="AC156" i="3"/>
  <c r="AD156" i="3" s="1"/>
  <c r="AJ156" i="3"/>
  <c r="J157" i="3"/>
  <c r="N157" i="3" s="1"/>
  <c r="AG157" i="3" s="1"/>
  <c r="M157" i="3"/>
  <c r="AA157" i="3"/>
  <c r="AC157" i="3"/>
  <c r="AD157" i="3" s="1"/>
  <c r="AJ157" i="3"/>
  <c r="J158" i="3"/>
  <c r="N158" i="3" s="1"/>
  <c r="AG158" i="3" s="1"/>
  <c r="M158" i="3"/>
  <c r="AA158" i="3"/>
  <c r="AC158" i="3"/>
  <c r="AD158" i="3" s="1"/>
  <c r="AJ158" i="3"/>
  <c r="J145" i="3"/>
  <c r="N145" i="3" s="1"/>
  <c r="AG145" i="3" s="1"/>
  <c r="M145" i="3"/>
  <c r="AA145" i="3"/>
  <c r="AC145" i="3"/>
  <c r="AD145" i="3" s="1"/>
  <c r="AJ145" i="3"/>
  <c r="J150" i="3"/>
  <c r="N150" i="3" s="1"/>
  <c r="AG150" i="3" s="1"/>
  <c r="M150" i="3"/>
  <c r="AA150" i="3"/>
  <c r="AC150" i="3"/>
  <c r="AD150" i="3" s="1"/>
  <c r="AJ150" i="3"/>
  <c r="J159" i="3"/>
  <c r="M159" i="3"/>
  <c r="AA159" i="3"/>
  <c r="AC159" i="3"/>
  <c r="AD159" i="3" s="1"/>
  <c r="AJ159" i="3"/>
  <c r="J146" i="3"/>
  <c r="M146" i="3"/>
  <c r="AA146" i="3"/>
  <c r="AC146" i="3"/>
  <c r="AD146" i="3" s="1"/>
  <c r="AJ146" i="3"/>
  <c r="J147" i="3"/>
  <c r="M147" i="3"/>
  <c r="AA147" i="3"/>
  <c r="AC147" i="3"/>
  <c r="AD147" i="3" s="1"/>
  <c r="AJ147" i="3"/>
  <c r="J149" i="3"/>
  <c r="N149" i="3" s="1"/>
  <c r="AG149" i="3" s="1"/>
  <c r="M149" i="3"/>
  <c r="AA149" i="3"/>
  <c r="AC149" i="3"/>
  <c r="AD149" i="3" s="1"/>
  <c r="AJ149" i="3"/>
  <c r="J152" i="3"/>
  <c r="N152" i="3" s="1"/>
  <c r="AG152" i="3" s="1"/>
  <c r="M152" i="3"/>
  <c r="AA152" i="3"/>
  <c r="AC152" i="3"/>
  <c r="AD152" i="3" s="1"/>
  <c r="AJ152" i="3"/>
  <c r="J161" i="3"/>
  <c r="N161" i="3" s="1"/>
  <c r="AG161" i="3" s="1"/>
  <c r="M161" i="3"/>
  <c r="AA161" i="3"/>
  <c r="AC161" i="3"/>
  <c r="AD161" i="3" s="1"/>
  <c r="AJ161" i="3"/>
  <c r="J160" i="3"/>
  <c r="M160" i="3"/>
  <c r="AA160" i="3"/>
  <c r="AC160" i="3"/>
  <c r="AD160" i="3" s="1"/>
  <c r="AJ160" i="3"/>
  <c r="J164" i="3"/>
  <c r="M164" i="3"/>
  <c r="AA164" i="3"/>
  <c r="AC164" i="3"/>
  <c r="AD164" i="3" s="1"/>
  <c r="AJ164" i="3"/>
  <c r="J165" i="3"/>
  <c r="N165" i="3" s="1"/>
  <c r="AG165" i="3" s="1"/>
  <c r="M165" i="3"/>
  <c r="AA165" i="3"/>
  <c r="AC165" i="3"/>
  <c r="AD165" i="3" s="1"/>
  <c r="AJ165" i="3"/>
  <c r="J163" i="3"/>
  <c r="N163" i="3" s="1"/>
  <c r="AG163" i="3" s="1"/>
  <c r="M163" i="3"/>
  <c r="AA163" i="3"/>
  <c r="AC163" i="3"/>
  <c r="AD163" i="3" s="1"/>
  <c r="AJ163" i="3"/>
  <c r="J162" i="3"/>
  <c r="M162" i="3"/>
  <c r="AA162" i="3"/>
  <c r="AC162" i="3"/>
  <c r="AD162" i="3" s="1"/>
  <c r="AJ162" i="3"/>
  <c r="J166" i="3"/>
  <c r="M166" i="3"/>
  <c r="AA166" i="3"/>
  <c r="AC166" i="3"/>
  <c r="AD166" i="3" s="1"/>
  <c r="AJ166" i="3"/>
  <c r="J177" i="3"/>
  <c r="N177" i="3" s="1"/>
  <c r="AG177" i="3" s="1"/>
  <c r="M177" i="3"/>
  <c r="AA177" i="3"/>
  <c r="AC177" i="3"/>
  <c r="AD177" i="3" s="1"/>
  <c r="AJ177" i="3"/>
  <c r="J178" i="3"/>
  <c r="N178" i="3" s="1"/>
  <c r="AG178" i="3" s="1"/>
  <c r="M178" i="3"/>
  <c r="AA178" i="3"/>
  <c r="AC178" i="3"/>
  <c r="AD178" i="3" s="1"/>
  <c r="AJ178" i="3"/>
  <c r="J167" i="3"/>
  <c r="N167" i="3" s="1"/>
  <c r="AG167" i="3" s="1"/>
  <c r="M167" i="3"/>
  <c r="AA167" i="3"/>
  <c r="AC167" i="3"/>
  <c r="AD167" i="3" s="1"/>
  <c r="AJ167" i="3"/>
  <c r="J170" i="3"/>
  <c r="M170" i="3"/>
  <c r="AA170" i="3"/>
  <c r="AC170" i="3"/>
  <c r="AD170" i="3" s="1"/>
  <c r="AJ170" i="3"/>
  <c r="J174" i="3"/>
  <c r="M174" i="3"/>
  <c r="AA174" i="3"/>
  <c r="AC174" i="3"/>
  <c r="AD174" i="3" s="1"/>
  <c r="AJ174" i="3"/>
  <c r="J176" i="3"/>
  <c r="M176" i="3"/>
  <c r="AA176" i="3"/>
  <c r="AC176" i="3"/>
  <c r="AD176" i="3" s="1"/>
  <c r="AJ176" i="3"/>
  <c r="J171" i="3"/>
  <c r="M171" i="3"/>
  <c r="AA171" i="3"/>
  <c r="AC171" i="3"/>
  <c r="AD171" i="3" s="1"/>
  <c r="AJ171" i="3"/>
  <c r="J169" i="3"/>
  <c r="N169" i="3" s="1"/>
  <c r="AG169" i="3" s="1"/>
  <c r="M169" i="3"/>
  <c r="AA169" i="3"/>
  <c r="AC169" i="3"/>
  <c r="AD169" i="3" s="1"/>
  <c r="AJ169" i="3"/>
  <c r="J168" i="3"/>
  <c r="M168" i="3"/>
  <c r="AA168" i="3"/>
  <c r="AC168" i="3"/>
  <c r="AD168" i="3" s="1"/>
  <c r="AJ168" i="3"/>
  <c r="J175" i="3"/>
  <c r="M175" i="3"/>
  <c r="AA175" i="3"/>
  <c r="AC175" i="3"/>
  <c r="AD175" i="3" s="1"/>
  <c r="AJ175" i="3"/>
  <c r="J179" i="3"/>
  <c r="M179" i="3"/>
  <c r="AA179" i="3"/>
  <c r="AC179" i="3"/>
  <c r="AD179" i="3" s="1"/>
  <c r="AJ179" i="3"/>
  <c r="J172" i="3"/>
  <c r="N172" i="3" s="1"/>
  <c r="AG172" i="3" s="1"/>
  <c r="M172" i="3"/>
  <c r="AA172" i="3"/>
  <c r="AC172" i="3"/>
  <c r="AD172" i="3" s="1"/>
  <c r="AJ172" i="3"/>
  <c r="J173" i="3"/>
  <c r="M173" i="3"/>
  <c r="AA173" i="3"/>
  <c r="AC173" i="3"/>
  <c r="AD173" i="3" s="1"/>
  <c r="AJ173" i="3"/>
  <c r="J180" i="3"/>
  <c r="M180" i="3"/>
  <c r="AA180" i="3"/>
  <c r="AC180" i="3"/>
  <c r="AD180" i="3" s="1"/>
  <c r="AJ180" i="3"/>
  <c r="J189" i="3"/>
  <c r="M189" i="3"/>
  <c r="AA189" i="3"/>
  <c r="AC189" i="3"/>
  <c r="AD189" i="3" s="1"/>
  <c r="AJ189" i="3"/>
  <c r="J182" i="3"/>
  <c r="N182" i="3" s="1"/>
  <c r="AG182" i="3" s="1"/>
  <c r="M182" i="3"/>
  <c r="AA182" i="3"/>
  <c r="AC182" i="3"/>
  <c r="AD182" i="3" s="1"/>
  <c r="AJ182" i="3"/>
  <c r="J188" i="3"/>
  <c r="N188" i="3" s="1"/>
  <c r="AG188" i="3" s="1"/>
  <c r="M188" i="3"/>
  <c r="AA188" i="3"/>
  <c r="AC188" i="3"/>
  <c r="AD188" i="3" s="1"/>
  <c r="AJ188" i="3"/>
  <c r="J184" i="3"/>
  <c r="N184" i="3" s="1"/>
  <c r="AG184" i="3" s="1"/>
  <c r="M184" i="3"/>
  <c r="AA184" i="3"/>
  <c r="AC184" i="3"/>
  <c r="AD184" i="3" s="1"/>
  <c r="AJ184" i="3"/>
  <c r="J187" i="3"/>
  <c r="M187" i="3"/>
  <c r="AA187" i="3"/>
  <c r="AC187" i="3"/>
  <c r="AD187" i="3" s="1"/>
  <c r="AJ187" i="3"/>
  <c r="J183" i="3"/>
  <c r="M183" i="3"/>
  <c r="AA183" i="3"/>
  <c r="AC183" i="3"/>
  <c r="AD183" i="3" s="1"/>
  <c r="AJ183" i="3"/>
  <c r="J191" i="3"/>
  <c r="N191" i="3" s="1"/>
  <c r="AG191" i="3" s="1"/>
  <c r="M191" i="3"/>
  <c r="AA191" i="3"/>
  <c r="AC191" i="3"/>
  <c r="AD191" i="3" s="1"/>
  <c r="AJ191" i="3"/>
  <c r="J190" i="3"/>
  <c r="M190" i="3"/>
  <c r="AA190" i="3"/>
  <c r="AC190" i="3"/>
  <c r="AD190" i="3" s="1"/>
  <c r="AJ190" i="3"/>
  <c r="J185" i="3"/>
  <c r="M185" i="3"/>
  <c r="AA185" i="3"/>
  <c r="AC185" i="3"/>
  <c r="AD185" i="3" s="1"/>
  <c r="AJ185" i="3"/>
  <c r="J186" i="3"/>
  <c r="M186" i="3"/>
  <c r="AA186" i="3"/>
  <c r="AC186" i="3"/>
  <c r="AD186" i="3" s="1"/>
  <c r="AJ186" i="3"/>
  <c r="J181" i="3"/>
  <c r="N181" i="3" s="1"/>
  <c r="AG181" i="3" s="1"/>
  <c r="M181" i="3"/>
  <c r="AA181" i="3"/>
  <c r="AC181" i="3"/>
  <c r="AD181" i="3" s="1"/>
  <c r="AJ181" i="3"/>
  <c r="J200" i="3"/>
  <c r="N200" i="3" s="1"/>
  <c r="AG200" i="3" s="1"/>
  <c r="M200" i="3"/>
  <c r="AA200" i="3"/>
  <c r="AC200" i="3"/>
  <c r="AD200" i="3" s="1"/>
  <c r="AJ200" i="3"/>
  <c r="J195" i="3"/>
  <c r="N195" i="3" s="1"/>
  <c r="AG195" i="3" s="1"/>
  <c r="M195" i="3"/>
  <c r="AA195" i="3"/>
  <c r="AC195" i="3"/>
  <c r="AD195" i="3" s="1"/>
  <c r="AJ195" i="3"/>
  <c r="J196" i="3"/>
  <c r="N196" i="3" s="1"/>
  <c r="AG196" i="3" s="1"/>
  <c r="M196" i="3"/>
  <c r="AA196" i="3"/>
  <c r="AC196" i="3"/>
  <c r="AD196" i="3" s="1"/>
  <c r="AJ196" i="3"/>
  <c r="J197" i="3"/>
  <c r="N197" i="3" s="1"/>
  <c r="AG197" i="3" s="1"/>
  <c r="M197" i="3"/>
  <c r="AA197" i="3"/>
  <c r="AC197" i="3"/>
  <c r="AD197" i="3" s="1"/>
  <c r="AJ197" i="3"/>
  <c r="J192" i="3"/>
  <c r="N192" i="3" s="1"/>
  <c r="AG192" i="3" s="1"/>
  <c r="M192" i="3"/>
  <c r="AA192" i="3"/>
  <c r="AC192" i="3"/>
  <c r="AD192" i="3" s="1"/>
  <c r="AJ192" i="3"/>
  <c r="J198" i="3"/>
  <c r="N198" i="3" s="1"/>
  <c r="AG198" i="3" s="1"/>
  <c r="M198" i="3"/>
  <c r="AA198" i="3"/>
  <c r="AC198" i="3"/>
  <c r="AD198" i="3" s="1"/>
  <c r="AJ198" i="3"/>
  <c r="J199" i="3"/>
  <c r="M199" i="3"/>
  <c r="AA199" i="3"/>
  <c r="AC199" i="3"/>
  <c r="AD199" i="3" s="1"/>
  <c r="AJ199" i="3"/>
  <c r="J193" i="3"/>
  <c r="M193" i="3"/>
  <c r="AA193" i="3"/>
  <c r="AC193" i="3"/>
  <c r="AD193" i="3" s="1"/>
  <c r="AJ193" i="3"/>
  <c r="J202" i="3"/>
  <c r="N202" i="3" s="1"/>
  <c r="AG202" i="3" s="1"/>
  <c r="M202" i="3"/>
  <c r="AA202" i="3"/>
  <c r="AC202" i="3"/>
  <c r="AD202" i="3" s="1"/>
  <c r="AJ202" i="3"/>
  <c r="J203" i="3"/>
  <c r="M203" i="3"/>
  <c r="AA203" i="3"/>
  <c r="AC203" i="3"/>
  <c r="AD203" i="3" s="1"/>
  <c r="AJ203" i="3"/>
  <c r="J201" i="3"/>
  <c r="N201" i="3" s="1"/>
  <c r="AG201" i="3" s="1"/>
  <c r="M201" i="3"/>
  <c r="AA201" i="3"/>
  <c r="AC201" i="3"/>
  <c r="AD201" i="3" s="1"/>
  <c r="AJ201" i="3"/>
  <c r="J194" i="3"/>
  <c r="N194" i="3" s="1"/>
  <c r="AG194" i="3" s="1"/>
  <c r="M194" i="3"/>
  <c r="AA194" i="3"/>
  <c r="AC194" i="3"/>
  <c r="AD194" i="3" s="1"/>
  <c r="AJ194" i="3"/>
  <c r="J211" i="3"/>
  <c r="M211" i="3"/>
  <c r="AA211" i="3"/>
  <c r="AC211" i="3"/>
  <c r="AD211" i="3" s="1"/>
  <c r="AJ211" i="3"/>
  <c r="J204" i="3"/>
  <c r="N204" i="3" s="1"/>
  <c r="AG204" i="3" s="1"/>
  <c r="M204" i="3"/>
  <c r="AA204" i="3"/>
  <c r="AC204" i="3"/>
  <c r="AD204" i="3" s="1"/>
  <c r="AJ204" i="3"/>
  <c r="J213" i="3"/>
  <c r="N213" i="3" s="1"/>
  <c r="AG213" i="3" s="1"/>
  <c r="M213" i="3"/>
  <c r="AA213" i="3"/>
  <c r="AC213" i="3"/>
  <c r="AD213" i="3" s="1"/>
  <c r="AJ213" i="3"/>
  <c r="J214" i="3"/>
  <c r="N214" i="3" s="1"/>
  <c r="AG214" i="3" s="1"/>
  <c r="M214" i="3"/>
  <c r="AA214" i="3"/>
  <c r="AC214" i="3"/>
  <c r="AD214" i="3" s="1"/>
  <c r="AJ214" i="3"/>
  <c r="J215" i="3"/>
  <c r="N215" i="3" s="1"/>
  <c r="AG215" i="3" s="1"/>
  <c r="M215" i="3"/>
  <c r="AA215" i="3"/>
  <c r="AC215" i="3"/>
  <c r="AD215" i="3" s="1"/>
  <c r="AJ215" i="3"/>
  <c r="J205" i="3"/>
  <c r="N205" i="3" s="1"/>
  <c r="AG205" i="3" s="1"/>
  <c r="M205" i="3"/>
  <c r="AA205" i="3"/>
  <c r="AC205" i="3"/>
  <c r="AD205" i="3" s="1"/>
  <c r="AJ205" i="3"/>
  <c r="J210" i="3"/>
  <c r="N210" i="3" s="1"/>
  <c r="AG210" i="3" s="1"/>
  <c r="M210" i="3"/>
  <c r="AA210" i="3"/>
  <c r="AC210" i="3"/>
  <c r="AD210" i="3" s="1"/>
  <c r="AJ210" i="3"/>
  <c r="J216" i="3"/>
  <c r="M216" i="3"/>
  <c r="AA216" i="3"/>
  <c r="AC216" i="3"/>
  <c r="AD216" i="3" s="1"/>
  <c r="AJ216" i="3"/>
  <c r="J208" i="3"/>
  <c r="M208" i="3"/>
  <c r="AA208" i="3"/>
  <c r="AC208" i="3"/>
  <c r="AD208" i="3" s="1"/>
  <c r="AJ208" i="3"/>
  <c r="J209" i="3"/>
  <c r="M209" i="3"/>
  <c r="AA209" i="3"/>
  <c r="AC209" i="3"/>
  <c r="AD209" i="3" s="1"/>
  <c r="AJ209" i="3"/>
  <c r="J212" i="3"/>
  <c r="N212" i="3" s="1"/>
  <c r="AG212" i="3" s="1"/>
  <c r="M212" i="3"/>
  <c r="AA212" i="3"/>
  <c r="AC212" i="3"/>
  <c r="AD212" i="3" s="1"/>
  <c r="AJ212" i="3"/>
  <c r="J206" i="3"/>
  <c r="N206" i="3" s="1"/>
  <c r="AG206" i="3" s="1"/>
  <c r="M206" i="3"/>
  <c r="AA206" i="3"/>
  <c r="AC206" i="3"/>
  <c r="AD206" i="3" s="1"/>
  <c r="AJ206" i="3"/>
  <c r="J207" i="3"/>
  <c r="N207" i="3" s="1"/>
  <c r="AG207" i="3" s="1"/>
  <c r="M207" i="3"/>
  <c r="AA207" i="3"/>
  <c r="AC207" i="3"/>
  <c r="AD207" i="3" s="1"/>
  <c r="AJ207" i="3"/>
  <c r="J223" i="3"/>
  <c r="M223" i="3"/>
  <c r="AA223" i="3"/>
  <c r="AC223" i="3"/>
  <c r="AD223" i="3" s="1"/>
  <c r="AJ223" i="3"/>
  <c r="J222" i="3"/>
  <c r="M222" i="3"/>
  <c r="AA222" i="3"/>
  <c r="AC222" i="3"/>
  <c r="AD222" i="3" s="1"/>
  <c r="AJ222" i="3"/>
  <c r="J225" i="3"/>
  <c r="M225" i="3"/>
  <c r="AA225" i="3"/>
  <c r="AC225" i="3"/>
  <c r="AD225" i="3" s="1"/>
  <c r="AJ225" i="3"/>
  <c r="J217" i="3"/>
  <c r="N217" i="3" s="1"/>
  <c r="AG217" i="3" s="1"/>
  <c r="M217" i="3"/>
  <c r="AA217" i="3"/>
  <c r="AC217" i="3"/>
  <c r="AD217" i="3" s="1"/>
  <c r="AJ217" i="3"/>
  <c r="J221" i="3"/>
  <c r="M221" i="3"/>
  <c r="AA221" i="3"/>
  <c r="AC221" i="3"/>
  <c r="AD221" i="3" s="1"/>
  <c r="AJ221" i="3"/>
  <c r="J220" i="3"/>
  <c r="N220" i="3" s="1"/>
  <c r="AG220" i="3" s="1"/>
  <c r="M220" i="3"/>
  <c r="AA220" i="3"/>
  <c r="AC220" i="3"/>
  <c r="AD220" i="3" s="1"/>
  <c r="AJ220" i="3"/>
  <c r="J218" i="3"/>
  <c r="N218" i="3" s="1"/>
  <c r="AG218" i="3" s="1"/>
  <c r="M218" i="3"/>
  <c r="AA218" i="3"/>
  <c r="AC218" i="3"/>
  <c r="AD218" i="3" s="1"/>
  <c r="AJ218" i="3"/>
  <c r="J219" i="3"/>
  <c r="N219" i="3" s="1"/>
  <c r="AG219" i="3" s="1"/>
  <c r="M219" i="3"/>
  <c r="AA219" i="3"/>
  <c r="AC219" i="3"/>
  <c r="AD219" i="3" s="1"/>
  <c r="AJ219" i="3"/>
  <c r="J224" i="3"/>
  <c r="M224" i="3"/>
  <c r="AA224" i="3"/>
  <c r="AC224" i="3"/>
  <c r="AD224" i="3" s="1"/>
  <c r="AJ224" i="3"/>
  <c r="J227" i="3"/>
  <c r="N227" i="3" s="1"/>
  <c r="AG227" i="3" s="1"/>
  <c r="M227" i="3"/>
  <c r="AA227" i="3"/>
  <c r="AC227" i="3"/>
  <c r="AD227" i="3" s="1"/>
  <c r="AJ227" i="3"/>
  <c r="J422" i="3"/>
  <c r="M422" i="3"/>
  <c r="AA422" i="3"/>
  <c r="AC422" i="3"/>
  <c r="AD422" i="3" s="1"/>
  <c r="AJ422" i="3"/>
  <c r="J226" i="3"/>
  <c r="N226" i="3" s="1"/>
  <c r="AG226" i="3" s="1"/>
  <c r="M226" i="3"/>
  <c r="AA226" i="3"/>
  <c r="AC226" i="3"/>
  <c r="AD226" i="3" s="1"/>
  <c r="AJ226" i="3"/>
  <c r="J229" i="3"/>
  <c r="N229" i="3" s="1"/>
  <c r="AG229" i="3" s="1"/>
  <c r="M229" i="3"/>
  <c r="AA229" i="3"/>
  <c r="AC229" i="3"/>
  <c r="AD229" i="3" s="1"/>
  <c r="AJ229" i="3"/>
  <c r="J230" i="3"/>
  <c r="N230" i="3" s="1"/>
  <c r="AG230" i="3" s="1"/>
  <c r="M230" i="3"/>
  <c r="AA230" i="3"/>
  <c r="AC230" i="3"/>
  <c r="AD230" i="3" s="1"/>
  <c r="AJ230" i="3"/>
  <c r="J228" i="3"/>
  <c r="N228" i="3" s="1"/>
  <c r="AG228" i="3" s="1"/>
  <c r="M228" i="3"/>
  <c r="AA228" i="3"/>
  <c r="AC228" i="3"/>
  <c r="AD228" i="3" s="1"/>
  <c r="AJ228" i="3"/>
  <c r="J232" i="3"/>
  <c r="N232" i="3" s="1"/>
  <c r="AG232" i="3" s="1"/>
  <c r="M232" i="3"/>
  <c r="AA232" i="3"/>
  <c r="AC232" i="3"/>
  <c r="AD232" i="3" s="1"/>
  <c r="AJ232" i="3"/>
  <c r="J233" i="3"/>
  <c r="N233" i="3" s="1"/>
  <c r="AG233" i="3" s="1"/>
  <c r="M233" i="3"/>
  <c r="AA233" i="3"/>
  <c r="AC233" i="3"/>
  <c r="AD233" i="3" s="1"/>
  <c r="AJ233" i="3"/>
  <c r="J234" i="3"/>
  <c r="M234" i="3"/>
  <c r="AA234" i="3"/>
  <c r="AC234" i="3"/>
  <c r="AD234" i="3" s="1"/>
  <c r="AJ234" i="3"/>
  <c r="J235" i="3"/>
  <c r="N235" i="3" s="1"/>
  <c r="AG235" i="3" s="1"/>
  <c r="M235" i="3"/>
  <c r="AA235" i="3"/>
  <c r="AC235" i="3"/>
  <c r="AD235" i="3" s="1"/>
  <c r="AJ235" i="3"/>
  <c r="J236" i="3"/>
  <c r="N236" i="3" s="1"/>
  <c r="AG236" i="3" s="1"/>
  <c r="M236" i="3"/>
  <c r="AA236" i="3"/>
  <c r="AC236" i="3"/>
  <c r="AD236" i="3" s="1"/>
  <c r="AJ236" i="3"/>
  <c r="J238" i="3"/>
  <c r="N238" i="3" s="1"/>
  <c r="AG238" i="3" s="1"/>
  <c r="M238" i="3"/>
  <c r="AA238" i="3"/>
  <c r="AC238" i="3"/>
  <c r="AD238" i="3" s="1"/>
  <c r="AJ238" i="3"/>
  <c r="J241" i="3"/>
  <c r="N241" i="3" s="1"/>
  <c r="AG241" i="3" s="1"/>
  <c r="M241" i="3"/>
  <c r="AA241" i="3"/>
  <c r="AC241" i="3"/>
  <c r="AD241" i="3" s="1"/>
  <c r="AJ241" i="3"/>
  <c r="J243" i="3"/>
  <c r="N243" i="3" s="1"/>
  <c r="AG243" i="3" s="1"/>
  <c r="M243" i="3"/>
  <c r="AA243" i="3"/>
  <c r="AC243" i="3"/>
  <c r="AD243" i="3" s="1"/>
  <c r="AJ243" i="3"/>
  <c r="J244" i="3"/>
  <c r="N244" i="3" s="1"/>
  <c r="AG244" i="3" s="1"/>
  <c r="M244" i="3"/>
  <c r="AA244" i="3"/>
  <c r="AC244" i="3"/>
  <c r="AD244" i="3" s="1"/>
  <c r="AJ244" i="3"/>
  <c r="J237" i="3"/>
  <c r="N237" i="3" s="1"/>
  <c r="AG237" i="3" s="1"/>
  <c r="M237" i="3"/>
  <c r="AA237" i="3"/>
  <c r="AC237" i="3"/>
  <c r="AD237" i="3" s="1"/>
  <c r="AJ237" i="3"/>
  <c r="J239" i="3"/>
  <c r="N239" i="3" s="1"/>
  <c r="AG239" i="3" s="1"/>
  <c r="M239" i="3"/>
  <c r="AA239" i="3"/>
  <c r="AC239" i="3"/>
  <c r="AD239" i="3" s="1"/>
  <c r="AJ239" i="3"/>
  <c r="J231" i="3"/>
  <c r="N231" i="3" s="1"/>
  <c r="AG231" i="3" s="1"/>
  <c r="M231" i="3"/>
  <c r="AA231" i="3"/>
  <c r="AC231" i="3"/>
  <c r="AD231" i="3" s="1"/>
  <c r="AJ231" i="3"/>
  <c r="J240" i="3"/>
  <c r="N240" i="3" s="1"/>
  <c r="AG240" i="3" s="1"/>
  <c r="M240" i="3"/>
  <c r="AA240" i="3"/>
  <c r="AC240" i="3"/>
  <c r="AD240" i="3" s="1"/>
  <c r="AJ240" i="3"/>
  <c r="J245" i="3"/>
  <c r="N245" i="3" s="1"/>
  <c r="AG245" i="3" s="1"/>
  <c r="M245" i="3"/>
  <c r="AA245" i="3"/>
  <c r="AC245" i="3"/>
  <c r="AD245" i="3" s="1"/>
  <c r="AJ245" i="3"/>
  <c r="J242" i="3"/>
  <c r="N242" i="3" s="1"/>
  <c r="AG242" i="3" s="1"/>
  <c r="M242" i="3"/>
  <c r="AA242" i="3"/>
  <c r="AC242" i="3"/>
  <c r="AD242" i="3" s="1"/>
  <c r="AJ242" i="3"/>
  <c r="J246" i="3"/>
  <c r="N246" i="3" s="1"/>
  <c r="AG246" i="3" s="1"/>
  <c r="M246" i="3"/>
  <c r="AA246" i="3"/>
  <c r="AC246" i="3"/>
  <c r="AD246" i="3" s="1"/>
  <c r="AJ246" i="3"/>
  <c r="J248" i="3"/>
  <c r="N248" i="3" s="1"/>
  <c r="AG248" i="3" s="1"/>
  <c r="M248" i="3"/>
  <c r="AA248" i="3"/>
  <c r="AC248" i="3"/>
  <c r="AD248" i="3" s="1"/>
  <c r="AJ248" i="3"/>
  <c r="J247" i="3"/>
  <c r="M247" i="3"/>
  <c r="AA247" i="3"/>
  <c r="AC247" i="3"/>
  <c r="AD247" i="3" s="1"/>
  <c r="AJ247" i="3"/>
  <c r="J249" i="3"/>
  <c r="M249" i="3"/>
  <c r="AA249" i="3"/>
  <c r="AC249" i="3"/>
  <c r="AD249" i="3" s="1"/>
  <c r="AJ249" i="3"/>
  <c r="J253" i="3"/>
  <c r="N253" i="3" s="1"/>
  <c r="AG253" i="3" s="1"/>
  <c r="M253" i="3"/>
  <c r="AA253" i="3"/>
  <c r="AC253" i="3"/>
  <c r="AD253" i="3" s="1"/>
  <c r="AJ253" i="3"/>
  <c r="J256" i="3"/>
  <c r="N256" i="3" s="1"/>
  <c r="AG256" i="3" s="1"/>
  <c r="M256" i="3"/>
  <c r="AA256" i="3"/>
  <c r="AC256" i="3"/>
  <c r="AD256" i="3" s="1"/>
  <c r="AJ256" i="3"/>
  <c r="J250" i="3"/>
  <c r="M250" i="3"/>
  <c r="AA250" i="3"/>
  <c r="AC250" i="3"/>
  <c r="AD250" i="3" s="1"/>
  <c r="AJ250" i="3"/>
  <c r="J255" i="3"/>
  <c r="N255" i="3" s="1"/>
  <c r="AG255" i="3" s="1"/>
  <c r="M255" i="3"/>
  <c r="AA255" i="3"/>
  <c r="AC255" i="3"/>
  <c r="AD255" i="3" s="1"/>
  <c r="AJ255" i="3"/>
  <c r="J252" i="3"/>
  <c r="N252" i="3" s="1"/>
  <c r="AG252" i="3" s="1"/>
  <c r="M252" i="3"/>
  <c r="AA252" i="3"/>
  <c r="AC252" i="3"/>
  <c r="AD252" i="3" s="1"/>
  <c r="AJ252" i="3"/>
  <c r="J254" i="3"/>
  <c r="N254" i="3" s="1"/>
  <c r="AG254" i="3" s="1"/>
  <c r="M254" i="3"/>
  <c r="AA254" i="3"/>
  <c r="AC254" i="3"/>
  <c r="AD254" i="3" s="1"/>
  <c r="AJ254" i="3"/>
  <c r="J251" i="3"/>
  <c r="N251" i="3" s="1"/>
  <c r="AG251" i="3" s="1"/>
  <c r="M251" i="3"/>
  <c r="AA251" i="3"/>
  <c r="AC251" i="3"/>
  <c r="AD251" i="3" s="1"/>
  <c r="AJ251" i="3"/>
  <c r="J258" i="3"/>
  <c r="N258" i="3" s="1"/>
  <c r="AG258" i="3" s="1"/>
  <c r="M258" i="3"/>
  <c r="AA258" i="3"/>
  <c r="AC258" i="3"/>
  <c r="AD258" i="3" s="1"/>
  <c r="AJ258" i="3"/>
  <c r="J259" i="3"/>
  <c r="N259" i="3" s="1"/>
  <c r="AG259" i="3" s="1"/>
  <c r="M259" i="3"/>
  <c r="AA259" i="3"/>
  <c r="AC259" i="3"/>
  <c r="AD259" i="3" s="1"/>
  <c r="AJ259" i="3"/>
  <c r="J257" i="3"/>
  <c r="N257" i="3" s="1"/>
  <c r="AG257" i="3" s="1"/>
  <c r="M257" i="3"/>
  <c r="AA257" i="3"/>
  <c r="AC257" i="3"/>
  <c r="AD257" i="3" s="1"/>
  <c r="AJ257" i="3"/>
  <c r="J260" i="3"/>
  <c r="N260" i="3" s="1"/>
  <c r="AG260" i="3" s="1"/>
  <c r="M260" i="3"/>
  <c r="AA260" i="3"/>
  <c r="AC260" i="3"/>
  <c r="AD260" i="3" s="1"/>
  <c r="AJ260" i="3"/>
  <c r="J269" i="3"/>
  <c r="M269" i="3"/>
  <c r="AA269" i="3"/>
  <c r="AC269" i="3"/>
  <c r="AD269" i="3" s="1"/>
  <c r="AJ269" i="3"/>
  <c r="J261" i="3"/>
  <c r="M261" i="3"/>
  <c r="AA261" i="3"/>
  <c r="AC261" i="3"/>
  <c r="AD261" i="3" s="1"/>
  <c r="AJ261" i="3"/>
  <c r="J262" i="3"/>
  <c r="M262" i="3"/>
  <c r="AA262" i="3"/>
  <c r="AC262" i="3"/>
  <c r="AD262" i="3" s="1"/>
  <c r="AJ262" i="3"/>
  <c r="J263" i="3"/>
  <c r="N263" i="3" s="1"/>
  <c r="AG263" i="3" s="1"/>
  <c r="M263" i="3"/>
  <c r="AA263" i="3"/>
  <c r="AC263" i="3"/>
  <c r="AD263" i="3" s="1"/>
  <c r="AJ263" i="3"/>
  <c r="J264" i="3"/>
  <c r="M264" i="3"/>
  <c r="AA264" i="3"/>
  <c r="AC264" i="3"/>
  <c r="AD264" i="3" s="1"/>
  <c r="AJ264" i="3"/>
  <c r="J265" i="3"/>
  <c r="N265" i="3" s="1"/>
  <c r="AG265" i="3" s="1"/>
  <c r="M265" i="3"/>
  <c r="AA265" i="3"/>
  <c r="AC265" i="3"/>
  <c r="AD265" i="3" s="1"/>
  <c r="AJ265" i="3"/>
  <c r="J266" i="3"/>
  <c r="N266" i="3" s="1"/>
  <c r="AG266" i="3" s="1"/>
  <c r="M266" i="3"/>
  <c r="AA266" i="3"/>
  <c r="AC266" i="3"/>
  <c r="AD266" i="3" s="1"/>
  <c r="AJ266" i="3"/>
  <c r="J267" i="3"/>
  <c r="N267" i="3" s="1"/>
  <c r="AG267" i="3" s="1"/>
  <c r="M267" i="3"/>
  <c r="AA267" i="3"/>
  <c r="AC267" i="3"/>
  <c r="AD267" i="3" s="1"/>
  <c r="AJ267" i="3"/>
  <c r="J268" i="3"/>
  <c r="N268" i="3" s="1"/>
  <c r="AG268" i="3" s="1"/>
  <c r="M268" i="3"/>
  <c r="AA268" i="3"/>
  <c r="AC268" i="3"/>
  <c r="AD268" i="3" s="1"/>
  <c r="AJ268" i="3"/>
  <c r="J270" i="3"/>
  <c r="M270" i="3"/>
  <c r="AA270" i="3"/>
  <c r="AC270" i="3"/>
  <c r="AD270" i="3" s="1"/>
  <c r="AJ270" i="3"/>
  <c r="J280" i="3"/>
  <c r="N280" i="3" s="1"/>
  <c r="AG280" i="3" s="1"/>
  <c r="M280" i="3"/>
  <c r="AA280" i="3"/>
  <c r="AC280" i="3"/>
  <c r="AD280" i="3" s="1"/>
  <c r="AJ280" i="3"/>
  <c r="J423" i="3"/>
  <c r="M423" i="3"/>
  <c r="AA423" i="3"/>
  <c r="AC423" i="3"/>
  <c r="AD423" i="3" s="1"/>
  <c r="AJ423" i="3"/>
  <c r="J279" i="3"/>
  <c r="N279" i="3" s="1"/>
  <c r="AG279" i="3" s="1"/>
  <c r="M279" i="3"/>
  <c r="AA279" i="3"/>
  <c r="AC279" i="3"/>
  <c r="AD279" i="3" s="1"/>
  <c r="AJ279" i="3"/>
  <c r="J274" i="3"/>
  <c r="N274" i="3" s="1"/>
  <c r="AG274" i="3" s="1"/>
  <c r="M274" i="3"/>
  <c r="AA274" i="3"/>
  <c r="AC274" i="3"/>
  <c r="AD274" i="3" s="1"/>
  <c r="AJ274" i="3"/>
  <c r="J275" i="3"/>
  <c r="N275" i="3" s="1"/>
  <c r="AG275" i="3" s="1"/>
  <c r="M275" i="3"/>
  <c r="AA275" i="3"/>
  <c r="AC275" i="3"/>
  <c r="AD275" i="3" s="1"/>
  <c r="AJ275" i="3"/>
  <c r="J278" i="3"/>
  <c r="N278" i="3" s="1"/>
  <c r="AG278" i="3" s="1"/>
  <c r="M278" i="3"/>
  <c r="AA278" i="3"/>
  <c r="AC278" i="3"/>
  <c r="AD278" i="3" s="1"/>
  <c r="AJ278" i="3"/>
  <c r="J276" i="3"/>
  <c r="N276" i="3" s="1"/>
  <c r="AG276" i="3" s="1"/>
  <c r="M276" i="3"/>
  <c r="AA276" i="3"/>
  <c r="AC276" i="3"/>
  <c r="AD276" i="3" s="1"/>
  <c r="AJ276" i="3"/>
  <c r="J277" i="3"/>
  <c r="N277" i="3" s="1"/>
  <c r="AG277" i="3" s="1"/>
  <c r="M277" i="3"/>
  <c r="AA277" i="3"/>
  <c r="AC277" i="3"/>
  <c r="AD277" i="3" s="1"/>
  <c r="AJ277" i="3"/>
  <c r="J281" i="3"/>
  <c r="M281" i="3"/>
  <c r="AA281" i="3"/>
  <c r="AC281" i="3"/>
  <c r="AD281" i="3" s="1"/>
  <c r="AJ281" i="3"/>
  <c r="J272" i="3"/>
  <c r="N272" i="3" s="1"/>
  <c r="AG272" i="3" s="1"/>
  <c r="M272" i="3"/>
  <c r="AA272" i="3"/>
  <c r="AC272" i="3"/>
  <c r="AD272" i="3" s="1"/>
  <c r="AJ272" i="3"/>
  <c r="J273" i="3"/>
  <c r="N273" i="3" s="1"/>
  <c r="AG273" i="3" s="1"/>
  <c r="M273" i="3"/>
  <c r="AA273" i="3"/>
  <c r="AC273" i="3"/>
  <c r="AD273" i="3" s="1"/>
  <c r="AJ273" i="3"/>
  <c r="J271" i="3"/>
  <c r="N271" i="3" s="1"/>
  <c r="AG271" i="3" s="1"/>
  <c r="M271" i="3"/>
  <c r="AA271" i="3"/>
  <c r="AC271" i="3"/>
  <c r="AD271" i="3" s="1"/>
  <c r="AJ271" i="3"/>
  <c r="J283" i="3"/>
  <c r="N283" i="3" s="1"/>
  <c r="AG283" i="3" s="1"/>
  <c r="M283" i="3"/>
  <c r="AA283" i="3"/>
  <c r="AC283" i="3"/>
  <c r="AD283" i="3" s="1"/>
  <c r="AJ283" i="3"/>
  <c r="J282" i="3"/>
  <c r="N282" i="3" s="1"/>
  <c r="AG282" i="3" s="1"/>
  <c r="M282" i="3"/>
  <c r="AA282" i="3"/>
  <c r="AC282" i="3"/>
  <c r="AD282" i="3" s="1"/>
  <c r="AJ282" i="3"/>
  <c r="J289" i="3"/>
  <c r="N289" i="3" s="1"/>
  <c r="AG289" i="3" s="1"/>
  <c r="M289" i="3"/>
  <c r="AA289" i="3"/>
  <c r="AC289" i="3"/>
  <c r="AD289" i="3" s="1"/>
  <c r="AJ289" i="3"/>
  <c r="J292" i="3"/>
  <c r="N292" i="3" s="1"/>
  <c r="AG292" i="3" s="1"/>
  <c r="M292" i="3"/>
  <c r="AA292" i="3"/>
  <c r="AC292" i="3"/>
  <c r="AD292" i="3" s="1"/>
  <c r="AJ292" i="3"/>
  <c r="J291" i="3"/>
  <c r="N291" i="3" s="1"/>
  <c r="AG291" i="3" s="1"/>
  <c r="M291" i="3"/>
  <c r="AA291" i="3"/>
  <c r="AC291" i="3"/>
  <c r="AD291" i="3" s="1"/>
  <c r="AJ291" i="3"/>
  <c r="J285" i="3"/>
  <c r="N285" i="3" s="1"/>
  <c r="AG285" i="3" s="1"/>
  <c r="M285" i="3"/>
  <c r="AA285" i="3"/>
  <c r="AC285" i="3"/>
  <c r="AD285" i="3" s="1"/>
  <c r="AJ285" i="3"/>
  <c r="J286" i="3"/>
  <c r="N286" i="3" s="1"/>
  <c r="AG286" i="3" s="1"/>
  <c r="M286" i="3"/>
  <c r="AA286" i="3"/>
  <c r="AC286" i="3"/>
  <c r="AD286" i="3" s="1"/>
  <c r="AJ286" i="3"/>
  <c r="J290" i="3"/>
  <c r="N290" i="3" s="1"/>
  <c r="AG290" i="3" s="1"/>
  <c r="M290" i="3"/>
  <c r="AA290" i="3"/>
  <c r="AC290" i="3"/>
  <c r="AD290" i="3" s="1"/>
  <c r="AJ290" i="3"/>
  <c r="J284" i="3"/>
  <c r="N284" i="3" s="1"/>
  <c r="AG284" i="3" s="1"/>
  <c r="M284" i="3"/>
  <c r="AA284" i="3"/>
  <c r="AC284" i="3"/>
  <c r="AD284" i="3" s="1"/>
  <c r="AJ284" i="3"/>
  <c r="J288" i="3"/>
  <c r="N288" i="3" s="1"/>
  <c r="AG288" i="3" s="1"/>
  <c r="M288" i="3"/>
  <c r="AA288" i="3"/>
  <c r="AC288" i="3"/>
  <c r="AD288" i="3" s="1"/>
  <c r="AJ288" i="3"/>
  <c r="J287" i="3"/>
  <c r="N287" i="3" s="1"/>
  <c r="AG287" i="3" s="1"/>
  <c r="M287" i="3"/>
  <c r="AA287" i="3"/>
  <c r="AC287" i="3"/>
  <c r="AD287" i="3" s="1"/>
  <c r="AJ287" i="3"/>
  <c r="J294" i="3"/>
  <c r="N294" i="3" s="1"/>
  <c r="AG294" i="3" s="1"/>
  <c r="M294" i="3"/>
  <c r="AA294" i="3"/>
  <c r="AC294" i="3"/>
  <c r="AD294" i="3" s="1"/>
  <c r="AJ294" i="3"/>
  <c r="J295" i="3"/>
  <c r="N295" i="3" s="1"/>
  <c r="AG295" i="3" s="1"/>
  <c r="M295" i="3"/>
  <c r="AA295" i="3"/>
  <c r="AC295" i="3"/>
  <c r="AD295" i="3" s="1"/>
  <c r="AJ295" i="3"/>
  <c r="J297" i="3"/>
  <c r="N297" i="3" s="1"/>
  <c r="AG297" i="3" s="1"/>
  <c r="M297" i="3"/>
  <c r="AA297" i="3"/>
  <c r="AC297" i="3"/>
  <c r="AD297" i="3" s="1"/>
  <c r="AJ297" i="3"/>
  <c r="J298" i="3"/>
  <c r="N298" i="3" s="1"/>
  <c r="AG298" i="3" s="1"/>
  <c r="M298" i="3"/>
  <c r="AA298" i="3"/>
  <c r="AC298" i="3"/>
  <c r="AD298" i="3" s="1"/>
  <c r="AJ298" i="3"/>
  <c r="J296" i="3"/>
  <c r="N296" i="3" s="1"/>
  <c r="AG296" i="3" s="1"/>
  <c r="M296" i="3"/>
  <c r="AA296" i="3"/>
  <c r="AC296" i="3"/>
  <c r="AD296" i="3" s="1"/>
  <c r="AJ296" i="3"/>
  <c r="J293" i="3"/>
  <c r="N293" i="3" s="1"/>
  <c r="AG293" i="3" s="1"/>
  <c r="M293" i="3"/>
  <c r="AA293" i="3"/>
  <c r="AC293" i="3"/>
  <c r="AD293" i="3" s="1"/>
  <c r="AJ293" i="3"/>
  <c r="J299" i="3"/>
  <c r="N299" i="3" s="1"/>
  <c r="AG299" i="3" s="1"/>
  <c r="M299" i="3"/>
  <c r="AA299" i="3"/>
  <c r="AC299" i="3"/>
  <c r="AD299" i="3" s="1"/>
  <c r="AJ299" i="3"/>
  <c r="J309" i="3"/>
  <c r="M309" i="3"/>
  <c r="AA309" i="3"/>
  <c r="AC309" i="3"/>
  <c r="AD309" i="3" s="1"/>
  <c r="AJ309" i="3"/>
  <c r="J303" i="3"/>
  <c r="M303" i="3"/>
  <c r="AA303" i="3"/>
  <c r="AC303" i="3"/>
  <c r="AD303" i="3" s="1"/>
  <c r="AJ303" i="3"/>
  <c r="J301" i="3"/>
  <c r="M301" i="3"/>
  <c r="AA301" i="3"/>
  <c r="AC301" i="3"/>
  <c r="AD301" i="3" s="1"/>
  <c r="AJ301" i="3"/>
  <c r="J308" i="3"/>
  <c r="N308" i="3" s="1"/>
  <c r="AG308" i="3" s="1"/>
  <c r="M308" i="3"/>
  <c r="AA308" i="3"/>
  <c r="AC308" i="3"/>
  <c r="AD308" i="3" s="1"/>
  <c r="AJ308" i="3"/>
  <c r="J305" i="3"/>
  <c r="N305" i="3" s="1"/>
  <c r="AG305" i="3" s="1"/>
  <c r="M305" i="3"/>
  <c r="AA305" i="3"/>
  <c r="AC305" i="3"/>
  <c r="AD305" i="3" s="1"/>
  <c r="AJ305" i="3"/>
  <c r="J300" i="3"/>
  <c r="M300" i="3"/>
  <c r="AA300" i="3"/>
  <c r="AC300" i="3"/>
  <c r="AD300" i="3" s="1"/>
  <c r="AJ300" i="3"/>
  <c r="J304" i="3"/>
  <c r="N304" i="3" s="1"/>
  <c r="AG304" i="3" s="1"/>
  <c r="M304" i="3"/>
  <c r="AA304" i="3"/>
  <c r="AC304" i="3"/>
  <c r="AD304" i="3" s="1"/>
  <c r="AJ304" i="3"/>
  <c r="J311" i="3"/>
  <c r="N311" i="3" s="1"/>
  <c r="AG311" i="3" s="1"/>
  <c r="M311" i="3"/>
  <c r="AA311" i="3"/>
  <c r="AC311" i="3"/>
  <c r="AD311" i="3" s="1"/>
  <c r="AJ311" i="3"/>
  <c r="J312" i="3"/>
  <c r="N312" i="3" s="1"/>
  <c r="AG312" i="3" s="1"/>
  <c r="M312" i="3"/>
  <c r="AA312" i="3"/>
  <c r="AC312" i="3"/>
  <c r="AD312" i="3" s="1"/>
  <c r="AJ312" i="3"/>
  <c r="J307" i="3"/>
  <c r="M307" i="3"/>
  <c r="AA307" i="3"/>
  <c r="AC307" i="3"/>
  <c r="AD307" i="3" s="1"/>
  <c r="AJ307" i="3"/>
  <c r="J302" i="3"/>
  <c r="M302" i="3"/>
  <c r="AA302" i="3"/>
  <c r="AC302" i="3"/>
  <c r="AD302" i="3" s="1"/>
  <c r="AJ302" i="3"/>
  <c r="J306" i="3"/>
  <c r="M306" i="3"/>
  <c r="AA306" i="3"/>
  <c r="AC306" i="3"/>
  <c r="AD306" i="3" s="1"/>
  <c r="AJ306" i="3"/>
  <c r="J310" i="3"/>
  <c r="N310" i="3" s="1"/>
  <c r="AG310" i="3" s="1"/>
  <c r="M310" i="3"/>
  <c r="AA310" i="3"/>
  <c r="AC310" i="3"/>
  <c r="AD310" i="3" s="1"/>
  <c r="AJ310" i="3"/>
  <c r="J314" i="3"/>
  <c r="M314" i="3"/>
  <c r="AA314" i="3"/>
  <c r="AC314" i="3"/>
  <c r="AD314" i="3" s="1"/>
  <c r="AJ314" i="3"/>
  <c r="J313" i="3"/>
  <c r="M313" i="3"/>
  <c r="AA313" i="3"/>
  <c r="AC313" i="3"/>
  <c r="AD313" i="3" s="1"/>
  <c r="AJ313" i="3"/>
  <c r="J315" i="3"/>
  <c r="N315" i="3" s="1"/>
  <c r="AG315" i="3" s="1"/>
  <c r="M315" i="3"/>
  <c r="AA315" i="3"/>
  <c r="AC315" i="3"/>
  <c r="AD315" i="3" s="1"/>
  <c r="AJ315" i="3"/>
  <c r="I327" i="3"/>
  <c r="J327" i="3" s="1"/>
  <c r="N327" i="3" s="1"/>
  <c r="AG327" i="3" s="1"/>
  <c r="M327" i="3"/>
  <c r="AA327" i="3"/>
  <c r="AC327" i="3"/>
  <c r="AD327" i="3" s="1"/>
  <c r="AJ327" i="3"/>
  <c r="I328" i="3"/>
  <c r="J328" i="3" s="1"/>
  <c r="N328" i="3" s="1"/>
  <c r="AG328" i="3" s="1"/>
  <c r="M328" i="3"/>
  <c r="AA328" i="3"/>
  <c r="AC328" i="3"/>
  <c r="AD328" i="3" s="1"/>
  <c r="AJ328" i="3"/>
  <c r="J322" i="3"/>
  <c r="N322" i="3" s="1"/>
  <c r="AG322" i="3" s="1"/>
  <c r="M322" i="3"/>
  <c r="AA322" i="3"/>
  <c r="AC322" i="3"/>
  <c r="AD322" i="3" s="1"/>
  <c r="AJ322" i="3"/>
  <c r="J317" i="3"/>
  <c r="N317" i="3" s="1"/>
  <c r="AG317" i="3" s="1"/>
  <c r="M317" i="3"/>
  <c r="AA317" i="3"/>
  <c r="AC317" i="3"/>
  <c r="AD317" i="3" s="1"/>
  <c r="AJ317" i="3"/>
  <c r="J319" i="3"/>
  <c r="N319" i="3" s="1"/>
  <c r="AG319" i="3" s="1"/>
  <c r="M319" i="3"/>
  <c r="AA319" i="3"/>
  <c r="AC319" i="3"/>
  <c r="AD319" i="3" s="1"/>
  <c r="AJ319" i="3"/>
  <c r="J320" i="3"/>
  <c r="N320" i="3" s="1"/>
  <c r="AG320" i="3" s="1"/>
  <c r="M320" i="3"/>
  <c r="AA320" i="3"/>
  <c r="AC320" i="3"/>
  <c r="AD320" i="3" s="1"/>
  <c r="AJ320" i="3"/>
  <c r="J323" i="3"/>
  <c r="N323" i="3" s="1"/>
  <c r="AG323" i="3" s="1"/>
  <c r="M323" i="3"/>
  <c r="AA323" i="3"/>
  <c r="AC323" i="3"/>
  <c r="AD323" i="3" s="1"/>
  <c r="AJ323" i="3"/>
  <c r="J325" i="3"/>
  <c r="M325" i="3"/>
  <c r="AA325" i="3"/>
  <c r="AC325" i="3"/>
  <c r="AD325" i="3" s="1"/>
  <c r="AJ325" i="3"/>
  <c r="J324" i="3"/>
  <c r="M324" i="3"/>
  <c r="AA324" i="3"/>
  <c r="AC324" i="3"/>
  <c r="AD324" i="3" s="1"/>
  <c r="AJ324" i="3"/>
  <c r="J316" i="3"/>
  <c r="N316" i="3" s="1"/>
  <c r="AG316" i="3" s="1"/>
  <c r="M316" i="3"/>
  <c r="AA316" i="3"/>
  <c r="AC316" i="3"/>
  <c r="AD316" i="3" s="1"/>
  <c r="AJ316" i="3"/>
  <c r="J318" i="3"/>
  <c r="M318" i="3"/>
  <c r="AA318" i="3"/>
  <c r="AC318" i="3"/>
  <c r="AD318" i="3" s="1"/>
  <c r="AJ318" i="3"/>
  <c r="J326" i="3"/>
  <c r="N326" i="3" s="1"/>
  <c r="AG326" i="3" s="1"/>
  <c r="M326" i="3"/>
  <c r="AA326" i="3"/>
  <c r="AC326" i="3"/>
  <c r="AD326" i="3" s="1"/>
  <c r="AJ326" i="3"/>
  <c r="J329" i="3"/>
  <c r="M329" i="3"/>
  <c r="AA329" i="3"/>
  <c r="AC329" i="3"/>
  <c r="AD329" i="3" s="1"/>
  <c r="AJ329" i="3"/>
  <c r="J321" i="3"/>
  <c r="N321" i="3" s="1"/>
  <c r="AG321" i="3" s="1"/>
  <c r="M321" i="3"/>
  <c r="AA321" i="3"/>
  <c r="AC321" i="3"/>
  <c r="AD321" i="3" s="1"/>
  <c r="AJ321" i="3"/>
  <c r="J331" i="3"/>
  <c r="M331" i="3"/>
  <c r="AA331" i="3"/>
  <c r="AC331" i="3"/>
  <c r="AD331" i="3" s="1"/>
  <c r="AJ331" i="3"/>
  <c r="J330" i="3"/>
  <c r="N330" i="3" s="1"/>
  <c r="AG330" i="3" s="1"/>
  <c r="M330" i="3"/>
  <c r="AA330" i="3"/>
  <c r="AC330" i="3"/>
  <c r="AD330" i="3" s="1"/>
  <c r="AJ330" i="3"/>
  <c r="J336" i="3"/>
  <c r="N336" i="3" s="1"/>
  <c r="AG336" i="3" s="1"/>
  <c r="M336" i="3"/>
  <c r="AA336" i="3"/>
  <c r="AC336" i="3"/>
  <c r="AD336" i="3" s="1"/>
  <c r="AJ336" i="3"/>
  <c r="J335" i="3"/>
  <c r="M335" i="3"/>
  <c r="AA335" i="3"/>
  <c r="AC335" i="3"/>
  <c r="AD335" i="3" s="1"/>
  <c r="AJ335" i="3"/>
  <c r="J334" i="3"/>
  <c r="N334" i="3" s="1"/>
  <c r="AG334" i="3" s="1"/>
  <c r="M334" i="3"/>
  <c r="AA334" i="3"/>
  <c r="AC334" i="3"/>
  <c r="AD334" i="3" s="1"/>
  <c r="AJ334" i="3"/>
  <c r="J333" i="3"/>
  <c r="N333" i="3" s="1"/>
  <c r="AG333" i="3" s="1"/>
  <c r="M333" i="3"/>
  <c r="AA333" i="3"/>
  <c r="AC333" i="3"/>
  <c r="AD333" i="3" s="1"/>
  <c r="AJ333" i="3"/>
  <c r="J332" i="3"/>
  <c r="N332" i="3" s="1"/>
  <c r="AG332" i="3" s="1"/>
  <c r="M332" i="3"/>
  <c r="AA332" i="3"/>
  <c r="AC332" i="3"/>
  <c r="AD332" i="3" s="1"/>
  <c r="AJ332" i="3"/>
  <c r="J342" i="3"/>
  <c r="N342" i="3" s="1"/>
  <c r="AG342" i="3" s="1"/>
  <c r="M342" i="3"/>
  <c r="AA342" i="3"/>
  <c r="AC342" i="3"/>
  <c r="AD342" i="3" s="1"/>
  <c r="AJ342" i="3"/>
  <c r="J343" i="3"/>
  <c r="M343" i="3"/>
  <c r="AA343" i="3"/>
  <c r="AC343" i="3"/>
  <c r="AD343" i="3" s="1"/>
  <c r="AJ343" i="3"/>
  <c r="J424" i="3"/>
  <c r="M424" i="3"/>
  <c r="AA424" i="3"/>
  <c r="AC424" i="3"/>
  <c r="AD424" i="3" s="1"/>
  <c r="AJ424" i="3"/>
  <c r="J425" i="3"/>
  <c r="M425" i="3"/>
  <c r="AA425" i="3"/>
  <c r="AC425" i="3"/>
  <c r="AD425" i="3" s="1"/>
  <c r="AJ425" i="3"/>
  <c r="J344" i="3"/>
  <c r="N344" i="3" s="1"/>
  <c r="AG344" i="3" s="1"/>
  <c r="M344" i="3"/>
  <c r="AA344" i="3"/>
  <c r="AC344" i="3"/>
  <c r="AD344" i="3" s="1"/>
  <c r="AJ344" i="3"/>
  <c r="J341" i="3"/>
  <c r="N341" i="3" s="1"/>
  <c r="AG341" i="3" s="1"/>
  <c r="M341" i="3"/>
  <c r="AA341" i="3"/>
  <c r="AC341" i="3"/>
  <c r="AD341" i="3" s="1"/>
  <c r="AJ341" i="3"/>
  <c r="J338" i="3"/>
  <c r="N338" i="3" s="1"/>
  <c r="AG338" i="3" s="1"/>
  <c r="M338" i="3"/>
  <c r="AA338" i="3"/>
  <c r="AC338" i="3"/>
  <c r="AD338" i="3" s="1"/>
  <c r="AJ338" i="3"/>
  <c r="J337" i="3"/>
  <c r="N337" i="3" s="1"/>
  <c r="AG337" i="3" s="1"/>
  <c r="M337" i="3"/>
  <c r="AA337" i="3"/>
  <c r="AC337" i="3"/>
  <c r="AD337" i="3" s="1"/>
  <c r="AJ337" i="3"/>
  <c r="J339" i="3"/>
  <c r="N339" i="3" s="1"/>
  <c r="AG339" i="3" s="1"/>
  <c r="M339" i="3"/>
  <c r="AA339" i="3"/>
  <c r="AC339" i="3"/>
  <c r="AD339" i="3" s="1"/>
  <c r="AJ339" i="3"/>
  <c r="J340" i="3"/>
  <c r="N340" i="3" s="1"/>
  <c r="AG340" i="3" s="1"/>
  <c r="M340" i="3"/>
  <c r="AA340" i="3"/>
  <c r="AC340" i="3"/>
  <c r="AD340" i="3" s="1"/>
  <c r="AJ340" i="3"/>
  <c r="J345" i="3"/>
  <c r="N345" i="3" s="1"/>
  <c r="AG345" i="3" s="1"/>
  <c r="M345" i="3"/>
  <c r="AA345" i="3"/>
  <c r="AC345" i="3"/>
  <c r="AD345" i="3" s="1"/>
  <c r="AJ345" i="3"/>
  <c r="J353" i="3"/>
  <c r="N353" i="3" s="1"/>
  <c r="AG353" i="3" s="1"/>
  <c r="M353" i="3"/>
  <c r="AA353" i="3"/>
  <c r="AC353" i="3"/>
  <c r="AD353" i="3" s="1"/>
  <c r="AJ353" i="3"/>
  <c r="J350" i="3"/>
  <c r="N350" i="3" s="1"/>
  <c r="AG350" i="3" s="1"/>
  <c r="M350" i="3"/>
  <c r="AA350" i="3"/>
  <c r="AC350" i="3"/>
  <c r="AD350" i="3" s="1"/>
  <c r="AJ350" i="3"/>
  <c r="J348" i="3"/>
  <c r="N348" i="3" s="1"/>
  <c r="AG348" i="3" s="1"/>
  <c r="M348" i="3"/>
  <c r="AA348" i="3"/>
  <c r="AC348" i="3"/>
  <c r="AD348" i="3" s="1"/>
  <c r="AJ348" i="3"/>
  <c r="J346" i="3"/>
  <c r="N346" i="3" s="1"/>
  <c r="AG346" i="3" s="1"/>
  <c r="M346" i="3"/>
  <c r="AA346" i="3"/>
  <c r="AC346" i="3"/>
  <c r="AD346" i="3" s="1"/>
  <c r="AJ346" i="3"/>
  <c r="J347" i="3"/>
  <c r="N347" i="3" s="1"/>
  <c r="AG347" i="3" s="1"/>
  <c r="M347" i="3"/>
  <c r="AA347" i="3"/>
  <c r="AC347" i="3"/>
  <c r="AD347" i="3" s="1"/>
  <c r="AJ347" i="3"/>
  <c r="J352" i="3"/>
  <c r="N352" i="3" s="1"/>
  <c r="AG352" i="3" s="1"/>
  <c r="M352" i="3"/>
  <c r="AA352" i="3"/>
  <c r="AC352" i="3"/>
  <c r="AD352" i="3" s="1"/>
  <c r="AJ352" i="3"/>
  <c r="J354" i="3"/>
  <c r="N354" i="3" s="1"/>
  <c r="AG354" i="3" s="1"/>
  <c r="M354" i="3"/>
  <c r="AA354" i="3"/>
  <c r="AC354" i="3"/>
  <c r="AD354" i="3" s="1"/>
  <c r="AJ354" i="3"/>
  <c r="J349" i="3"/>
  <c r="N349" i="3" s="1"/>
  <c r="AG349" i="3" s="1"/>
  <c r="M349" i="3"/>
  <c r="AA349" i="3"/>
  <c r="AC349" i="3"/>
  <c r="AD349" i="3" s="1"/>
  <c r="AJ349" i="3"/>
  <c r="J351" i="3"/>
  <c r="N351" i="3" s="1"/>
  <c r="AG351" i="3" s="1"/>
  <c r="M351" i="3"/>
  <c r="AA351" i="3"/>
  <c r="AC351" i="3"/>
  <c r="AD351" i="3" s="1"/>
  <c r="AJ351" i="3"/>
  <c r="J355" i="3"/>
  <c r="N355" i="3" s="1"/>
  <c r="AG355" i="3" s="1"/>
  <c r="M355" i="3"/>
  <c r="AA355" i="3"/>
  <c r="AC355" i="3"/>
  <c r="AD355" i="3" s="1"/>
  <c r="AJ355" i="3"/>
  <c r="J356" i="3"/>
  <c r="N356" i="3" s="1"/>
  <c r="AG356" i="3" s="1"/>
  <c r="M356" i="3"/>
  <c r="AA356" i="3"/>
  <c r="AC356" i="3"/>
  <c r="AD356" i="3" s="1"/>
  <c r="AJ356" i="3"/>
  <c r="J357" i="3"/>
  <c r="N357" i="3" s="1"/>
  <c r="AG357" i="3" s="1"/>
  <c r="M357" i="3"/>
  <c r="AA357" i="3"/>
  <c r="AC357" i="3"/>
  <c r="AD357" i="3" s="1"/>
  <c r="AJ357" i="3"/>
  <c r="J358" i="3"/>
  <c r="N358" i="3" s="1"/>
  <c r="AG358" i="3" s="1"/>
  <c r="M358" i="3"/>
  <c r="AA358" i="3"/>
  <c r="AC358" i="3"/>
  <c r="AD358" i="3" s="1"/>
  <c r="AJ358" i="3"/>
  <c r="J360" i="3"/>
  <c r="N360" i="3" s="1"/>
  <c r="AG360" i="3" s="1"/>
  <c r="M360" i="3"/>
  <c r="AA360" i="3"/>
  <c r="AC360" i="3"/>
  <c r="AD360" i="3" s="1"/>
  <c r="AJ360" i="3"/>
  <c r="J359" i="3"/>
  <c r="N359" i="3" s="1"/>
  <c r="AG359" i="3" s="1"/>
  <c r="M359" i="3"/>
  <c r="AA359" i="3"/>
  <c r="AC359" i="3"/>
  <c r="AD359" i="3" s="1"/>
  <c r="AJ359" i="3"/>
  <c r="J363" i="3"/>
  <c r="N363" i="3" s="1"/>
  <c r="AG363" i="3" s="1"/>
  <c r="M363" i="3"/>
  <c r="AA363" i="3"/>
  <c r="AC363" i="3"/>
  <c r="AD363" i="3" s="1"/>
  <c r="AJ363" i="3"/>
  <c r="J376" i="3"/>
  <c r="N376" i="3" s="1"/>
  <c r="AG376" i="3" s="1"/>
  <c r="M376" i="3"/>
  <c r="AA376" i="3"/>
  <c r="AC376" i="3"/>
  <c r="AD376" i="3" s="1"/>
  <c r="AJ376" i="3"/>
  <c r="J361" i="3"/>
  <c r="N361" i="3" s="1"/>
  <c r="AG361" i="3" s="1"/>
  <c r="M361" i="3"/>
  <c r="AA361" i="3"/>
  <c r="AC361" i="3"/>
  <c r="AD361" i="3" s="1"/>
  <c r="AJ361" i="3"/>
  <c r="J373" i="3"/>
  <c r="N373" i="3" s="1"/>
  <c r="AG373" i="3" s="1"/>
  <c r="M373" i="3"/>
  <c r="AA373" i="3"/>
  <c r="AC373" i="3"/>
  <c r="AD373" i="3" s="1"/>
  <c r="AJ373" i="3"/>
  <c r="J368" i="3"/>
  <c r="N368" i="3" s="1"/>
  <c r="AG368" i="3" s="1"/>
  <c r="M368" i="3"/>
  <c r="AA368" i="3"/>
  <c r="AC368" i="3"/>
  <c r="AD368" i="3" s="1"/>
  <c r="AJ368" i="3"/>
  <c r="J366" i="3"/>
  <c r="N366" i="3" s="1"/>
  <c r="AG366" i="3" s="1"/>
  <c r="M366" i="3"/>
  <c r="AA366" i="3"/>
  <c r="AC366" i="3"/>
  <c r="AD366" i="3" s="1"/>
  <c r="AJ366" i="3"/>
  <c r="J369" i="3"/>
  <c r="N369" i="3" s="1"/>
  <c r="AG369" i="3" s="1"/>
  <c r="M369" i="3"/>
  <c r="AA369" i="3"/>
  <c r="AC369" i="3"/>
  <c r="AD369" i="3" s="1"/>
  <c r="AJ369" i="3"/>
  <c r="J367" i="3"/>
  <c r="N367" i="3" s="1"/>
  <c r="AG367" i="3" s="1"/>
  <c r="M367" i="3"/>
  <c r="AA367" i="3"/>
  <c r="AC367" i="3"/>
  <c r="AD367" i="3" s="1"/>
  <c r="AJ367" i="3"/>
  <c r="J372" i="3"/>
  <c r="N372" i="3" s="1"/>
  <c r="AG372" i="3" s="1"/>
  <c r="M372" i="3"/>
  <c r="AA372" i="3"/>
  <c r="AC372" i="3"/>
  <c r="AD372" i="3" s="1"/>
  <c r="AJ372" i="3"/>
  <c r="J375" i="3"/>
  <c r="N375" i="3" s="1"/>
  <c r="AG375" i="3" s="1"/>
  <c r="M375" i="3"/>
  <c r="AA375" i="3"/>
  <c r="AC375" i="3"/>
  <c r="AD375" i="3" s="1"/>
  <c r="AJ375" i="3"/>
  <c r="J365" i="3"/>
  <c r="N365" i="3" s="1"/>
  <c r="AG365" i="3" s="1"/>
  <c r="M365" i="3"/>
  <c r="AA365" i="3"/>
  <c r="AC365" i="3"/>
  <c r="AD365" i="3" s="1"/>
  <c r="AJ365" i="3"/>
  <c r="J371" i="3"/>
  <c r="N371" i="3" s="1"/>
  <c r="AG371" i="3" s="1"/>
  <c r="M371" i="3"/>
  <c r="AA371" i="3"/>
  <c r="AC371" i="3"/>
  <c r="AD371" i="3" s="1"/>
  <c r="AJ371" i="3"/>
  <c r="J374" i="3"/>
  <c r="N374" i="3" s="1"/>
  <c r="AG374" i="3" s="1"/>
  <c r="M374" i="3"/>
  <c r="AA374" i="3"/>
  <c r="AC374" i="3"/>
  <c r="AD374" i="3" s="1"/>
  <c r="AJ374" i="3"/>
  <c r="J370" i="3"/>
  <c r="N370" i="3" s="1"/>
  <c r="AG370" i="3" s="1"/>
  <c r="M370" i="3"/>
  <c r="AA370" i="3"/>
  <c r="AC370" i="3"/>
  <c r="AD370" i="3" s="1"/>
  <c r="AJ370" i="3"/>
  <c r="J362" i="3"/>
  <c r="N362" i="3" s="1"/>
  <c r="AG362" i="3" s="1"/>
  <c r="M362" i="3"/>
  <c r="AA362" i="3"/>
  <c r="AC362" i="3"/>
  <c r="AD362" i="3" s="1"/>
  <c r="AJ362" i="3"/>
  <c r="J364" i="3"/>
  <c r="M364" i="3"/>
  <c r="AA364" i="3"/>
  <c r="AC364" i="3"/>
  <c r="AD364" i="3" s="1"/>
  <c r="AJ364" i="3"/>
  <c r="J378" i="3"/>
  <c r="N378" i="3" s="1"/>
  <c r="AG378" i="3" s="1"/>
  <c r="M378" i="3"/>
  <c r="AA378" i="3"/>
  <c r="AC378" i="3"/>
  <c r="AD378" i="3" s="1"/>
  <c r="AJ378" i="3"/>
  <c r="J379" i="3"/>
  <c r="N379" i="3" s="1"/>
  <c r="AG379" i="3" s="1"/>
  <c r="M379" i="3"/>
  <c r="AA379" i="3"/>
  <c r="AC379" i="3"/>
  <c r="AD379" i="3" s="1"/>
  <c r="AJ379" i="3"/>
  <c r="J377" i="3"/>
  <c r="N377" i="3" s="1"/>
  <c r="AG377" i="3" s="1"/>
  <c r="M377" i="3"/>
  <c r="AA377" i="3"/>
  <c r="AC377" i="3"/>
  <c r="AD377" i="3" s="1"/>
  <c r="AJ377" i="3"/>
  <c r="J380" i="3"/>
  <c r="N380" i="3" s="1"/>
  <c r="AG380" i="3" s="1"/>
  <c r="M380" i="3"/>
  <c r="AA380" i="3"/>
  <c r="AC380" i="3"/>
  <c r="AD380" i="3" s="1"/>
  <c r="AJ380" i="3"/>
  <c r="J382" i="3"/>
  <c r="N382" i="3" s="1"/>
  <c r="AG382" i="3" s="1"/>
  <c r="M382" i="3"/>
  <c r="AA382" i="3"/>
  <c r="AC382" i="3"/>
  <c r="AD382" i="3" s="1"/>
  <c r="AJ382" i="3"/>
  <c r="J383" i="3"/>
  <c r="N383" i="3" s="1"/>
  <c r="AG383" i="3" s="1"/>
  <c r="M383" i="3"/>
  <c r="AA383" i="3"/>
  <c r="AC383" i="3"/>
  <c r="AD383" i="3" s="1"/>
  <c r="AJ383" i="3"/>
  <c r="J385" i="3"/>
  <c r="N385" i="3" s="1"/>
  <c r="AG385" i="3" s="1"/>
  <c r="M385" i="3"/>
  <c r="AA385" i="3"/>
  <c r="AC385" i="3"/>
  <c r="AD385" i="3" s="1"/>
  <c r="AJ385" i="3"/>
  <c r="J387" i="3"/>
  <c r="N387" i="3" s="1"/>
  <c r="AG387" i="3" s="1"/>
  <c r="M387" i="3"/>
  <c r="AA387" i="3"/>
  <c r="AC387" i="3"/>
  <c r="AD387" i="3" s="1"/>
  <c r="AJ387" i="3"/>
  <c r="J386" i="3"/>
  <c r="N386" i="3" s="1"/>
  <c r="AG386" i="3" s="1"/>
  <c r="M386" i="3"/>
  <c r="AA386" i="3"/>
  <c r="AC386" i="3"/>
  <c r="AD386" i="3" s="1"/>
  <c r="AJ386" i="3"/>
  <c r="J381" i="3"/>
  <c r="N381" i="3" s="1"/>
  <c r="AG381" i="3" s="1"/>
  <c r="M381" i="3"/>
  <c r="AA381" i="3"/>
  <c r="AC381" i="3"/>
  <c r="AD381" i="3" s="1"/>
  <c r="AJ381" i="3"/>
  <c r="J384" i="3"/>
  <c r="N384" i="3" s="1"/>
  <c r="AG384" i="3" s="1"/>
  <c r="M384" i="3"/>
  <c r="AA384" i="3"/>
  <c r="AC384" i="3"/>
  <c r="AD384" i="3" s="1"/>
  <c r="AJ384" i="3"/>
  <c r="J389" i="3"/>
  <c r="N389" i="3" s="1"/>
  <c r="AG389" i="3" s="1"/>
  <c r="M389" i="3"/>
  <c r="AA389" i="3"/>
  <c r="AC389" i="3"/>
  <c r="AD389" i="3" s="1"/>
  <c r="AJ389" i="3"/>
  <c r="J388" i="3"/>
  <c r="M388" i="3"/>
  <c r="AA388" i="3"/>
  <c r="AC388" i="3"/>
  <c r="AD388" i="3" s="1"/>
  <c r="AJ388" i="3"/>
  <c r="J391" i="3"/>
  <c r="M391" i="3"/>
  <c r="AA391" i="3"/>
  <c r="AC391" i="3"/>
  <c r="AD391" i="3" s="1"/>
  <c r="AJ391" i="3"/>
  <c r="J390" i="3"/>
  <c r="N390" i="3" s="1"/>
  <c r="AG390" i="3" s="1"/>
  <c r="M390" i="3"/>
  <c r="AA390" i="3"/>
  <c r="AC390" i="3"/>
  <c r="AD390" i="3" s="1"/>
  <c r="AJ390" i="3"/>
  <c r="J400" i="3"/>
  <c r="N400" i="3" s="1"/>
  <c r="AG400" i="3" s="1"/>
  <c r="M400" i="3"/>
  <c r="AA400" i="3"/>
  <c r="AC400" i="3"/>
  <c r="AD400" i="3" s="1"/>
  <c r="AJ400" i="3"/>
  <c r="J392" i="3"/>
  <c r="N392" i="3" s="1"/>
  <c r="AG392" i="3" s="1"/>
  <c r="M392" i="3"/>
  <c r="AA392" i="3"/>
  <c r="AC392" i="3"/>
  <c r="AD392" i="3" s="1"/>
  <c r="AJ392" i="3"/>
  <c r="J395" i="3"/>
  <c r="N395" i="3" s="1"/>
  <c r="AG395" i="3" s="1"/>
  <c r="M395" i="3"/>
  <c r="AA395" i="3"/>
  <c r="AC395" i="3"/>
  <c r="AD395" i="3" s="1"/>
  <c r="AJ395" i="3"/>
  <c r="J393" i="3"/>
  <c r="N393" i="3" s="1"/>
  <c r="AG393" i="3" s="1"/>
  <c r="M393" i="3"/>
  <c r="AA393" i="3"/>
  <c r="AC393" i="3"/>
  <c r="AD393" i="3" s="1"/>
  <c r="AJ393" i="3"/>
  <c r="J397" i="3"/>
  <c r="N397" i="3" s="1"/>
  <c r="AG397" i="3" s="1"/>
  <c r="M397" i="3"/>
  <c r="AA397" i="3"/>
  <c r="AC397" i="3"/>
  <c r="AD397" i="3" s="1"/>
  <c r="AJ397" i="3"/>
  <c r="J398" i="3"/>
  <c r="N398" i="3" s="1"/>
  <c r="AG398" i="3" s="1"/>
  <c r="M398" i="3"/>
  <c r="AA398" i="3"/>
  <c r="AC398" i="3"/>
  <c r="AD398" i="3" s="1"/>
  <c r="AJ398" i="3"/>
  <c r="J399" i="3"/>
  <c r="N399" i="3" s="1"/>
  <c r="AG399" i="3" s="1"/>
  <c r="M399" i="3"/>
  <c r="AA399" i="3"/>
  <c r="AC399" i="3"/>
  <c r="AD399" i="3" s="1"/>
  <c r="AJ399" i="3"/>
  <c r="J396" i="3"/>
  <c r="N396" i="3" s="1"/>
  <c r="AG396" i="3" s="1"/>
  <c r="M396" i="3"/>
  <c r="AA396" i="3"/>
  <c r="AC396" i="3"/>
  <c r="AD396" i="3" s="1"/>
  <c r="AJ396" i="3"/>
  <c r="J394" i="3"/>
  <c r="N394" i="3" s="1"/>
  <c r="AG394" i="3" s="1"/>
  <c r="M394" i="3"/>
  <c r="AA394" i="3"/>
  <c r="AC394" i="3"/>
  <c r="AD394" i="3" s="1"/>
  <c r="AJ394" i="3"/>
  <c r="J404" i="3"/>
  <c r="N404" i="3" s="1"/>
  <c r="AG404" i="3" s="1"/>
  <c r="M404" i="3"/>
  <c r="AA404" i="3"/>
  <c r="AC404" i="3"/>
  <c r="AD404" i="3" s="1"/>
  <c r="AJ404" i="3"/>
  <c r="J426" i="3"/>
  <c r="M426" i="3"/>
  <c r="AA426" i="3"/>
  <c r="AC426" i="3"/>
  <c r="AD426" i="3" s="1"/>
  <c r="AJ426" i="3"/>
  <c r="J406" i="3"/>
  <c r="N406" i="3" s="1"/>
  <c r="AG406" i="3" s="1"/>
  <c r="M406" i="3"/>
  <c r="AA406" i="3"/>
  <c r="AC406" i="3"/>
  <c r="AD406" i="3" s="1"/>
  <c r="AJ406" i="3"/>
  <c r="J408" i="3"/>
  <c r="N408" i="3" s="1"/>
  <c r="AG408" i="3" s="1"/>
  <c r="M408" i="3"/>
  <c r="AA408" i="3"/>
  <c r="AC408" i="3"/>
  <c r="AD408" i="3" s="1"/>
  <c r="AJ408" i="3"/>
  <c r="J401" i="3"/>
  <c r="N401" i="3" s="1"/>
  <c r="AG401" i="3" s="1"/>
  <c r="M401" i="3"/>
  <c r="AA401" i="3"/>
  <c r="AC401" i="3"/>
  <c r="AD401" i="3" s="1"/>
  <c r="AJ401" i="3"/>
  <c r="J403" i="3"/>
  <c r="N403" i="3" s="1"/>
  <c r="AG403" i="3" s="1"/>
  <c r="M403" i="3"/>
  <c r="AA403" i="3"/>
  <c r="AC403" i="3"/>
  <c r="AD403" i="3" s="1"/>
  <c r="AJ403" i="3"/>
  <c r="J405" i="3"/>
  <c r="N405" i="3" s="1"/>
  <c r="AG405" i="3" s="1"/>
  <c r="M405" i="3"/>
  <c r="AA405" i="3"/>
  <c r="AC405" i="3"/>
  <c r="AD405" i="3" s="1"/>
  <c r="AJ405" i="3"/>
  <c r="J402" i="3"/>
  <c r="N402" i="3" s="1"/>
  <c r="AG402" i="3" s="1"/>
  <c r="M402" i="3"/>
  <c r="AA402" i="3"/>
  <c r="AC402" i="3"/>
  <c r="AD402" i="3" s="1"/>
  <c r="AJ402" i="3"/>
  <c r="J407" i="3"/>
  <c r="N407" i="3" s="1"/>
  <c r="AG407" i="3" s="1"/>
  <c r="M407" i="3"/>
  <c r="AA407" i="3"/>
  <c r="AC407" i="3"/>
  <c r="AD407" i="3" s="1"/>
  <c r="AJ407" i="3"/>
  <c r="J411" i="3"/>
  <c r="N411" i="3" s="1"/>
  <c r="AG411" i="3" s="1"/>
  <c r="M411" i="3"/>
  <c r="AA411" i="3"/>
  <c r="AC411" i="3"/>
  <c r="AD411" i="3" s="1"/>
  <c r="AJ411" i="3"/>
  <c r="J409" i="3"/>
  <c r="N409" i="3" s="1"/>
  <c r="AG409" i="3" s="1"/>
  <c r="M409" i="3"/>
  <c r="AA409" i="3"/>
  <c r="AC409" i="3"/>
  <c r="AD409" i="3" s="1"/>
  <c r="AJ409" i="3"/>
  <c r="J412" i="3"/>
  <c r="N412" i="3" s="1"/>
  <c r="AG412" i="3" s="1"/>
  <c r="M412" i="3"/>
  <c r="AA412" i="3"/>
  <c r="AC412" i="3"/>
  <c r="AD412" i="3" s="1"/>
  <c r="AJ412" i="3"/>
  <c r="J410" i="3"/>
  <c r="N410" i="3" s="1"/>
  <c r="AG410" i="3" s="1"/>
  <c r="M410" i="3"/>
  <c r="AA410" i="3"/>
  <c r="AC410" i="3"/>
  <c r="AD410" i="3" s="1"/>
  <c r="AJ410" i="3"/>
  <c r="J413" i="3"/>
  <c r="N413" i="3" s="1"/>
  <c r="AG413" i="3" s="1"/>
  <c r="M413" i="3"/>
  <c r="AA413" i="3"/>
  <c r="AC413" i="3"/>
  <c r="AD413" i="3" s="1"/>
  <c r="AJ413" i="3"/>
  <c r="J416" i="3"/>
  <c r="N416" i="3" s="1"/>
  <c r="AG416" i="3" s="1"/>
  <c r="M416" i="3"/>
  <c r="AA416" i="3"/>
  <c r="AC416" i="3"/>
  <c r="AD416" i="3" s="1"/>
  <c r="AJ416" i="3"/>
  <c r="J420" i="3"/>
  <c r="M420" i="3"/>
  <c r="AA420" i="3"/>
  <c r="AC420" i="3"/>
  <c r="AD420" i="3" s="1"/>
  <c r="AJ420" i="3"/>
  <c r="J414" i="3"/>
  <c r="M414" i="3"/>
  <c r="AA414" i="3"/>
  <c r="AC414" i="3"/>
  <c r="AD414" i="3" s="1"/>
  <c r="AJ414" i="3"/>
  <c r="J415" i="3"/>
  <c r="M415" i="3"/>
  <c r="AA415" i="3"/>
  <c r="AC415" i="3"/>
  <c r="AD415" i="3" s="1"/>
  <c r="AJ415" i="3"/>
  <c r="J419" i="3"/>
  <c r="N419" i="3" s="1"/>
  <c r="AG419" i="3" s="1"/>
  <c r="M419" i="3"/>
  <c r="AA419" i="3"/>
  <c r="AC419" i="3"/>
  <c r="AD419" i="3" s="1"/>
  <c r="AJ419" i="3"/>
  <c r="J418" i="3"/>
  <c r="N418" i="3" s="1"/>
  <c r="AG418" i="3" s="1"/>
  <c r="M418" i="3"/>
  <c r="AA418" i="3"/>
  <c r="AC418" i="3"/>
  <c r="AD418" i="3" s="1"/>
  <c r="AJ418" i="3"/>
  <c r="J421" i="3"/>
  <c r="N421" i="3" s="1"/>
  <c r="AG421" i="3" s="1"/>
  <c r="M421" i="3"/>
  <c r="AA421" i="3"/>
  <c r="AC421" i="3"/>
  <c r="AD421" i="3" s="1"/>
  <c r="AJ421" i="3"/>
  <c r="J417" i="3"/>
  <c r="N417" i="3" s="1"/>
  <c r="AG417" i="3" s="1"/>
  <c r="M417" i="3"/>
  <c r="AA417" i="3"/>
  <c r="AC417" i="3"/>
  <c r="AD417" i="3" s="1"/>
  <c r="AJ417" i="3"/>
  <c r="J430" i="3"/>
  <c r="N430" i="3" s="1"/>
  <c r="AG430" i="3" s="1"/>
  <c r="M430" i="3"/>
  <c r="AA430" i="3"/>
  <c r="AC430" i="3"/>
  <c r="AD430" i="3" s="1"/>
  <c r="AJ430" i="3"/>
  <c r="J432" i="3"/>
  <c r="N432" i="3" s="1"/>
  <c r="AG432" i="3" s="1"/>
  <c r="M432" i="3"/>
  <c r="AA432" i="3"/>
  <c r="AC432" i="3"/>
  <c r="AD432" i="3" s="1"/>
  <c r="AJ432" i="3"/>
  <c r="J427" i="3"/>
  <c r="N427" i="3" s="1"/>
  <c r="AG427" i="3" s="1"/>
  <c r="M427" i="3"/>
  <c r="AA427" i="3"/>
  <c r="AC427" i="3"/>
  <c r="AD427" i="3" s="1"/>
  <c r="AJ427" i="3"/>
  <c r="J431" i="3"/>
  <c r="N431" i="3" s="1"/>
  <c r="AG431" i="3" s="1"/>
  <c r="M431" i="3"/>
  <c r="AA431" i="3"/>
  <c r="AC431" i="3"/>
  <c r="AD431" i="3" s="1"/>
  <c r="AJ431" i="3"/>
  <c r="J433" i="3"/>
  <c r="N433" i="3" s="1"/>
  <c r="AG433" i="3" s="1"/>
  <c r="M433" i="3"/>
  <c r="AA433" i="3"/>
  <c r="AC433" i="3"/>
  <c r="AD433" i="3" s="1"/>
  <c r="AJ433" i="3"/>
  <c r="J429" i="3"/>
  <c r="N429" i="3" s="1"/>
  <c r="AG429" i="3" s="1"/>
  <c r="M429" i="3"/>
  <c r="AA429" i="3"/>
  <c r="AC429" i="3"/>
  <c r="AD429" i="3" s="1"/>
  <c r="AJ429" i="3"/>
  <c r="J428" i="3"/>
  <c r="N428" i="3" s="1"/>
  <c r="AG428" i="3" s="1"/>
  <c r="M428" i="3"/>
  <c r="AA428" i="3"/>
  <c r="AC428" i="3"/>
  <c r="AD428" i="3" s="1"/>
  <c r="AJ428" i="3"/>
  <c r="J436" i="3"/>
  <c r="M436" i="3"/>
  <c r="AA436" i="3"/>
  <c r="AC436" i="3"/>
  <c r="AD436" i="3" s="1"/>
  <c r="AJ436" i="3"/>
  <c r="J435" i="3"/>
  <c r="M435" i="3"/>
  <c r="AA435" i="3"/>
  <c r="AC435" i="3"/>
  <c r="AD435" i="3" s="1"/>
  <c r="AJ435" i="3"/>
  <c r="J437" i="3"/>
  <c r="N437" i="3" s="1"/>
  <c r="AG437" i="3" s="1"/>
  <c r="M437" i="3"/>
  <c r="AA437" i="3"/>
  <c r="AC437" i="3"/>
  <c r="AD437" i="3" s="1"/>
  <c r="AJ437" i="3"/>
  <c r="J439" i="3"/>
  <c r="N439" i="3" s="1"/>
  <c r="AG439" i="3" s="1"/>
  <c r="M439" i="3"/>
  <c r="AA439" i="3"/>
  <c r="AC439" i="3"/>
  <c r="AD439" i="3" s="1"/>
  <c r="AJ439" i="3"/>
  <c r="J434" i="3"/>
  <c r="N434" i="3" s="1"/>
  <c r="AG434" i="3" s="1"/>
  <c r="M434" i="3"/>
  <c r="AA434" i="3"/>
  <c r="AC434" i="3"/>
  <c r="AD434" i="3" s="1"/>
  <c r="AJ434" i="3"/>
  <c r="J438" i="3"/>
  <c r="N438" i="3" s="1"/>
  <c r="AG438" i="3" s="1"/>
  <c r="M438" i="3"/>
  <c r="AA438" i="3"/>
  <c r="AC438" i="3"/>
  <c r="AD438" i="3" s="1"/>
  <c r="AJ438" i="3"/>
  <c r="J441" i="3"/>
  <c r="N441" i="3" s="1"/>
  <c r="AG441" i="3" s="1"/>
  <c r="M441" i="3"/>
  <c r="AA441" i="3"/>
  <c r="AC441" i="3"/>
  <c r="AD441" i="3" s="1"/>
  <c r="AJ441" i="3"/>
  <c r="J440" i="3"/>
  <c r="N440" i="3" s="1"/>
  <c r="AG440" i="3" s="1"/>
  <c r="M440" i="3"/>
  <c r="AA440" i="3"/>
  <c r="AC440" i="3"/>
  <c r="AD440" i="3" s="1"/>
  <c r="AJ440" i="3"/>
  <c r="J443" i="3"/>
  <c r="M443" i="3"/>
  <c r="AA443" i="3"/>
  <c r="AC443" i="3"/>
  <c r="AD443" i="3" s="1"/>
  <c r="AJ443" i="3"/>
  <c r="J442" i="3"/>
  <c r="N442" i="3" s="1"/>
  <c r="AG442" i="3" s="1"/>
  <c r="M442" i="3"/>
  <c r="AA442" i="3"/>
  <c r="AC442" i="3"/>
  <c r="AD442" i="3" s="1"/>
  <c r="AJ442" i="3"/>
  <c r="J454" i="3"/>
  <c r="M454" i="3"/>
  <c r="AA454" i="3"/>
  <c r="AC454" i="3"/>
  <c r="AD454" i="3" s="1"/>
  <c r="AJ454" i="3"/>
  <c r="J451" i="3"/>
  <c r="M451" i="3"/>
  <c r="AA451" i="3"/>
  <c r="AC451" i="3"/>
  <c r="AD451" i="3" s="1"/>
  <c r="AJ451" i="3"/>
  <c r="J450" i="3"/>
  <c r="N450" i="3" s="1"/>
  <c r="AG450" i="3" s="1"/>
  <c r="M450" i="3"/>
  <c r="AA450" i="3"/>
  <c r="AC450" i="3"/>
  <c r="AD450" i="3" s="1"/>
  <c r="AJ450" i="3"/>
  <c r="J452" i="3"/>
  <c r="M452" i="3"/>
  <c r="AA452" i="3"/>
  <c r="AC452" i="3"/>
  <c r="AD452" i="3" s="1"/>
  <c r="AJ452" i="3"/>
  <c r="J447" i="3"/>
  <c r="N447" i="3" s="1"/>
  <c r="AG447" i="3" s="1"/>
  <c r="M447" i="3"/>
  <c r="AA447" i="3"/>
  <c r="AC447" i="3"/>
  <c r="AD447" i="3" s="1"/>
  <c r="AJ447" i="3"/>
  <c r="J444" i="3"/>
  <c r="N444" i="3" s="1"/>
  <c r="AG444" i="3" s="1"/>
  <c r="M444" i="3"/>
  <c r="AA444" i="3"/>
  <c r="AC444" i="3"/>
  <c r="AD444" i="3" s="1"/>
  <c r="AJ444" i="3"/>
  <c r="J445" i="3"/>
  <c r="N445" i="3" s="1"/>
  <c r="AG445" i="3" s="1"/>
  <c r="M445" i="3"/>
  <c r="AA445" i="3"/>
  <c r="AC445" i="3"/>
  <c r="AD445" i="3" s="1"/>
  <c r="AJ445" i="3"/>
  <c r="J446" i="3"/>
  <c r="N446" i="3" s="1"/>
  <c r="AG446" i="3" s="1"/>
  <c r="M446" i="3"/>
  <c r="AA446" i="3"/>
  <c r="AC446" i="3"/>
  <c r="AD446" i="3" s="1"/>
  <c r="AJ446" i="3"/>
  <c r="J448" i="3"/>
  <c r="N448" i="3" s="1"/>
  <c r="AG448" i="3" s="1"/>
  <c r="M448" i="3"/>
  <c r="AA448" i="3"/>
  <c r="AC448" i="3"/>
  <c r="AD448" i="3" s="1"/>
  <c r="AJ448" i="3"/>
  <c r="J453" i="3"/>
  <c r="N453" i="3" s="1"/>
  <c r="AG453" i="3" s="1"/>
  <c r="M453" i="3"/>
  <c r="AA453" i="3"/>
  <c r="AC453" i="3"/>
  <c r="AD453" i="3" s="1"/>
  <c r="AJ453" i="3"/>
  <c r="J449" i="3"/>
  <c r="N449" i="3" s="1"/>
  <c r="AG449" i="3" s="1"/>
  <c r="M449" i="3"/>
  <c r="AA449" i="3"/>
  <c r="AC449" i="3"/>
  <c r="AD449" i="3" s="1"/>
  <c r="AJ449" i="3"/>
  <c r="J458" i="3"/>
  <c r="N458" i="3" s="1"/>
  <c r="AG458" i="3" s="1"/>
  <c r="M458" i="3"/>
  <c r="AA458" i="3"/>
  <c r="AC458" i="3"/>
  <c r="AD458" i="3" s="1"/>
  <c r="AJ458" i="3"/>
  <c r="J456" i="3"/>
  <c r="N456" i="3" s="1"/>
  <c r="AG456" i="3" s="1"/>
  <c r="M456" i="3"/>
  <c r="AA456" i="3"/>
  <c r="AC456" i="3"/>
  <c r="AD456" i="3" s="1"/>
  <c r="AJ456" i="3"/>
  <c r="J457" i="3"/>
  <c r="M457" i="3"/>
  <c r="AA457" i="3"/>
  <c r="AC457" i="3"/>
  <c r="AD457" i="3" s="1"/>
  <c r="AJ457" i="3"/>
  <c r="J460" i="3"/>
  <c r="N460" i="3" s="1"/>
  <c r="AG460" i="3" s="1"/>
  <c r="M460" i="3"/>
  <c r="AA460" i="3"/>
  <c r="AC460" i="3"/>
  <c r="AD460" i="3" s="1"/>
  <c r="AJ460" i="3"/>
  <c r="J462" i="3"/>
  <c r="N462" i="3" s="1"/>
  <c r="AG462" i="3" s="1"/>
  <c r="M462" i="3"/>
  <c r="AA462" i="3"/>
  <c r="AC462" i="3"/>
  <c r="AD462" i="3" s="1"/>
  <c r="AJ462" i="3"/>
  <c r="J455" i="3"/>
  <c r="N455" i="3" s="1"/>
  <c r="AG455" i="3" s="1"/>
  <c r="M455" i="3"/>
  <c r="AA455" i="3"/>
  <c r="AC455" i="3"/>
  <c r="AD455" i="3" s="1"/>
  <c r="AJ455" i="3"/>
  <c r="J459" i="3"/>
  <c r="N459" i="3" s="1"/>
  <c r="AG459" i="3" s="1"/>
  <c r="M459" i="3"/>
  <c r="AA459" i="3"/>
  <c r="AC459" i="3"/>
  <c r="AD459" i="3" s="1"/>
  <c r="AJ459" i="3"/>
  <c r="J463" i="3"/>
  <c r="N463" i="3" s="1"/>
  <c r="AG463" i="3" s="1"/>
  <c r="M463" i="3"/>
  <c r="AA463" i="3"/>
  <c r="AC463" i="3"/>
  <c r="AD463" i="3" s="1"/>
  <c r="AJ463" i="3"/>
  <c r="J461" i="3"/>
  <c r="N461" i="3" s="1"/>
  <c r="AG461" i="3" s="1"/>
  <c r="M461" i="3"/>
  <c r="AA461" i="3"/>
  <c r="AC461" i="3"/>
  <c r="AD461" i="3" s="1"/>
  <c r="AJ461" i="3"/>
  <c r="J600" i="3"/>
  <c r="M600" i="3"/>
  <c r="AA600" i="3"/>
  <c r="AC600" i="3"/>
  <c r="AD600" i="3" s="1"/>
  <c r="AJ600" i="3"/>
  <c r="J464" i="3"/>
  <c r="N464" i="3" s="1"/>
  <c r="AG464" i="3" s="1"/>
  <c r="M464" i="3"/>
  <c r="AA464" i="3"/>
  <c r="AC464" i="3"/>
  <c r="AD464" i="3" s="1"/>
  <c r="AJ464" i="3"/>
  <c r="J471" i="3"/>
  <c r="N471" i="3" s="1"/>
  <c r="AG471" i="3" s="1"/>
  <c r="M471" i="3"/>
  <c r="AA471" i="3"/>
  <c r="AC471" i="3"/>
  <c r="AD471" i="3" s="1"/>
  <c r="AJ471" i="3"/>
  <c r="J469" i="3"/>
  <c r="N469" i="3" s="1"/>
  <c r="AG469" i="3" s="1"/>
  <c r="M469" i="3"/>
  <c r="AA469" i="3"/>
  <c r="AC469" i="3"/>
  <c r="AD469" i="3" s="1"/>
  <c r="AJ469" i="3"/>
  <c r="J466" i="3"/>
  <c r="N466" i="3" s="1"/>
  <c r="AG466" i="3" s="1"/>
  <c r="M466" i="3"/>
  <c r="AA466" i="3"/>
  <c r="AC466" i="3"/>
  <c r="AD466" i="3" s="1"/>
  <c r="AJ466" i="3"/>
  <c r="J468" i="3"/>
  <c r="N468" i="3" s="1"/>
  <c r="AG468" i="3" s="1"/>
  <c r="M468" i="3"/>
  <c r="AA468" i="3"/>
  <c r="AC468" i="3"/>
  <c r="AD468" i="3" s="1"/>
  <c r="AJ468" i="3"/>
  <c r="J470" i="3"/>
  <c r="N470" i="3" s="1"/>
  <c r="AG470" i="3" s="1"/>
  <c r="M470" i="3"/>
  <c r="AA470" i="3"/>
  <c r="AC470" i="3"/>
  <c r="AD470" i="3" s="1"/>
  <c r="AJ470" i="3"/>
  <c r="J465" i="3"/>
  <c r="N465" i="3" s="1"/>
  <c r="AG465" i="3" s="1"/>
  <c r="M465" i="3"/>
  <c r="AA465" i="3"/>
  <c r="AC465" i="3"/>
  <c r="AD465" i="3" s="1"/>
  <c r="AJ465" i="3"/>
  <c r="J467" i="3"/>
  <c r="N467" i="3" s="1"/>
  <c r="AG467" i="3" s="1"/>
  <c r="M467" i="3"/>
  <c r="AA467" i="3"/>
  <c r="AC467" i="3"/>
  <c r="AD467" i="3" s="1"/>
  <c r="AJ467" i="3"/>
  <c r="J472" i="3"/>
  <c r="N472" i="3" s="1"/>
  <c r="AG472" i="3" s="1"/>
  <c r="M472" i="3"/>
  <c r="AA472" i="3"/>
  <c r="AC472" i="3"/>
  <c r="AD472" i="3" s="1"/>
  <c r="AJ472" i="3"/>
  <c r="J473" i="3"/>
  <c r="M473" i="3"/>
  <c r="AA473" i="3"/>
  <c r="AC473" i="3"/>
  <c r="AD473" i="3" s="1"/>
  <c r="AJ473" i="3"/>
  <c r="J476" i="3"/>
  <c r="M476" i="3"/>
  <c r="AA476" i="3"/>
  <c r="AC476" i="3"/>
  <c r="AD476" i="3" s="1"/>
  <c r="AJ476" i="3"/>
  <c r="J474" i="3"/>
  <c r="M474" i="3"/>
  <c r="AA474" i="3"/>
  <c r="AC474" i="3"/>
  <c r="AD474" i="3" s="1"/>
  <c r="AJ474" i="3"/>
  <c r="J475" i="3"/>
  <c r="M475" i="3"/>
  <c r="AA475" i="3"/>
  <c r="AC475" i="3"/>
  <c r="AD475" i="3" s="1"/>
  <c r="AJ475" i="3"/>
  <c r="J601" i="3"/>
  <c r="M601" i="3"/>
  <c r="AA601" i="3"/>
  <c r="AC601" i="3"/>
  <c r="AD601" i="3" s="1"/>
  <c r="AJ601" i="3"/>
  <c r="J477" i="3"/>
  <c r="M477" i="3"/>
  <c r="AA477" i="3"/>
  <c r="AC477" i="3"/>
  <c r="AD477" i="3" s="1"/>
  <c r="AJ477" i="3"/>
  <c r="J486" i="3"/>
  <c r="M486" i="3"/>
  <c r="AA486" i="3"/>
  <c r="AC486" i="3"/>
  <c r="AD486" i="3" s="1"/>
  <c r="AJ486" i="3"/>
  <c r="J480" i="3"/>
  <c r="M480" i="3"/>
  <c r="AA480" i="3"/>
  <c r="AC480" i="3"/>
  <c r="AD480" i="3" s="1"/>
  <c r="AJ480" i="3"/>
  <c r="J482" i="3"/>
  <c r="N482" i="3" s="1"/>
  <c r="AG482" i="3" s="1"/>
  <c r="M482" i="3"/>
  <c r="AA482" i="3"/>
  <c r="AC482" i="3"/>
  <c r="AD482" i="3" s="1"/>
  <c r="AJ482" i="3"/>
  <c r="J483" i="3"/>
  <c r="N483" i="3" s="1"/>
  <c r="AG483" i="3" s="1"/>
  <c r="M483" i="3"/>
  <c r="AA483" i="3"/>
  <c r="AC483" i="3"/>
  <c r="AD483" i="3" s="1"/>
  <c r="AJ483" i="3"/>
  <c r="J478" i="3"/>
  <c r="N478" i="3" s="1"/>
  <c r="AG478" i="3" s="1"/>
  <c r="M478" i="3"/>
  <c r="AA478" i="3"/>
  <c r="AC478" i="3"/>
  <c r="AD478" i="3" s="1"/>
  <c r="AJ478" i="3"/>
  <c r="J488" i="3"/>
  <c r="M488" i="3"/>
  <c r="AA488" i="3"/>
  <c r="AC488" i="3"/>
  <c r="AD488" i="3" s="1"/>
  <c r="AJ488" i="3"/>
  <c r="J489" i="3"/>
  <c r="M489" i="3"/>
  <c r="AA489" i="3"/>
  <c r="AC489" i="3"/>
  <c r="AD489" i="3" s="1"/>
  <c r="AJ489" i="3"/>
  <c r="J487" i="3"/>
  <c r="N487" i="3" s="1"/>
  <c r="AG487" i="3" s="1"/>
  <c r="M487" i="3"/>
  <c r="AA487" i="3"/>
  <c r="AC487" i="3"/>
  <c r="AD487" i="3" s="1"/>
  <c r="AJ487" i="3"/>
  <c r="J490" i="3"/>
  <c r="M490" i="3"/>
  <c r="AA490" i="3"/>
  <c r="AC490" i="3"/>
  <c r="AD490" i="3" s="1"/>
  <c r="AJ490" i="3"/>
  <c r="J481" i="3"/>
  <c r="M481" i="3"/>
  <c r="AA481" i="3"/>
  <c r="AC481" i="3"/>
  <c r="AD481" i="3" s="1"/>
  <c r="AJ481" i="3"/>
  <c r="J479" i="3"/>
  <c r="M479" i="3"/>
  <c r="AA479" i="3"/>
  <c r="AC479" i="3"/>
  <c r="AD479" i="3" s="1"/>
  <c r="AJ479" i="3"/>
  <c r="J484" i="3"/>
  <c r="M484" i="3"/>
  <c r="AA484" i="3"/>
  <c r="AC484" i="3"/>
  <c r="AD484" i="3" s="1"/>
  <c r="AJ484" i="3"/>
  <c r="J485" i="3"/>
  <c r="M485" i="3"/>
  <c r="AA485" i="3"/>
  <c r="AC485" i="3"/>
  <c r="AD485" i="3" s="1"/>
  <c r="AJ485" i="3"/>
  <c r="J491" i="3"/>
  <c r="N491" i="3" s="1"/>
  <c r="AG491" i="3" s="1"/>
  <c r="M491" i="3"/>
  <c r="AA491" i="3"/>
  <c r="AC491" i="3"/>
  <c r="AD491" i="3" s="1"/>
  <c r="AJ491" i="3"/>
  <c r="J499" i="3"/>
  <c r="M499" i="3"/>
  <c r="AA499" i="3"/>
  <c r="AC499" i="3"/>
  <c r="AD499" i="3" s="1"/>
  <c r="AJ499" i="3"/>
  <c r="J492" i="3"/>
  <c r="N492" i="3" s="1"/>
  <c r="AG492" i="3" s="1"/>
  <c r="M492" i="3"/>
  <c r="AA492" i="3"/>
  <c r="AC492" i="3"/>
  <c r="AD492" i="3" s="1"/>
  <c r="AJ492" i="3"/>
  <c r="J504" i="3"/>
  <c r="M504" i="3"/>
  <c r="AA504" i="3"/>
  <c r="AC504" i="3"/>
  <c r="AD504" i="3" s="1"/>
  <c r="AJ504" i="3"/>
  <c r="J494" i="3"/>
  <c r="M494" i="3"/>
  <c r="AA494" i="3"/>
  <c r="AC494" i="3"/>
  <c r="AD494" i="3" s="1"/>
  <c r="AJ494" i="3"/>
  <c r="J493" i="3"/>
  <c r="M493" i="3"/>
  <c r="AA493" i="3"/>
  <c r="AC493" i="3"/>
  <c r="AD493" i="3" s="1"/>
  <c r="AJ493" i="3"/>
  <c r="J502" i="3"/>
  <c r="M502" i="3"/>
  <c r="AA502" i="3"/>
  <c r="AC502" i="3"/>
  <c r="AD502" i="3" s="1"/>
  <c r="AJ502" i="3"/>
  <c r="J500" i="3"/>
  <c r="M500" i="3"/>
  <c r="AA500" i="3"/>
  <c r="AC500" i="3"/>
  <c r="AD500" i="3" s="1"/>
  <c r="AJ500" i="3"/>
  <c r="J503" i="3"/>
  <c r="M503" i="3"/>
  <c r="AA503" i="3"/>
  <c r="AC503" i="3"/>
  <c r="AD503" i="3" s="1"/>
  <c r="AJ503" i="3"/>
  <c r="J501" i="3"/>
  <c r="M501" i="3"/>
  <c r="AA501" i="3"/>
  <c r="AC501" i="3"/>
  <c r="AD501" i="3" s="1"/>
  <c r="AJ501" i="3"/>
  <c r="J495" i="3"/>
  <c r="M495" i="3"/>
  <c r="AA495" i="3"/>
  <c r="AC495" i="3"/>
  <c r="AD495" i="3" s="1"/>
  <c r="AJ495" i="3"/>
  <c r="J497" i="3"/>
  <c r="M497" i="3"/>
  <c r="AA497" i="3"/>
  <c r="AC497" i="3"/>
  <c r="AD497" i="3" s="1"/>
  <c r="AJ497" i="3"/>
  <c r="J496" i="3"/>
  <c r="N496" i="3" s="1"/>
  <c r="AG496" i="3" s="1"/>
  <c r="M496" i="3"/>
  <c r="AA496" i="3"/>
  <c r="AC496" i="3"/>
  <c r="AD496" i="3" s="1"/>
  <c r="AJ496" i="3"/>
  <c r="J498" i="3"/>
  <c r="M498" i="3"/>
  <c r="AA498" i="3"/>
  <c r="AC498" i="3"/>
  <c r="AD498" i="3" s="1"/>
  <c r="AJ498" i="3"/>
  <c r="J505" i="3"/>
  <c r="M505" i="3"/>
  <c r="AA505" i="3"/>
  <c r="AC505" i="3"/>
  <c r="AD505" i="3" s="1"/>
  <c r="AJ505" i="3"/>
  <c r="J506" i="3"/>
  <c r="M506" i="3"/>
  <c r="AA506" i="3"/>
  <c r="AC506" i="3"/>
  <c r="AD506" i="3" s="1"/>
  <c r="AJ506" i="3"/>
  <c r="J507" i="3"/>
  <c r="M507" i="3"/>
  <c r="AA507" i="3"/>
  <c r="AC507" i="3"/>
  <c r="AD507" i="3" s="1"/>
  <c r="AJ507" i="3"/>
  <c r="J512" i="3"/>
  <c r="M512" i="3"/>
  <c r="AA512" i="3"/>
  <c r="AC512" i="3"/>
  <c r="AD512" i="3" s="1"/>
  <c r="AJ512" i="3"/>
  <c r="J514" i="3"/>
  <c r="M514" i="3"/>
  <c r="AA514" i="3"/>
  <c r="AC514" i="3"/>
  <c r="AD514" i="3" s="1"/>
  <c r="AJ514" i="3"/>
  <c r="J511" i="3"/>
  <c r="M511" i="3"/>
  <c r="AA511" i="3"/>
  <c r="AC511" i="3"/>
  <c r="AD511" i="3" s="1"/>
  <c r="AJ511" i="3"/>
  <c r="J510" i="3"/>
  <c r="M510" i="3"/>
  <c r="AA510" i="3"/>
  <c r="AC510" i="3"/>
  <c r="AD510" i="3" s="1"/>
  <c r="AJ510" i="3"/>
  <c r="J508" i="3"/>
  <c r="M508" i="3"/>
  <c r="AA508" i="3"/>
  <c r="AC508" i="3"/>
  <c r="AD508" i="3" s="1"/>
  <c r="AJ508" i="3"/>
  <c r="J509" i="3"/>
  <c r="M509" i="3"/>
  <c r="AA509" i="3"/>
  <c r="AC509" i="3"/>
  <c r="AD509" i="3" s="1"/>
  <c r="AJ509" i="3"/>
  <c r="J513" i="3"/>
  <c r="M513" i="3"/>
  <c r="AA513" i="3"/>
  <c r="AC513" i="3"/>
  <c r="AD513" i="3" s="1"/>
  <c r="AJ513" i="3"/>
  <c r="J519" i="3"/>
  <c r="M519" i="3"/>
  <c r="AA519" i="3"/>
  <c r="AC519" i="3"/>
  <c r="AD519" i="3" s="1"/>
  <c r="AJ519" i="3"/>
  <c r="J515" i="3"/>
  <c r="M515" i="3"/>
  <c r="AA515" i="3"/>
  <c r="AC515" i="3"/>
  <c r="AD515" i="3" s="1"/>
  <c r="AJ515" i="3"/>
  <c r="J518" i="3"/>
  <c r="M518" i="3"/>
  <c r="AA518" i="3"/>
  <c r="AC518" i="3"/>
  <c r="AD518" i="3" s="1"/>
  <c r="AJ518" i="3"/>
  <c r="J517" i="3"/>
  <c r="M517" i="3"/>
  <c r="AA517" i="3"/>
  <c r="AC517" i="3"/>
  <c r="AD517" i="3" s="1"/>
  <c r="AJ517" i="3"/>
  <c r="J516" i="3"/>
  <c r="M516" i="3"/>
  <c r="AA516" i="3"/>
  <c r="AC516" i="3"/>
  <c r="AD516" i="3" s="1"/>
  <c r="AJ516" i="3"/>
  <c r="J520" i="3"/>
  <c r="M520" i="3"/>
  <c r="AA520" i="3"/>
  <c r="AC520" i="3"/>
  <c r="AD520" i="3" s="1"/>
  <c r="AJ520" i="3"/>
  <c r="J602" i="3"/>
  <c r="M602" i="3"/>
  <c r="AA602" i="3"/>
  <c r="AC602" i="3"/>
  <c r="AD602" i="3" s="1"/>
  <c r="AJ602" i="3"/>
  <c r="J525" i="3"/>
  <c r="M525" i="3"/>
  <c r="AA525" i="3"/>
  <c r="AC525" i="3"/>
  <c r="AD525" i="3" s="1"/>
  <c r="AJ525" i="3"/>
  <c r="J526" i="3"/>
  <c r="M526" i="3"/>
  <c r="AA526" i="3"/>
  <c r="AC526" i="3"/>
  <c r="AD526" i="3" s="1"/>
  <c r="AJ526" i="3"/>
  <c r="J523" i="3"/>
  <c r="M523" i="3"/>
  <c r="AA523" i="3"/>
  <c r="AC523" i="3"/>
  <c r="AD523" i="3" s="1"/>
  <c r="AJ523" i="3"/>
  <c r="J521" i="3"/>
  <c r="M521" i="3"/>
  <c r="AA521" i="3"/>
  <c r="AC521" i="3"/>
  <c r="AD521" i="3" s="1"/>
  <c r="AJ521" i="3"/>
  <c r="J522" i="3"/>
  <c r="M522" i="3"/>
  <c r="AA522" i="3"/>
  <c r="AC522" i="3"/>
  <c r="AD522" i="3" s="1"/>
  <c r="AJ522" i="3"/>
  <c r="J524" i="3"/>
  <c r="M524" i="3"/>
  <c r="AA524" i="3"/>
  <c r="AC524" i="3"/>
  <c r="AD524" i="3" s="1"/>
  <c r="AJ524" i="3"/>
  <c r="J528" i="3"/>
  <c r="M528" i="3"/>
  <c r="AA528" i="3"/>
  <c r="AC528" i="3"/>
  <c r="AD528" i="3" s="1"/>
  <c r="AJ528" i="3"/>
  <c r="J527" i="3"/>
  <c r="N527" i="3" s="1"/>
  <c r="AG527" i="3" s="1"/>
  <c r="M527" i="3"/>
  <c r="AA527" i="3"/>
  <c r="AC527" i="3"/>
  <c r="AD527" i="3" s="1"/>
  <c r="AJ527" i="3"/>
  <c r="J536" i="3"/>
  <c r="N536" i="3" s="1"/>
  <c r="AG536" i="3" s="1"/>
  <c r="M536" i="3"/>
  <c r="AA536" i="3"/>
  <c r="AC536" i="3"/>
  <c r="AD536" i="3" s="1"/>
  <c r="AJ536" i="3"/>
  <c r="J537" i="3"/>
  <c r="N537" i="3" s="1"/>
  <c r="AG537" i="3" s="1"/>
  <c r="M537" i="3"/>
  <c r="AA537" i="3"/>
  <c r="AC537" i="3"/>
  <c r="AD537" i="3" s="1"/>
  <c r="AJ537" i="3"/>
  <c r="J530" i="3"/>
  <c r="M530" i="3"/>
  <c r="AA530" i="3"/>
  <c r="AC530" i="3"/>
  <c r="AD530" i="3" s="1"/>
  <c r="AJ530" i="3"/>
  <c r="J529" i="3"/>
  <c r="N529" i="3" s="1"/>
  <c r="AG529" i="3" s="1"/>
  <c r="M529" i="3"/>
  <c r="AA529" i="3"/>
  <c r="AC529" i="3"/>
  <c r="AD529" i="3" s="1"/>
  <c r="AJ529" i="3"/>
  <c r="J535" i="3"/>
  <c r="M535" i="3"/>
  <c r="AA535" i="3"/>
  <c r="AC535" i="3"/>
  <c r="AD535" i="3" s="1"/>
  <c r="AJ535" i="3"/>
  <c r="J531" i="3"/>
  <c r="M531" i="3"/>
  <c r="AA531" i="3"/>
  <c r="AC531" i="3"/>
  <c r="AD531" i="3" s="1"/>
  <c r="AJ531" i="3"/>
  <c r="J532" i="3"/>
  <c r="M532" i="3"/>
  <c r="AA532" i="3"/>
  <c r="AC532" i="3"/>
  <c r="AD532" i="3" s="1"/>
  <c r="AJ532" i="3"/>
  <c r="J534" i="3"/>
  <c r="M534" i="3"/>
  <c r="AA534" i="3"/>
  <c r="AC534" i="3"/>
  <c r="AD534" i="3" s="1"/>
  <c r="AJ534" i="3"/>
  <c r="J533" i="3"/>
  <c r="M533" i="3"/>
  <c r="AA533" i="3"/>
  <c r="AC533" i="3"/>
  <c r="AD533" i="3" s="1"/>
  <c r="AJ533" i="3"/>
  <c r="J539" i="3"/>
  <c r="M539" i="3"/>
  <c r="AA539" i="3"/>
  <c r="AC539" i="3"/>
  <c r="AD539" i="3" s="1"/>
  <c r="AJ539" i="3"/>
  <c r="J540" i="3"/>
  <c r="N540" i="3" s="1"/>
  <c r="AG540" i="3" s="1"/>
  <c r="M540" i="3"/>
  <c r="AA540" i="3"/>
  <c r="AC540" i="3"/>
  <c r="AD540" i="3" s="1"/>
  <c r="AJ540" i="3"/>
  <c r="J538" i="3"/>
  <c r="N538" i="3" s="1"/>
  <c r="AG538" i="3" s="1"/>
  <c r="M538" i="3"/>
  <c r="AA538" i="3"/>
  <c r="AC538" i="3"/>
  <c r="AD538" i="3" s="1"/>
  <c r="AJ538" i="3"/>
  <c r="J544" i="3"/>
  <c r="M544" i="3"/>
  <c r="AA544" i="3"/>
  <c r="AC544" i="3"/>
  <c r="AD544" i="3" s="1"/>
  <c r="AJ544" i="3"/>
  <c r="J550" i="3"/>
  <c r="M550" i="3"/>
  <c r="AA550" i="3"/>
  <c r="AC550" i="3"/>
  <c r="AD550" i="3" s="1"/>
  <c r="AJ550" i="3"/>
  <c r="J548" i="3"/>
  <c r="M548" i="3"/>
  <c r="AA548" i="3"/>
  <c r="AC548" i="3"/>
  <c r="AD548" i="3" s="1"/>
  <c r="AJ548" i="3"/>
  <c r="J542" i="3"/>
  <c r="M542" i="3"/>
  <c r="AA542" i="3"/>
  <c r="AC542" i="3"/>
  <c r="AD542" i="3" s="1"/>
  <c r="AJ542" i="3"/>
  <c r="J543" i="3"/>
  <c r="M543" i="3"/>
  <c r="AA543" i="3"/>
  <c r="AC543" i="3"/>
  <c r="AD543" i="3" s="1"/>
  <c r="AJ543" i="3"/>
  <c r="J541" i="3"/>
  <c r="M541" i="3"/>
  <c r="AA541" i="3"/>
  <c r="AC541" i="3"/>
  <c r="AD541" i="3" s="1"/>
  <c r="AJ541" i="3"/>
  <c r="J546" i="3"/>
  <c r="M546" i="3"/>
  <c r="AA546" i="3"/>
  <c r="AC546" i="3"/>
  <c r="AD546" i="3" s="1"/>
  <c r="AJ546" i="3"/>
  <c r="J547" i="3"/>
  <c r="M547" i="3"/>
  <c r="AA547" i="3"/>
  <c r="AC547" i="3"/>
  <c r="AD547" i="3" s="1"/>
  <c r="AJ547" i="3"/>
  <c r="J549" i="3"/>
  <c r="M549" i="3"/>
  <c r="AA549" i="3"/>
  <c r="AC549" i="3"/>
  <c r="AD549" i="3" s="1"/>
  <c r="AJ549" i="3"/>
  <c r="J545" i="3"/>
  <c r="M545" i="3"/>
  <c r="AA545" i="3"/>
  <c r="AC545" i="3"/>
  <c r="AD545" i="3" s="1"/>
  <c r="AJ545" i="3"/>
  <c r="J554" i="3"/>
  <c r="M554" i="3"/>
  <c r="AA554" i="3"/>
  <c r="AC554" i="3"/>
  <c r="AD554" i="3" s="1"/>
  <c r="AJ554" i="3"/>
  <c r="J551" i="3"/>
  <c r="N551" i="3" s="1"/>
  <c r="AG551" i="3" s="1"/>
  <c r="M551" i="3"/>
  <c r="AA551" i="3"/>
  <c r="AC551" i="3"/>
  <c r="AD551" i="3" s="1"/>
  <c r="AJ551" i="3"/>
  <c r="J553" i="3"/>
  <c r="M553" i="3"/>
  <c r="AA553" i="3"/>
  <c r="AC553" i="3"/>
  <c r="AD553" i="3" s="1"/>
  <c r="AJ553" i="3"/>
  <c r="J556" i="3"/>
  <c r="M556" i="3"/>
  <c r="AA556" i="3"/>
  <c r="AC556" i="3"/>
  <c r="AD556" i="3" s="1"/>
  <c r="AJ556" i="3"/>
  <c r="J557" i="3"/>
  <c r="M557" i="3"/>
  <c r="AA557" i="3"/>
  <c r="AC557" i="3"/>
  <c r="AD557" i="3" s="1"/>
  <c r="AJ557" i="3"/>
  <c r="J558" i="3"/>
  <c r="M558" i="3"/>
  <c r="AA558" i="3"/>
  <c r="AC558" i="3"/>
  <c r="AD558" i="3" s="1"/>
  <c r="AJ558" i="3"/>
  <c r="J559" i="3"/>
  <c r="M559" i="3"/>
  <c r="AA559" i="3"/>
  <c r="AC559" i="3"/>
  <c r="AD559" i="3" s="1"/>
  <c r="AJ559" i="3"/>
  <c r="J560" i="3"/>
  <c r="M560" i="3"/>
  <c r="AA560" i="3"/>
  <c r="AC560" i="3"/>
  <c r="AD560" i="3" s="1"/>
  <c r="AJ560" i="3"/>
  <c r="J555" i="3"/>
  <c r="M555" i="3"/>
  <c r="AA555" i="3"/>
  <c r="AC555" i="3"/>
  <c r="AD555" i="3" s="1"/>
  <c r="AJ555" i="3"/>
  <c r="J552" i="3"/>
  <c r="M552" i="3"/>
  <c r="AA552" i="3"/>
  <c r="AC552" i="3"/>
  <c r="AD552" i="3" s="1"/>
  <c r="AJ552" i="3"/>
  <c r="J563" i="3"/>
  <c r="M563" i="3"/>
  <c r="AA563" i="3"/>
  <c r="AC563" i="3"/>
  <c r="AD563" i="3" s="1"/>
  <c r="AJ563" i="3"/>
  <c r="J561" i="3"/>
  <c r="M561" i="3"/>
  <c r="AA561" i="3"/>
  <c r="AC561" i="3"/>
  <c r="AD561" i="3" s="1"/>
  <c r="AJ561" i="3"/>
  <c r="J562" i="3"/>
  <c r="M562" i="3"/>
  <c r="AA562" i="3"/>
  <c r="AC562" i="3"/>
  <c r="AD562" i="3" s="1"/>
  <c r="AJ562" i="3"/>
  <c r="J568" i="3"/>
  <c r="M568" i="3"/>
  <c r="AA568" i="3"/>
  <c r="AC568" i="3"/>
  <c r="AD568" i="3" s="1"/>
  <c r="AJ568" i="3"/>
  <c r="J570" i="3"/>
  <c r="M570" i="3"/>
  <c r="AA570" i="3"/>
  <c r="AC570" i="3"/>
  <c r="AD570" i="3" s="1"/>
  <c r="AJ570" i="3"/>
  <c r="J565" i="3"/>
  <c r="M565" i="3"/>
  <c r="AA565" i="3"/>
  <c r="AC565" i="3"/>
  <c r="AD565" i="3" s="1"/>
  <c r="AJ565" i="3"/>
  <c r="J569" i="3"/>
  <c r="M569" i="3"/>
  <c r="AA569" i="3"/>
  <c r="AC569" i="3"/>
  <c r="AD569" i="3" s="1"/>
  <c r="AJ569" i="3"/>
  <c r="J564" i="3"/>
  <c r="M564" i="3"/>
  <c r="AA564" i="3"/>
  <c r="AC564" i="3"/>
  <c r="AD564" i="3" s="1"/>
  <c r="AJ564" i="3"/>
  <c r="J567" i="3"/>
  <c r="M567" i="3"/>
  <c r="AA567" i="3"/>
  <c r="AC567" i="3"/>
  <c r="AD567" i="3" s="1"/>
  <c r="AJ567" i="3"/>
  <c r="J566" i="3"/>
  <c r="M566" i="3"/>
  <c r="AA566" i="3"/>
  <c r="AC566" i="3"/>
  <c r="AD566" i="3" s="1"/>
  <c r="AJ566" i="3"/>
  <c r="J571" i="3"/>
  <c r="N571" i="3" s="1"/>
  <c r="M571" i="3"/>
  <c r="AC571" i="3"/>
  <c r="AD571" i="3" s="1"/>
  <c r="AJ571" i="3"/>
  <c r="J573" i="3"/>
  <c r="N573" i="3" s="1"/>
  <c r="AG573" i="3" s="1"/>
  <c r="M573" i="3"/>
  <c r="AA573" i="3"/>
  <c r="AC573" i="3"/>
  <c r="AD573" i="3" s="1"/>
  <c r="AJ573" i="3"/>
  <c r="J603" i="3"/>
  <c r="M603" i="3"/>
  <c r="AA603" i="3"/>
  <c r="AC603" i="3"/>
  <c r="AD603" i="3" s="1"/>
  <c r="AJ603" i="3"/>
  <c r="J572" i="3"/>
  <c r="M572" i="3"/>
  <c r="AA572" i="3"/>
  <c r="AC572" i="3"/>
  <c r="AD572" i="3" s="1"/>
  <c r="AJ572" i="3"/>
  <c r="J575" i="3"/>
  <c r="M575" i="3"/>
  <c r="AA575" i="3"/>
  <c r="AC575" i="3"/>
  <c r="AD575" i="3" s="1"/>
  <c r="AJ575" i="3"/>
  <c r="J580" i="3"/>
  <c r="M580" i="3"/>
  <c r="AA580" i="3"/>
  <c r="AC580" i="3"/>
  <c r="AD580" i="3" s="1"/>
  <c r="AJ580" i="3"/>
  <c r="J577" i="3"/>
  <c r="M577" i="3"/>
  <c r="AA577" i="3"/>
  <c r="AC577" i="3"/>
  <c r="AD577" i="3" s="1"/>
  <c r="AJ577" i="3"/>
  <c r="J578" i="3"/>
  <c r="M578" i="3"/>
  <c r="AA578" i="3"/>
  <c r="AC578" i="3"/>
  <c r="AD578" i="3" s="1"/>
  <c r="AJ578" i="3"/>
  <c r="J574" i="3"/>
  <c r="M574" i="3"/>
  <c r="AA574" i="3"/>
  <c r="AC574" i="3"/>
  <c r="AD574" i="3" s="1"/>
  <c r="AJ574" i="3"/>
  <c r="J579" i="3"/>
  <c r="M579" i="3"/>
  <c r="AA579" i="3"/>
  <c r="AC579" i="3"/>
  <c r="AD579" i="3" s="1"/>
  <c r="AJ579" i="3"/>
  <c r="J576" i="3"/>
  <c r="M576" i="3"/>
  <c r="AA576" i="3"/>
  <c r="AC576" i="3"/>
  <c r="AD576" i="3" s="1"/>
  <c r="AJ576" i="3"/>
  <c r="J594" i="3"/>
  <c r="M594" i="3"/>
  <c r="AA594" i="3"/>
  <c r="AC594" i="3"/>
  <c r="AD594" i="3" s="1"/>
  <c r="AJ594" i="3"/>
  <c r="J582" i="3"/>
  <c r="M582" i="3"/>
  <c r="AA582" i="3"/>
  <c r="AC582" i="3"/>
  <c r="AD582" i="3" s="1"/>
  <c r="AJ582" i="3"/>
  <c r="J588" i="3"/>
  <c r="M588" i="3"/>
  <c r="AA588" i="3"/>
  <c r="AC588" i="3"/>
  <c r="AD588" i="3" s="1"/>
  <c r="AJ588" i="3"/>
  <c r="J586" i="3"/>
  <c r="M586" i="3"/>
  <c r="AA586" i="3"/>
  <c r="AC586" i="3"/>
  <c r="AD586" i="3" s="1"/>
  <c r="AJ586" i="3"/>
  <c r="J584" i="3"/>
  <c r="M584" i="3"/>
  <c r="AA584" i="3"/>
  <c r="AC584" i="3"/>
  <c r="AD584" i="3" s="1"/>
  <c r="AJ584" i="3"/>
  <c r="J591" i="3"/>
  <c r="M591" i="3"/>
  <c r="AA591" i="3"/>
  <c r="AC591" i="3"/>
  <c r="AD591" i="3" s="1"/>
  <c r="AJ591" i="3"/>
  <c r="J595" i="3"/>
  <c r="M595" i="3"/>
  <c r="AA595" i="3"/>
  <c r="AC595" i="3"/>
  <c r="AD595" i="3" s="1"/>
  <c r="AJ595" i="3"/>
  <c r="J583" i="3"/>
  <c r="M583" i="3"/>
  <c r="AA583" i="3"/>
  <c r="AC583" i="3"/>
  <c r="AD583" i="3" s="1"/>
  <c r="AJ583" i="3"/>
  <c r="J587" i="3"/>
  <c r="M587" i="3"/>
  <c r="AA587" i="3"/>
  <c r="AC587" i="3"/>
  <c r="AD587" i="3" s="1"/>
  <c r="AJ587" i="3"/>
  <c r="J581" i="3"/>
  <c r="M581" i="3"/>
  <c r="AA581" i="3"/>
  <c r="AC581" i="3"/>
  <c r="AD581" i="3" s="1"/>
  <c r="AJ581" i="3"/>
  <c r="J592" i="3"/>
  <c r="M592" i="3"/>
  <c r="AA592" i="3"/>
  <c r="AC592" i="3"/>
  <c r="AD592" i="3" s="1"/>
  <c r="AJ592" i="3"/>
  <c r="J590" i="3"/>
  <c r="M590" i="3"/>
  <c r="AA590" i="3"/>
  <c r="AC590" i="3"/>
  <c r="AD590" i="3" s="1"/>
  <c r="AJ590" i="3"/>
  <c r="J593" i="3"/>
  <c r="M593" i="3"/>
  <c r="AA593" i="3"/>
  <c r="AC593" i="3"/>
  <c r="AD593" i="3" s="1"/>
  <c r="AJ593" i="3"/>
  <c r="J585" i="3"/>
  <c r="M585" i="3"/>
  <c r="AA585" i="3"/>
  <c r="AC585" i="3"/>
  <c r="AD585" i="3" s="1"/>
  <c r="AJ585" i="3"/>
  <c r="J589" i="3"/>
  <c r="M589" i="3"/>
  <c r="AA589" i="3"/>
  <c r="AC589" i="3"/>
  <c r="AD589" i="3" s="1"/>
  <c r="AJ589" i="3"/>
  <c r="J604" i="3"/>
  <c r="M604" i="3"/>
  <c r="AA604" i="3"/>
  <c r="AC604" i="3"/>
  <c r="AD604" i="3" s="1"/>
  <c r="AJ604" i="3"/>
  <c r="J598" i="3"/>
  <c r="M598" i="3"/>
  <c r="AA598" i="3"/>
  <c r="AC598" i="3"/>
  <c r="AD598" i="3" s="1"/>
  <c r="AJ598" i="3"/>
  <c r="J596" i="3"/>
  <c r="M596" i="3"/>
  <c r="AA596" i="3"/>
  <c r="AC596" i="3"/>
  <c r="AD596" i="3" s="1"/>
  <c r="AJ596" i="3"/>
  <c r="J599" i="3"/>
  <c r="M599" i="3"/>
  <c r="AA599" i="3"/>
  <c r="AC599" i="3"/>
  <c r="AD599" i="3" s="1"/>
  <c r="AJ599" i="3"/>
  <c r="J597" i="3"/>
  <c r="M597" i="3"/>
  <c r="AA597" i="3"/>
  <c r="AC597" i="3"/>
  <c r="AD597" i="3" s="1"/>
  <c r="AJ597" i="3"/>
  <c r="J4" i="3"/>
  <c r="N4" i="3" s="1"/>
  <c r="AG4" i="3" s="1"/>
  <c r="M4" i="3"/>
  <c r="AA4" i="3"/>
  <c r="AC4" i="3"/>
  <c r="AD4" i="3" s="1"/>
  <c r="AJ4" i="3"/>
  <c r="D17" i="5" l="1"/>
  <c r="C17" i="5"/>
  <c r="B17" i="5"/>
  <c r="R9" i="30" l="1"/>
  <c r="L9" i="30"/>
  <c r="K9" i="30"/>
  <c r="J9" i="30"/>
  <c r="G9" i="30"/>
  <c r="F9" i="30"/>
  <c r="Q13" i="30" l="1"/>
  <c r="M7" i="9"/>
  <c r="I9" i="21"/>
  <c r="G10" i="21"/>
  <c r="R14" i="20"/>
  <c r="L10" i="21"/>
  <c r="K10" i="21"/>
  <c r="J10" i="21"/>
  <c r="R16" i="20"/>
  <c r="R13" i="20"/>
  <c r="Z19" i="9"/>
  <c r="Z21" i="9"/>
  <c r="S21" i="9"/>
  <c r="L2" i="17"/>
  <c r="Z20" i="9"/>
  <c r="Z22" i="9"/>
  <c r="Z23" i="9"/>
  <c r="Z24" i="9"/>
  <c r="Z25" i="9"/>
  <c r="Z26" i="9"/>
  <c r="Z27" i="9"/>
  <c r="Z28" i="9"/>
  <c r="R20" i="9"/>
  <c r="R21" i="9"/>
  <c r="R22" i="9"/>
  <c r="R23" i="9"/>
  <c r="R24" i="9"/>
  <c r="R25" i="9"/>
  <c r="R26" i="9"/>
  <c r="R27" i="9"/>
  <c r="R28" i="9"/>
  <c r="M1" i="3"/>
  <c r="N1138" i="3" s="1"/>
  <c r="AG1138" i="3" s="1"/>
  <c r="S19" i="9"/>
  <c r="U19" i="9"/>
  <c r="E1" i="4"/>
  <c r="N74" i="4" s="1"/>
  <c r="I3" i="17"/>
  <c r="T4" i="20"/>
  <c r="L42" i="17"/>
  <c r="L25" i="17"/>
  <c r="U20" i="9"/>
  <c r="U21" i="9"/>
  <c r="U22" i="9"/>
  <c r="U23" i="9"/>
  <c r="U24" i="9"/>
  <c r="U25" i="9"/>
  <c r="U26" i="9"/>
  <c r="U27" i="9"/>
  <c r="U28" i="9"/>
  <c r="S20" i="9"/>
  <c r="S22" i="9"/>
  <c r="S23" i="9"/>
  <c r="S24" i="9"/>
  <c r="S25" i="9"/>
  <c r="S26" i="9"/>
  <c r="S27" i="9"/>
  <c r="S28" i="9"/>
  <c r="N1137" i="3" l="1"/>
  <c r="AG1137" i="3" s="1"/>
  <c r="N1136" i="3"/>
  <c r="AG1136" i="3" s="1"/>
  <c r="N1135" i="3"/>
  <c r="AG1135" i="3" s="1"/>
  <c r="N1134" i="3"/>
  <c r="AG1134" i="3" s="1"/>
  <c r="N1133" i="3"/>
  <c r="AG1133" i="3" s="1"/>
  <c r="N1132" i="3"/>
  <c r="AG1132" i="3" s="1"/>
  <c r="N1131" i="3"/>
  <c r="AG1131" i="3" s="1"/>
  <c r="N1130" i="3"/>
  <c r="AG1130" i="3" s="1"/>
  <c r="N1129" i="3"/>
  <c r="AG1129" i="3" s="1"/>
  <c r="N1128" i="3"/>
  <c r="AG1128" i="3" s="1"/>
  <c r="N1127" i="3"/>
  <c r="AG1127" i="3" s="1"/>
  <c r="N1126" i="3"/>
  <c r="AG1126" i="3" s="1"/>
  <c r="N1125" i="3"/>
  <c r="AG1125" i="3" s="1"/>
  <c r="N1124" i="3"/>
  <c r="AG1124" i="3" s="1"/>
  <c r="N1123" i="3"/>
  <c r="AG1123" i="3" s="1"/>
  <c r="N1122" i="3"/>
  <c r="AG1122" i="3" s="1"/>
  <c r="N1121" i="3"/>
  <c r="AG1121" i="3" s="1"/>
  <c r="N1120" i="3"/>
  <c r="AG1120" i="3" s="1"/>
  <c r="N1119" i="3"/>
  <c r="AG1119" i="3" s="1"/>
  <c r="N1118" i="3"/>
  <c r="AG1118" i="3" s="1"/>
  <c r="N1117" i="3"/>
  <c r="AG1117" i="3" s="1"/>
  <c r="N1116" i="3"/>
  <c r="AG1116" i="3" s="1"/>
  <c r="N1115" i="3"/>
  <c r="AG1115" i="3" s="1"/>
  <c r="N1114" i="3"/>
  <c r="AG1114" i="3" s="1"/>
  <c r="N1113" i="3"/>
  <c r="AG1113" i="3" s="1"/>
  <c r="N1112" i="3"/>
  <c r="AG1112" i="3" s="1"/>
  <c r="N1111" i="3"/>
  <c r="AG1111" i="3" s="1"/>
  <c r="N1110" i="3"/>
  <c r="AG1110" i="3" s="1"/>
  <c r="N1109" i="3"/>
  <c r="AG1109" i="3" s="1"/>
  <c r="N1108" i="3"/>
  <c r="AG1108" i="3" s="1"/>
  <c r="N1107" i="3"/>
  <c r="AG1107" i="3" s="1"/>
  <c r="N1106" i="3"/>
  <c r="AG1106" i="3" s="1"/>
  <c r="N1105" i="3"/>
  <c r="AG1105" i="3" s="1"/>
  <c r="N1104" i="3"/>
  <c r="AG1104" i="3" s="1"/>
  <c r="N1103" i="3"/>
  <c r="AG1103" i="3" s="1"/>
  <c r="N1102" i="3"/>
  <c r="AG1102" i="3" s="1"/>
  <c r="N1101" i="3"/>
  <c r="AG1101" i="3" s="1"/>
  <c r="N1100" i="3"/>
  <c r="AG1100" i="3" s="1"/>
  <c r="N1099" i="3"/>
  <c r="AG1099" i="3" s="1"/>
  <c r="N1098" i="3"/>
  <c r="AG1098" i="3" s="1"/>
  <c r="N1097" i="3"/>
  <c r="AG1097" i="3" s="1"/>
  <c r="N1096" i="3"/>
  <c r="AG1096" i="3" s="1"/>
  <c r="N1095" i="3"/>
  <c r="AG1095" i="3" s="1"/>
  <c r="N1094" i="3"/>
  <c r="AG1094" i="3" s="1"/>
  <c r="N1093" i="3"/>
  <c r="AG1093" i="3" s="1"/>
  <c r="N1092" i="3"/>
  <c r="AG1092" i="3" s="1"/>
  <c r="N1091" i="3"/>
  <c r="AG1091" i="3" s="1"/>
  <c r="N1090" i="3"/>
  <c r="AG1090" i="3" s="1"/>
  <c r="N1089" i="3"/>
  <c r="AG1089" i="3" s="1"/>
  <c r="N1088" i="3"/>
  <c r="AG1088" i="3" s="1"/>
  <c r="N1087" i="3"/>
  <c r="AG1087" i="3" s="1"/>
  <c r="N1086" i="3"/>
  <c r="AG1086" i="3" s="1"/>
  <c r="N1085" i="3"/>
  <c r="AG1085" i="3" s="1"/>
  <c r="N1084" i="3"/>
  <c r="AG1084" i="3" s="1"/>
  <c r="N1083" i="3"/>
  <c r="AG1083" i="3" s="1"/>
  <c r="N1082" i="3"/>
  <c r="AG1082" i="3" s="1"/>
  <c r="N1081" i="3"/>
  <c r="AG1081" i="3" s="1"/>
  <c r="N1080" i="3"/>
  <c r="AG1080" i="3" s="1"/>
  <c r="N1048" i="3"/>
  <c r="AG1048" i="3" s="1"/>
  <c r="N1070" i="3"/>
  <c r="AG1070" i="3" s="1"/>
  <c r="N1079" i="3"/>
  <c r="AG1079" i="3" s="1"/>
  <c r="N1064" i="3"/>
  <c r="AG1064" i="3" s="1"/>
  <c r="N1078" i="3"/>
  <c r="AG1078" i="3" s="1"/>
  <c r="N1077" i="3"/>
  <c r="AG1077" i="3" s="1"/>
  <c r="N1076" i="3"/>
  <c r="AG1076" i="3" s="1"/>
  <c r="N72" i="4"/>
  <c r="N73" i="4"/>
  <c r="N1075" i="3"/>
  <c r="AG1075" i="3" s="1"/>
  <c r="N1074" i="3"/>
  <c r="AG1074" i="3" s="1"/>
  <c r="N1073" i="3"/>
  <c r="AG1073" i="3" s="1"/>
  <c r="N1047" i="3"/>
  <c r="AG1047" i="3" s="1"/>
  <c r="N1046" i="3"/>
  <c r="AG1046" i="3" s="1"/>
  <c r="N1045" i="3"/>
  <c r="AG1045" i="3" s="1"/>
  <c r="N1044" i="3"/>
  <c r="AG1044" i="3" s="1"/>
  <c r="N1043" i="3"/>
  <c r="AG1043" i="3" s="1"/>
  <c r="N1042" i="3"/>
  <c r="AG1042" i="3" s="1"/>
  <c r="N1072" i="3"/>
  <c r="AG1072" i="3" s="1"/>
  <c r="N1071" i="3"/>
  <c r="AG1071" i="3" s="1"/>
  <c r="N957" i="3"/>
  <c r="AG957" i="3" s="1"/>
  <c r="N1069" i="3"/>
  <c r="AG1069" i="3" s="1"/>
  <c r="N1068" i="3"/>
  <c r="AG1068" i="3" s="1"/>
  <c r="N1067" i="3"/>
  <c r="AG1067" i="3" s="1"/>
  <c r="N1066" i="3"/>
  <c r="AG1066" i="3" s="1"/>
  <c r="N1065" i="3"/>
  <c r="AG1065" i="3" s="1"/>
  <c r="N1063" i="3"/>
  <c r="AG1063" i="3" s="1"/>
  <c r="N1062" i="3"/>
  <c r="AG1062" i="3" s="1"/>
  <c r="N1061" i="3"/>
  <c r="AG1061" i="3" s="1"/>
  <c r="N71" i="4"/>
  <c r="N70" i="4"/>
  <c r="N69" i="4"/>
  <c r="N1060" i="3"/>
  <c r="AG1060" i="3" s="1"/>
  <c r="N1059" i="3"/>
  <c r="AG1059" i="3" s="1"/>
  <c r="N1058" i="3"/>
  <c r="AG1058" i="3" s="1"/>
  <c r="N1057" i="3"/>
  <c r="AG1057" i="3" s="1"/>
  <c r="N1056" i="3"/>
  <c r="AG1056" i="3" s="1"/>
  <c r="N1055" i="3"/>
  <c r="AG1055" i="3" s="1"/>
  <c r="N1054" i="3"/>
  <c r="AG1054" i="3" s="1"/>
  <c r="N1053" i="3"/>
  <c r="AG1053" i="3" s="1"/>
  <c r="N1052" i="3"/>
  <c r="AG1052" i="3" s="1"/>
  <c r="N68" i="4"/>
  <c r="N1051" i="3"/>
  <c r="AG1051" i="3" s="1"/>
  <c r="N1050" i="3"/>
  <c r="AG1050" i="3" s="1"/>
  <c r="N1049" i="3"/>
  <c r="AG1049" i="3" s="1"/>
  <c r="N1041" i="3"/>
  <c r="AG1041" i="3" s="1"/>
  <c r="N1040" i="3"/>
  <c r="AG1040" i="3" s="1"/>
  <c r="N1039" i="3"/>
  <c r="AG1039" i="3" s="1"/>
  <c r="N1038" i="3"/>
  <c r="AG1038" i="3" s="1"/>
  <c r="N1037" i="3"/>
  <c r="AG1037" i="3" s="1"/>
  <c r="N1036" i="3"/>
  <c r="AG1036" i="3" s="1"/>
  <c r="N1035" i="3"/>
  <c r="AG1035" i="3" s="1"/>
  <c r="N1034" i="3"/>
  <c r="AG1034" i="3" s="1"/>
  <c r="N1033" i="3"/>
  <c r="AG1033" i="3" s="1"/>
  <c r="N1032" i="3"/>
  <c r="AG1032" i="3" s="1"/>
  <c r="N1031" i="3"/>
  <c r="AG1031" i="3" s="1"/>
  <c r="N1030" i="3"/>
  <c r="AG1030" i="3" s="1"/>
  <c r="N1027" i="3"/>
  <c r="AG1027" i="3" s="1"/>
  <c r="N1026" i="3"/>
  <c r="AG1026" i="3" s="1"/>
  <c r="N1025" i="3"/>
  <c r="AG1025" i="3" s="1"/>
  <c r="N1024" i="3"/>
  <c r="AG1024" i="3" s="1"/>
  <c r="N1023" i="3"/>
  <c r="AG1023" i="3" s="1"/>
  <c r="N1022" i="3"/>
  <c r="AG1022" i="3" s="1"/>
  <c r="N1021" i="3"/>
  <c r="AG1021" i="3" s="1"/>
  <c r="N1020" i="3"/>
  <c r="AG1020" i="3" s="1"/>
  <c r="N1019" i="3"/>
  <c r="AG1019" i="3" s="1"/>
  <c r="N1029" i="3"/>
  <c r="AG1029" i="3" s="1"/>
  <c r="N1028" i="3"/>
  <c r="AG1028" i="3" s="1"/>
  <c r="N1017" i="3"/>
  <c r="AG1017" i="3" s="1"/>
  <c r="N1016" i="3"/>
  <c r="AG1016" i="3" s="1"/>
  <c r="N1012" i="3"/>
  <c r="AG1012" i="3" s="1"/>
  <c r="N1015" i="3"/>
  <c r="AG1015" i="3" s="1"/>
  <c r="N1014" i="3"/>
  <c r="AG1014" i="3" s="1"/>
  <c r="N1018" i="3"/>
  <c r="AG1018" i="3" s="1"/>
  <c r="N1013" i="3"/>
  <c r="AG1013" i="3" s="1"/>
  <c r="N1010" i="3"/>
  <c r="AG1010" i="3" s="1"/>
  <c r="N1011" i="3"/>
  <c r="AG1011" i="3" s="1"/>
  <c r="N1008" i="3"/>
  <c r="AG1008" i="3" s="1"/>
  <c r="N1009" i="3"/>
  <c r="AG1009" i="3" s="1"/>
  <c r="N1002" i="3"/>
  <c r="AG1002" i="3" s="1"/>
  <c r="N1004" i="3"/>
  <c r="AG1004" i="3" s="1"/>
  <c r="N1000" i="3"/>
  <c r="AG1000" i="3" s="1"/>
  <c r="N1006" i="3"/>
  <c r="AG1006" i="3" s="1"/>
  <c r="N1001" i="3"/>
  <c r="AG1001" i="3" s="1"/>
  <c r="N1003" i="3"/>
  <c r="AG1003" i="3" s="1"/>
  <c r="N999" i="3"/>
  <c r="AG999" i="3" s="1"/>
  <c r="N998" i="3"/>
  <c r="AG998" i="3" s="1"/>
  <c r="N1005" i="3"/>
  <c r="AG1005" i="3" s="1"/>
  <c r="N1007" i="3"/>
  <c r="AG1007" i="3" s="1"/>
  <c r="N234" i="3"/>
  <c r="AG234" i="3" s="1"/>
  <c r="N994" i="3"/>
  <c r="AG994" i="3" s="1"/>
  <c r="N993" i="3"/>
  <c r="AG993" i="3" s="1"/>
  <c r="N996" i="3"/>
  <c r="AG996" i="3" s="1"/>
  <c r="N997" i="3"/>
  <c r="AG997" i="3" s="1"/>
  <c r="N995" i="3"/>
  <c r="AG995" i="3" s="1"/>
  <c r="N986" i="3"/>
  <c r="AG986" i="3" s="1"/>
  <c r="N989" i="3"/>
  <c r="AG989" i="3" s="1"/>
  <c r="N992" i="3"/>
  <c r="AG992" i="3" s="1"/>
  <c r="N987" i="3"/>
  <c r="AG987" i="3" s="1"/>
  <c r="N988" i="3"/>
  <c r="AG988" i="3" s="1"/>
  <c r="N991" i="3"/>
  <c r="AG991" i="3" s="1"/>
  <c r="N990" i="3"/>
  <c r="AG990" i="3" s="1"/>
  <c r="N985" i="3"/>
  <c r="AG985" i="3" s="1"/>
  <c r="N982" i="3"/>
  <c r="AG982" i="3" s="1"/>
  <c r="N984" i="3"/>
  <c r="AG984" i="3" s="1"/>
  <c r="N983" i="3"/>
  <c r="AG983" i="3" s="1"/>
  <c r="N973" i="3"/>
  <c r="AG973" i="3" s="1"/>
  <c r="N977" i="3"/>
  <c r="AG977" i="3" s="1"/>
  <c r="N975" i="3"/>
  <c r="AG975" i="3" s="1"/>
  <c r="N981" i="3"/>
  <c r="AG981" i="3" s="1"/>
  <c r="N976" i="3"/>
  <c r="AG976" i="3" s="1"/>
  <c r="N972" i="3"/>
  <c r="AG972" i="3" s="1"/>
  <c r="N980" i="3"/>
  <c r="AG980" i="3" s="1"/>
  <c r="N978" i="3"/>
  <c r="AG978" i="3" s="1"/>
  <c r="N979" i="3"/>
  <c r="AG979" i="3" s="1"/>
  <c r="N974" i="3"/>
  <c r="AG974" i="3" s="1"/>
  <c r="N67" i="4"/>
  <c r="N798" i="3"/>
  <c r="AG798" i="3" s="1"/>
  <c r="N966" i="3"/>
  <c r="AG966" i="3" s="1"/>
  <c r="N939" i="3"/>
  <c r="AG939" i="3" s="1"/>
  <c r="N938" i="3"/>
  <c r="AG938" i="3" s="1"/>
  <c r="N937" i="3"/>
  <c r="AG937" i="3" s="1"/>
  <c r="N903" i="3"/>
  <c r="AG903" i="3" s="1"/>
  <c r="N815" i="3"/>
  <c r="AG815" i="3" s="1"/>
  <c r="N967" i="3"/>
  <c r="AG967" i="3" s="1"/>
  <c r="N969" i="3"/>
  <c r="AG969" i="3" s="1"/>
  <c r="N968" i="3"/>
  <c r="AG968" i="3" s="1"/>
  <c r="N970" i="3"/>
  <c r="AG970" i="3" s="1"/>
  <c r="N971" i="3"/>
  <c r="AG971" i="3" s="1"/>
  <c r="N964" i="3"/>
  <c r="AG964" i="3" s="1"/>
  <c r="N958" i="3"/>
  <c r="AG958" i="3" s="1"/>
  <c r="N962" i="3"/>
  <c r="AG962" i="3" s="1"/>
  <c r="N961" i="3"/>
  <c r="AG961" i="3" s="1"/>
  <c r="N965" i="3"/>
  <c r="AG965" i="3" s="1"/>
  <c r="N959" i="3"/>
  <c r="AG959" i="3" s="1"/>
  <c r="N948" i="3"/>
  <c r="AG948" i="3" s="1"/>
  <c r="N945" i="3"/>
  <c r="AG945" i="3" s="1"/>
  <c r="N944" i="3"/>
  <c r="AG944" i="3" s="1"/>
  <c r="N956" i="3"/>
  <c r="AG956" i="3" s="1"/>
  <c r="N951" i="3"/>
  <c r="AG951" i="3" s="1"/>
  <c r="N950" i="3"/>
  <c r="AG950" i="3" s="1"/>
  <c r="N960" i="3"/>
  <c r="AG960" i="3" s="1"/>
  <c r="N963" i="3"/>
  <c r="AG963" i="3" s="1"/>
  <c r="N946" i="3"/>
  <c r="AG946" i="3" s="1"/>
  <c r="N952" i="3"/>
  <c r="AG952" i="3" s="1"/>
  <c r="N953" i="3"/>
  <c r="AG953" i="3" s="1"/>
  <c r="N954" i="3"/>
  <c r="AG954" i="3" s="1"/>
  <c r="N955" i="3"/>
  <c r="AG955" i="3" s="1"/>
  <c r="N947" i="3"/>
  <c r="AG947" i="3" s="1"/>
  <c r="N949" i="3"/>
  <c r="AG949" i="3" s="1"/>
  <c r="N943" i="3"/>
  <c r="AG943" i="3" s="1"/>
  <c r="N942" i="3"/>
  <c r="AG942" i="3" s="1"/>
  <c r="N935" i="3"/>
  <c r="AG935" i="3" s="1"/>
  <c r="N933" i="3"/>
  <c r="AG933" i="3" s="1"/>
  <c r="N934" i="3"/>
  <c r="AG934" i="3" s="1"/>
  <c r="N932" i="3"/>
  <c r="AG932" i="3" s="1"/>
  <c r="N931" i="3"/>
  <c r="AG931" i="3" s="1"/>
  <c r="N916" i="3"/>
  <c r="AG916" i="3" s="1"/>
  <c r="N936" i="3"/>
  <c r="AG936" i="3" s="1"/>
  <c r="N912" i="3"/>
  <c r="AG912" i="3" s="1"/>
  <c r="N910" i="3"/>
  <c r="AG910" i="3" s="1"/>
  <c r="N904" i="3"/>
  <c r="AG904" i="3" s="1"/>
  <c r="N909" i="3"/>
  <c r="AG909" i="3" s="1"/>
  <c r="N907" i="3"/>
  <c r="AG907" i="3" s="1"/>
  <c r="N911" i="3"/>
  <c r="AG911" i="3" s="1"/>
  <c r="N905" i="3"/>
  <c r="AG905" i="3" s="1"/>
  <c r="N930" i="3"/>
  <c r="AG930" i="3" s="1"/>
  <c r="N908" i="3"/>
  <c r="AG908" i="3" s="1"/>
  <c r="N940" i="3"/>
  <c r="AG940" i="3" s="1"/>
  <c r="N929" i="3"/>
  <c r="AG929" i="3" s="1"/>
  <c r="N941" i="3"/>
  <c r="AG941" i="3" s="1"/>
  <c r="N928" i="3"/>
  <c r="AG928" i="3" s="1"/>
  <c r="N924" i="3"/>
  <c r="AG924" i="3" s="1"/>
  <c r="N925" i="3"/>
  <c r="AG925" i="3" s="1"/>
  <c r="N926" i="3"/>
  <c r="AG926" i="3" s="1"/>
  <c r="N927" i="3"/>
  <c r="AG927" i="3" s="1"/>
  <c r="N919" i="3"/>
  <c r="AG919" i="3" s="1"/>
  <c r="N923" i="3"/>
  <c r="AG923" i="3" s="1"/>
  <c r="N922" i="3"/>
  <c r="AG922" i="3" s="1"/>
  <c r="N920" i="3"/>
  <c r="AG920" i="3" s="1"/>
  <c r="N918" i="3"/>
  <c r="AG918" i="3" s="1"/>
  <c r="N921" i="3"/>
  <c r="AG921" i="3" s="1"/>
  <c r="N915" i="3"/>
  <c r="AG915" i="3" s="1"/>
  <c r="N906" i="3"/>
  <c r="AG906" i="3" s="1"/>
  <c r="N913" i="3"/>
  <c r="AG913" i="3" s="1"/>
  <c r="N914" i="3"/>
  <c r="AG914" i="3" s="1"/>
  <c r="N897" i="3"/>
  <c r="AG897" i="3" s="1"/>
  <c r="N917" i="3"/>
  <c r="AG917" i="3" s="1"/>
  <c r="N894" i="3"/>
  <c r="AG894" i="3" s="1"/>
  <c r="N895" i="3"/>
  <c r="AG895" i="3" s="1"/>
  <c r="N891" i="3"/>
  <c r="AG891" i="3" s="1"/>
  <c r="N893" i="3"/>
  <c r="AG893" i="3" s="1"/>
  <c r="N887" i="3"/>
  <c r="AG887" i="3" s="1"/>
  <c r="N899" i="3"/>
  <c r="AG899" i="3" s="1"/>
  <c r="N885" i="3"/>
  <c r="AG885" i="3" s="1"/>
  <c r="N886" i="3"/>
  <c r="AG886" i="3" s="1"/>
  <c r="N889" i="3"/>
  <c r="AG889" i="3" s="1"/>
  <c r="N888" i="3"/>
  <c r="AG888" i="3" s="1"/>
  <c r="N884" i="3"/>
  <c r="AG884" i="3" s="1"/>
  <c r="N902" i="3"/>
  <c r="AG902" i="3" s="1"/>
  <c r="N880" i="3"/>
  <c r="AG880" i="3" s="1"/>
  <c r="N883" i="3"/>
  <c r="AG883" i="3" s="1"/>
  <c r="N878" i="3"/>
  <c r="AG878" i="3" s="1"/>
  <c r="N882" i="3"/>
  <c r="AG882" i="3" s="1"/>
  <c r="N879" i="3"/>
  <c r="AG879" i="3" s="1"/>
  <c r="N881" i="3"/>
  <c r="AG881" i="3" s="1"/>
  <c r="N877" i="3"/>
  <c r="AG877" i="3" s="1"/>
  <c r="N874" i="3"/>
  <c r="AG874" i="3" s="1"/>
  <c r="N876" i="3"/>
  <c r="AG876" i="3" s="1"/>
  <c r="N875" i="3"/>
  <c r="AG875" i="3" s="1"/>
  <c r="N873" i="3"/>
  <c r="AG873" i="3" s="1"/>
  <c r="N867" i="3"/>
  <c r="AG867" i="3" s="1"/>
  <c r="N871" i="3"/>
  <c r="AG871" i="3" s="1"/>
  <c r="N868" i="3"/>
  <c r="AG868" i="3" s="1"/>
  <c r="N866" i="3"/>
  <c r="AG866" i="3" s="1"/>
  <c r="N872" i="3"/>
  <c r="AG872" i="3" s="1"/>
  <c r="N869" i="3"/>
  <c r="AG869" i="3" s="1"/>
  <c r="N870" i="3"/>
  <c r="AG870" i="3" s="1"/>
  <c r="N865" i="3"/>
  <c r="AG865" i="3" s="1"/>
  <c r="N857" i="3"/>
  <c r="AG857" i="3" s="1"/>
  <c r="N855" i="3"/>
  <c r="AG855" i="3" s="1"/>
  <c r="N854" i="3"/>
  <c r="AG854" i="3" s="1"/>
  <c r="N856" i="3"/>
  <c r="AG856" i="3" s="1"/>
  <c r="N859" i="3"/>
  <c r="AG859" i="3" s="1"/>
  <c r="N846" i="3"/>
  <c r="AG846" i="3" s="1"/>
  <c r="N847" i="3"/>
  <c r="AG847" i="3" s="1"/>
  <c r="N848" i="3"/>
  <c r="AG848" i="3" s="1"/>
  <c r="N851" i="3"/>
  <c r="AG851" i="3" s="1"/>
  <c r="N850" i="3"/>
  <c r="AG850" i="3" s="1"/>
  <c r="N901" i="3"/>
  <c r="AG901" i="3" s="1"/>
  <c r="N849" i="3"/>
  <c r="AG849" i="3" s="1"/>
  <c r="N852" i="3"/>
  <c r="AG852" i="3" s="1"/>
  <c r="N839" i="3"/>
  <c r="AG839" i="3" s="1"/>
  <c r="N842" i="3"/>
  <c r="AG842" i="3" s="1"/>
  <c r="N837" i="3"/>
  <c r="AG837" i="3" s="1"/>
  <c r="N838" i="3"/>
  <c r="AG838" i="3" s="1"/>
  <c r="N840" i="3"/>
  <c r="AG840" i="3" s="1"/>
  <c r="N841" i="3"/>
  <c r="AG841" i="3" s="1"/>
  <c r="N843" i="3"/>
  <c r="AG843" i="3" s="1"/>
  <c r="N844" i="3"/>
  <c r="AG844" i="3" s="1"/>
  <c r="N845" i="3"/>
  <c r="AG845" i="3" s="1"/>
  <c r="N829" i="3"/>
  <c r="AG829" i="3" s="1"/>
  <c r="N831" i="3"/>
  <c r="AG831" i="3" s="1"/>
  <c r="N833" i="3"/>
  <c r="AG833" i="3" s="1"/>
  <c r="N834" i="3"/>
  <c r="AG834" i="3" s="1"/>
  <c r="N835" i="3"/>
  <c r="AG835" i="3" s="1"/>
  <c r="N830" i="3"/>
  <c r="AG830" i="3" s="1"/>
  <c r="N836" i="3"/>
  <c r="AG836" i="3" s="1"/>
  <c r="N832" i="3"/>
  <c r="AG832" i="3" s="1"/>
  <c r="N819" i="3"/>
  <c r="AG819" i="3" s="1"/>
  <c r="N820" i="3"/>
  <c r="AG820" i="3" s="1"/>
  <c r="N818" i="3"/>
  <c r="AG818" i="3" s="1"/>
  <c r="N821" i="3"/>
  <c r="AG821" i="3" s="1"/>
  <c r="N816" i="3"/>
  <c r="AG816" i="3" s="1"/>
  <c r="N817" i="3"/>
  <c r="AG817" i="3" s="1"/>
  <c r="N823" i="3"/>
  <c r="AG823" i="3" s="1"/>
  <c r="N822" i="3"/>
  <c r="AG822" i="3" s="1"/>
  <c r="N66" i="4"/>
  <c r="N65" i="4"/>
  <c r="N64" i="4"/>
  <c r="N898" i="3"/>
  <c r="AG898" i="3" s="1"/>
  <c r="N890" i="3"/>
  <c r="AG890" i="3" s="1"/>
  <c r="N900" i="3"/>
  <c r="AG900" i="3" s="1"/>
  <c r="N896" i="3"/>
  <c r="AG896" i="3" s="1"/>
  <c r="N892" i="3"/>
  <c r="AG892" i="3" s="1"/>
  <c r="N811" i="3"/>
  <c r="AG811" i="3" s="1"/>
  <c r="N810" i="3"/>
  <c r="AG810" i="3" s="1"/>
  <c r="N813" i="3"/>
  <c r="AG813" i="3" s="1"/>
  <c r="N814" i="3"/>
  <c r="AG814" i="3" s="1"/>
  <c r="N812" i="3"/>
  <c r="AG812" i="3" s="1"/>
  <c r="N863" i="3"/>
  <c r="AG863" i="3" s="1"/>
  <c r="N860" i="3"/>
  <c r="AG860" i="3" s="1"/>
  <c r="N864" i="3"/>
  <c r="AG864" i="3" s="1"/>
  <c r="N861" i="3"/>
  <c r="AG861" i="3" s="1"/>
  <c r="N862" i="3"/>
  <c r="AG862" i="3" s="1"/>
  <c r="N853" i="3"/>
  <c r="AG853" i="3" s="1"/>
  <c r="N858" i="3"/>
  <c r="AG858" i="3" s="1"/>
  <c r="N63" i="4"/>
  <c r="N62" i="4"/>
  <c r="N61" i="4"/>
  <c r="N60" i="4"/>
  <c r="N59" i="4"/>
  <c r="N825" i="3"/>
  <c r="AG825" i="3" s="1"/>
  <c r="N827" i="3"/>
  <c r="AG827" i="3" s="1"/>
  <c r="N824" i="3"/>
  <c r="AG824" i="3" s="1"/>
  <c r="N826" i="3"/>
  <c r="AG826" i="3" s="1"/>
  <c r="N828" i="3"/>
  <c r="AG828" i="3" s="1"/>
  <c r="N3" i="4"/>
  <c r="N4" i="4"/>
  <c r="N8" i="4"/>
  <c r="N12" i="4"/>
  <c r="N16" i="4"/>
  <c r="N20" i="4"/>
  <c r="N24" i="4"/>
  <c r="N28" i="4"/>
  <c r="N32" i="4"/>
  <c r="N36" i="4"/>
  <c r="N40" i="4"/>
  <c r="N44" i="4"/>
  <c r="N52" i="4"/>
  <c r="N56" i="4"/>
  <c r="N5" i="4"/>
  <c r="N9" i="4"/>
  <c r="N13" i="4"/>
  <c r="N17" i="4"/>
  <c r="N25" i="4"/>
  <c r="N33" i="4"/>
  <c r="N37" i="4"/>
  <c r="N41" i="4"/>
  <c r="N45" i="4"/>
  <c r="N49" i="4"/>
  <c r="N53" i="4"/>
  <c r="N57" i="4"/>
  <c r="N6" i="4"/>
  <c r="N10" i="4"/>
  <c r="N14" i="4"/>
  <c r="N18" i="4"/>
  <c r="N26" i="4"/>
  <c r="N30" i="4"/>
  <c r="N38" i="4"/>
  <c r="N46" i="4"/>
  <c r="N50" i="4"/>
  <c r="N58" i="4"/>
  <c r="N7" i="4"/>
  <c r="N15" i="4"/>
  <c r="N23" i="4"/>
  <c r="N35" i="4"/>
  <c r="N51" i="4"/>
  <c r="N29" i="4"/>
  <c r="N22" i="4"/>
  <c r="N34" i="4"/>
  <c r="N42" i="4"/>
  <c r="N54" i="4"/>
  <c r="N11" i="4"/>
  <c r="N19" i="4"/>
  <c r="N27" i="4"/>
  <c r="N31" i="4"/>
  <c r="N39" i="4"/>
  <c r="N43" i="4"/>
  <c r="N47" i="4"/>
  <c r="N55" i="4"/>
  <c r="N715" i="3"/>
  <c r="AG715" i="3" s="1"/>
  <c r="N731" i="3"/>
  <c r="AG731" i="3" s="1"/>
  <c r="N641" i="3"/>
  <c r="AG641" i="3" s="1"/>
  <c r="N806" i="3"/>
  <c r="AG806" i="3" s="1"/>
  <c r="N807" i="3"/>
  <c r="AG807" i="3" s="1"/>
  <c r="N808" i="3"/>
  <c r="AG808" i="3" s="1"/>
  <c r="N809" i="3"/>
  <c r="AG809" i="3" s="1"/>
  <c r="N720" i="3"/>
  <c r="AG720" i="3" s="1"/>
  <c r="N113" i="3"/>
  <c r="AG113" i="3" s="1"/>
  <c r="N657" i="3"/>
  <c r="AG657" i="3" s="1"/>
  <c r="N624" i="3"/>
  <c r="AG624" i="3" s="1"/>
  <c r="N799" i="3"/>
  <c r="AG799" i="3" s="1"/>
  <c r="N802" i="3"/>
  <c r="AG802" i="3" s="1"/>
  <c r="N804" i="3"/>
  <c r="AG804" i="3" s="1"/>
  <c r="N800" i="3"/>
  <c r="AG800" i="3" s="1"/>
  <c r="N797" i="3"/>
  <c r="AG797" i="3" s="1"/>
  <c r="N805" i="3"/>
  <c r="AG805" i="3" s="1"/>
  <c r="N801" i="3"/>
  <c r="AG801" i="3" s="1"/>
  <c r="N803" i="3"/>
  <c r="AG803" i="3" s="1"/>
  <c r="N782" i="3"/>
  <c r="AG782" i="3" s="1"/>
  <c r="N781" i="3"/>
  <c r="AG781" i="3" s="1"/>
  <c r="N786" i="3"/>
  <c r="AG786" i="3" s="1"/>
  <c r="N787" i="3"/>
  <c r="AG787" i="3" s="1"/>
  <c r="N790" i="3"/>
  <c r="AG790" i="3" s="1"/>
  <c r="N777" i="3"/>
  <c r="AG777" i="3" s="1"/>
  <c r="N775" i="3"/>
  <c r="AG775" i="3" s="1"/>
  <c r="N796" i="3"/>
  <c r="AG796" i="3" s="1"/>
  <c r="N774" i="3"/>
  <c r="AG774" i="3" s="1"/>
  <c r="N780" i="3"/>
  <c r="AG780" i="3" s="1"/>
  <c r="N776" i="3"/>
  <c r="AG776" i="3" s="1"/>
  <c r="N779" i="3"/>
  <c r="AG779" i="3" s="1"/>
  <c r="N778" i="3"/>
  <c r="AG778" i="3" s="1"/>
  <c r="N773" i="3"/>
  <c r="AG773" i="3" s="1"/>
  <c r="N766" i="3"/>
  <c r="AG766" i="3" s="1"/>
  <c r="N767" i="3"/>
  <c r="AG767" i="3" s="1"/>
  <c r="N771" i="3"/>
  <c r="AG771" i="3" s="1"/>
  <c r="N792" i="3"/>
  <c r="AG792" i="3" s="1"/>
  <c r="N793" i="3"/>
  <c r="AG793" i="3" s="1"/>
  <c r="N785" i="3"/>
  <c r="AG785" i="3" s="1"/>
  <c r="N789" i="3"/>
  <c r="AG789" i="3" s="1"/>
  <c r="N784" i="3"/>
  <c r="AG784" i="3" s="1"/>
  <c r="N783" i="3"/>
  <c r="AG783" i="3" s="1"/>
  <c r="N788" i="3"/>
  <c r="AG788" i="3" s="1"/>
  <c r="N791" i="3"/>
  <c r="AG791" i="3" s="1"/>
  <c r="N768" i="3"/>
  <c r="AG768" i="3" s="1"/>
  <c r="N772" i="3"/>
  <c r="AG772" i="3" s="1"/>
  <c r="N769" i="3"/>
  <c r="AG769" i="3" s="1"/>
  <c r="N770" i="3"/>
  <c r="AG770" i="3" s="1"/>
  <c r="N764" i="3"/>
  <c r="AG764" i="3" s="1"/>
  <c r="N760" i="3"/>
  <c r="AG760" i="3" s="1"/>
  <c r="N762" i="3"/>
  <c r="AG762" i="3" s="1"/>
  <c r="N763" i="3"/>
  <c r="AG763" i="3" s="1"/>
  <c r="N765" i="3"/>
  <c r="AG765" i="3" s="1"/>
  <c r="N761" i="3"/>
  <c r="AG761" i="3" s="1"/>
  <c r="N759" i="3"/>
  <c r="AG759" i="3" s="1"/>
  <c r="N757" i="3"/>
  <c r="AG757" i="3" s="1"/>
  <c r="N756" i="3"/>
  <c r="AG756" i="3" s="1"/>
  <c r="N758" i="3"/>
  <c r="AG758" i="3" s="1"/>
  <c r="N752" i="3"/>
  <c r="AG752" i="3" s="1"/>
  <c r="N751" i="3"/>
  <c r="AG751" i="3" s="1"/>
  <c r="N750" i="3"/>
  <c r="AG750" i="3" s="1"/>
  <c r="N749" i="3"/>
  <c r="AG749" i="3" s="1"/>
  <c r="N753" i="3"/>
  <c r="AG753" i="3" s="1"/>
  <c r="N748" i="3"/>
  <c r="AG748" i="3" s="1"/>
  <c r="N755" i="3"/>
  <c r="AG755" i="3" s="1"/>
  <c r="N754" i="3"/>
  <c r="AG754" i="3" s="1"/>
  <c r="N741" i="3"/>
  <c r="AG741" i="3" s="1"/>
  <c r="N738" i="3"/>
  <c r="AG738" i="3" s="1"/>
  <c r="N744" i="3"/>
  <c r="AG744" i="3" s="1"/>
  <c r="N743" i="3"/>
  <c r="AG743" i="3" s="1"/>
  <c r="N740" i="3"/>
  <c r="AG740" i="3" s="1"/>
  <c r="N737" i="3"/>
  <c r="AG737" i="3" s="1"/>
  <c r="N736" i="3"/>
  <c r="AG736" i="3" s="1"/>
  <c r="N739" i="3"/>
  <c r="AG739" i="3" s="1"/>
  <c r="N735" i="3"/>
  <c r="AG735" i="3" s="1"/>
  <c r="N742" i="3"/>
  <c r="AG742" i="3" s="1"/>
  <c r="N721" i="3"/>
  <c r="AG721" i="3" s="1"/>
  <c r="N718" i="3"/>
  <c r="AG718" i="3" s="1"/>
  <c r="N719" i="3"/>
  <c r="AG719" i="3" s="1"/>
  <c r="N717" i="3"/>
  <c r="AG717" i="3" s="1"/>
  <c r="N722" i="3"/>
  <c r="AG722" i="3" s="1"/>
  <c r="N795" i="3"/>
  <c r="AG795" i="3" s="1"/>
  <c r="N714" i="3"/>
  <c r="AG714" i="3" s="1"/>
  <c r="N710" i="3"/>
  <c r="AG710" i="3" s="1"/>
  <c r="N711" i="3"/>
  <c r="AG711" i="3" s="1"/>
  <c r="N712" i="3"/>
  <c r="AG712" i="3" s="1"/>
  <c r="N713" i="3"/>
  <c r="AG713" i="3" s="1"/>
  <c r="N716" i="3"/>
  <c r="AG716" i="3" s="1"/>
  <c r="N680" i="3"/>
  <c r="AG680" i="3" s="1"/>
  <c r="N686" i="3"/>
  <c r="AG686" i="3" s="1"/>
  <c r="N682" i="3"/>
  <c r="AG682" i="3" s="1"/>
  <c r="N679" i="3"/>
  <c r="AG679" i="3" s="1"/>
  <c r="N674" i="3"/>
  <c r="AG674" i="3" s="1"/>
  <c r="N683" i="3"/>
  <c r="AG683" i="3" s="1"/>
  <c r="N676" i="3"/>
  <c r="AG676" i="3" s="1"/>
  <c r="N696" i="3"/>
  <c r="AG696" i="3" s="1"/>
  <c r="N704" i="3"/>
  <c r="AG704" i="3" s="1"/>
  <c r="N697" i="3"/>
  <c r="AG697" i="3" s="1"/>
  <c r="N699" i="3"/>
  <c r="AG699" i="3" s="1"/>
  <c r="N698" i="3"/>
  <c r="AG698" i="3" s="1"/>
  <c r="N706" i="3"/>
  <c r="AG706" i="3" s="1"/>
  <c r="N693" i="3"/>
  <c r="AG693" i="3" s="1"/>
  <c r="N684" i="3"/>
  <c r="AG684" i="3" s="1"/>
  <c r="N677" i="3"/>
  <c r="AG677" i="3" s="1"/>
  <c r="N678" i="3"/>
  <c r="AG678" i="3" s="1"/>
  <c r="N685" i="3"/>
  <c r="AG685" i="3" s="1"/>
  <c r="N681" i="3"/>
  <c r="AG681" i="3" s="1"/>
  <c r="N794" i="3"/>
  <c r="AG794" i="3" s="1"/>
  <c r="N688" i="3"/>
  <c r="AG688" i="3" s="1"/>
  <c r="N687" i="3"/>
  <c r="AG687" i="3" s="1"/>
  <c r="N689" i="3"/>
  <c r="AG689" i="3" s="1"/>
  <c r="N690" i="3"/>
  <c r="AG690" i="3" s="1"/>
  <c r="N691" i="3"/>
  <c r="AG691" i="3" s="1"/>
  <c r="N692" i="3"/>
  <c r="AG692" i="3" s="1"/>
  <c r="N694" i="3"/>
  <c r="AG694" i="3" s="1"/>
  <c r="N702" i="3"/>
  <c r="AG702" i="3" s="1"/>
  <c r="N700" i="3"/>
  <c r="AG700" i="3" s="1"/>
  <c r="N705" i="3"/>
  <c r="AG705" i="3" s="1"/>
  <c r="N703" i="3"/>
  <c r="AG703" i="3" s="1"/>
  <c r="N695" i="3"/>
  <c r="AG695" i="3" s="1"/>
  <c r="N701" i="3"/>
  <c r="AG701" i="3" s="1"/>
  <c r="N707" i="3"/>
  <c r="AG707" i="3" s="1"/>
  <c r="N708" i="3"/>
  <c r="AG708" i="3" s="1"/>
  <c r="N709" i="3"/>
  <c r="AG709" i="3" s="1"/>
  <c r="N745" i="3"/>
  <c r="AG745" i="3" s="1"/>
  <c r="N747" i="3"/>
  <c r="AG747" i="3" s="1"/>
  <c r="N746" i="3"/>
  <c r="AG746" i="3" s="1"/>
  <c r="N675" i="3"/>
  <c r="AG675" i="3" s="1"/>
  <c r="N728" i="3"/>
  <c r="AG728" i="3" s="1"/>
  <c r="N733" i="3"/>
  <c r="AG733" i="3" s="1"/>
  <c r="N732" i="3"/>
  <c r="AG732" i="3" s="1"/>
  <c r="N734" i="3"/>
  <c r="AG734" i="3" s="1"/>
  <c r="N730" i="3"/>
  <c r="AG730" i="3" s="1"/>
  <c r="N729" i="3"/>
  <c r="AG729" i="3" s="1"/>
  <c r="N673" i="3"/>
  <c r="AG673" i="3" s="1"/>
  <c r="N672" i="3"/>
  <c r="AG672" i="3" s="1"/>
  <c r="N671" i="3"/>
  <c r="AG671" i="3" s="1"/>
  <c r="N667" i="3"/>
  <c r="AG667" i="3" s="1"/>
  <c r="N664" i="3"/>
  <c r="AG664" i="3" s="1"/>
  <c r="N663" i="3"/>
  <c r="AG663" i="3" s="1"/>
  <c r="N670" i="3"/>
  <c r="AG670" i="3" s="1"/>
  <c r="N666" i="3"/>
  <c r="AG666" i="3" s="1"/>
  <c r="N665" i="3"/>
  <c r="AG665" i="3" s="1"/>
  <c r="N661" i="3"/>
  <c r="AG661" i="3" s="1"/>
  <c r="N668" i="3"/>
  <c r="AG668" i="3" s="1"/>
  <c r="N669" i="3"/>
  <c r="AG669" i="3" s="1"/>
  <c r="R15" i="20"/>
  <c r="R17" i="20" s="1"/>
  <c r="N651" i="3"/>
  <c r="AG651" i="3" s="1"/>
  <c r="N656" i="3"/>
  <c r="AG656" i="3" s="1"/>
  <c r="N653" i="3"/>
  <c r="AG653" i="3" s="1"/>
  <c r="N644" i="3"/>
  <c r="AG644" i="3" s="1"/>
  <c r="N643" i="3"/>
  <c r="AG643" i="3" s="1"/>
  <c r="N727" i="3"/>
  <c r="AG727" i="3" s="1"/>
  <c r="N648" i="3"/>
  <c r="AG648" i="3" s="1"/>
  <c r="N642" i="3"/>
  <c r="AG642" i="3" s="1"/>
  <c r="N647" i="3"/>
  <c r="AG647" i="3" s="1"/>
  <c r="N646" i="3"/>
  <c r="AG646" i="3" s="1"/>
  <c r="N649" i="3"/>
  <c r="AG649" i="3" s="1"/>
  <c r="N645" i="3"/>
  <c r="AG645" i="3" s="1"/>
  <c r="N637" i="3"/>
  <c r="AG637" i="3" s="1"/>
  <c r="N726" i="3"/>
  <c r="AG726" i="3" s="1"/>
  <c r="N632" i="3"/>
  <c r="AG632" i="3" s="1"/>
  <c r="N633" i="3"/>
  <c r="AG633" i="3" s="1"/>
  <c r="N630" i="3"/>
  <c r="AG630" i="3" s="1"/>
  <c r="N631" i="3"/>
  <c r="AG631" i="3" s="1"/>
  <c r="N626" i="3"/>
  <c r="AG626" i="3" s="1"/>
  <c r="N629" i="3"/>
  <c r="AG629" i="3" s="1"/>
  <c r="N625" i="3"/>
  <c r="AG625" i="3" s="1"/>
  <c r="N627" i="3"/>
  <c r="AG627" i="3" s="1"/>
  <c r="N658" i="3"/>
  <c r="AG658" i="3" s="1"/>
  <c r="N659" i="3"/>
  <c r="AG659" i="3" s="1"/>
  <c r="N654" i="3"/>
  <c r="AG654" i="3" s="1"/>
  <c r="N655" i="3"/>
  <c r="AG655" i="3" s="1"/>
  <c r="N652" i="3"/>
  <c r="AG652" i="3" s="1"/>
  <c r="N660" i="3"/>
  <c r="AG660" i="3" s="1"/>
  <c r="N650" i="3"/>
  <c r="AG650" i="3" s="1"/>
  <c r="N662" i="3"/>
  <c r="AG662" i="3" s="1"/>
  <c r="N635" i="3"/>
  <c r="AG635" i="3" s="1"/>
  <c r="N640" i="3"/>
  <c r="AG640" i="3" s="1"/>
  <c r="N638" i="3"/>
  <c r="AG638" i="3" s="1"/>
  <c r="N636" i="3"/>
  <c r="AG636" i="3" s="1"/>
  <c r="N639" i="3"/>
  <c r="AG639" i="3" s="1"/>
  <c r="N634" i="3"/>
  <c r="AG634" i="3" s="1"/>
  <c r="N619" i="3"/>
  <c r="AG619" i="3" s="1"/>
  <c r="N725" i="3"/>
  <c r="AG725" i="3" s="1"/>
  <c r="N620" i="3"/>
  <c r="AG620" i="3" s="1"/>
  <c r="N623" i="3"/>
  <c r="AG623" i="3" s="1"/>
  <c r="N618" i="3"/>
  <c r="AG618" i="3" s="1"/>
  <c r="N622" i="3"/>
  <c r="AG622" i="3" s="1"/>
  <c r="N621" i="3"/>
  <c r="AG621" i="3" s="1"/>
  <c r="N724" i="3"/>
  <c r="AG724" i="3" s="1"/>
  <c r="N614" i="3"/>
  <c r="AG614" i="3" s="1"/>
  <c r="N615" i="3"/>
  <c r="AG615" i="3" s="1"/>
  <c r="N617" i="3"/>
  <c r="AG617" i="3" s="1"/>
  <c r="N611" i="3"/>
  <c r="AG611" i="3" s="1"/>
  <c r="N610" i="3"/>
  <c r="AG610" i="3" s="1"/>
  <c r="N613" i="3"/>
  <c r="AG613" i="3" s="1"/>
  <c r="N612" i="3"/>
  <c r="AG612" i="3" s="1"/>
  <c r="N608" i="3"/>
  <c r="AG608" i="3" s="1"/>
  <c r="N607" i="3"/>
  <c r="AG607" i="3" s="1"/>
  <c r="N609" i="3"/>
  <c r="AG609" i="3" s="1"/>
  <c r="N606" i="3"/>
  <c r="AG606" i="3" s="1"/>
  <c r="N723" i="3"/>
  <c r="AG723" i="3" s="1"/>
  <c r="N605" i="3"/>
  <c r="AG605" i="3" s="1"/>
  <c r="N124" i="3"/>
  <c r="AG124" i="3" s="1"/>
  <c r="N133" i="3"/>
  <c r="AG133" i="3" s="1"/>
  <c r="N148" i="3"/>
  <c r="AG148" i="3" s="1"/>
  <c r="N14" i="3"/>
  <c r="AG14" i="3" s="1"/>
  <c r="N30" i="3"/>
  <c r="AG30" i="3" s="1"/>
  <c r="N36" i="3"/>
  <c r="AG36" i="3" s="1"/>
  <c r="N63" i="3"/>
  <c r="AG63" i="3" s="1"/>
  <c r="N85" i="3"/>
  <c r="AG85" i="3" s="1"/>
  <c r="N88" i="3"/>
  <c r="AG88" i="3" s="1"/>
  <c r="N99" i="3"/>
  <c r="AG99" i="3" s="1"/>
  <c r="N98" i="3"/>
  <c r="AG98" i="3" s="1"/>
  <c r="N100" i="3"/>
  <c r="AG100" i="3" s="1"/>
  <c r="N111" i="3"/>
  <c r="AG111" i="3" s="1"/>
  <c r="N103" i="3"/>
  <c r="AG103" i="3" s="1"/>
  <c r="N115" i="3"/>
  <c r="AG115" i="3" s="1"/>
  <c r="N114" i="3"/>
  <c r="AG114" i="3" s="1"/>
  <c r="N117" i="3"/>
  <c r="AG117" i="3" s="1"/>
  <c r="N116" i="3"/>
  <c r="AG116" i="3" s="1"/>
  <c r="N118" i="3"/>
  <c r="AG118" i="3" s="1"/>
  <c r="N112" i="3"/>
  <c r="AG112" i="3" s="1"/>
  <c r="N120" i="3"/>
  <c r="AG120" i="3" s="1"/>
  <c r="N129" i="3"/>
  <c r="AG129" i="3" s="1"/>
  <c r="N126" i="3"/>
  <c r="AG126" i="3" s="1"/>
  <c r="N143" i="3"/>
  <c r="AG143" i="3" s="1"/>
  <c r="N135" i="3"/>
  <c r="AG135" i="3" s="1"/>
  <c r="N138" i="3"/>
  <c r="AG138" i="3" s="1"/>
  <c r="N146" i="3"/>
  <c r="AG146" i="3" s="1"/>
  <c r="N176" i="3"/>
  <c r="AG176" i="3" s="1"/>
  <c r="N175" i="3"/>
  <c r="AG175" i="3" s="1"/>
  <c r="N180" i="3"/>
  <c r="AG180" i="3" s="1"/>
  <c r="N141" i="3"/>
  <c r="AG141" i="3" s="1"/>
  <c r="N168" i="3"/>
  <c r="AG168" i="3" s="1"/>
  <c r="N190" i="3"/>
  <c r="AG190" i="3" s="1"/>
  <c r="N211" i="3"/>
  <c r="AG211" i="3" s="1"/>
  <c r="N216" i="3"/>
  <c r="AG216" i="3" s="1"/>
  <c r="N225" i="3"/>
  <c r="AG225" i="3" s="1"/>
  <c r="N422" i="3"/>
  <c r="AG422" i="3" s="1"/>
  <c r="N153" i="3"/>
  <c r="AG153" i="3" s="1"/>
  <c r="N222" i="3"/>
  <c r="AG222" i="3" s="1"/>
  <c r="N249" i="3"/>
  <c r="AG249" i="3" s="1"/>
  <c r="N137" i="3"/>
  <c r="AG137" i="3" s="1"/>
  <c r="N174" i="3"/>
  <c r="AG174" i="3" s="1"/>
  <c r="N173" i="3"/>
  <c r="AG173" i="3" s="1"/>
  <c r="N159" i="3"/>
  <c r="AG159" i="3" s="1"/>
  <c r="N318" i="3"/>
  <c r="AG318" i="3" s="1"/>
  <c r="N331" i="3"/>
  <c r="AG331" i="3" s="1"/>
  <c r="N343" i="3"/>
  <c r="AG343" i="3" s="1"/>
  <c r="N364" i="3"/>
  <c r="AG364" i="3" s="1"/>
  <c r="N335" i="3"/>
  <c r="AG335" i="3" s="1"/>
  <c r="N185" i="3"/>
  <c r="AG185" i="3" s="1"/>
  <c r="N193" i="3"/>
  <c r="AG193" i="3" s="1"/>
  <c r="N324" i="3"/>
  <c r="AG324" i="3" s="1"/>
  <c r="N329" i="3"/>
  <c r="AG329" i="3" s="1"/>
  <c r="N425" i="3"/>
  <c r="AG425" i="3" s="1"/>
  <c r="N575" i="3"/>
  <c r="AG575" i="3" s="1"/>
  <c r="N574" i="3"/>
  <c r="AG574" i="3" s="1"/>
  <c r="N595" i="3"/>
  <c r="AG595" i="3" s="1"/>
  <c r="N589" i="3"/>
  <c r="AG589" i="3" s="1"/>
  <c r="N603" i="3"/>
  <c r="AG603" i="3" s="1"/>
  <c r="N580" i="3"/>
  <c r="AG580" i="3" s="1"/>
  <c r="N578" i="3"/>
  <c r="AG578" i="3" s="1"/>
  <c r="N576" i="3"/>
  <c r="AG576" i="3" s="1"/>
  <c r="N582" i="3"/>
  <c r="AG582" i="3" s="1"/>
  <c r="N586" i="3"/>
  <c r="AG586" i="3" s="1"/>
  <c r="N591" i="3"/>
  <c r="AG591" i="3" s="1"/>
  <c r="N587" i="3"/>
  <c r="AG587" i="3" s="1"/>
  <c r="N592" i="3"/>
  <c r="AG592" i="3" s="1"/>
  <c r="N593" i="3"/>
  <c r="AG593" i="3" s="1"/>
  <c r="N604" i="3"/>
  <c r="AG604" i="3" s="1"/>
  <c r="N596" i="3"/>
  <c r="AG596" i="3" s="1"/>
  <c r="N597" i="3"/>
  <c r="AG597" i="3" s="1"/>
  <c r="N325" i="3"/>
  <c r="AG325" i="3" s="1"/>
  <c r="N125" i="3"/>
  <c r="AG125" i="3" s="1"/>
  <c r="N424" i="3"/>
  <c r="AG424" i="3" s="1"/>
  <c r="N572" i="3"/>
  <c r="AG572" i="3" s="1"/>
  <c r="N577" i="3"/>
  <c r="AG577" i="3" s="1"/>
  <c r="N579" i="3"/>
  <c r="AG579" i="3" s="1"/>
  <c r="N594" i="3"/>
  <c r="AG594" i="3" s="1"/>
  <c r="N588" i="3"/>
  <c r="AG588" i="3" s="1"/>
  <c r="N584" i="3"/>
  <c r="AG584" i="3" s="1"/>
  <c r="N583" i="3"/>
  <c r="AG583" i="3" s="1"/>
  <c r="N581" i="3"/>
  <c r="AG581" i="3" s="1"/>
  <c r="N590" i="3"/>
  <c r="AG590" i="3" s="1"/>
  <c r="N585" i="3"/>
  <c r="AG585" i="3" s="1"/>
  <c r="N598" i="3"/>
  <c r="AG598" i="3" s="1"/>
  <c r="N599" i="3"/>
  <c r="AG599" i="3" s="1"/>
  <c r="N566" i="3"/>
  <c r="AG566" i="3" s="1"/>
  <c r="N570" i="3"/>
  <c r="AG570" i="3" s="1"/>
  <c r="N549" i="3"/>
  <c r="AG549" i="3" s="1"/>
  <c r="N541" i="3"/>
  <c r="AG541" i="3" s="1"/>
  <c r="N558" i="3"/>
  <c r="AG558" i="3" s="1"/>
  <c r="AG571" i="3"/>
  <c r="N557" i="3"/>
  <c r="AG557" i="3" s="1"/>
  <c r="N532" i="3"/>
  <c r="AG532" i="3" s="1"/>
  <c r="N513" i="3"/>
  <c r="AG513" i="3" s="1"/>
  <c r="N501" i="3"/>
  <c r="AG501" i="3" s="1"/>
  <c r="N474" i="3"/>
  <c r="AG474" i="3" s="1"/>
  <c r="N415" i="3"/>
  <c r="AG415" i="3" s="1"/>
  <c r="N166" i="3"/>
  <c r="AG166" i="3" s="1"/>
  <c r="N530" i="3"/>
  <c r="AG530" i="3" s="1"/>
  <c r="N515" i="3"/>
  <c r="AG515" i="3" s="1"/>
  <c r="N500" i="3"/>
  <c r="AG500" i="3" s="1"/>
  <c r="N489" i="3"/>
  <c r="AG489" i="3" s="1"/>
  <c r="N600" i="3"/>
  <c r="AG600" i="3" s="1"/>
  <c r="N531" i="3"/>
  <c r="AG531" i="3" s="1"/>
  <c r="N602" i="3"/>
  <c r="AG602" i="3" s="1"/>
  <c r="N509" i="3"/>
  <c r="AG509" i="3" s="1"/>
  <c r="N505" i="3"/>
  <c r="AG505" i="3" s="1"/>
  <c r="N494" i="3"/>
  <c r="AG494" i="3" s="1"/>
  <c r="N480" i="3"/>
  <c r="AG480" i="3" s="1"/>
  <c r="N457" i="3"/>
  <c r="AG457" i="3" s="1"/>
  <c r="N414" i="3"/>
  <c r="AG414" i="3" s="1"/>
  <c r="N314" i="3"/>
  <c r="AG314" i="3" s="1"/>
  <c r="N270" i="3"/>
  <c r="AG270" i="3" s="1"/>
  <c r="N269" i="3"/>
  <c r="AG269" i="3" s="1"/>
  <c r="N423" i="3"/>
  <c r="AG423" i="3" s="1"/>
  <c r="N221" i="3"/>
  <c r="AG221" i="3" s="1"/>
  <c r="N313" i="3"/>
  <c r="AG313" i="3" s="1"/>
  <c r="N262" i="3"/>
  <c r="AG262" i="3" s="1"/>
  <c r="N179" i="3"/>
  <c r="AG179" i="3" s="1"/>
  <c r="N147" i="3"/>
  <c r="AG147" i="3" s="1"/>
  <c r="N247" i="3"/>
  <c r="AG247" i="3" s="1"/>
  <c r="N164" i="3"/>
  <c r="AG164" i="3" s="1"/>
  <c r="N567" i="3"/>
  <c r="AG567" i="3" s="1"/>
  <c r="N556" i="3"/>
  <c r="AG556" i="3" s="1"/>
  <c r="N565" i="3"/>
  <c r="AG565" i="3" s="1"/>
  <c r="N533" i="3"/>
  <c r="AG533" i="3" s="1"/>
  <c r="N498" i="3"/>
  <c r="AG498" i="3" s="1"/>
  <c r="N436" i="3"/>
  <c r="AG436" i="3" s="1"/>
  <c r="N535" i="3"/>
  <c r="AG535" i="3" s="1"/>
  <c r="N497" i="3"/>
  <c r="AG497" i="3" s="1"/>
  <c r="N473" i="3"/>
  <c r="AG473" i="3" s="1"/>
  <c r="N526" i="3"/>
  <c r="AG526" i="3" s="1"/>
  <c r="N502" i="3"/>
  <c r="AG502" i="3" s="1"/>
  <c r="N476" i="3"/>
  <c r="AG476" i="3" s="1"/>
  <c r="N186" i="3"/>
  <c r="AG186" i="3" s="1"/>
  <c r="N264" i="3"/>
  <c r="AG264" i="3" s="1"/>
  <c r="N224" i="3"/>
  <c r="AG224" i="3" s="1"/>
  <c r="N203" i="3"/>
  <c r="AG203" i="3" s="1"/>
  <c r="N189" i="3"/>
  <c r="AG189" i="3" s="1"/>
  <c r="N560" i="3"/>
  <c r="AG560" i="3" s="1"/>
  <c r="N563" i="3"/>
  <c r="AG563" i="3" s="1"/>
  <c r="N543" i="3"/>
  <c r="AG543" i="3" s="1"/>
  <c r="N564" i="3"/>
  <c r="AG564" i="3" s="1"/>
  <c r="N547" i="3"/>
  <c r="AG547" i="3" s="1"/>
  <c r="N569" i="3"/>
  <c r="AG569" i="3" s="1"/>
  <c r="N554" i="3"/>
  <c r="AG554" i="3" s="1"/>
  <c r="N522" i="3"/>
  <c r="AG522" i="3" s="1"/>
  <c r="N511" i="3"/>
  <c r="AG511" i="3" s="1"/>
  <c r="N493" i="3"/>
  <c r="AG493" i="3" s="1"/>
  <c r="N454" i="3"/>
  <c r="AG454" i="3" s="1"/>
  <c r="N420" i="3"/>
  <c r="AG420" i="3" s="1"/>
  <c r="N548" i="3"/>
  <c r="AG548" i="3" s="1"/>
  <c r="N528" i="3"/>
  <c r="AG528" i="3" s="1"/>
  <c r="N508" i="3"/>
  <c r="AG508" i="3" s="1"/>
  <c r="N504" i="3"/>
  <c r="AG504" i="3" s="1"/>
  <c r="N486" i="3"/>
  <c r="AG486" i="3" s="1"/>
  <c r="N550" i="3"/>
  <c r="AG550" i="3" s="1"/>
  <c r="N524" i="3"/>
  <c r="AG524" i="3" s="1"/>
  <c r="N516" i="3"/>
  <c r="AG516" i="3" s="1"/>
  <c r="N510" i="3"/>
  <c r="AG510" i="3" s="1"/>
  <c r="N495" i="3"/>
  <c r="AG495" i="3" s="1"/>
  <c r="N484" i="3"/>
  <c r="AG484" i="3" s="1"/>
  <c r="N477" i="3"/>
  <c r="AG477" i="3" s="1"/>
  <c r="N452" i="3"/>
  <c r="AG452" i="3" s="1"/>
  <c r="N388" i="3"/>
  <c r="AG388" i="3" s="1"/>
  <c r="N307" i="3"/>
  <c r="AG307" i="3" s="1"/>
  <c r="N261" i="3"/>
  <c r="AG261" i="3" s="1"/>
  <c r="N187" i="3"/>
  <c r="AG187" i="3" s="1"/>
  <c r="N250" i="3"/>
  <c r="AG250" i="3" s="1"/>
  <c r="N223" i="3"/>
  <c r="AG223" i="3" s="1"/>
  <c r="N302" i="3"/>
  <c r="AG302" i="3" s="1"/>
  <c r="N208" i="3"/>
  <c r="AG208" i="3" s="1"/>
  <c r="N171" i="3"/>
  <c r="AG171" i="3" s="1"/>
  <c r="N183" i="3"/>
  <c r="AG183" i="3" s="1"/>
  <c r="N209" i="3"/>
  <c r="AG209" i="3" s="1"/>
  <c r="N301" i="3"/>
  <c r="AG301" i="3" s="1"/>
  <c r="N162" i="3"/>
  <c r="AG162" i="3" s="1"/>
  <c r="N553" i="3"/>
  <c r="AG553" i="3" s="1"/>
  <c r="N552" i="3"/>
  <c r="AG552" i="3" s="1"/>
  <c r="N555" i="3"/>
  <c r="AG555" i="3" s="1"/>
  <c r="N517" i="3"/>
  <c r="AG517" i="3" s="1"/>
  <c r="N479" i="3"/>
  <c r="AG479" i="3" s="1"/>
  <c r="N391" i="3"/>
  <c r="AG391" i="3" s="1"/>
  <c r="N525" i="3"/>
  <c r="AG525" i="3" s="1"/>
  <c r="N490" i="3"/>
  <c r="AG490" i="3" s="1"/>
  <c r="N534" i="3"/>
  <c r="AG534" i="3" s="1"/>
  <c r="N519" i="3"/>
  <c r="AG519" i="3" s="1"/>
  <c r="N507" i="3"/>
  <c r="AG507" i="3" s="1"/>
  <c r="N488" i="3"/>
  <c r="AG488" i="3" s="1"/>
  <c r="N435" i="3"/>
  <c r="AG435" i="3" s="1"/>
  <c r="N303" i="3"/>
  <c r="AG303" i="3" s="1"/>
  <c r="N306" i="3"/>
  <c r="AG306" i="3" s="1"/>
  <c r="N281" i="3"/>
  <c r="AG281" i="3" s="1"/>
  <c r="N160" i="3"/>
  <c r="AG160" i="3" s="1"/>
  <c r="N545" i="3"/>
  <c r="AG545" i="3" s="1"/>
  <c r="N559" i="3"/>
  <c r="AG559" i="3" s="1"/>
  <c r="N561" i="3"/>
  <c r="AG561" i="3" s="1"/>
  <c r="N568" i="3"/>
  <c r="AG568" i="3" s="1"/>
  <c r="N542" i="3"/>
  <c r="AG542" i="3" s="1"/>
  <c r="N562" i="3"/>
  <c r="AG562" i="3" s="1"/>
  <c r="N546" i="3"/>
  <c r="AG546" i="3" s="1"/>
  <c r="N520" i="3"/>
  <c r="AG520" i="3" s="1"/>
  <c r="N506" i="3"/>
  <c r="AG506" i="3" s="1"/>
  <c r="N499" i="3"/>
  <c r="AG499" i="3" s="1"/>
  <c r="N443" i="3"/>
  <c r="AG443" i="3" s="1"/>
  <c r="N426" i="3"/>
  <c r="AG426" i="3" s="1"/>
  <c r="N544" i="3"/>
  <c r="AG544" i="3" s="1"/>
  <c r="N523" i="3"/>
  <c r="AG523" i="3" s="1"/>
  <c r="N512" i="3"/>
  <c r="AG512" i="3" s="1"/>
  <c r="N485" i="3"/>
  <c r="AG485" i="3" s="1"/>
  <c r="N601" i="3"/>
  <c r="AG601" i="3" s="1"/>
  <c r="N539" i="3"/>
  <c r="AG539" i="3" s="1"/>
  <c r="N521" i="3"/>
  <c r="AG521" i="3" s="1"/>
  <c r="N518" i="3"/>
  <c r="AG518" i="3" s="1"/>
  <c r="N514" i="3"/>
  <c r="AG514" i="3" s="1"/>
  <c r="N503" i="3"/>
  <c r="AG503" i="3" s="1"/>
  <c r="N481" i="3"/>
  <c r="AG481" i="3" s="1"/>
  <c r="N475" i="3"/>
  <c r="AG475" i="3" s="1"/>
  <c r="N451" i="3"/>
  <c r="AG451" i="3" s="1"/>
  <c r="N199" i="3"/>
  <c r="AG199" i="3" s="1"/>
  <c r="N300" i="3"/>
  <c r="AG300" i="3" s="1"/>
  <c r="N309" i="3"/>
  <c r="AG309" i="3" s="1"/>
  <c r="N170" i="3"/>
  <c r="AG170" i="3" s="1"/>
  <c r="I10" i="21"/>
  <c r="L13" i="30"/>
  <c r="J13" i="30"/>
  <c r="N15" i="30" s="1"/>
  <c r="T24" i="9"/>
  <c r="V24" i="9" s="1"/>
  <c r="T27" i="9"/>
  <c r="V27" i="9" s="1"/>
  <c r="X27" i="9" s="1"/>
  <c r="T23" i="9"/>
  <c r="V23" i="9" s="1"/>
  <c r="T25" i="9"/>
  <c r="V25" i="9" s="1"/>
  <c r="Y25" i="9" s="1"/>
  <c r="M25" i="9" s="1"/>
  <c r="O25" i="9" s="1"/>
  <c r="T19" i="9"/>
  <c r="V19" i="9" s="1"/>
  <c r="X19" i="9" s="1"/>
  <c r="T28" i="9"/>
  <c r="V28" i="9" s="1"/>
  <c r="Y28" i="9" s="1"/>
  <c r="M28" i="9" s="1"/>
  <c r="O28" i="9" s="1"/>
  <c r="T22" i="9"/>
  <c r="V22" i="9" s="1"/>
  <c r="X22" i="9" s="1"/>
  <c r="T26" i="9"/>
  <c r="V26" i="9" s="1"/>
  <c r="X26" i="9" s="1"/>
  <c r="T21" i="9"/>
  <c r="V21" i="9" s="1"/>
  <c r="X21" i="9" s="1"/>
  <c r="T20" i="9"/>
  <c r="V20" i="9" s="1"/>
  <c r="Y20" i="9" s="1"/>
  <c r="M31" i="9"/>
  <c r="H13" i="30"/>
  <c r="D25" i="17"/>
  <c r="D3" i="17"/>
  <c r="D42" i="17"/>
  <c r="Y23" i="9" l="1"/>
  <c r="M23" i="9" s="1"/>
  <c r="O23" i="9" s="1"/>
  <c r="M20" i="9"/>
  <c r="O20" i="9" s="1"/>
  <c r="N13" i="30"/>
  <c r="X24" i="9"/>
  <c r="Y24" i="9"/>
  <c r="M24" i="9" s="1"/>
  <c r="O24" i="9" s="1"/>
  <c r="Y27" i="9"/>
  <c r="M27" i="9" s="1"/>
  <c r="O27" i="9" s="1"/>
  <c r="Y26" i="9"/>
  <c r="M26" i="9" s="1"/>
  <c r="O26" i="9" s="1"/>
  <c r="X28" i="9"/>
  <c r="Y21" i="9"/>
  <c r="M21" i="9" s="1"/>
  <c r="O21" i="9" s="1"/>
  <c r="X25" i="9"/>
  <c r="Y22" i="9"/>
  <c r="M22" i="9" s="1"/>
  <c r="O22" i="9" s="1"/>
  <c r="Y19" i="9"/>
  <c r="X23" i="9"/>
  <c r="X20" i="9"/>
  <c r="M19" i="9" l="1"/>
  <c r="M30" i="9"/>
  <c r="O19" i="9" l="1"/>
  <c r="M29" i="9"/>
  <c r="M32" i="9" s="1"/>
</calcChain>
</file>

<file path=xl/sharedStrings.xml><?xml version="1.0" encoding="utf-8"?>
<sst xmlns="http://schemas.openxmlformats.org/spreadsheetml/2006/main" count="46375" uniqueCount="6123">
  <si>
    <t>COD. PROD</t>
  </si>
  <si>
    <t>DESCRIPCIÓN</t>
  </si>
  <si>
    <t>MARCA</t>
  </si>
  <si>
    <t>CATEGORÍA</t>
  </si>
  <si>
    <t>TIPO</t>
  </si>
  <si>
    <t>SUBTIPO</t>
  </si>
  <si>
    <t>CATALOGO</t>
  </si>
  <si>
    <t>UxC</t>
  </si>
  <si>
    <t>AS-0002</t>
  </si>
  <si>
    <t>Goliat</t>
  </si>
  <si>
    <t>ASEO</t>
  </si>
  <si>
    <t>Hogar</t>
  </si>
  <si>
    <t>Bolsa Basura</t>
  </si>
  <si>
    <t>AS-0003</t>
  </si>
  <si>
    <t>AS-0004</t>
  </si>
  <si>
    <t>AS-0005</t>
  </si>
  <si>
    <t>Virutex Ilko</t>
  </si>
  <si>
    <t>Impeke</t>
  </si>
  <si>
    <t>Cloro</t>
  </si>
  <si>
    <t>AS-0006</t>
  </si>
  <si>
    <t>AS-0007</t>
  </si>
  <si>
    <t>AS-0008</t>
  </si>
  <si>
    <t>AS-0010</t>
  </si>
  <si>
    <t>Arcadia</t>
  </si>
  <si>
    <t>AS-0011</t>
  </si>
  <si>
    <t>AS-0012</t>
  </si>
  <si>
    <t>AS-0013</t>
  </si>
  <si>
    <t>AS-0014</t>
  </si>
  <si>
    <t>AS-0015</t>
  </si>
  <si>
    <t>Lavaloza</t>
  </si>
  <si>
    <t>AS-0022</t>
  </si>
  <si>
    <t>AS-0023</t>
  </si>
  <si>
    <t>Socoal</t>
  </si>
  <si>
    <t>Florax</t>
  </si>
  <si>
    <t>Papel Higienico</t>
  </si>
  <si>
    <t>AS-0024</t>
  </si>
  <si>
    <t>AS-0025</t>
  </si>
  <si>
    <t>Industrial</t>
  </si>
  <si>
    <t>AS-0026</t>
  </si>
  <si>
    <t>AS-0027</t>
  </si>
  <si>
    <t>AS-0028</t>
  </si>
  <si>
    <t>CLORO PISCINA IMPEKE 2x10 K</t>
  </si>
  <si>
    <t>Piscina</t>
  </si>
  <si>
    <t>CLORO PISCINA IMPEKE 6x4000</t>
  </si>
  <si>
    <t>AS-0030</t>
  </si>
  <si>
    <t>ACEITE DE ALMENDRA  250 ML</t>
  </si>
  <si>
    <t>Fontevita</t>
  </si>
  <si>
    <t>DESPENSA</t>
  </si>
  <si>
    <t>Aceite</t>
  </si>
  <si>
    <t>Premium</t>
  </si>
  <si>
    <t>OK</t>
  </si>
  <si>
    <t>DE-0032</t>
  </si>
  <si>
    <t xml:space="preserve">ACEITE DE NUEZ  250 ML </t>
  </si>
  <si>
    <t>DE-0033</t>
  </si>
  <si>
    <t>ACEITE DE LINAZA  250 ML</t>
  </si>
  <si>
    <t>DE-0034</t>
  </si>
  <si>
    <t>ACEITE DE SESAMO  250 ML</t>
  </si>
  <si>
    <t>DE-0035</t>
  </si>
  <si>
    <t>ACEITE DE PEPA ZAPALLO  250 ML</t>
  </si>
  <si>
    <t>DE-0036</t>
  </si>
  <si>
    <t>ACEITE DE MANI  250 ML</t>
  </si>
  <si>
    <t>DE-0037</t>
  </si>
  <si>
    <t>ACEITE DE CHIA 250 ML</t>
  </si>
  <si>
    <t>DE-0038</t>
  </si>
  <si>
    <t>ACEITE DE CAÑAMO  250 ML</t>
  </si>
  <si>
    <t>DE-0039</t>
  </si>
  <si>
    <t xml:space="preserve">ACEITE DE GIRASOL 500 ML </t>
  </si>
  <si>
    <t>DE-0040</t>
  </si>
  <si>
    <t>ACEITE DE COCO 200 ML</t>
  </si>
  <si>
    <t>DE-0041</t>
  </si>
  <si>
    <t>ACEITE DE COCO 460 ML</t>
  </si>
  <si>
    <t>DE-0042</t>
  </si>
  <si>
    <t xml:space="preserve">ACEITE DE COCO 1LT </t>
  </si>
  <si>
    <t>DE-0043</t>
  </si>
  <si>
    <t>ACEITE DE ALMENDRA 40ml</t>
  </si>
  <si>
    <t>DE-0044</t>
  </si>
  <si>
    <t>ACEITE DE JOJOBA 40ml</t>
  </si>
  <si>
    <t>DE-0045</t>
  </si>
  <si>
    <t>ACEITE DE LINAZA 40ml</t>
  </si>
  <si>
    <t>DE-0046</t>
  </si>
  <si>
    <t>ACEITE DE NUEZ 40ml</t>
  </si>
  <si>
    <t>DE-0047</t>
  </si>
  <si>
    <t>ACEITE DE ROSA MOSQUETA 40ml</t>
  </si>
  <si>
    <t>DE-0048</t>
  </si>
  <si>
    <t>ACEITE DE SESAMO 40ml</t>
  </si>
  <si>
    <t>DE-0049</t>
  </si>
  <si>
    <t>ACEITE DE ZAPALLO 40ml</t>
  </si>
  <si>
    <t>DE-0050</t>
  </si>
  <si>
    <t>Aliace</t>
  </si>
  <si>
    <t>Maxi Frits</t>
  </si>
  <si>
    <t>Freir</t>
  </si>
  <si>
    <t>DE-0051</t>
  </si>
  <si>
    <t>DE-0052</t>
  </si>
  <si>
    <t>DE-0053</t>
  </si>
  <si>
    <t>Doña Oliva</t>
  </si>
  <si>
    <t>Oliva</t>
  </si>
  <si>
    <t>DE-0054</t>
  </si>
  <si>
    <t>DE-0055</t>
  </si>
  <si>
    <t>DE-0056</t>
  </si>
  <si>
    <t>DE-0057</t>
  </si>
  <si>
    <t>KOHINOOR</t>
  </si>
  <si>
    <t>Arroz</t>
  </si>
  <si>
    <t>DE-0058</t>
  </si>
  <si>
    <t>Arroz Basmati INTEGRAL</t>
  </si>
  <si>
    <t>DE-0059</t>
  </si>
  <si>
    <t>Arroz Basmati SILVER</t>
  </si>
  <si>
    <t>DE-0060</t>
  </si>
  <si>
    <t>Conserva</t>
  </si>
  <si>
    <t>Condimento</t>
  </si>
  <si>
    <t>NO</t>
  </si>
  <si>
    <t>DE-0061</t>
  </si>
  <si>
    <t>Curry Massaman</t>
  </si>
  <si>
    <t>THAI HERITAGE</t>
  </si>
  <si>
    <t>Curry Piña</t>
  </si>
  <si>
    <t>Curry Rojo</t>
  </si>
  <si>
    <t>Curry Verde</t>
  </si>
  <si>
    <t>MOSTAZA  AJO/PEREJIL -210</t>
  </si>
  <si>
    <t>BORNIER</t>
  </si>
  <si>
    <t>MOSTAZA A LA ANTIGUA -210</t>
  </si>
  <si>
    <t>HENGSTENBERG</t>
  </si>
  <si>
    <t>MOSTAZA DIJON  C- 850</t>
  </si>
  <si>
    <t>MOSTAZA DIJON  KILO</t>
  </si>
  <si>
    <t>MOSTAZA DIJON -210</t>
  </si>
  <si>
    <t xml:space="preserve">MOSTAZA DIJON V - 150 </t>
  </si>
  <si>
    <t>MOSTAZA MIEL -235</t>
  </si>
  <si>
    <t>Pasta de Albahaca</t>
  </si>
  <si>
    <t>Pasta de Jengibre</t>
  </si>
  <si>
    <t>Pasta Padthai</t>
  </si>
  <si>
    <t>DE-0081</t>
  </si>
  <si>
    <t>Salsa Agridulce (Sweet&amp;Sour)</t>
  </si>
  <si>
    <t>DE-0082</t>
  </si>
  <si>
    <t>Salsa Aji Dulce &amp; Jengibre</t>
  </si>
  <si>
    <t>DE-0083</t>
  </si>
  <si>
    <t>Salsa Ostras</t>
  </si>
  <si>
    <t>DE-0084</t>
  </si>
  <si>
    <r>
      <t>SALSA SOYA</t>
    </r>
    <r>
      <rPr>
        <sz val="10"/>
        <rFont val="Lucida Sans Unicode"/>
        <family val="2"/>
      </rPr>
      <t xml:space="preserve"> LIGHT - 150 (dispensador)</t>
    </r>
  </si>
  <si>
    <t>SAKURA</t>
  </si>
  <si>
    <t>DE-0085</t>
  </si>
  <si>
    <r>
      <t xml:space="preserve">SALSA SOYA </t>
    </r>
    <r>
      <rPr>
        <sz val="10"/>
        <rFont val="Lucida Sans Unicode"/>
        <family val="2"/>
      </rPr>
      <t>LIGHT - 500</t>
    </r>
  </si>
  <si>
    <t>DE-0086</t>
  </si>
  <si>
    <t>SALSA SOYA PICANTE</t>
  </si>
  <si>
    <t>DE-0087</t>
  </si>
  <si>
    <t>SALSA SOYA PREMIUM - 150 (dispensador)</t>
  </si>
  <si>
    <t>DE-0088</t>
  </si>
  <si>
    <t>DE-0089</t>
  </si>
  <si>
    <t>SALSA SOYA TRADICIONAL 5 Litros</t>
  </si>
  <si>
    <t>DE-0090</t>
  </si>
  <si>
    <t>DE-0091</t>
  </si>
  <si>
    <t>Salsa Sukiyaki-wok</t>
  </si>
  <si>
    <t>Del Mar</t>
  </si>
  <si>
    <t>DE-0094</t>
  </si>
  <si>
    <t>DE-0095</t>
  </si>
  <si>
    <t>DE-0096</t>
  </si>
  <si>
    <t>DE-0097</t>
  </si>
  <si>
    <t>DE-0098</t>
  </si>
  <si>
    <t>DE-0099</t>
  </si>
  <si>
    <t>DE-0103</t>
  </si>
  <si>
    <t>DE-0104</t>
  </si>
  <si>
    <t>DE-0105</t>
  </si>
  <si>
    <t>DE-0107</t>
  </si>
  <si>
    <t>DE-0109</t>
  </si>
  <si>
    <t>DE-0110</t>
  </si>
  <si>
    <t>DE-0111</t>
  </si>
  <si>
    <t>Choritos Crucero</t>
  </si>
  <si>
    <t>Crucero</t>
  </si>
  <si>
    <t>DE-0113</t>
  </si>
  <si>
    <t>THOUSAND ISLAND</t>
  </si>
  <si>
    <t>REMIA</t>
  </si>
  <si>
    <t>SALAD CREAM</t>
  </si>
  <si>
    <t>VINAGRETA</t>
  </si>
  <si>
    <t>BLUE CHEESE</t>
  </si>
  <si>
    <t>Frutas</t>
  </si>
  <si>
    <t>DE-0134</t>
  </si>
  <si>
    <t>DE-0135</t>
  </si>
  <si>
    <t>DE-0136</t>
  </si>
  <si>
    <t>DE-0137</t>
  </si>
  <si>
    <t>DE-0138</t>
  </si>
  <si>
    <t>DE-0139</t>
  </si>
  <si>
    <t>DE-0140</t>
  </si>
  <si>
    <t>DE-0141</t>
  </si>
  <si>
    <t>DE-0142</t>
  </si>
  <si>
    <t>DE-0143</t>
  </si>
  <si>
    <t>DE-0144</t>
  </si>
  <si>
    <t>DE-0145</t>
  </si>
  <si>
    <t>DE-0148</t>
  </si>
  <si>
    <t>DE-0149</t>
  </si>
  <si>
    <t>Leche de Coco LIGHT Thai</t>
  </si>
  <si>
    <t>CASTAÑAS EN ALMIBAR</t>
  </si>
  <si>
    <t>San Ambrosio</t>
  </si>
  <si>
    <t>Pate</t>
  </si>
  <si>
    <t>DE-0175</t>
  </si>
  <si>
    <t>DE-0176</t>
  </si>
  <si>
    <t>DE-0177</t>
  </si>
  <si>
    <t>DE-0178</t>
  </si>
  <si>
    <t>GARLIC</t>
  </si>
  <si>
    <t>Salsas</t>
  </si>
  <si>
    <t>DE-0179</t>
  </si>
  <si>
    <t>WHISKY COCKTAIL</t>
  </si>
  <si>
    <t>DE-0180</t>
  </si>
  <si>
    <t>Verduras</t>
  </si>
  <si>
    <t>DE-0181</t>
  </si>
  <si>
    <t>DE-0182</t>
  </si>
  <si>
    <t>DE-0183</t>
  </si>
  <si>
    <t>DE-0184</t>
  </si>
  <si>
    <t>DE-0185</t>
  </si>
  <si>
    <t>DE-0186</t>
  </si>
  <si>
    <t>DE-0187</t>
  </si>
  <si>
    <t>DE-0188</t>
  </si>
  <si>
    <t>DE-0189</t>
  </si>
  <si>
    <t>DE-0190</t>
  </si>
  <si>
    <t>DE-0191</t>
  </si>
  <si>
    <t>DE-0192</t>
  </si>
  <si>
    <t>DE-0193</t>
  </si>
  <si>
    <t>DE-0194</t>
  </si>
  <si>
    <t>DE-0195</t>
  </si>
  <si>
    <t>DE-0196</t>
  </si>
  <si>
    <t>DE-0197</t>
  </si>
  <si>
    <t>DE-0198</t>
  </si>
  <si>
    <t>DE-0199</t>
  </si>
  <si>
    <t>DE-0200</t>
  </si>
  <si>
    <t>DE-0201</t>
  </si>
  <si>
    <t>DE-0202</t>
  </si>
  <si>
    <t>DE-0203</t>
  </si>
  <si>
    <t>DE-0204</t>
  </si>
  <si>
    <t>DE-0205</t>
  </si>
  <si>
    <t>DE-0206</t>
  </si>
  <si>
    <t>DE-0207</t>
  </si>
  <si>
    <t>CEBOLLITAS COCKTAIL - Sin Gluten</t>
  </si>
  <si>
    <t>DE-0208</t>
  </si>
  <si>
    <t xml:space="preserve">Palmitos Mitades Green Valley  </t>
  </si>
  <si>
    <t>Green Valley</t>
  </si>
  <si>
    <t>DE-0209</t>
  </si>
  <si>
    <t>DE-0210</t>
  </si>
  <si>
    <t>DE-0211</t>
  </si>
  <si>
    <t>DE-0212</t>
  </si>
  <si>
    <t>Choclos Desgranados</t>
  </si>
  <si>
    <t>DE-0213</t>
  </si>
  <si>
    <t>DE-0214</t>
  </si>
  <si>
    <t>DE-0215</t>
  </si>
  <si>
    <t>DE-0216</t>
  </si>
  <si>
    <t>DE-0217</t>
  </si>
  <si>
    <t>DE-0218</t>
  </si>
  <si>
    <t>DE-0219</t>
  </si>
  <si>
    <t>DE-0220</t>
  </si>
  <si>
    <t>DE-0221</t>
  </si>
  <si>
    <t>DE-0222</t>
  </si>
  <si>
    <t>DE-0223</t>
  </si>
  <si>
    <t>DE-0224</t>
  </si>
  <si>
    <t>DE-0225</t>
  </si>
  <si>
    <t>DE-0226</t>
  </si>
  <si>
    <t>DE-0227</t>
  </si>
  <si>
    <t>DE-0228</t>
  </si>
  <si>
    <t>DE-0229</t>
  </si>
  <si>
    <t>DE-0230</t>
  </si>
  <si>
    <t>DE-0231</t>
  </si>
  <si>
    <t>PALMITOS EN MITADES</t>
  </si>
  <si>
    <t>DE-0232</t>
  </si>
  <si>
    <t>DE-0233</t>
  </si>
  <si>
    <t>DE-0234</t>
  </si>
  <si>
    <t>DE-0235</t>
  </si>
  <si>
    <t>DE-0236</t>
  </si>
  <si>
    <t>DE-0237</t>
  </si>
  <si>
    <t>Galletas</t>
  </si>
  <si>
    <t>DE-0238</t>
  </si>
  <si>
    <t>DE-0239</t>
  </si>
  <si>
    <t>DE-0240</t>
  </si>
  <si>
    <t>DE-0241</t>
  </si>
  <si>
    <t>DE-0242</t>
  </si>
  <si>
    <t>Gta. Oblea Chocolate</t>
  </si>
  <si>
    <t>Marilan</t>
  </si>
  <si>
    <t>DE-0243</t>
  </si>
  <si>
    <t>Gta. Oblea Chocolate TRUFA</t>
  </si>
  <si>
    <t>DE-0244</t>
  </si>
  <si>
    <t>Gta. Oblea Chocolate BAUNY</t>
  </si>
  <si>
    <t>DE-0245</t>
  </si>
  <si>
    <t>Gta. Oblea Frutilla</t>
  </si>
  <si>
    <t>DE-0246</t>
  </si>
  <si>
    <t>Gta. Oblea Vainilla</t>
  </si>
  <si>
    <t>DE-0247</t>
  </si>
  <si>
    <t>Gta. Oblea Maní</t>
  </si>
  <si>
    <t>DE-0248</t>
  </si>
  <si>
    <t>Gta. Oblea Limón</t>
  </si>
  <si>
    <t>DE-0249</t>
  </si>
  <si>
    <t>MAX  (32x126 g.)</t>
  </si>
  <si>
    <t>Gta. Maicena</t>
  </si>
  <si>
    <t>Gta. Maicena INTEGRAL</t>
  </si>
  <si>
    <t>DE-0252</t>
  </si>
  <si>
    <t>Magic Toast Original</t>
  </si>
  <si>
    <t>DE-0253</t>
  </si>
  <si>
    <t>Magic Toast LIGHT</t>
  </si>
  <si>
    <t>DE-0254</t>
  </si>
  <si>
    <t>Magic Toast INTEGRAL</t>
  </si>
  <si>
    <t>DE-0255</t>
  </si>
  <si>
    <t>Magic Toast MULTICEREAL</t>
  </si>
  <si>
    <t>DE-0256</t>
  </si>
  <si>
    <t>Cracker Integral</t>
  </si>
  <si>
    <t>DE-0257</t>
  </si>
  <si>
    <t>Crackers de Arroz Sour Cream &amp; Onion</t>
  </si>
  <si>
    <t>MASTER RICE</t>
  </si>
  <si>
    <t>DE-0258</t>
  </si>
  <si>
    <t>Crackers de Arroz Sweet Chili</t>
  </si>
  <si>
    <t>DE-0259</t>
  </si>
  <si>
    <t>Crackers de Arroz Lime &amp; Black Pepper</t>
  </si>
  <si>
    <t>DE-0260</t>
  </si>
  <si>
    <t>Crackers de Arroz Integral</t>
  </si>
  <si>
    <t>DE-0261</t>
  </si>
  <si>
    <t>Mermelada</t>
  </si>
  <si>
    <t>DE-0262</t>
  </si>
  <si>
    <t>Durazno</t>
  </si>
  <si>
    <t>DE-0263</t>
  </si>
  <si>
    <t>DE-0264</t>
  </si>
  <si>
    <t>DE-0265</t>
  </si>
  <si>
    <t>Ciruela</t>
  </si>
  <si>
    <t>DE-0266</t>
  </si>
  <si>
    <t>DE-0267</t>
  </si>
  <si>
    <t>DE-0268</t>
  </si>
  <si>
    <t>DE-0270</t>
  </si>
  <si>
    <t>DE-0271</t>
  </si>
  <si>
    <t>Mora</t>
  </si>
  <si>
    <t>DE-0272</t>
  </si>
  <si>
    <t>DE-0273</t>
  </si>
  <si>
    <t>DE-0274</t>
  </si>
  <si>
    <t>DE-0275</t>
  </si>
  <si>
    <t>DE-0276</t>
  </si>
  <si>
    <t>DE-0277</t>
  </si>
  <si>
    <t>DE-0278</t>
  </si>
  <si>
    <t>DE-0279</t>
  </si>
  <si>
    <t>Chancaca Deliciosa</t>
  </si>
  <si>
    <t>DE-0280</t>
  </si>
  <si>
    <t>DE-0281</t>
  </si>
  <si>
    <t>DE-0282</t>
  </si>
  <si>
    <t>Mezcla para HORNEAR</t>
  </si>
  <si>
    <t>BlueDragon</t>
  </si>
  <si>
    <t>DE-0283</t>
  </si>
  <si>
    <t>Mezcla para PAN</t>
  </si>
  <si>
    <t>DE-0284</t>
  </si>
  <si>
    <t>Mezcla para QUEQUE</t>
  </si>
  <si>
    <t>DE-0285</t>
  </si>
  <si>
    <t>Mezcla para GALLETITAS DULCES</t>
  </si>
  <si>
    <t>DE-0286</t>
  </si>
  <si>
    <t>Mezcla para BROWNIES</t>
  </si>
  <si>
    <t>DE-0287</t>
  </si>
  <si>
    <t>PANKO</t>
  </si>
  <si>
    <t>DE-0288</t>
  </si>
  <si>
    <t xml:space="preserve">HARINA DE LINAZA Semidesgrasada  (500 grs) </t>
  </si>
  <si>
    <t>DE-0289</t>
  </si>
  <si>
    <t>HARINA DE  SESAMO Semidesgrasada  (500 grs)</t>
  </si>
  <si>
    <t>DE-0290</t>
  </si>
  <si>
    <t>HARINA DE  COCO  Semidesgrasada  (500 grs)</t>
  </si>
  <si>
    <t>DE-0291</t>
  </si>
  <si>
    <t>HARINA DE  CHIA  Semidesgrasada  (500 grs)</t>
  </si>
  <si>
    <t>DE-0292</t>
  </si>
  <si>
    <t>HARINA DE MANI  Semidesgrasada (500 grs)</t>
  </si>
  <si>
    <t>DE-0293</t>
  </si>
  <si>
    <t>HARINA DE GIRASOL Semidesgrasada  (500 grs)</t>
  </si>
  <si>
    <t>DE-0294</t>
  </si>
  <si>
    <t>HARINA DE CAÑAMO  Semidesgrasada  (500 grs)</t>
  </si>
  <si>
    <t>DE-0295</t>
  </si>
  <si>
    <t>Yerba Mate c/ Palo Taragui</t>
  </si>
  <si>
    <t>Taragui</t>
  </si>
  <si>
    <t>DE-0296</t>
  </si>
  <si>
    <t>DE-0297</t>
  </si>
  <si>
    <t>Yerba Mate 500 Mol. Brasil</t>
  </si>
  <si>
    <t>DE-0298</t>
  </si>
  <si>
    <t>Pastas</t>
  </si>
  <si>
    <t>DE-0299</t>
  </si>
  <si>
    <t>DE-0300</t>
  </si>
  <si>
    <t>DE-0301</t>
  </si>
  <si>
    <t>DE-0302</t>
  </si>
  <si>
    <t>DE-0303</t>
  </si>
  <si>
    <t>Fideos Sabor Pollo</t>
  </si>
  <si>
    <t>Loveme</t>
  </si>
  <si>
    <t>DE-0304</t>
  </si>
  <si>
    <t>Fideos Sabor Carne</t>
  </si>
  <si>
    <t>DE-0305</t>
  </si>
  <si>
    <t>Fideos Sabor Champiñon</t>
  </si>
  <si>
    <t>DE-0306</t>
  </si>
  <si>
    <t>Fideos Sabor Verduras</t>
  </si>
  <si>
    <t>DE-0307</t>
  </si>
  <si>
    <t>Fideos Sabor Camaron</t>
  </si>
  <si>
    <t>DE-0308</t>
  </si>
  <si>
    <t>Fideos Sabor Curry</t>
  </si>
  <si>
    <t>DE-0309</t>
  </si>
  <si>
    <t>Sopa Cup-Pollo</t>
  </si>
  <si>
    <t>DE-0310</t>
  </si>
  <si>
    <t>Sopa Cup-Carne</t>
  </si>
  <si>
    <t>DE-0311</t>
  </si>
  <si>
    <t>Sopa Cup-Verduras</t>
  </si>
  <si>
    <t>DE-0312</t>
  </si>
  <si>
    <t>Sopa Cup-Camarones</t>
  </si>
  <si>
    <t>DE-0313</t>
  </si>
  <si>
    <t>Queques Gotas de Chocolate</t>
  </si>
  <si>
    <t>Renata</t>
  </si>
  <si>
    <t>Queque</t>
  </si>
  <si>
    <t>DE-0314</t>
  </si>
  <si>
    <t>Queque Marmolado</t>
  </si>
  <si>
    <t>DE-0315</t>
  </si>
  <si>
    <t>Queque Naranja</t>
  </si>
  <si>
    <t>DE-0316</t>
  </si>
  <si>
    <t>Queque Frutas</t>
  </si>
  <si>
    <t>DE-0317</t>
  </si>
  <si>
    <r>
      <t xml:space="preserve">Queque </t>
    </r>
    <r>
      <rPr>
        <sz val="10"/>
        <rFont val="Lucida Sans Unicode"/>
        <family val="2"/>
      </rPr>
      <t>Light Limón</t>
    </r>
  </si>
  <si>
    <t>DE-0318</t>
  </si>
  <si>
    <r>
      <t xml:space="preserve">Queque </t>
    </r>
    <r>
      <rPr>
        <sz val="10"/>
        <rFont val="Lucida Sans Unicode"/>
        <family val="2"/>
      </rPr>
      <t>Light Piña</t>
    </r>
  </si>
  <si>
    <t>DE-0319</t>
  </si>
  <si>
    <r>
      <t xml:space="preserve">Queque </t>
    </r>
    <r>
      <rPr>
        <sz val="10"/>
        <rFont val="Lucida Sans Unicode"/>
        <family val="2"/>
      </rPr>
      <t>Light Marmolado</t>
    </r>
  </si>
  <si>
    <t>BAZAR</t>
  </si>
  <si>
    <t>Velas</t>
  </si>
  <si>
    <t>DE-0326</t>
  </si>
  <si>
    <t>Otuna</t>
  </si>
  <si>
    <t>DE-0327</t>
  </si>
  <si>
    <t>DE-0328</t>
  </si>
  <si>
    <t>DE-0329</t>
  </si>
  <si>
    <t>DE-0330</t>
  </si>
  <si>
    <t>DE-0331</t>
  </si>
  <si>
    <t>DE-0332</t>
  </si>
  <si>
    <t>Belbi</t>
  </si>
  <si>
    <t>DE-0333</t>
  </si>
  <si>
    <t>DE-0334</t>
  </si>
  <si>
    <t>DE-0335</t>
  </si>
  <si>
    <t>DE-0336</t>
  </si>
  <si>
    <t>HappyDream</t>
  </si>
  <si>
    <t>DE-0337</t>
  </si>
  <si>
    <t>DE-0338</t>
  </si>
  <si>
    <t>DE-0339</t>
  </si>
  <si>
    <t>DE-0340</t>
  </si>
  <si>
    <t>StollenWerk</t>
  </si>
  <si>
    <t>DE-0341</t>
  </si>
  <si>
    <t>DE-0342</t>
  </si>
  <si>
    <t>DE-0343</t>
  </si>
  <si>
    <t>DE-0344</t>
  </si>
  <si>
    <t>DE-0345</t>
  </si>
  <si>
    <t>DE-0347</t>
  </si>
  <si>
    <t>DE-0348</t>
  </si>
  <si>
    <t>DE-0349</t>
  </si>
  <si>
    <t>DE-0350</t>
  </si>
  <si>
    <t>DE-0351</t>
  </si>
  <si>
    <t>DE-0352</t>
  </si>
  <si>
    <t>Choco Leibnitz Milk</t>
  </si>
  <si>
    <t>Bahlsen</t>
  </si>
  <si>
    <t>DE-0354</t>
  </si>
  <si>
    <t>Choco Leibnitz Dark</t>
  </si>
  <si>
    <t>DE-0355</t>
  </si>
  <si>
    <t>First Class Milk</t>
  </si>
  <si>
    <t>DE-0356</t>
  </si>
  <si>
    <t>Hit Cocoa</t>
  </si>
  <si>
    <t>DE-0357</t>
  </si>
  <si>
    <t>Hit Vainilla</t>
  </si>
  <si>
    <t>DE-0358</t>
  </si>
  <si>
    <t>Waffelett Dark</t>
  </si>
  <si>
    <t>DE-0359</t>
  </si>
  <si>
    <t>Waffelette  Milk</t>
  </si>
  <si>
    <t>DE-0360</t>
  </si>
  <si>
    <t>Bah Waffle Minis 75 grs x12</t>
  </si>
  <si>
    <t>DE-0361</t>
  </si>
  <si>
    <t>Bah Waffle Minis Choco 100 grs x12</t>
  </si>
  <si>
    <t>Bah Messino Minis 100 grs x12</t>
  </si>
  <si>
    <t>DE-0363</t>
  </si>
  <si>
    <t>Galletas Biscoff</t>
  </si>
  <si>
    <t>Lotus</t>
  </si>
  <si>
    <t>DE-0364</t>
  </si>
  <si>
    <t>NEGRITA</t>
  </si>
  <si>
    <t>DE-0366</t>
  </si>
  <si>
    <t>DE-0367</t>
  </si>
  <si>
    <t>DE-0368</t>
  </si>
  <si>
    <t>DE-0370</t>
  </si>
  <si>
    <t>DE-0371</t>
  </si>
  <si>
    <t>DE-0372</t>
  </si>
  <si>
    <t>DE-0373</t>
  </si>
  <si>
    <t>DE-0374</t>
  </si>
  <si>
    <t>DE-0375</t>
  </si>
  <si>
    <t>DE-0376</t>
  </si>
  <si>
    <t>DE-0378</t>
  </si>
  <si>
    <t>DE-0379</t>
  </si>
  <si>
    <t>DE-0380</t>
  </si>
  <si>
    <t>DE-0381</t>
  </si>
  <si>
    <t>DE-0382</t>
  </si>
  <si>
    <t>DE-0383</t>
  </si>
  <si>
    <t>DE-0384</t>
  </si>
  <si>
    <t>DE-0385</t>
  </si>
  <si>
    <t>DE-0386</t>
  </si>
  <si>
    <t>DE-0387</t>
  </si>
  <si>
    <t>DE-0388</t>
  </si>
  <si>
    <t>DE-0389</t>
  </si>
  <si>
    <t>DE-0390</t>
  </si>
  <si>
    <t>DE-0391</t>
  </si>
  <si>
    <t>DE-0392</t>
  </si>
  <si>
    <t>DE-0393</t>
  </si>
  <si>
    <t>DE-0394</t>
  </si>
  <si>
    <t>DE-0395</t>
  </si>
  <si>
    <t>DE-0396</t>
  </si>
  <si>
    <t>DE-0397</t>
  </si>
  <si>
    <t>DE-0398</t>
  </si>
  <si>
    <t>DE-0399</t>
  </si>
  <si>
    <t>DE-0400</t>
  </si>
  <si>
    <t>DE-0401</t>
  </si>
  <si>
    <t>DE-0402</t>
  </si>
  <si>
    <t>DE-0403</t>
  </si>
  <si>
    <t>DE-0404</t>
  </si>
  <si>
    <t>DE-0405</t>
  </si>
  <si>
    <t>DE-0406</t>
  </si>
  <si>
    <t>DE-0407</t>
  </si>
  <si>
    <t>DE-0408</t>
  </si>
  <si>
    <t>DE-0409</t>
  </si>
  <si>
    <t>DE-0410</t>
  </si>
  <si>
    <t>DE-0411</t>
  </si>
  <si>
    <t>DE-0412</t>
  </si>
  <si>
    <t>DE-0413</t>
  </si>
  <si>
    <t>DE-0414</t>
  </si>
  <si>
    <t>DE-0415</t>
  </si>
  <si>
    <t>DE-0416</t>
  </si>
  <si>
    <t>DE-0417</t>
  </si>
  <si>
    <t>DE-0418</t>
  </si>
  <si>
    <t>DE-0419</t>
  </si>
  <si>
    <t>DE-0420</t>
  </si>
  <si>
    <t>DE-0421</t>
  </si>
  <si>
    <t>DE-0422</t>
  </si>
  <si>
    <t>ATUN EN POUCH LOMITO EN AGUA "BONATUN" 6 x 1220/1159</t>
  </si>
  <si>
    <t>BONATUN</t>
  </si>
  <si>
    <t>DE-0423</t>
  </si>
  <si>
    <t>ATUN EN POUCH LOMITO EN TROZO AGUA "BONATUN" 6 x 1000/950 (Bajo en Sodio)</t>
  </si>
  <si>
    <t>DE-0424</t>
  </si>
  <si>
    <t>ATUN EN POUCH LOMITO EN TROZO AGUA "BONATUN" 12 x 500/475 (Bajo en Sodio)</t>
  </si>
  <si>
    <t>DE-0425</t>
  </si>
  <si>
    <t>ATUN EN POUCH LOMITO EN AGUA "BONATUN" 12 x 500/475 (Bajo en Sodio)</t>
  </si>
  <si>
    <t>DE-0426</t>
  </si>
  <si>
    <t>ATUN EN GALON LOMITO EN AGUA "BONATUN" 6 x 1800/1300</t>
  </si>
  <si>
    <t>DE-0427</t>
  </si>
  <si>
    <t>ATUN EN GALON LOMITO EN ACEITE "BONATUN" 6 x 1800/1300</t>
  </si>
  <si>
    <t>DE-0428</t>
  </si>
  <si>
    <t>ATUN LOMITO EN ACEITE "BONATUN" 48x170</t>
  </si>
  <si>
    <t>DE-0429</t>
  </si>
  <si>
    <t>ATUN LOMITO EN AGUA "BONATUN"  48x170</t>
  </si>
  <si>
    <t>DE-0430</t>
  </si>
  <si>
    <t>ISADORA</t>
  </si>
  <si>
    <t>DE-0431</t>
  </si>
  <si>
    <t>ATUN DESMENUZADO EN AGUA "ISADORA" 48x170</t>
  </si>
  <si>
    <t>DE-0432</t>
  </si>
  <si>
    <t>CHAMPIÑONES ENTEROS "STARFOOD" 24 x 184 Grs.</t>
  </si>
  <si>
    <t>STARFOOD</t>
  </si>
  <si>
    <t>DE-0433</t>
  </si>
  <si>
    <t>DE-0434</t>
  </si>
  <si>
    <t>CHAMPIÑONES LAMINADOS "STARFOOD" 24 x 400 Grs.</t>
  </si>
  <si>
    <t>DE-0435</t>
  </si>
  <si>
    <t>DE-0436</t>
  </si>
  <si>
    <t>PALMITOS ENTEROS  24 x 400 / 200</t>
  </si>
  <si>
    <t>BONAFOOD</t>
  </si>
  <si>
    <t>DE-0437</t>
  </si>
  <si>
    <t>PALMITOS ENTEROS  12 x 800 / 500</t>
  </si>
  <si>
    <t>DE-0438</t>
  </si>
  <si>
    <t>PALMITO RODAJAS  24 x 400 / 200</t>
  </si>
  <si>
    <t>DE-0439</t>
  </si>
  <si>
    <t>PALMITO MIT. 12 X 800</t>
  </si>
  <si>
    <t>DE-0440</t>
  </si>
  <si>
    <t>PALMITO RODAJAS  12 x 800 / 500</t>
  </si>
  <si>
    <t>DE-0441</t>
  </si>
  <si>
    <t>PIÑAS EN CUBITOS " STARFOOD "  24  x  565 / 340</t>
  </si>
  <si>
    <t>DE-0442</t>
  </si>
  <si>
    <t>PIÑAS  EN  RODAJAS  " STARFOOD"   24  x  565 / 345</t>
  </si>
  <si>
    <t>DE-0443</t>
  </si>
  <si>
    <t>PIÑAS  EN  RODAJAS  " STARFOOD "  24  x  850 / 490</t>
  </si>
  <si>
    <t>DE-0444</t>
  </si>
  <si>
    <t>PIÑAS  EN  CUBITOS "STARFOOD"  24 x  850 / 490</t>
  </si>
  <si>
    <t>DE-0445</t>
  </si>
  <si>
    <t>PIÑAS  EN  RODAJAS  " STARFOOD "   6  x  3035 / 1745</t>
  </si>
  <si>
    <t>DE-0446</t>
  </si>
  <si>
    <t>PIÑAS  EN  CUBITOS  " STARFOOD "   6  x  3035 / 1790</t>
  </si>
  <si>
    <t>DE-0447</t>
  </si>
  <si>
    <t>PIÑA EN RODAJAS BONAFOOD 6 X 3035</t>
  </si>
  <si>
    <t>DE-0448</t>
  </si>
  <si>
    <t>PIÑA EN RODAJAS BONAFOOD 24 X 560</t>
  </si>
  <si>
    <t>GR-0001</t>
  </si>
  <si>
    <t>VOGEL</t>
  </si>
  <si>
    <t>GRANEL</t>
  </si>
  <si>
    <t>GR-0002</t>
  </si>
  <si>
    <t>GR-0003</t>
  </si>
  <si>
    <t>GR-0004</t>
  </si>
  <si>
    <t>GR-0005</t>
  </si>
  <si>
    <t>GR-0006</t>
  </si>
  <si>
    <t>GR-0007</t>
  </si>
  <si>
    <t>GR-0008</t>
  </si>
  <si>
    <t>GR-0009</t>
  </si>
  <si>
    <t>GR-0010</t>
  </si>
  <si>
    <t>GR-0011</t>
  </si>
  <si>
    <t>GR-0012</t>
  </si>
  <si>
    <t>GR-0013</t>
  </si>
  <si>
    <t>GR-0014</t>
  </si>
  <si>
    <t>GR-0015</t>
  </si>
  <si>
    <t>GR-0016</t>
  </si>
  <si>
    <t>GR-0017</t>
  </si>
  <si>
    <t>GR-0018</t>
  </si>
  <si>
    <t>GR-0019</t>
  </si>
  <si>
    <t>GR-0020</t>
  </si>
  <si>
    <t>GR-0021</t>
  </si>
  <si>
    <t>GR-0022</t>
  </si>
  <si>
    <t>GR-0023</t>
  </si>
  <si>
    <t>CHIA EN SACO x 25 Kg.</t>
  </si>
  <si>
    <t>GR-0024</t>
  </si>
  <si>
    <t>CÚRCUMA MOLIDA x 25 kg.</t>
  </si>
  <si>
    <t>GR-0025</t>
  </si>
  <si>
    <t>CURRY  EN  POLVO MILD    x   10  Kg.</t>
  </si>
  <si>
    <t>GR-0026</t>
  </si>
  <si>
    <t xml:space="preserve">LAUREL EN HOJAS x 50 Kg. </t>
  </si>
  <si>
    <t>GR-0027</t>
  </si>
  <si>
    <t>JENGIBRE  MOLIDO     x   10  Kg.</t>
  </si>
  <si>
    <t>GR-0028</t>
  </si>
  <si>
    <t>GR-0029</t>
  </si>
  <si>
    <t>LINAZA ENTERA 99,90 % PUREZA P/CONS. HUM.  x 50 Kg.</t>
  </si>
  <si>
    <t>GR-0030</t>
  </si>
  <si>
    <t>LINAZA MOL. 99,90 % PUREZA P/CONS. HUM.  x 50 Kg.</t>
  </si>
  <si>
    <t>GR-0031</t>
  </si>
  <si>
    <t>MAIZ CURAGUA     x  20  Kg.  ( PARA POP CORN )</t>
  </si>
  <si>
    <t>GR-0032</t>
  </si>
  <si>
    <t>NUEZ MOSCADA S/CAS. C/CAL 110 ENT X 10 KG</t>
  </si>
  <si>
    <t>GR-0033</t>
  </si>
  <si>
    <t>NUEZ MOSCADA MOLIDA X 10 KG.</t>
  </si>
  <si>
    <t>GR-0034</t>
  </si>
  <si>
    <t>OREGANO ENTERO x 10 Kg.</t>
  </si>
  <si>
    <t>GR-0035</t>
  </si>
  <si>
    <t>OREGANO ENTERO x 12,5 Kg.</t>
  </si>
  <si>
    <t>GR-0036</t>
  </si>
  <si>
    <t>PIMENTON  PURO  CALIDAD  "  PAPRIKA  "    x  25  Kg.</t>
  </si>
  <si>
    <t>GR-0037</t>
  </si>
  <si>
    <t>PIMIENTA  BLANCA  ASTA  SECA  ENT.   x  10  Kg.</t>
  </si>
  <si>
    <t>GR-0038</t>
  </si>
  <si>
    <t>PIMIENTA  BLANCA  ASTA  SECA  MOL.   x  10  Kg.</t>
  </si>
  <si>
    <t>GR-0039</t>
  </si>
  <si>
    <t>PIMIENTA  NEGRA  B-1 SECA    ENT.   x  50  Kg.</t>
  </si>
  <si>
    <t>GR-0040</t>
  </si>
  <si>
    <t>PIMIENTA  NEGRA  B-1 SECA  MOL.   x  50  Kg.</t>
  </si>
  <si>
    <t>GR-0041</t>
  </si>
  <si>
    <t xml:space="preserve">PROTEINA TEXTURIZADA SOJA x 25 Kg. </t>
  </si>
  <si>
    <t>GR-0042</t>
  </si>
  <si>
    <t>QUINOA ENTERA x 50 Kg</t>
  </si>
  <si>
    <t>GR-0043</t>
  </si>
  <si>
    <t>SESAMO  SIN CUTICULA  99,99 %    x  25 Kg.</t>
  </si>
  <si>
    <t>GR-0044</t>
  </si>
  <si>
    <t xml:space="preserve">TOMILLO ENTERO 10 Kg. </t>
  </si>
  <si>
    <t>GR-0045</t>
  </si>
  <si>
    <t>TE  CEYLAN  HOJA  LARGA  OPA 112     x  25 Kg.</t>
  </si>
  <si>
    <t>GR-0046</t>
  </si>
  <si>
    <t>TE  CEYLAN  HOJA  LARGA  OPA 110     x  25 Kg.</t>
  </si>
  <si>
    <t>GR-0047</t>
  </si>
  <si>
    <t>ALPISTE PUREZA 99/4</t>
  </si>
  <si>
    <t>GR-0048</t>
  </si>
  <si>
    <t>CAÑAMO ENTERO 2 % IMP.</t>
  </si>
  <si>
    <t>GR-0049</t>
  </si>
  <si>
    <t>GIRASOL CONFITERO</t>
  </si>
  <si>
    <t>GR-0050</t>
  </si>
  <si>
    <t>MARAVILLA</t>
  </si>
  <si>
    <t>GR-0051</t>
  </si>
  <si>
    <t>MIJO BLANCO</t>
  </si>
  <si>
    <t>GR-0052</t>
  </si>
  <si>
    <t>MIJO DORADO</t>
  </si>
  <si>
    <t>GR-0053</t>
  </si>
  <si>
    <t>MIJO NEGRO</t>
  </si>
  <si>
    <t>GR-0054</t>
  </si>
  <si>
    <t>MIJO ROJO</t>
  </si>
  <si>
    <t>GR-0055</t>
  </si>
  <si>
    <t>MIJO VERDE</t>
  </si>
  <si>
    <t>DE-0449</t>
  </si>
  <si>
    <t>Vesu</t>
  </si>
  <si>
    <t>DE-0450</t>
  </si>
  <si>
    <t>DE-0451</t>
  </si>
  <si>
    <t>TOMATE ENTERO PELADO Tarro</t>
  </si>
  <si>
    <t>DE-0452</t>
  </si>
  <si>
    <t>DE-0453</t>
  </si>
  <si>
    <t>DE-0454</t>
  </si>
  <si>
    <t>DE-0455</t>
  </si>
  <si>
    <t>DE-0456</t>
  </si>
  <si>
    <t>DE-0457</t>
  </si>
  <si>
    <t>TOMATE POMODORINO Tarro</t>
  </si>
  <si>
    <t>DE-0458</t>
  </si>
  <si>
    <t>DE-0459</t>
  </si>
  <si>
    <t>TOMATE DOBLE CONCENTRADO Pomo</t>
  </si>
  <si>
    <t>DE-0460</t>
  </si>
  <si>
    <t>DE-0461</t>
  </si>
  <si>
    <t>DE-0462</t>
  </si>
  <si>
    <t>TOMATES SECOS Fasco</t>
  </si>
  <si>
    <t>DE-0463</t>
  </si>
  <si>
    <t>DE-0464</t>
  </si>
  <si>
    <t>DE-0465</t>
  </si>
  <si>
    <t>CORAZON ALCACHOFAS Tarro</t>
  </si>
  <si>
    <t>DE-0466</t>
  </si>
  <si>
    <t>CUARTOS ALCACHOFAS Tarro</t>
  </si>
  <si>
    <t>DE-0467</t>
  </si>
  <si>
    <t>ACEITUNAS NEGRAS RODAJA Tarro</t>
  </si>
  <si>
    <t>DE-0468</t>
  </si>
  <si>
    <t>DE-0469</t>
  </si>
  <si>
    <t>DE-0470</t>
  </si>
  <si>
    <t>DE-0471</t>
  </si>
  <si>
    <t>DE-0472</t>
  </si>
  <si>
    <t>BA-0001</t>
  </si>
  <si>
    <t>Adelco</t>
  </si>
  <si>
    <t>Duracell</t>
  </si>
  <si>
    <t>Pilas</t>
  </si>
  <si>
    <t>BA-0002</t>
  </si>
  <si>
    <t>BA-0003</t>
  </si>
  <si>
    <t>BA-0004</t>
  </si>
  <si>
    <t>BA-0005</t>
  </si>
  <si>
    <t>BA-0006</t>
  </si>
  <si>
    <t>BA-0007</t>
  </si>
  <si>
    <t>BA-0008</t>
  </si>
  <si>
    <t>BA-0009</t>
  </si>
  <si>
    <t>BA-0010</t>
  </si>
  <si>
    <t>Encendedores Transparentes</t>
  </si>
  <si>
    <t>RedPower</t>
  </si>
  <si>
    <t>Encendedores</t>
  </si>
  <si>
    <t>BA-0011</t>
  </si>
  <si>
    <t>Encendedores Color Solido</t>
  </si>
  <si>
    <t>BA-0012</t>
  </si>
  <si>
    <t>Encendedores Electronicos C / Solido</t>
  </si>
  <si>
    <t>BA-0013</t>
  </si>
  <si>
    <t>Panasonic</t>
  </si>
  <si>
    <t>BA-0014</t>
  </si>
  <si>
    <t>BA-0015</t>
  </si>
  <si>
    <t>BA-0016</t>
  </si>
  <si>
    <t>BA-0017</t>
  </si>
  <si>
    <t>BA-0018</t>
  </si>
  <si>
    <t xml:space="preserve">Bateria ZC 9v </t>
  </si>
  <si>
    <t>BA-0019</t>
  </si>
  <si>
    <t xml:space="preserve">Pila Alcalinas D </t>
  </si>
  <si>
    <t>BA-0020</t>
  </si>
  <si>
    <t xml:space="preserve">Pila Alcalinas C </t>
  </si>
  <si>
    <t>BA-0021</t>
  </si>
  <si>
    <t xml:space="preserve">Pila Alcalinas AA </t>
  </si>
  <si>
    <t>BA-0022</t>
  </si>
  <si>
    <t>BA-0023</t>
  </si>
  <si>
    <t xml:space="preserve">Pila Alcalinas AAA </t>
  </si>
  <si>
    <t>BA-0024</t>
  </si>
  <si>
    <t>BA-0025</t>
  </si>
  <si>
    <t xml:space="preserve">Bateria Alcalina 9V  </t>
  </si>
  <si>
    <t>DE-0473</t>
  </si>
  <si>
    <t>Intenso</t>
  </si>
  <si>
    <t>Café</t>
  </si>
  <si>
    <t>DE-0474</t>
  </si>
  <si>
    <t>DE-0475</t>
  </si>
  <si>
    <t>DE-0476</t>
  </si>
  <si>
    <t>DE-0477</t>
  </si>
  <si>
    <t>DE-0478</t>
  </si>
  <si>
    <t>DE-0479</t>
  </si>
  <si>
    <t>DE-0480</t>
  </si>
  <si>
    <t>DE-0481</t>
  </si>
  <si>
    <t>DE-0482</t>
  </si>
  <si>
    <t>DE-0320</t>
  </si>
  <si>
    <t>Alcaparras Frasco</t>
  </si>
  <si>
    <t>Luxeapers</t>
  </si>
  <si>
    <t>DE-0321</t>
  </si>
  <si>
    <t>Lecho de Coco</t>
  </si>
  <si>
    <t>Thai Kitchen</t>
  </si>
  <si>
    <t>DE-0322</t>
  </si>
  <si>
    <t>DE-0323</t>
  </si>
  <si>
    <t xml:space="preserve">Fideos de Arroz Mani </t>
  </si>
  <si>
    <t>DE-0324</t>
  </si>
  <si>
    <t xml:space="preserve">Fideos de Arroz Original Pad </t>
  </si>
  <si>
    <t>DE-0325</t>
  </si>
  <si>
    <t>Bowl Fideos Mix Champ</t>
  </si>
  <si>
    <t>Bowl Fideos Jenjibre</t>
  </si>
  <si>
    <t>Bowl Fideos LemonGrass</t>
  </si>
  <si>
    <t>Bowl Fideos Con cebolla</t>
  </si>
  <si>
    <t>Noodle Cart Pad</t>
  </si>
  <si>
    <t>Noodle Cart Peanut</t>
  </si>
  <si>
    <t>Noodle Cart Spicy Basil</t>
  </si>
  <si>
    <t>Noodle Cart Tangy Lemograss</t>
  </si>
  <si>
    <t>Arroz de Jasmin</t>
  </si>
  <si>
    <t>Pasta Red Chili</t>
  </si>
  <si>
    <t>Pasta Curry Verde</t>
  </si>
  <si>
    <t>Pasta Mani Satay</t>
  </si>
  <si>
    <t>Salsa de Pescado</t>
  </si>
  <si>
    <t>Salsa de Lemongrass</t>
  </si>
  <si>
    <t>Salsa Pad Thai</t>
  </si>
  <si>
    <t>Papel de Arroz</t>
  </si>
  <si>
    <t>Salsa de Aji Picante</t>
  </si>
  <si>
    <t>Salsa de Aji Dulce</t>
  </si>
  <si>
    <t>Mango en Rodajas</t>
  </si>
  <si>
    <t>Salsa Tamarindo</t>
  </si>
  <si>
    <t xml:space="preserve">Rambutan </t>
  </si>
  <si>
    <t>Salsa Curry Rojo</t>
  </si>
  <si>
    <t>Salsa de Curry Verde</t>
  </si>
  <si>
    <t>Salsa Spring Rolls</t>
  </si>
  <si>
    <t>Salsa Black Bean</t>
  </si>
  <si>
    <t>Salsa Pimienta Negra</t>
  </si>
  <si>
    <t>Twinings</t>
  </si>
  <si>
    <t>Te</t>
  </si>
  <si>
    <t>Russian Caravan</t>
  </si>
  <si>
    <t>Blackcurrant</t>
  </si>
  <si>
    <t>Caja Madera 6 divisiones</t>
  </si>
  <si>
    <t>Te Verde Jazmin</t>
  </si>
  <si>
    <t>Te Blanco</t>
  </si>
  <si>
    <t>Lemon Twist</t>
  </si>
  <si>
    <t>Pura Menta</t>
  </si>
  <si>
    <t>Wild Berries</t>
  </si>
  <si>
    <t>MA-0001</t>
  </si>
  <si>
    <t>Allendes Hnos</t>
  </si>
  <si>
    <t>Master Dog</t>
  </si>
  <si>
    <t>MASCOTA</t>
  </si>
  <si>
    <t>Alimento</t>
  </si>
  <si>
    <t>Mantención</t>
  </si>
  <si>
    <t>MA-0002</t>
  </si>
  <si>
    <t>MA-0003</t>
  </si>
  <si>
    <t>MA-0004</t>
  </si>
  <si>
    <t>MA-0005</t>
  </si>
  <si>
    <t>Cannes</t>
  </si>
  <si>
    <t>MA-0006</t>
  </si>
  <si>
    <t>Snack</t>
  </si>
  <si>
    <t>MA-0015</t>
  </si>
  <si>
    <t>LATA WHISKAS ATUN 340GR</t>
  </si>
  <si>
    <t>Whiskas</t>
  </si>
  <si>
    <t>MA-0016</t>
  </si>
  <si>
    <t>LATA WHISKAS CARNE 340 GR</t>
  </si>
  <si>
    <t>MA-0017</t>
  </si>
  <si>
    <t>LATA WHISKAS PAVO 340GR</t>
  </si>
  <si>
    <t>MA-0018</t>
  </si>
  <si>
    <t>LATA WHISKAS PESCADO 340GR</t>
  </si>
  <si>
    <t>MA-0019</t>
  </si>
  <si>
    <t>LATA WHISKAS POLLO 340GR</t>
  </si>
  <si>
    <t>MA-0020</t>
  </si>
  <si>
    <t>LATA WHISKAS GATITOS 34OGR</t>
  </si>
  <si>
    <t>MA-0021</t>
  </si>
  <si>
    <t>WHISKAS POUCH CARNE</t>
  </si>
  <si>
    <t>MA-0022</t>
  </si>
  <si>
    <t>WHISKAS POUCH GATITOS</t>
  </si>
  <si>
    <t>MA-0023</t>
  </si>
  <si>
    <t xml:space="preserve">WHISKAS POUCH SALMON </t>
  </si>
  <si>
    <t>MA-0024</t>
  </si>
  <si>
    <t>WHISKAS POUCH PAVO</t>
  </si>
  <si>
    <t>MA-0025</t>
  </si>
  <si>
    <t>WHISKAS POUCH ATUN SARDINA</t>
  </si>
  <si>
    <t>MA-0026</t>
  </si>
  <si>
    <t>WHISKAS POUCH JELLY GATITO 18 X85 GR</t>
  </si>
  <si>
    <t>MA-0027</t>
  </si>
  <si>
    <t>WHISKAS POUCH JELLY PESCADO 18X 85GR</t>
  </si>
  <si>
    <t>MA-0028</t>
  </si>
  <si>
    <t>WHISKAS POUCH JELLY CARNE 18 X 85 GR</t>
  </si>
  <si>
    <t>Artesem</t>
  </si>
  <si>
    <t>Art Pop</t>
  </si>
  <si>
    <t>MA-0034</t>
  </si>
  <si>
    <t>Nutra Can</t>
  </si>
  <si>
    <t>MA-0035</t>
  </si>
  <si>
    <t>MA-0036</t>
  </si>
  <si>
    <t>Masko</t>
  </si>
  <si>
    <t>MA-0038</t>
  </si>
  <si>
    <t>MA-0039</t>
  </si>
  <si>
    <t>MA-0040</t>
  </si>
  <si>
    <t>MA-0041</t>
  </si>
  <si>
    <t>MA-0042</t>
  </si>
  <si>
    <t>MA-0043</t>
  </si>
  <si>
    <t>MA-0046</t>
  </si>
  <si>
    <t>MA-0047</t>
  </si>
  <si>
    <t>MA-0048</t>
  </si>
  <si>
    <t>MA-0050</t>
  </si>
  <si>
    <t>Mordiskan</t>
  </si>
  <si>
    <t>Económico</t>
  </si>
  <si>
    <t>MA-0051</t>
  </si>
  <si>
    <t>MA-0052</t>
  </si>
  <si>
    <t>MA-0053</t>
  </si>
  <si>
    <t>MA-0054</t>
  </si>
  <si>
    <t>Tyson</t>
  </si>
  <si>
    <t>MA-0055</t>
  </si>
  <si>
    <t>MA-0056</t>
  </si>
  <si>
    <t>MA-0057</t>
  </si>
  <si>
    <t>Conejo Rabito</t>
  </si>
  <si>
    <t>MA-0058</t>
  </si>
  <si>
    <t>CACHORRO</t>
  </si>
  <si>
    <t>TECHNICAL DOG</t>
  </si>
  <si>
    <t>Súper Premium</t>
  </si>
  <si>
    <t>MA-0059</t>
  </si>
  <si>
    <t>MA-0060</t>
  </si>
  <si>
    <t>MA-0061</t>
  </si>
  <si>
    <t>MA-0062</t>
  </si>
  <si>
    <t>ADULTO PROMO</t>
  </si>
  <si>
    <t>MA-0063</t>
  </si>
  <si>
    <t>MA-0064</t>
  </si>
  <si>
    <t>ANCIANOS</t>
  </si>
  <si>
    <t>MA-0065</t>
  </si>
  <si>
    <t>MA-0066</t>
  </si>
  <si>
    <t>RAZAS PEQUEÑAS CACHORRO</t>
  </si>
  <si>
    <t>MA-0067</t>
  </si>
  <si>
    <t>RAZAS PEQUEÑAS ADULTO</t>
  </si>
  <si>
    <t>MA-0068</t>
  </si>
  <si>
    <t>RAZAS PEQUEÑAS CRIADOR</t>
  </si>
  <si>
    <t>MA-0069</t>
  </si>
  <si>
    <t>RAZAS PEQUEÑAS ANCIANOS</t>
  </si>
  <si>
    <t>MA-0070</t>
  </si>
  <si>
    <t>RAZAS PEQUEÑAS CACHORRO CRIADOR</t>
  </si>
  <si>
    <t>MA-0071</t>
  </si>
  <si>
    <t>RAZAS GRANDES CACHORRO</t>
  </si>
  <si>
    <t>MA-0072</t>
  </si>
  <si>
    <t>MA-0073</t>
  </si>
  <si>
    <t>MA-0074</t>
  </si>
  <si>
    <t>RAZAS GRANDES ADULTO</t>
  </si>
  <si>
    <t>MA-0075</t>
  </si>
  <si>
    <t>RAZAS GRANDES CRIADOR</t>
  </si>
  <si>
    <t>MA-0076</t>
  </si>
  <si>
    <t>CONTROL DE PESO</t>
  </si>
  <si>
    <t>MA-0077</t>
  </si>
  <si>
    <t>MA-0078</t>
  </si>
  <si>
    <t>MA-0079</t>
  </si>
  <si>
    <t>HUESOS Y ARTICULACIONES</t>
  </si>
  <si>
    <t>MA-0080</t>
  </si>
  <si>
    <t>MA-0081</t>
  </si>
  <si>
    <t>MA-0082</t>
  </si>
  <si>
    <t>GATITOS</t>
  </si>
  <si>
    <t>TECHNICAL CAT</t>
  </si>
  <si>
    <t>MA-0083</t>
  </si>
  <si>
    <t>MA-0084</t>
  </si>
  <si>
    <t>MA-0085</t>
  </si>
  <si>
    <t>MA-0086</t>
  </si>
  <si>
    <t>GATOS DE INTERIOR</t>
  </si>
  <si>
    <t>MA-0087</t>
  </si>
  <si>
    <t>MA-0088</t>
  </si>
  <si>
    <t>GATOS MELINDROSOS</t>
  </si>
  <si>
    <t>MA-0089</t>
  </si>
  <si>
    <t>ADULTO ( PATOS Y CONEJO)</t>
  </si>
  <si>
    <t>MA-0090</t>
  </si>
  <si>
    <t>MA-0091</t>
  </si>
  <si>
    <t>MA-0092</t>
  </si>
  <si>
    <t>MA-0093</t>
  </si>
  <si>
    <t>MA-0094</t>
  </si>
  <si>
    <t>MA-0095</t>
  </si>
  <si>
    <t>MA-0096</t>
  </si>
  <si>
    <t>MA-0097</t>
  </si>
  <si>
    <t>MA-0098</t>
  </si>
  <si>
    <t>MA-0100</t>
  </si>
  <si>
    <t>Cliente</t>
  </si>
  <si>
    <t>Factura</t>
  </si>
  <si>
    <t>Monto</t>
  </si>
  <si>
    <t>Fecha</t>
  </si>
  <si>
    <t>Pagado</t>
  </si>
  <si>
    <t>Jesicca Fuentes</t>
  </si>
  <si>
    <t>Luciano Staccio</t>
  </si>
  <si>
    <t>Iris Jesus Ortiz</t>
  </si>
  <si>
    <t>Marisol Castro</t>
  </si>
  <si>
    <t>Liliana Llanos</t>
  </si>
  <si>
    <t>Francisca Mujica</t>
  </si>
  <si>
    <t>Angela Pardo</t>
  </si>
  <si>
    <t>Marta del Carmen Novoa Jaramillo</t>
  </si>
  <si>
    <t>Jose Tapia</t>
  </si>
  <si>
    <t>Priscila Umaña</t>
  </si>
  <si>
    <t>Juana Rosa Roman Quintanilla</t>
  </si>
  <si>
    <t>Maria Magaly Diaz Espinoza</t>
  </si>
  <si>
    <t>Mariana del Carmen Caro Hormazabal</t>
  </si>
  <si>
    <t>Rico Pan</t>
  </si>
  <si>
    <t>Jessica Mariluz Carreño Catalan</t>
  </si>
  <si>
    <t>Alexis Venegas</t>
  </si>
  <si>
    <t>Monica Jara</t>
  </si>
  <si>
    <t>Omar Sanpeu</t>
  </si>
  <si>
    <t>Luis Galindo</t>
  </si>
  <si>
    <t xml:space="preserve">Laura Thernan </t>
  </si>
  <si>
    <t>Miguel Moreno Fernandez</t>
  </si>
  <si>
    <t>Rosa Gladys Vidal Mora</t>
  </si>
  <si>
    <t>Sergio Aliro del Carmen Verdugo Navarro</t>
  </si>
  <si>
    <t>Julia Ines Rebolledo Retamal</t>
  </si>
  <si>
    <t>Bernardita Romero</t>
  </si>
  <si>
    <t>Cruceral P21</t>
  </si>
  <si>
    <t>Bernarda (La Puntilla)</t>
  </si>
  <si>
    <t>Jessica Zarate</t>
  </si>
  <si>
    <t>Javier Cuevas</t>
  </si>
  <si>
    <t>Jose Beck</t>
  </si>
  <si>
    <t>Milton Juica</t>
  </si>
  <si>
    <t>Angelica Pardo</t>
  </si>
  <si>
    <t>Rodolfo Marambio</t>
  </si>
  <si>
    <t>Patricia Rodriguez</t>
  </si>
  <si>
    <t>Jimena Isabel Alfaro Navarro</t>
  </si>
  <si>
    <t>Vitalia Suazo Vega</t>
  </si>
  <si>
    <t>Maria Teresa Roman Ramirez</t>
  </si>
  <si>
    <t>Julia Veas Saavedra</t>
  </si>
  <si>
    <t>PT &amp; I chile Sa</t>
  </si>
  <si>
    <t>Lily Caballero</t>
  </si>
  <si>
    <t>Christopher Sandoval</t>
  </si>
  <si>
    <t>Andrea Ramirez</t>
  </si>
  <si>
    <t>Celinda Varela</t>
  </si>
  <si>
    <t>Hernan Herrera Fuentes</t>
  </si>
  <si>
    <t>Cecilia Cardoen</t>
  </si>
  <si>
    <t>Amelia Cortes</t>
  </si>
  <si>
    <t>Enrique Maturana</t>
  </si>
  <si>
    <t>Sandra Paola Rojas Orellana</t>
  </si>
  <si>
    <t>Veronica Ramos</t>
  </si>
  <si>
    <t>Flora Linch</t>
  </si>
  <si>
    <t>Camila</t>
  </si>
  <si>
    <t>Anja Von Dessaver</t>
  </si>
  <si>
    <t>Juana Ponce</t>
  </si>
  <si>
    <t>Gladys Peralta</t>
  </si>
  <si>
    <t>Sara Priesley</t>
  </si>
  <si>
    <t>Armando Santos</t>
  </si>
  <si>
    <t>Yanet Arriagada</t>
  </si>
  <si>
    <t>Walter Folch</t>
  </si>
  <si>
    <t>Obvs</t>
  </si>
  <si>
    <t>Isabel Sepulveda</t>
  </si>
  <si>
    <t>Maria Estela Matte</t>
  </si>
  <si>
    <t>Ximena Uribe</t>
  </si>
  <si>
    <t>Maria Jesus</t>
  </si>
  <si>
    <t>Monica Urzua</t>
  </si>
  <si>
    <t>Mario Gonzalez</t>
  </si>
  <si>
    <t>Carolina Alejandra Soto Orellana</t>
  </si>
  <si>
    <t>Marlene Sanchez</t>
  </si>
  <si>
    <t>Maria Zamora</t>
  </si>
  <si>
    <t>Vito Pet</t>
  </si>
  <si>
    <t>Marisol Farias</t>
  </si>
  <si>
    <t>Carla Alzola</t>
  </si>
  <si>
    <t>Joaquin Sandoval</t>
  </si>
  <si>
    <t>Gloria Jorquera</t>
  </si>
  <si>
    <t>Sra Bernanda</t>
  </si>
  <si>
    <t>Muestra</t>
  </si>
  <si>
    <t>Loreto Rojas</t>
  </si>
  <si>
    <t>Jose Miranda</t>
  </si>
  <si>
    <t>Rosa Verduleria</t>
  </si>
  <si>
    <t>Rosa Valenzuela</t>
  </si>
  <si>
    <t>Franca Stipo</t>
  </si>
  <si>
    <t>Karla Alzoca</t>
  </si>
  <si>
    <t>Misael Pablo Moya Meza</t>
  </si>
  <si>
    <t>Silvia del Carmen Quevedo Muñoz</t>
  </si>
  <si>
    <t>Armanda Palma</t>
  </si>
  <si>
    <t>Danilo Cortez</t>
  </si>
  <si>
    <t>Alejandra Meri</t>
  </si>
  <si>
    <t>Miriam Gonzalez</t>
  </si>
  <si>
    <t>Jorge Osorio</t>
  </si>
  <si>
    <t>Adelita del Carmen Leon Pizarro</t>
  </si>
  <si>
    <t>Eduardo Lopez</t>
  </si>
  <si>
    <t>Lidia del Carmen Zuñiga Avalos</t>
  </si>
  <si>
    <t>Momo</t>
  </si>
  <si>
    <t>Juan Flores</t>
  </si>
  <si>
    <t>Marisol Arancibia</t>
  </si>
  <si>
    <t>Juan Humberto Miranda Villagra</t>
  </si>
  <si>
    <t>Manuel Antonio Fuentes</t>
  </si>
  <si>
    <t>Elba Esmerita Sanchez Marinao</t>
  </si>
  <si>
    <t>Jaqueline Zarate</t>
  </si>
  <si>
    <t>Johanna Cabrera</t>
  </si>
  <si>
    <t>Gilbe Giobanetti</t>
  </si>
  <si>
    <t>Doris Silva</t>
  </si>
  <si>
    <t>Mariluz Diaz</t>
  </si>
  <si>
    <t>Sergio Stange</t>
  </si>
  <si>
    <t>Sandra Otilia Peña Peña</t>
  </si>
  <si>
    <t>Ana Maria Rojas Sandoval</t>
  </si>
  <si>
    <t>Maria Antonia Olave Gutierrez</t>
  </si>
  <si>
    <t>Priscila Edith Abarca Vargas</t>
  </si>
  <si>
    <t>Natalia Jorquera</t>
  </si>
  <si>
    <t>Cristian Sandoval</t>
  </si>
  <si>
    <t>Alejandro Riddell</t>
  </si>
  <si>
    <t>Don Gabriel</t>
  </si>
  <si>
    <t>El Galpon</t>
  </si>
  <si>
    <t>Carmen del Pilar Sepulveda Cornejo</t>
  </si>
  <si>
    <t>Jose Lindor Collao Araya</t>
  </si>
  <si>
    <t>Lorena Soledad Trujillo Lucero</t>
  </si>
  <si>
    <t>Sociedad Comercial y Agricola Chada Ltda</t>
  </si>
  <si>
    <t>Francisca Gonzalez</t>
  </si>
  <si>
    <t>Verena Scholtbach</t>
  </si>
  <si>
    <t>Victor Gilberto Celedon Fernandez</t>
  </si>
  <si>
    <t>Carolina del Pilar Contreras Gutierrez</t>
  </si>
  <si>
    <t>Rocio Dobbs</t>
  </si>
  <si>
    <t>Empresa Agua Potable Pirque  SA</t>
  </si>
  <si>
    <t>Paola Manriquez</t>
  </si>
  <si>
    <t>Carlos Jobbe-Duval</t>
  </si>
  <si>
    <t>Barbara (Alto Pirque SPA)</t>
  </si>
  <si>
    <t>Loli Waeger</t>
  </si>
  <si>
    <t>Guillermina del Carmen Altamirano Gonzalez</t>
  </si>
  <si>
    <t>Domingo Gonzalez</t>
  </si>
  <si>
    <t>Bernardita Lopez</t>
  </si>
  <si>
    <t>Geraldine Vasquez</t>
  </si>
  <si>
    <t>Juan Pablo Valdes</t>
  </si>
  <si>
    <t>Hector Felipe Ramos Osorio</t>
  </si>
  <si>
    <t>Sabores y Vinos Bernardita Munita EIRL</t>
  </si>
  <si>
    <t>Alimentación y Eventos Veronica Arrazola Quito EIRL</t>
  </si>
  <si>
    <t>Eduardo Klavito Lopez</t>
  </si>
  <si>
    <t>Pilar Luan</t>
  </si>
  <si>
    <t>Katherine del Carmen Ramirez Becerra</t>
  </si>
  <si>
    <t>Elisa Garcia</t>
  </si>
  <si>
    <t>Karen Camino Las Majadas</t>
  </si>
  <si>
    <t>Cricerio Isaias Martinez Flores</t>
  </si>
  <si>
    <t>Monica Valdivieso</t>
  </si>
  <si>
    <t>Transbank</t>
  </si>
  <si>
    <t>Angelica Bravo</t>
  </si>
  <si>
    <t>Silvia Arriagada</t>
  </si>
  <si>
    <t>Carla Ponce</t>
  </si>
  <si>
    <t>Marina Acosta</t>
  </si>
  <si>
    <t>Astrid Rauttenberg</t>
  </si>
  <si>
    <t>Johan Berrios</t>
  </si>
  <si>
    <t>Karla Ponce</t>
  </si>
  <si>
    <t>Olga Saed Zata</t>
  </si>
  <si>
    <t>Victor Ramirez</t>
  </si>
  <si>
    <t>Elsa Lira</t>
  </si>
  <si>
    <t>Carmen Gloria Venegas</t>
  </si>
  <si>
    <t>Andrea Tapia</t>
  </si>
  <si>
    <t>Jacqueline Joingnant</t>
  </si>
  <si>
    <t>Carlos Martinez</t>
  </si>
  <si>
    <t>Alex Cataldo</t>
  </si>
  <si>
    <t>Jorge Crespo Maulen</t>
  </si>
  <si>
    <t>Miriam Vogel</t>
  </si>
  <si>
    <t>Claudia Rica Mery</t>
  </si>
  <si>
    <t>Ariel Medina</t>
  </si>
  <si>
    <t>Ema La Alameda</t>
  </si>
  <si>
    <t>Thiare Guerra</t>
  </si>
  <si>
    <t>Matias Nicolas Ovalle Serrano</t>
  </si>
  <si>
    <t>Alejandra Isabel Abarca Lira</t>
  </si>
  <si>
    <t>Violeta Irene Moya Saavedra</t>
  </si>
  <si>
    <t>Sandra Soledad Castro Valdivia</t>
  </si>
  <si>
    <t>Juan Alfredo Sanchez Mora</t>
  </si>
  <si>
    <t>Carolina Morales</t>
  </si>
  <si>
    <t>Valeria Stange</t>
  </si>
  <si>
    <t>Pedro Pais</t>
  </si>
  <si>
    <t>Comercializadora Directo Chile</t>
  </si>
  <si>
    <t>Juan Rojas Gutierrez</t>
  </si>
  <si>
    <t>Diego valenzuela Chacon</t>
  </si>
  <si>
    <t>Susana Cortes Castillo</t>
  </si>
  <si>
    <t>Claudio Astudillo Avalos</t>
  </si>
  <si>
    <t>Marcia Garrido Lopez</t>
  </si>
  <si>
    <t>Rosa Reyes Allendes</t>
  </si>
  <si>
    <t>Novelia Cornejo Gutierrez</t>
  </si>
  <si>
    <t>Robinson Daniel Baeza Guajardo</t>
  </si>
  <si>
    <t>Francisco Javier San Martin Ramirez</t>
  </si>
  <si>
    <t>Rene Contreras Tapia</t>
  </si>
  <si>
    <t>Marianela Cifuentes Rubio</t>
  </si>
  <si>
    <t>Maria Castro Jorquera</t>
  </si>
  <si>
    <t>Alejandra Mella</t>
  </si>
  <si>
    <t>Norma Muñoz</t>
  </si>
  <si>
    <t>Karen Pino Zata</t>
  </si>
  <si>
    <t>Carlos Vega</t>
  </si>
  <si>
    <t>Ana Ibañez</t>
  </si>
  <si>
    <t>Karen Guardia</t>
  </si>
  <si>
    <t>Jeanny Reyes</t>
  </si>
  <si>
    <t>Jorge Pezoa</t>
  </si>
  <si>
    <t>Desconocido</t>
  </si>
  <si>
    <t>Maria Campusano Parra</t>
  </si>
  <si>
    <t>Millaray Jimenez</t>
  </si>
  <si>
    <t>Cristobal Goldenberg</t>
  </si>
  <si>
    <t>Roger Carrasco</t>
  </si>
  <si>
    <t>Doris Dinamarca</t>
  </si>
  <si>
    <t>Ernesto Ramirez</t>
  </si>
  <si>
    <t>Alonso Orozco</t>
  </si>
  <si>
    <t>Ricardo Jimenez</t>
  </si>
  <si>
    <t>Maricarmen Hernandez</t>
  </si>
  <si>
    <t>Carolina Soto Avalos</t>
  </si>
  <si>
    <t>Carolina Zuñiga Arenas</t>
  </si>
  <si>
    <t>María Gonzalez</t>
  </si>
  <si>
    <t>Felipe Cordoba</t>
  </si>
  <si>
    <t>Waldo Becerra</t>
  </si>
  <si>
    <t>Hector Gonzalez</t>
  </si>
  <si>
    <t>Carolina Soto Orellana</t>
  </si>
  <si>
    <t>Alguien de San Vicente</t>
  </si>
  <si>
    <t>Jacqueline</t>
  </si>
  <si>
    <t>Soraya Torres</t>
  </si>
  <si>
    <t>Marcela Venegas</t>
  </si>
  <si>
    <t>Daniela Aviles</t>
  </si>
  <si>
    <t xml:space="preserve">Contanza </t>
  </si>
  <si>
    <t>Benito Campos y Cia Ltda.</t>
  </si>
  <si>
    <t>Alejandra Valdes</t>
  </si>
  <si>
    <t>Francisco Guajardo</t>
  </si>
  <si>
    <t>Matias David Pinto Sepulveda</t>
  </si>
  <si>
    <t>Ricardo Muñoz</t>
  </si>
  <si>
    <t>Elizabeth Placencia</t>
  </si>
  <si>
    <t>Carlos Manzano</t>
  </si>
  <si>
    <t>Silvana Barbieri</t>
  </si>
  <si>
    <t>Cristian Las Majadas</t>
  </si>
  <si>
    <t>Apolinario Flores</t>
  </si>
  <si>
    <t>Etiquetas de fila</t>
  </si>
  <si>
    <t>Total general</t>
  </si>
  <si>
    <t>Etiquetas de columna</t>
  </si>
  <si>
    <t>Ana María Reyes Ramirez</t>
  </si>
  <si>
    <t>Elios Meneses de las Mercedes Escobar</t>
  </si>
  <si>
    <t>María Ester Abarca</t>
  </si>
  <si>
    <t>Manuel Díaz</t>
  </si>
  <si>
    <t>Cod. Cliente</t>
  </si>
  <si>
    <t>Razón Social</t>
  </si>
  <si>
    <t>Rut</t>
  </si>
  <si>
    <t>Rep. Legal</t>
  </si>
  <si>
    <t>Rut Rep. Legal</t>
  </si>
  <si>
    <t>Dirección</t>
  </si>
  <si>
    <t>Comuna</t>
  </si>
  <si>
    <t>Dirección Desp</t>
  </si>
  <si>
    <t>Comuna Desp</t>
  </si>
  <si>
    <t>Ruta</t>
  </si>
  <si>
    <t>Contacto</t>
  </si>
  <si>
    <t>Teléfono</t>
  </si>
  <si>
    <t>Mail</t>
  </si>
  <si>
    <t>Crédito</t>
  </si>
  <si>
    <t>C001</t>
  </si>
  <si>
    <t>C002</t>
  </si>
  <si>
    <t>C003</t>
  </si>
  <si>
    <t>C004</t>
  </si>
  <si>
    <t>C005</t>
  </si>
  <si>
    <t>C006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</si>
  <si>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</si>
  <si>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</si>
  <si>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</si>
  <si>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</si>
  <si>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</si>
  <si>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</si>
  <si>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</si>
  <si>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</si>
  <si>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</si>
  <si>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</si>
  <si>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</si>
  <si>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</si>
  <si>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</si>
  <si>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</si>
  <si>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</si>
  <si>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</si>
  <si>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</si>
  <si>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</si>
  <si>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</si>
  <si>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</si>
  <si>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</si>
  <si>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</si>
  <si>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C031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</si>
  <si>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</si>
  <si>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</si>
  <si>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</si>
  <si>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</si>
  <si>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</si>
  <si>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</si>
  <si>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</si>
  <si>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</si>
  <si>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</si>
  <si>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C041</t>
  </si>
  <si>
    <t>C043</t>
  </si>
  <si>
    <t>C044</t>
  </si>
  <si>
    <t>C045</t>
  </si>
  <si>
    <t>C046</t>
  </si>
  <si>
    <t>C047</t>
  </si>
  <si>
    <t>C048</t>
  </si>
  <si>
    <t>C049</t>
  </si>
  <si>
    <t>C050</t>
  </si>
  <si>
    <t>C051</t>
  </si>
  <si>
    <t>C052</t>
  </si>
  <si>
    <t>C053</t>
  </si>
  <si>
    <t>C054</t>
  </si>
  <si>
    <t>C055</t>
  </si>
  <si>
    <t>C056</t>
  </si>
  <si>
    <t>C057</t>
  </si>
  <si>
    <t>C058</t>
  </si>
  <si>
    <t>C059</t>
  </si>
  <si>
    <t>C060</t>
  </si>
  <si>
    <t>C061</t>
  </si>
  <si>
    <t>C062</t>
  </si>
  <si>
    <t>C063</t>
  </si>
  <si>
    <t>C064</t>
  </si>
  <si>
    <t>C065</t>
  </si>
  <si>
    <t>C066</t>
  </si>
  <si>
    <t>C067</t>
  </si>
  <si>
    <t>C068</t>
  </si>
  <si>
    <t>C069</t>
  </si>
  <si>
    <t>C070</t>
  </si>
  <si>
    <t>C071</t>
  </si>
  <si>
    <t>C072</t>
  </si>
  <si>
    <t>C073</t>
  </si>
  <si>
    <t>C074</t>
  </si>
  <si>
    <t>C075</t>
  </si>
  <si>
    <t>C076</t>
  </si>
  <si>
    <t>C077</t>
  </si>
  <si>
    <t>C078</t>
  </si>
  <si>
    <t>C079</t>
  </si>
  <si>
    <t>C080</t>
  </si>
  <si>
    <t>C081</t>
  </si>
  <si>
    <t>C082</t>
  </si>
  <si>
    <t>C083</t>
  </si>
  <si>
    <t>C084</t>
  </si>
  <si>
    <t>C085</t>
  </si>
  <si>
    <t>C086</t>
  </si>
  <si>
    <t>C087</t>
  </si>
  <si>
    <t>C088</t>
  </si>
  <si>
    <t>C089</t>
  </si>
  <si>
    <t>C090</t>
  </si>
  <si>
    <t>C091</t>
  </si>
  <si>
    <t>C093</t>
  </si>
  <si>
    <t>C094</t>
  </si>
  <si>
    <t>C095</t>
  </si>
  <si>
    <t>C096</t>
  </si>
  <si>
    <t>C097</t>
  </si>
  <si>
    <t>C098</t>
  </si>
  <si>
    <t>C099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</si>
  <si>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</si>
  <si>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</si>
  <si>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</si>
  <si>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</si>
  <si>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</si>
  <si>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</si>
  <si>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</si>
  <si>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</si>
  <si>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</si>
  <si>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</si>
  <si>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</si>
  <si>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</si>
  <si>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C113</t>
  </si>
  <si>
    <t>C114</t>
  </si>
  <si>
    <t>C115</t>
  </si>
  <si>
    <t>C116</t>
  </si>
  <si>
    <t>C117</t>
  </si>
  <si>
    <t>C119</t>
  </si>
  <si>
    <t>C120</t>
  </si>
  <si>
    <t>C122</t>
  </si>
  <si>
    <t>C123</t>
  </si>
  <si>
    <t>C124</t>
  </si>
  <si>
    <t>C125</t>
  </si>
  <si>
    <t>C127</t>
  </si>
  <si>
    <t>C128</t>
  </si>
  <si>
    <t>C129</t>
  </si>
  <si>
    <t>C130</t>
  </si>
  <si>
    <t>C131</t>
  </si>
  <si>
    <t>C133</t>
  </si>
  <si>
    <t>C134</t>
  </si>
  <si>
    <t>C135</t>
  </si>
  <si>
    <t>C136</t>
  </si>
  <si>
    <t>C137</t>
  </si>
  <si>
    <t>C138</t>
  </si>
  <si>
    <t>C139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</si>
  <si>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</si>
  <si>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</si>
  <si>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</si>
  <si>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</si>
  <si>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</si>
  <si>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</si>
  <si>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</si>
  <si>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</si>
  <si>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</si>
  <si>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</si>
  <si>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</si>
  <si>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C153</t>
  </si>
  <si>
    <t>C154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</si>
  <si>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</si>
  <si>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</si>
  <si>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</si>
  <si>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</si>
  <si>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</si>
  <si>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</si>
  <si>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</si>
  <si>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</si>
  <si>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</si>
  <si>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</si>
  <si>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</si>
  <si>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</si>
  <si>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</si>
  <si>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</si>
  <si>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</si>
  <si>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</si>
  <si>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</si>
  <si>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</si>
  <si>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</si>
  <si>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</si>
  <si>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</si>
  <si>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</si>
  <si>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</si>
  <si>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</si>
  <si>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</si>
  <si>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</si>
  <si>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C183</t>
  </si>
  <si>
    <t>C184</t>
  </si>
  <si>
    <t>C185</t>
  </si>
  <si>
    <t>C186</t>
  </si>
  <si>
    <t>C187</t>
  </si>
  <si>
    <t>C188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</si>
  <si>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</si>
  <si>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</si>
  <si>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</si>
  <si>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</si>
  <si>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</si>
  <si>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</si>
  <si>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</si>
  <si>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</si>
  <si>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</si>
  <si>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</si>
  <si>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</si>
  <si>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</si>
  <si>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</si>
  <si>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</si>
  <si>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</si>
  <si>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</si>
  <si>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</si>
  <si>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</si>
  <si>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</si>
  <si>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</si>
  <si>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</si>
  <si>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</si>
  <si>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</si>
  <si>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</si>
  <si>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</si>
  <si>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</si>
  <si>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</si>
  <si>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</si>
  <si>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C220</t>
  </si>
  <si>
    <t>C221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</si>
  <si>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</si>
  <si>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</si>
  <si>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</si>
  <si>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</si>
  <si>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</si>
  <si>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</si>
  <si>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</si>
  <si>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</si>
  <si>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</si>
  <si>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</si>
  <si>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</si>
  <si>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</si>
  <si>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</si>
  <si>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</si>
  <si>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</si>
  <si>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</si>
  <si>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</si>
  <si>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</si>
  <si>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</si>
  <si>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</si>
  <si>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</si>
  <si>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</si>
  <si>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</si>
  <si>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</si>
  <si>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</si>
  <si>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</si>
  <si>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</si>
  <si>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</si>
  <si>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</si>
  <si>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</si>
  <si>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</si>
  <si>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</si>
  <si>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</si>
  <si>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</si>
  <si>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</si>
  <si>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</si>
  <si>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</si>
  <si>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</si>
  <si>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</si>
  <si>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</si>
  <si>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</si>
  <si>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</si>
  <si>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</si>
  <si>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</si>
  <si>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</si>
  <si>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</si>
  <si>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</si>
  <si>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</si>
  <si>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</si>
  <si>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</si>
  <si>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</si>
  <si>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</si>
  <si>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</si>
  <si>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</si>
  <si>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</si>
  <si>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</si>
  <si>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</si>
  <si>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</si>
  <si>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</si>
  <si>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</si>
  <si>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</si>
  <si>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</si>
  <si>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15408327-8</t>
  </si>
  <si>
    <t>Av. Miguel Letelier S/8</t>
  </si>
  <si>
    <t>Paine</t>
  </si>
  <si>
    <t>Chada</t>
  </si>
  <si>
    <t>Comp</t>
  </si>
  <si>
    <t>Cod.Prod</t>
  </si>
  <si>
    <t>Descripción</t>
  </si>
  <si>
    <t>Fecha Ingreso</t>
  </si>
  <si>
    <t>Tipo Doc</t>
  </si>
  <si>
    <t>Núm. Doc</t>
  </si>
  <si>
    <t>Proveedor</t>
  </si>
  <si>
    <t>Cantidad</t>
  </si>
  <si>
    <t>$ Unit</t>
  </si>
  <si>
    <t>Núm Doc</t>
  </si>
  <si>
    <t>Fecha Pedido</t>
  </si>
  <si>
    <t>Distribuidora Vogel Ltda</t>
  </si>
  <si>
    <t>Entradas</t>
  </si>
  <si>
    <t>Salidas</t>
  </si>
  <si>
    <t>OV</t>
  </si>
  <si>
    <t>Boleta</t>
  </si>
  <si>
    <t>Estado</t>
  </si>
  <si>
    <t>Anulado</t>
  </si>
  <si>
    <t>Pendiente</t>
  </si>
  <si>
    <t>Cód Cliente</t>
  </si>
  <si>
    <t>Medio de Pago</t>
  </si>
  <si>
    <t/>
  </si>
  <si>
    <t>MA-0101</t>
  </si>
  <si>
    <t>Raza</t>
  </si>
  <si>
    <t>San José de Maipo</t>
  </si>
  <si>
    <t>MA-0102</t>
  </si>
  <si>
    <t>MA-0103</t>
  </si>
  <si>
    <t>MA-0104</t>
  </si>
  <si>
    <t>MA-0105</t>
  </si>
  <si>
    <t>MA-0106</t>
  </si>
  <si>
    <t>Cod. Prod</t>
  </si>
  <si>
    <t>Fecha Emisión</t>
  </si>
  <si>
    <t>Credito</t>
  </si>
  <si>
    <t>Fecha de Pago</t>
  </si>
  <si>
    <t>Estado de Pago</t>
  </si>
  <si>
    <t>Efectivo</t>
  </si>
  <si>
    <t>Cheque</t>
  </si>
  <si>
    <t>Depósito</t>
  </si>
  <si>
    <t>Transferencia</t>
  </si>
  <si>
    <t>Monto Pagado</t>
  </si>
  <si>
    <t>-</t>
  </si>
  <si>
    <t>Banco</t>
  </si>
  <si>
    <t>Chile</t>
  </si>
  <si>
    <t>Edward</t>
  </si>
  <si>
    <t>Itaú</t>
  </si>
  <si>
    <t>Bice</t>
  </si>
  <si>
    <t>BCI</t>
  </si>
  <si>
    <t>Scotiabank</t>
  </si>
  <si>
    <t>Falabella</t>
  </si>
  <si>
    <t>Ripley</t>
  </si>
  <si>
    <t>Santander</t>
  </si>
  <si>
    <t>Internacional</t>
  </si>
  <si>
    <t>HTBC</t>
  </si>
  <si>
    <t>Corpbanca</t>
  </si>
  <si>
    <t xml:space="preserve">Alcalde Hernan Prieto 2750-A </t>
  </si>
  <si>
    <t>Pirque</t>
  </si>
  <si>
    <t>0</t>
  </si>
  <si>
    <t>AS-0031</t>
  </si>
  <si>
    <t>Vogel</t>
  </si>
  <si>
    <t>Categoría</t>
  </si>
  <si>
    <t>Tipo</t>
  </si>
  <si>
    <t>Sub-Tipo</t>
  </si>
  <si>
    <t>Doc. Tributario</t>
  </si>
  <si>
    <t>C287</t>
  </si>
  <si>
    <t>Rodolfo Cabrera</t>
  </si>
  <si>
    <t>C288</t>
  </si>
  <si>
    <t>Jorge Ramirez</t>
  </si>
  <si>
    <t>Doña Carmen P. 34</t>
  </si>
  <si>
    <t>AS-0032</t>
  </si>
  <si>
    <t>AS-0034</t>
  </si>
  <si>
    <t>AS-0035</t>
  </si>
  <si>
    <t>C289</t>
  </si>
  <si>
    <t>Compr</t>
  </si>
  <si>
    <t>ID</t>
  </si>
  <si>
    <t>Condimento Granel</t>
  </si>
  <si>
    <t>STOCK</t>
  </si>
  <si>
    <t>Cód Proveedor</t>
  </si>
  <si>
    <t>Cod. Provedor</t>
  </si>
  <si>
    <t>Olivares Don Alberto SA</t>
  </si>
  <si>
    <t>Libertad 798 OF 701</t>
  </si>
  <si>
    <t>Viña del Mar</t>
  </si>
  <si>
    <t>32-2960011</t>
  </si>
  <si>
    <t>aferes@iridio.cl</t>
  </si>
  <si>
    <t>PVD-0001</t>
  </si>
  <si>
    <t>PVD-0002</t>
  </si>
  <si>
    <t>PVD-0004</t>
  </si>
  <si>
    <t>PVD-0005</t>
  </si>
  <si>
    <t>PVD-0006</t>
  </si>
  <si>
    <t>PVD-0008</t>
  </si>
  <si>
    <t>M 1</t>
  </si>
  <si>
    <t>M 2</t>
  </si>
  <si>
    <t>M 3</t>
  </si>
  <si>
    <t>M 4</t>
  </si>
  <si>
    <t>Alberto</t>
  </si>
  <si>
    <t>DE-0483</t>
  </si>
  <si>
    <t>DE-0484</t>
  </si>
  <si>
    <t>DE-0485</t>
  </si>
  <si>
    <t>Proovedor</t>
  </si>
  <si>
    <t>Forma de pago</t>
  </si>
  <si>
    <t>Empresa Multiquimica Ltda</t>
  </si>
  <si>
    <t>Central Mayorista</t>
  </si>
  <si>
    <t>Lapiz Lopez</t>
  </si>
  <si>
    <t>Artesem Ltda</t>
  </si>
  <si>
    <t>PetCenter Express</t>
  </si>
  <si>
    <t>Distribuidora La Granja Ltda</t>
  </si>
  <si>
    <t>Allendes Hermanos</t>
  </si>
  <si>
    <t>Conservas los Angeles Ltda</t>
  </si>
  <si>
    <t>Supermercado del Neumatico</t>
  </si>
  <si>
    <t>Antu Natural Maqui</t>
  </si>
  <si>
    <t>Karcher Chile SPA</t>
  </si>
  <si>
    <t>Cristalerias Toro SPA</t>
  </si>
  <si>
    <t>Izquierdo y Picasso Ltda</t>
  </si>
  <si>
    <t>Easy</t>
  </si>
  <si>
    <t>Sodimac S.A.</t>
  </si>
  <si>
    <t>Inmobiliaria Vogel Ltda</t>
  </si>
  <si>
    <t>Comercial FH Engel SA</t>
  </si>
  <si>
    <t>Dulconoroma Ltda</t>
  </si>
  <si>
    <t>Inversiones Socoal SA</t>
  </si>
  <si>
    <t>Comercial el Llano de Pirque Ltda</t>
  </si>
  <si>
    <t>Ital Frenos SPA</t>
  </si>
  <si>
    <t>Gerardo Fuentes Olea</t>
  </si>
  <si>
    <t>Banco de Chile</t>
  </si>
  <si>
    <t>Carlos René Airault Villalon</t>
  </si>
  <si>
    <t>Alimentos y Aceites SPA (Aliace)</t>
  </si>
  <si>
    <t>Importadora y Comercial Starfood Ltda</t>
  </si>
  <si>
    <t>Comercializadora Kupal II Ltda</t>
  </si>
  <si>
    <t>Nutricion Balanceada SA</t>
  </si>
  <si>
    <t>Petrobas Chile Red Ltda</t>
  </si>
  <si>
    <t>Transbank SA</t>
  </si>
  <si>
    <t>Virutex Ilko SA</t>
  </si>
  <si>
    <t>Distribuidora de Alimentos Globe Italia Ltda</t>
  </si>
  <si>
    <t>Importadora y Exportadora HOMAR SPA</t>
  </si>
  <si>
    <t>Comercializadora Kupal Ltda</t>
  </si>
  <si>
    <t>Indumotora One SA</t>
  </si>
  <si>
    <t>Lubricentro Servicenter Ltda</t>
  </si>
  <si>
    <t>Comercializadora de Rodamientos Retenes y Accesorios Carolina Marisol</t>
  </si>
  <si>
    <t>Librería Nacional Artel SAIC</t>
  </si>
  <si>
    <t>Cód. Pvd</t>
  </si>
  <si>
    <t>PVD-0009</t>
  </si>
  <si>
    <t>PVD-0010</t>
  </si>
  <si>
    <t>PVD-0011</t>
  </si>
  <si>
    <t>PVD-0012</t>
  </si>
  <si>
    <t>PVD-0013</t>
  </si>
  <si>
    <t>PVD-0015</t>
  </si>
  <si>
    <t>PVD-0016</t>
  </si>
  <si>
    <t>PVD-0017</t>
  </si>
  <si>
    <t>PVD-0018</t>
  </si>
  <si>
    <t>PVD-0019</t>
  </si>
  <si>
    <t>PVD-0020</t>
  </si>
  <si>
    <t>PVD-0021</t>
  </si>
  <si>
    <t>PVD-0022</t>
  </si>
  <si>
    <t>PVD-0023</t>
  </si>
  <si>
    <t>PVD-0024</t>
  </si>
  <si>
    <t>PVD-0025</t>
  </si>
  <si>
    <t>PVD-0026</t>
  </si>
  <si>
    <t>PVD-0027</t>
  </si>
  <si>
    <t>PVD-0028</t>
  </si>
  <si>
    <t>PVD-0029</t>
  </si>
  <si>
    <t>PVD-0030</t>
  </si>
  <si>
    <t>PVD-0031</t>
  </si>
  <si>
    <t>PVD-0032</t>
  </si>
  <si>
    <t>PVD-0033</t>
  </si>
  <si>
    <t>PVD-0034</t>
  </si>
  <si>
    <t>PVD-0035</t>
  </si>
  <si>
    <t>PVD-0036</t>
  </si>
  <si>
    <t>PVD-0037</t>
  </si>
  <si>
    <t>PVD-0038</t>
  </si>
  <si>
    <t>PVD-0039</t>
  </si>
  <si>
    <t>PVD-0040</t>
  </si>
  <si>
    <t>PVD-0041</t>
  </si>
  <si>
    <t>PVD-0042</t>
  </si>
  <si>
    <t>PVD-0043</t>
  </si>
  <si>
    <t>PVD-0044</t>
  </si>
  <si>
    <t>PVD-0045</t>
  </si>
  <si>
    <t>PVD-0046</t>
  </si>
  <si>
    <t>PVD-0047</t>
  </si>
  <si>
    <t>Molina Lavin 1721</t>
  </si>
  <si>
    <t>Quinta Normal</t>
  </si>
  <si>
    <t>227742024</t>
  </si>
  <si>
    <t>info@elbelman.cl</t>
  </si>
  <si>
    <t>Elbelman Corp S.A.</t>
  </si>
  <si>
    <t>PVD-0049</t>
  </si>
  <si>
    <t>Lady Cookie Blue 150 gr</t>
  </si>
  <si>
    <t>Lady Cookie</t>
  </si>
  <si>
    <t>Lady Cookie Red 150 gr</t>
  </si>
  <si>
    <t>Agua de Coco 330 ml</t>
  </si>
  <si>
    <t>Thai Heritage</t>
  </si>
  <si>
    <t>Agua de Coco 520 ml</t>
  </si>
  <si>
    <t>DE-0486</t>
  </si>
  <si>
    <t>DE-0487</t>
  </si>
  <si>
    <t>DE-0488</t>
  </si>
  <si>
    <t>DE-0489</t>
  </si>
  <si>
    <t>Sunny Sol</t>
  </si>
  <si>
    <t>C290</t>
  </si>
  <si>
    <t>María Graciela Vega Zamorano</t>
  </si>
  <si>
    <t>8265525-5</t>
  </si>
  <si>
    <t>Miraflores 170</t>
  </si>
  <si>
    <t>Alto Jahuel</t>
  </si>
  <si>
    <t>Maria Graciela Vega Zamorano</t>
  </si>
  <si>
    <t>Salamanca Foods SA (Trujillo)</t>
  </si>
  <si>
    <t>Trujillo</t>
  </si>
  <si>
    <t>AS-0036</t>
  </si>
  <si>
    <t>DE-0490</t>
  </si>
  <si>
    <t>DE-0491</t>
  </si>
  <si>
    <t>DE-0492</t>
  </si>
  <si>
    <t>DE-0493</t>
  </si>
  <si>
    <t>Algicida 2 litros</t>
  </si>
  <si>
    <t>AS-0037</t>
  </si>
  <si>
    <t>Cachorro Carne 1,5 k g</t>
  </si>
  <si>
    <t>Gato Pescado 0,5 kg</t>
  </si>
  <si>
    <t>Gato Pescado 1 Kg</t>
  </si>
  <si>
    <t>Gato Pescado 10 kg</t>
  </si>
  <si>
    <t>Razas Pequeñas Carne 15 Kg</t>
  </si>
  <si>
    <t>Adulto Carne 15 Kg</t>
  </si>
  <si>
    <t>Adulto Carne 1,5 Kg</t>
  </si>
  <si>
    <t>Adulto Carne 3 Kg</t>
  </si>
  <si>
    <t>MA-0107</t>
  </si>
  <si>
    <t>MA-0108</t>
  </si>
  <si>
    <t>MA-0109</t>
  </si>
  <si>
    <t>MA-0110</t>
  </si>
  <si>
    <t>Comercial Natupet Ltda</t>
  </si>
  <si>
    <t>3 Poniente P. 81</t>
  </si>
  <si>
    <t>229574138</t>
  </si>
  <si>
    <t>PVD-0050</t>
  </si>
  <si>
    <t>Cloro Granulado 1Kg</t>
  </si>
  <si>
    <t>Sal Lavavajillas 1 Kg</t>
  </si>
  <si>
    <t>AS-0038</t>
  </si>
  <si>
    <t>Cerveza Barril 5 Lt</t>
  </si>
  <si>
    <t>DAB</t>
  </si>
  <si>
    <t>Cerveza Lata 330 cc</t>
  </si>
  <si>
    <t>Cerveza Sin Alcohol Botella 330 cc</t>
  </si>
  <si>
    <t>Jever Fun</t>
  </si>
  <si>
    <t>Vino Santa Elisa 750 cc</t>
  </si>
  <si>
    <t>Santa Elisa</t>
  </si>
  <si>
    <t xml:space="preserve">Paper Round </t>
  </si>
  <si>
    <t>Thai Rice</t>
  </si>
  <si>
    <t>DE-0494</t>
  </si>
  <si>
    <t>DE-0495</t>
  </si>
  <si>
    <t>DE-0496</t>
  </si>
  <si>
    <t>DE-0497</t>
  </si>
  <si>
    <t>DE-0498</t>
  </si>
  <si>
    <t>Dulce de Membrillo 500 gr</t>
  </si>
  <si>
    <t>Dulce de Membrillo 1000 gr</t>
  </si>
  <si>
    <t>Porotitos Verdes Rebanados 300 gr</t>
  </si>
  <si>
    <t>Kupiec</t>
  </si>
  <si>
    <t>DE-0499</t>
  </si>
  <si>
    <t>Arroz G2 1 Kg</t>
  </si>
  <si>
    <t>S/M</t>
  </si>
  <si>
    <t>Arroz G1 1 Kg</t>
  </si>
  <si>
    <t>Harina Con Polvo</t>
  </si>
  <si>
    <t>Harina Sin Polvo</t>
  </si>
  <si>
    <t>Azucar 1 KG</t>
  </si>
  <si>
    <t>Chuno 250 gr</t>
  </si>
  <si>
    <t>Mantequilla 250 gr</t>
  </si>
  <si>
    <t xml:space="preserve">Cacao Amargo </t>
  </si>
  <si>
    <t>Coco Rallado</t>
  </si>
  <si>
    <t>DE-0500</t>
  </si>
  <si>
    <t>DE-0501</t>
  </si>
  <si>
    <t>DE-0502</t>
  </si>
  <si>
    <t>DE-0503</t>
  </si>
  <si>
    <t>DE-0504</t>
  </si>
  <si>
    <t>DE-0505</t>
  </si>
  <si>
    <t>DE-0506</t>
  </si>
  <si>
    <t>DE-0507</t>
  </si>
  <si>
    <t>DE-0508</t>
  </si>
  <si>
    <t>DE-0509</t>
  </si>
  <si>
    <t>DE-0510</t>
  </si>
  <si>
    <t>Cachorro Carne 15 Kg</t>
  </si>
  <si>
    <t>MA-0111</t>
  </si>
  <si>
    <t>Cerveza Lata 330 cc 4.6°</t>
  </si>
  <si>
    <t>Harboe</t>
  </si>
  <si>
    <t>Cerveza Botella 330 cc 4.9°</t>
  </si>
  <si>
    <t>Jever</t>
  </si>
  <si>
    <t>DE-0511</t>
  </si>
  <si>
    <t>DE-0512</t>
  </si>
  <si>
    <t>DE-0513</t>
  </si>
  <si>
    <t>Aceite Delicioso 10 Lts</t>
  </si>
  <si>
    <t>DE-0514</t>
  </si>
  <si>
    <t>DE-0515</t>
  </si>
  <si>
    <t>Galleta de Arroz Maiz Sal de Mar UltraSlim</t>
  </si>
  <si>
    <t>Homar</t>
  </si>
  <si>
    <t>Jamon Curado 500 gr</t>
  </si>
  <si>
    <t>Noel</t>
  </si>
  <si>
    <t>Gnocchi de Papa 500 gr</t>
  </si>
  <si>
    <t>Lirma Foods</t>
  </si>
  <si>
    <t>Damico</t>
  </si>
  <si>
    <t>Queso Granapadano 200 gr</t>
  </si>
  <si>
    <t>Agriform</t>
  </si>
  <si>
    <t>DE-0520</t>
  </si>
  <si>
    <t>DE-0521</t>
  </si>
  <si>
    <t xml:space="preserve">Algicida 5 Lt </t>
  </si>
  <si>
    <t>Cloro Tableta Triple Acción 1 Kg</t>
  </si>
  <si>
    <t>CAFFÉ INTENSO ARABICA EN GRANO 1 Kg</t>
  </si>
  <si>
    <t>Italimentos Spa</t>
  </si>
  <si>
    <t>Eusebio Lillo 367</t>
  </si>
  <si>
    <t>Recoleta</t>
  </si>
  <si>
    <t>CAFFÉ INTENSO FORTE EN GRANO KG 1,0</t>
  </si>
  <si>
    <t>CAFFÉ INTENSO CLASSICO EN GRANO KG 1,0</t>
  </si>
  <si>
    <t>CAFFÉ INTENSO CLASSICO MOLIDO GR 250</t>
  </si>
  <si>
    <t>CAFFÉ INTENSO PURISSIMO MOLIDO  GR 250</t>
  </si>
  <si>
    <t xml:space="preserve">CAFFÉ INTENSO CLASSICO CAPSULA GR 5                       </t>
  </si>
  <si>
    <t>CAFFÉ INTENSO ARABICA CAPSULA  GR 5</t>
  </si>
  <si>
    <t>Supermercado San Jose</t>
  </si>
  <si>
    <t>Jenaro Pomar</t>
  </si>
  <si>
    <t>Jorge Herrera</t>
  </si>
  <si>
    <t>Constanza Celis</t>
  </si>
  <si>
    <t>Veronica Gonzalez</t>
  </si>
  <si>
    <t xml:space="preserve">GRANEL </t>
  </si>
  <si>
    <t>PILA ALCAL DURACELL MEDIANA  "Cx2"</t>
  </si>
  <si>
    <t>AS-0039</t>
  </si>
  <si>
    <t>AS-0040</t>
  </si>
  <si>
    <t>AS-0001</t>
  </si>
  <si>
    <t>DE-0001</t>
  </si>
  <si>
    <t>DE-0002</t>
  </si>
  <si>
    <t>DE-0003</t>
  </si>
  <si>
    <t>DE-0004</t>
  </si>
  <si>
    <t>DE-0005</t>
  </si>
  <si>
    <t>DE-0006</t>
  </si>
  <si>
    <t>DE-0007</t>
  </si>
  <si>
    <t>DE-0008</t>
  </si>
  <si>
    <t>DE-0009</t>
  </si>
  <si>
    <t>DE-0010</t>
  </si>
  <si>
    <t>DE-0011</t>
  </si>
  <si>
    <t>DE-0012</t>
  </si>
  <si>
    <t>DE-0013</t>
  </si>
  <si>
    <t>DE-0014</t>
  </si>
  <si>
    <t>DE-0015</t>
  </si>
  <si>
    <t>DE-0016</t>
  </si>
  <si>
    <t>DE-0017</t>
  </si>
  <si>
    <t>DE-0018</t>
  </si>
  <si>
    <t>DE-0019</t>
  </si>
  <si>
    <t>DE-0021</t>
  </si>
  <si>
    <t>DE-0022</t>
  </si>
  <si>
    <t>DE-0023</t>
  </si>
  <si>
    <t>DE-0024</t>
  </si>
  <si>
    <t>DE-0025</t>
  </si>
  <si>
    <t>DE-0026</t>
  </si>
  <si>
    <t>DE-0027</t>
  </si>
  <si>
    <t>DE-0028</t>
  </si>
  <si>
    <t>DE-0029</t>
  </si>
  <si>
    <t>DE-0522</t>
  </si>
  <si>
    <t>DE-0523</t>
  </si>
  <si>
    <t>DE-0524</t>
  </si>
  <si>
    <t>DE-0525</t>
  </si>
  <si>
    <t>DE-0526</t>
  </si>
  <si>
    <t>DE-0527</t>
  </si>
  <si>
    <t>DE-0528</t>
  </si>
  <si>
    <t>DE-0529</t>
  </si>
  <si>
    <t>DE-0530</t>
  </si>
  <si>
    <t>DE-0531</t>
  </si>
  <si>
    <t>DE-0532</t>
  </si>
  <si>
    <t>DE-0533</t>
  </si>
  <si>
    <t>DE-0534</t>
  </si>
  <si>
    <t>DE-0535</t>
  </si>
  <si>
    <t>DE-0536</t>
  </si>
  <si>
    <t>DE-0537</t>
  </si>
  <si>
    <t>DE-0538</t>
  </si>
  <si>
    <t>DE-0539</t>
  </si>
  <si>
    <t>DE-0540</t>
  </si>
  <si>
    <t>DE-0541</t>
  </si>
  <si>
    <t>DE-0542</t>
  </si>
  <si>
    <t>DE-0543</t>
  </si>
  <si>
    <t>DE-0544</t>
  </si>
  <si>
    <t>DE-0545</t>
  </si>
  <si>
    <t>DE-0546</t>
  </si>
  <si>
    <t>DE-0547</t>
  </si>
  <si>
    <t>DE-547</t>
  </si>
  <si>
    <t xml:space="preserve">Anchoas 90 g </t>
  </si>
  <si>
    <t>Marbella</t>
  </si>
  <si>
    <t>DE-548</t>
  </si>
  <si>
    <t>Tostadas 250 grs</t>
  </si>
  <si>
    <t>SM</t>
  </si>
  <si>
    <t>Dulce de Membrillo 250 grs</t>
  </si>
  <si>
    <t>Frutillas al Jugo 580 grs</t>
  </si>
  <si>
    <t>Orden de Venta</t>
  </si>
  <si>
    <t>Datos Cliente</t>
  </si>
  <si>
    <t>:</t>
  </si>
  <si>
    <t>Núm OV</t>
  </si>
  <si>
    <t>Datos Despacho</t>
  </si>
  <si>
    <t>Cód. Prod</t>
  </si>
  <si>
    <t>Marca</t>
  </si>
  <si>
    <t>Dcto</t>
  </si>
  <si>
    <t>Sub Total</t>
  </si>
  <si>
    <t>Unit c/IVA</t>
  </si>
  <si>
    <t>TOTAL</t>
  </si>
  <si>
    <t>DE-549</t>
  </si>
  <si>
    <t>Jurel 425</t>
  </si>
  <si>
    <t>San Jose</t>
  </si>
  <si>
    <t>DE-550</t>
  </si>
  <si>
    <t>Sal fina</t>
  </si>
  <si>
    <t>Lobos</t>
  </si>
  <si>
    <t>BA-31</t>
  </si>
  <si>
    <t>Prestobarba 3 x12</t>
  </si>
  <si>
    <t>Gillette</t>
  </si>
  <si>
    <t>BA-32</t>
  </si>
  <si>
    <t>Jabon Liquido 1 L</t>
  </si>
  <si>
    <t>Ballerina</t>
  </si>
  <si>
    <t>Núm NV</t>
  </si>
  <si>
    <t>DE-551</t>
  </si>
  <si>
    <t>White &amp; Mackay</t>
  </si>
  <si>
    <t>Ciper Repuestos Ltda</t>
  </si>
  <si>
    <t>79528730-2</t>
  </si>
  <si>
    <t>Av. Brasil 23</t>
  </si>
  <si>
    <t>Santiago</t>
  </si>
  <si>
    <t>Sebastian Segura</t>
  </si>
  <si>
    <t>98256014</t>
  </si>
  <si>
    <t>Eleazar Antonio Contreras Contreras</t>
  </si>
  <si>
    <t>4750598-4</t>
  </si>
  <si>
    <t>Bernardino Bravo 76</t>
  </si>
  <si>
    <t>Buin</t>
  </si>
  <si>
    <t>28219742</t>
  </si>
  <si>
    <t>shellbuin@gmail.com</t>
  </si>
  <si>
    <t>PVD-0051</t>
  </si>
  <si>
    <t>PVD-0052</t>
  </si>
  <si>
    <t>Administradora de Ventas al Detalle Ltda</t>
  </si>
  <si>
    <t>Coronel Pereira 121</t>
  </si>
  <si>
    <t>San Jose de Maipo</t>
  </si>
  <si>
    <t>PVD-0053</t>
  </si>
  <si>
    <t>PLP</t>
  </si>
  <si>
    <t>4723009-8</t>
  </si>
  <si>
    <t>Jose Letelier</t>
  </si>
  <si>
    <t>Lipigas</t>
  </si>
  <si>
    <t>Fecha de Venc</t>
  </si>
  <si>
    <t>C291</t>
  </si>
  <si>
    <t>Luis Seguel</t>
  </si>
  <si>
    <t>Los Almendros P7</t>
  </si>
  <si>
    <t>C292</t>
  </si>
  <si>
    <t>Juan Salvo</t>
  </si>
  <si>
    <t>Los Maitenes par 15</t>
  </si>
  <si>
    <t>Los Almendros P15</t>
  </si>
  <si>
    <t xml:space="preserve">Ramírez y Sánchez Ltda (Drogueria Ñuñoa) </t>
  </si>
  <si>
    <t>DE-552</t>
  </si>
  <si>
    <t>Tallarines 400 gr</t>
  </si>
  <si>
    <t>Suazo</t>
  </si>
  <si>
    <t>Shogun</t>
  </si>
  <si>
    <t>M1</t>
  </si>
  <si>
    <t>DE-554</t>
  </si>
  <si>
    <t>Rigatti 400 gr</t>
  </si>
  <si>
    <t>Collar 66 cm</t>
  </si>
  <si>
    <t>Bayticol</t>
  </si>
  <si>
    <t>DE-555</t>
  </si>
  <si>
    <t>Colcafe</t>
  </si>
  <si>
    <t>DE-556</t>
  </si>
  <si>
    <t>Fideos 400 gr</t>
  </si>
  <si>
    <t>DE-557</t>
  </si>
  <si>
    <t>Salsa de Tomate</t>
  </si>
  <si>
    <t>Shampoo 900 cc Aceite de Coco &amp; Jazmin</t>
  </si>
  <si>
    <t>Lomitos de Atun en Aceite 170 gr</t>
  </si>
  <si>
    <t>Rinconada San Vicente</t>
  </si>
  <si>
    <t>Camino P Hurtado N°861</t>
  </si>
  <si>
    <t>AS-41</t>
  </si>
  <si>
    <t>Decantador 1k</t>
  </si>
  <si>
    <t>Camino P Hurtado N° P8</t>
  </si>
  <si>
    <t>DE-558</t>
  </si>
  <si>
    <t>Dulcono Roma</t>
  </si>
  <si>
    <t>Culitirin PC 4ST D LT 1 SN</t>
  </si>
  <si>
    <t>Culitrin PC 4ST D LT 1 SN</t>
  </si>
  <si>
    <t>Sta Marta</t>
  </si>
  <si>
    <t>PL / Unit</t>
  </si>
  <si>
    <t>Bernardita Varela</t>
  </si>
  <si>
    <t>El Cruceral I</t>
  </si>
  <si>
    <t>C293</t>
  </si>
  <si>
    <t>NV</t>
  </si>
  <si>
    <t>Notas:</t>
  </si>
  <si>
    <t>SN</t>
  </si>
  <si>
    <t>BA-33</t>
  </si>
  <si>
    <t>BA-34</t>
  </si>
  <si>
    <t>MA-112</t>
  </si>
  <si>
    <t>Gato Pollo Leche 10 Kg</t>
  </si>
  <si>
    <t>Virginia Subercaseux 210</t>
  </si>
  <si>
    <t>Frasco Conservero c/Tapa 1000</t>
  </si>
  <si>
    <t xml:space="preserve">Frasco Conservero c/Tapa 450 </t>
  </si>
  <si>
    <t>El Valle</t>
  </si>
  <si>
    <t>Las Bandurrias</t>
  </si>
  <si>
    <t>Peter De Lamare</t>
  </si>
  <si>
    <t>Camino La Pirca P.54 La Rinconada</t>
  </si>
  <si>
    <t>Cruceral I</t>
  </si>
  <si>
    <t>Camino Los Quillayes . P 61 La Rinconada</t>
  </si>
  <si>
    <t>AS-42</t>
  </si>
  <si>
    <t>Cloro Tableta 1 Kg</t>
  </si>
  <si>
    <t>Adulto Premium Carne Cereal 18 Kg</t>
  </si>
  <si>
    <t>Cachorro Premium 18 Kg</t>
  </si>
  <si>
    <t>Cachorro Carne 18 Kg</t>
  </si>
  <si>
    <t>Tipo TBK</t>
  </si>
  <si>
    <t>Alicia Pinto</t>
  </si>
  <si>
    <t>Ricardo Pertuze</t>
  </si>
  <si>
    <t>Jorge Martinez</t>
  </si>
  <si>
    <t>nano jardinero</t>
  </si>
  <si>
    <t>Jessica La Alameda</t>
  </si>
  <si>
    <t>Ramon Gonzalez</t>
  </si>
  <si>
    <t>Jose Salazar</t>
  </si>
  <si>
    <t>Amanda Morales</t>
  </si>
  <si>
    <t>Gustavo Meyer</t>
  </si>
  <si>
    <t>Carmen Gloria Rojas</t>
  </si>
  <si>
    <t>Benito Campos y Cia Ltda</t>
  </si>
  <si>
    <t>Ana María Hartig</t>
  </si>
  <si>
    <t>Denisse Marti</t>
  </si>
  <si>
    <t>Macarena Garcia</t>
  </si>
  <si>
    <t>Marilu Salazar</t>
  </si>
  <si>
    <t>Claudia Ortiz</t>
  </si>
  <si>
    <t>Hugo Davis</t>
  </si>
  <si>
    <t>Jorge Robles</t>
  </si>
  <si>
    <t>Enriqueta El Cruceral</t>
  </si>
  <si>
    <t>Ignacio Tobar</t>
  </si>
  <si>
    <t>Juan Melo</t>
  </si>
  <si>
    <t>Carlos Navarro</t>
  </si>
  <si>
    <t>Pedro Cardemil</t>
  </si>
  <si>
    <t>Sergio Diaz</t>
  </si>
  <si>
    <t>Alberto Soto</t>
  </si>
  <si>
    <t>Claudia Sepulveda</t>
  </si>
  <si>
    <t>juan Carlos Rosales</t>
  </si>
  <si>
    <t>83.891.300-8</t>
  </si>
  <si>
    <t>Comercio 19909</t>
  </si>
  <si>
    <t>2 861 1032</t>
  </si>
  <si>
    <t>info@abastosuper.cl</t>
  </si>
  <si>
    <t>PVD-0054</t>
  </si>
  <si>
    <t>PVD-0055</t>
  </si>
  <si>
    <t>Collar 35 cm</t>
  </si>
  <si>
    <t>MA-114</t>
  </si>
  <si>
    <t>Pila ZC Grande D x24</t>
  </si>
  <si>
    <t>Pila ZC Chica AA x 60</t>
  </si>
  <si>
    <t>Pila ZC Pequeña AAA x40</t>
  </si>
  <si>
    <t>6607499-4</t>
  </si>
  <si>
    <t>Puente Blanco C-1</t>
  </si>
  <si>
    <t>Rancagua</t>
  </si>
  <si>
    <t>AS-43</t>
  </si>
  <si>
    <t>Cloro Tab.Triple Acción 1 Kg</t>
  </si>
  <si>
    <t>Adulto Carne 18Kg</t>
  </si>
  <si>
    <t>Adulto Pollo 18 Kg</t>
  </si>
  <si>
    <t>Gato Salmon 20 Kg</t>
  </si>
  <si>
    <t>Master Cat</t>
  </si>
  <si>
    <t>Inversiones Enex S.A.</t>
  </si>
  <si>
    <t>Av. Del Condor Sur 520 P4</t>
  </si>
  <si>
    <t>Huechuraba</t>
  </si>
  <si>
    <t>PVD-0056</t>
  </si>
  <si>
    <t>Condición de Crédito</t>
  </si>
  <si>
    <t xml:space="preserve">San Vicente </t>
  </si>
  <si>
    <t>Frente Avicola</t>
  </si>
  <si>
    <t>Jadra Aguad</t>
  </si>
  <si>
    <t>Cruceral C del Rio</t>
  </si>
  <si>
    <t>C294</t>
  </si>
  <si>
    <t>P a g o</t>
  </si>
  <si>
    <t>Núm Dep</t>
  </si>
  <si>
    <t>Fecha Dep</t>
  </si>
  <si>
    <t>D e p ó s i t o</t>
  </si>
  <si>
    <t>Maria Carreño Silva</t>
  </si>
  <si>
    <t>Armanda La Nogalada</t>
  </si>
  <si>
    <t>Tomy Scholtbach</t>
  </si>
  <si>
    <t>Alcalde Hernan Prieto 2570 A</t>
  </si>
  <si>
    <t>La Catolica P.5</t>
  </si>
  <si>
    <t>Maria Teresa Fuentes</t>
  </si>
  <si>
    <t>Maria Teresa Ormazabal</t>
  </si>
  <si>
    <t>Maria Cermen Carreño Soto</t>
  </si>
  <si>
    <t>Supermercado El Valle Ltda</t>
  </si>
  <si>
    <t>Valeria Jorquera</t>
  </si>
  <si>
    <t>C295</t>
  </si>
  <si>
    <t>C296</t>
  </si>
  <si>
    <t>C298</t>
  </si>
  <si>
    <t>C299</t>
  </si>
  <si>
    <t>C300</t>
  </si>
  <si>
    <t>C301</t>
  </si>
  <si>
    <t>C302</t>
  </si>
  <si>
    <t>C303</t>
  </si>
  <si>
    <t>C304</t>
  </si>
  <si>
    <t>C306</t>
  </si>
  <si>
    <t>C307</t>
  </si>
  <si>
    <t>C308</t>
  </si>
  <si>
    <t>C309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</si>
  <si>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</si>
  <si>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</si>
  <si>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</si>
  <si>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</si>
  <si>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</si>
  <si>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</si>
  <si>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</si>
  <si>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</si>
  <si>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</si>
  <si>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C320</t>
  </si>
  <si>
    <t>C321</t>
  </si>
  <si>
    <t>C322</t>
  </si>
  <si>
    <t>C323</t>
  </si>
  <si>
    <t>C324</t>
  </si>
  <si>
    <t>C325</t>
  </si>
  <si>
    <t>C326</t>
  </si>
  <si>
    <t>C327</t>
  </si>
  <si>
    <t>Fecha Depósito</t>
  </si>
  <si>
    <t>Núm. Depósito</t>
  </si>
  <si>
    <t>Colilla de Depósito</t>
  </si>
  <si>
    <t>MA-115</t>
  </si>
  <si>
    <t>MA-116</t>
  </si>
  <si>
    <t>MA-117</t>
  </si>
  <si>
    <t>Masko Cachorro</t>
  </si>
  <si>
    <t>MA-118</t>
  </si>
  <si>
    <t>9.904.448-9</t>
  </si>
  <si>
    <t>Credito Simple</t>
  </si>
  <si>
    <t>Victoria SPA</t>
  </si>
  <si>
    <t>PVD-0057</t>
  </si>
  <si>
    <t>Bebida Maqui Arandano 500 cc Pet.</t>
  </si>
  <si>
    <t>Import And Export Go Fun Enterprice SPA</t>
  </si>
  <si>
    <t>76.713.794-k</t>
  </si>
  <si>
    <t>DE-559</t>
  </si>
  <si>
    <t>Energetica rodeo</t>
  </si>
  <si>
    <t>Rodeo</t>
  </si>
  <si>
    <t>DE-560</t>
  </si>
  <si>
    <t>Cajon</t>
  </si>
  <si>
    <t>4.173.465-5</t>
  </si>
  <si>
    <t>Contado</t>
  </si>
  <si>
    <t>Condicion de Credito</t>
  </si>
  <si>
    <t>9.585.866-k</t>
  </si>
  <si>
    <t>Las Vertinetes</t>
  </si>
  <si>
    <t>San Jose De Maipo</t>
  </si>
  <si>
    <t>10.795.719-7</t>
  </si>
  <si>
    <t>Masko Cachorro x 20 Kgs</t>
  </si>
  <si>
    <t>Masko Cachorro x 10 Kgs</t>
  </si>
  <si>
    <t>Masko Can x 2.5 Kgs</t>
  </si>
  <si>
    <t>Masko Can x 10 Kgs</t>
  </si>
  <si>
    <t>Masko Can 25 Kg.</t>
  </si>
  <si>
    <t>Masko Can x 18 Kgs</t>
  </si>
  <si>
    <t>Masko Cachorro 1,5 kg</t>
  </si>
  <si>
    <t>Antonio Castillo S.A.</t>
  </si>
  <si>
    <t>Av. Matta 1801</t>
  </si>
  <si>
    <t>Quilicura</t>
  </si>
  <si>
    <t>Francisco Venegas</t>
  </si>
  <si>
    <t>9 8479 9457</t>
  </si>
  <si>
    <t>PVD-0058</t>
  </si>
  <si>
    <t>PVD-0059</t>
  </si>
  <si>
    <t>Alonso Orozco Abarca</t>
  </si>
  <si>
    <t>PVD-0060</t>
  </si>
  <si>
    <t>Sherwin Williams Chile S.A.</t>
  </si>
  <si>
    <t>Entel PCS Telecomunicaciones S.A.</t>
  </si>
  <si>
    <t>Comercial K Ltda</t>
  </si>
  <si>
    <t>Av. Las Condes 11400</t>
  </si>
  <si>
    <t>Las Condes</t>
  </si>
  <si>
    <t>PVD-0061</t>
  </si>
  <si>
    <t>PVD-0062</t>
  </si>
  <si>
    <t>PVD-0063</t>
  </si>
  <si>
    <t>MA-119</t>
  </si>
  <si>
    <t>Frost</t>
  </si>
  <si>
    <t>ZAGREB Y ATLAGICH COMPANY</t>
  </si>
  <si>
    <t>76.530.606- K</t>
  </si>
  <si>
    <t xml:space="preserve">LOS JARDINES 01601 VILLA FUTURO </t>
  </si>
  <si>
    <t>Puente Alto</t>
  </si>
  <si>
    <t>Gonzalo Coppo</t>
  </si>
  <si>
    <t>992288755</t>
  </si>
  <si>
    <t>g.femur@gmail.com</t>
  </si>
  <si>
    <t>PVD-0064</t>
  </si>
  <si>
    <t xml:space="preserve">Vladimir Ricardo Poblete Atlagich </t>
  </si>
  <si>
    <t>Los Jardines 01601 Futuro</t>
  </si>
  <si>
    <t>22 875 3602</t>
  </si>
  <si>
    <t>123petcenterexpress@gmail.com</t>
  </si>
  <si>
    <t>MA-120</t>
  </si>
  <si>
    <t>Senior 8k</t>
  </si>
  <si>
    <t>MA-121</t>
  </si>
  <si>
    <t>9.489.563-4</t>
  </si>
  <si>
    <t>Alcalde Hernan Prieto N° 4800</t>
  </si>
  <si>
    <t>PVD</t>
  </si>
  <si>
    <t>Servipasto SPA</t>
  </si>
  <si>
    <t>76501254-6</t>
  </si>
  <si>
    <t>Condominio Terranova, par 24</t>
  </si>
  <si>
    <t>C328</t>
  </si>
  <si>
    <t>Virginia Subercaseux 4305</t>
  </si>
  <si>
    <t>Cruceral 2</t>
  </si>
  <si>
    <t>C329</t>
  </si>
  <si>
    <t>AS-45</t>
  </si>
  <si>
    <t>Baja PH 1 Kg</t>
  </si>
  <si>
    <t>AS-46</t>
  </si>
  <si>
    <t>Sube PH 1 Kg</t>
  </si>
  <si>
    <t>77840430-3</t>
  </si>
  <si>
    <t>Chada Sitio 57</t>
  </si>
  <si>
    <t>El Cerrillo 2749</t>
  </si>
  <si>
    <t>Dario Pavez 369</t>
  </si>
  <si>
    <t>12079278-4</t>
  </si>
  <si>
    <t>El Transito Casa 58-A</t>
  </si>
  <si>
    <t>Pintue</t>
  </si>
  <si>
    <t>Av. Luis Letelier Sitio 1</t>
  </si>
  <si>
    <t>ILA</t>
  </si>
  <si>
    <t>BBVA</t>
  </si>
  <si>
    <t>San Vicente</t>
  </si>
  <si>
    <t xml:space="preserve">Contra Entrega Dcto. </t>
  </si>
  <si>
    <t>Los Silos P. 2</t>
  </si>
  <si>
    <t>El Valle 1195</t>
  </si>
  <si>
    <t>El Polo 1291, El Valle</t>
  </si>
  <si>
    <t>C330</t>
  </si>
  <si>
    <t>Clientes</t>
  </si>
  <si>
    <t>Tipo Banco</t>
  </si>
  <si>
    <t>Cheque a Fecha</t>
  </si>
  <si>
    <t>Cheque al Día</t>
  </si>
  <si>
    <t>Estado Cheque</t>
  </si>
  <si>
    <t>Fecha Cobro</t>
  </si>
  <si>
    <t>Cheques Otros Bancos</t>
  </si>
  <si>
    <t>Cheques Banco de Chile</t>
  </si>
  <si>
    <t>Aceite Vegetal 900 cc</t>
  </si>
  <si>
    <t>Olin</t>
  </si>
  <si>
    <t>Pate de Foie 100 gr</t>
  </si>
  <si>
    <t>DE-561</t>
  </si>
  <si>
    <t>Pure de Manzana 600 gr</t>
  </si>
  <si>
    <t>Crema de Castañas 230 gr</t>
  </si>
  <si>
    <t>Consuelo Andrea Sanchez Bisbal</t>
  </si>
  <si>
    <t>15.772.353-7</t>
  </si>
  <si>
    <t>Cristian Guillermo Ortiz Gonzalez</t>
  </si>
  <si>
    <t>12.673.673-8</t>
  </si>
  <si>
    <t>Marisol Ximena Ibarra Medina</t>
  </si>
  <si>
    <t>8.343.272-1</t>
  </si>
  <si>
    <t>El Cruceral I, P. 13</t>
  </si>
  <si>
    <t>Jacqueline Bani Peralta Jimenez</t>
  </si>
  <si>
    <t>9.444.762-3</t>
  </si>
  <si>
    <t>Camino La Esperanza P 7H, Santa Rita</t>
  </si>
  <si>
    <t>Daniel Alejandro Alvarado Perez</t>
  </si>
  <si>
    <t>10.665.692-4</t>
  </si>
  <si>
    <t>Casas de Lo Arcaya P2</t>
  </si>
  <si>
    <t>Pedro Fernando Cortes Saavedra</t>
  </si>
  <si>
    <t>6.005.964-0</t>
  </si>
  <si>
    <t>Loreto Paola Moraga Guerrero</t>
  </si>
  <si>
    <t>76.460.516-0</t>
  </si>
  <si>
    <t>Maximiliano Bryan Blanch Sepulveda</t>
  </si>
  <si>
    <t>13.946.109-6</t>
  </si>
  <si>
    <t>Franklin Winston Smart Guevara</t>
  </si>
  <si>
    <t>11.403.590-4</t>
  </si>
  <si>
    <t>Virginia Subercaseux 4000 P. 231</t>
  </si>
  <si>
    <t>Veronica Paulina Gonzalez Aliste</t>
  </si>
  <si>
    <t>6.970.179-5</t>
  </si>
  <si>
    <t>La Rinconada P.157-A</t>
  </si>
  <si>
    <t>Manuel Fernando Valenzuela Duran</t>
  </si>
  <si>
    <t>7.800.000-7</t>
  </si>
  <si>
    <t>La Nogalada P.M-6</t>
  </si>
  <si>
    <t>Catalina Daniela Peña Royo</t>
  </si>
  <si>
    <t>14.049.292-2</t>
  </si>
  <si>
    <t>Te Earl Grey Lata x 100 gr</t>
  </si>
  <si>
    <t>Monto Neto</t>
  </si>
  <si>
    <t>Yerba Mate c/ Palo Taragui 250 gr</t>
  </si>
  <si>
    <t>Aurora Diaz (Lipigas)</t>
  </si>
  <si>
    <t>PVD-67</t>
  </si>
  <si>
    <t>Comercializadora Alman Ltda</t>
  </si>
  <si>
    <t>76.419.797-6</t>
  </si>
  <si>
    <t>Av. El Parque #5339</t>
  </si>
  <si>
    <t>23 2230048</t>
  </si>
  <si>
    <t>contacto@alman.cl</t>
  </si>
  <si>
    <t>DE-563</t>
  </si>
  <si>
    <t>Tomates en Trozo 2550 gr</t>
  </si>
  <si>
    <t>La Caranta</t>
  </si>
  <si>
    <t>4.723.009-8</t>
  </si>
  <si>
    <t>C331</t>
  </si>
  <si>
    <t>Ayleen Ramirez</t>
  </si>
  <si>
    <t>Alameda 113, Principal</t>
  </si>
  <si>
    <t>C332</t>
  </si>
  <si>
    <t>Gery Montenegro</t>
  </si>
  <si>
    <t>C333</t>
  </si>
  <si>
    <t>Los Quillayes P.1134</t>
  </si>
  <si>
    <t>El Valle de El Principal</t>
  </si>
  <si>
    <t>MA-122</t>
  </si>
  <si>
    <t>Candog Buffet 25 Kg</t>
  </si>
  <si>
    <t>Candog</t>
  </si>
  <si>
    <t>Masko Gato</t>
  </si>
  <si>
    <t>Masko Gato x 25 Kgs</t>
  </si>
  <si>
    <t>Masko Gato x 20 Kgs.</t>
  </si>
  <si>
    <t>Masko Gato x 10 Kgs</t>
  </si>
  <si>
    <t>Masko Gato 1 kg</t>
  </si>
  <si>
    <t>Candog Buffet 10 K</t>
  </si>
  <si>
    <t>Candog Carne 10 K</t>
  </si>
  <si>
    <t>Candog Hueso 10 k</t>
  </si>
  <si>
    <t>Candog Hueso 25 k</t>
  </si>
  <si>
    <t>DE-564</t>
  </si>
  <si>
    <t>Nero</t>
  </si>
  <si>
    <t>Jeanny Andrea Arranz Cordero</t>
  </si>
  <si>
    <t>14.146.445-0</t>
  </si>
  <si>
    <t>C334</t>
  </si>
  <si>
    <t>Italimentos SPA</t>
  </si>
  <si>
    <t>76.336.763-0</t>
  </si>
  <si>
    <t>Sybella Siobhan Sheppard Stitt</t>
  </si>
  <si>
    <t>8.863.226-5</t>
  </si>
  <si>
    <t>3.698.259-4</t>
  </si>
  <si>
    <t>Lo Salinas 1955 P.5</t>
  </si>
  <si>
    <t>Paulina Andrea Araneda Cancino</t>
  </si>
  <si>
    <t>12.037.965-8</t>
  </si>
  <si>
    <t>Alejandra Francesca Alvarez Figueroa</t>
  </si>
  <si>
    <t>17.590.050-0</t>
  </si>
  <si>
    <t>Av. 18 de Sept. St. 14</t>
  </si>
  <si>
    <t>8.396.971-7</t>
  </si>
  <si>
    <t>El Cordonal St1</t>
  </si>
  <si>
    <t>Huelquen</t>
  </si>
  <si>
    <t>C335</t>
  </si>
  <si>
    <t>Alejandro Astorga</t>
  </si>
  <si>
    <t>Los Silos P.9</t>
  </si>
  <si>
    <t>DE-565</t>
  </si>
  <si>
    <t>Estado de Cuenta</t>
  </si>
  <si>
    <t>Rut:</t>
  </si>
  <si>
    <t>NC</t>
  </si>
  <si>
    <t>Debe</t>
  </si>
  <si>
    <t>Haber</t>
  </si>
  <si>
    <t>DE-566</t>
  </si>
  <si>
    <t>Felipe Eduardo Salinas Caro (Equimas)</t>
  </si>
  <si>
    <t>18.285.090-K</t>
  </si>
  <si>
    <t>El Principal St 19 C4</t>
  </si>
  <si>
    <t>Monto c/IVA</t>
  </si>
  <si>
    <t>C336</t>
  </si>
  <si>
    <t>Alejandro Garay</t>
  </si>
  <si>
    <t>Calle Nueva P 8-A Lote 5</t>
  </si>
  <si>
    <t>Debito</t>
  </si>
  <si>
    <t>Galleta Arroz Natural SLIM</t>
  </si>
  <si>
    <t>Galleta Arroz Maravilla SLIM</t>
  </si>
  <si>
    <t>Galleta Arroz Multigrano SLIM</t>
  </si>
  <si>
    <t>Galleta Maiz SLIM</t>
  </si>
  <si>
    <t>Galleta Arroz Chia SLIM</t>
  </si>
  <si>
    <t>Cloro Granulado x 1 Kg</t>
  </si>
  <si>
    <t>AS-29</t>
  </si>
  <si>
    <t>F. Emisión</t>
  </si>
  <si>
    <t>F. Venc</t>
  </si>
  <si>
    <t>F. Pago</t>
  </si>
  <si>
    <t>Total Debe</t>
  </si>
  <si>
    <t>Total Haber</t>
  </si>
  <si>
    <t>Total a Pagar</t>
  </si>
  <si>
    <t>Fecha Emisión EC</t>
  </si>
  <si>
    <t>ND</t>
  </si>
  <si>
    <t>11.979.431-5</t>
  </si>
  <si>
    <t>Av. Chile #247</t>
  </si>
  <si>
    <t>Vaidivia de Paine</t>
  </si>
  <si>
    <t>18.118.901-0</t>
  </si>
  <si>
    <t>Galvez 1779-A</t>
  </si>
  <si>
    <t>Isla de Maipo</t>
  </si>
  <si>
    <t>Choritos 1/2 Agua Aceite 170 gr</t>
  </si>
  <si>
    <t>Sitio 1 P 2B</t>
  </si>
  <si>
    <t>13.839.798-K</t>
  </si>
  <si>
    <t>Camino El Volcan 4764</t>
  </si>
  <si>
    <t>Haras de Pirque P B14</t>
  </si>
  <si>
    <t>Cruceral P 145</t>
  </si>
  <si>
    <t>San Luis S/N</t>
  </si>
  <si>
    <t>La Catolica</t>
  </si>
  <si>
    <t>C337</t>
  </si>
  <si>
    <t>Petrova Alonso</t>
  </si>
  <si>
    <t>Virginia Subercaseux 2000</t>
  </si>
  <si>
    <t>C338</t>
  </si>
  <si>
    <t>Manuel Marcos Fuenzalida Alfaro (Cafe Eden)</t>
  </si>
  <si>
    <t>5.987.621-K</t>
  </si>
  <si>
    <t>Calle Vicuña Mackenna #46</t>
  </si>
  <si>
    <t>C339</t>
  </si>
  <si>
    <t>Francisco Valenzuela (Chalaco)</t>
  </si>
  <si>
    <t>El Chalaco</t>
  </si>
  <si>
    <t>Francisco Valenzuela (Cruceral)</t>
  </si>
  <si>
    <t>DE-568</t>
  </si>
  <si>
    <t>Aceite Oliva Frantoio 1 Lt</t>
  </si>
  <si>
    <t>Brisas del raco</t>
  </si>
  <si>
    <t>MA-123</t>
  </si>
  <si>
    <t>Adulto Carne 21 Kg</t>
  </si>
  <si>
    <t>DE-569</t>
  </si>
  <si>
    <t>Cafe Grano Arábico 1 kilo</t>
  </si>
  <si>
    <t>Las Tortolas</t>
  </si>
  <si>
    <t>Daniela Silvana Alegria Martinez</t>
  </si>
  <si>
    <t>14.010.374-8</t>
  </si>
  <si>
    <t>Av. Miguel Letelier SN</t>
  </si>
  <si>
    <t>14.366.818-5</t>
  </si>
  <si>
    <t>Aparicion Sur Sitio 9</t>
  </si>
  <si>
    <t>Servicios Jorge Hernan Garrido Casanova Ltda</t>
  </si>
  <si>
    <t>76.505.957-7</t>
  </si>
  <si>
    <t xml:space="preserve">Jorge Hernan Garrido Casanova </t>
  </si>
  <si>
    <t>Garbanzos 400 gr</t>
  </si>
  <si>
    <t>Papayas Almibar 1000 cc</t>
  </si>
  <si>
    <t>Porotos Red Kidney 400 gr</t>
  </si>
  <si>
    <t>MA-113</t>
  </si>
  <si>
    <t>Camino Isla Redonda P. 92</t>
  </si>
  <si>
    <t>La Rinconada</t>
  </si>
  <si>
    <t>MA-124</t>
  </si>
  <si>
    <t>Control de Peso 3 Kg 22/8</t>
  </si>
  <si>
    <t>MA-125</t>
  </si>
  <si>
    <t>Technical Dog</t>
  </si>
  <si>
    <t>Control de Peso 3 K</t>
  </si>
  <si>
    <t>Doc Kennedy</t>
  </si>
  <si>
    <t>Huesos y Articulaciones 15 Kg</t>
  </si>
  <si>
    <t>Vegetal Hipoalergenico 3 Kg</t>
  </si>
  <si>
    <t>Adulto 15 Kg 22/10</t>
  </si>
  <si>
    <t>Control de Peso 15 Kg 22/8</t>
  </si>
  <si>
    <t>Luz María Velasquez</t>
  </si>
  <si>
    <t>Christian Ortiz Hurtado</t>
  </si>
  <si>
    <t>El Chalaco 64-B</t>
  </si>
  <si>
    <t>Portón Verde / Poste de Madera Blanco</t>
  </si>
  <si>
    <t>El Sauce - San Juan</t>
  </si>
  <si>
    <t>Ramón Subercaseux 7810</t>
  </si>
  <si>
    <t>Municipalidad de Pirque - Dpto Secpla</t>
  </si>
  <si>
    <t>Diferencia</t>
  </si>
  <si>
    <t>Total Pagado</t>
  </si>
  <si>
    <t>Calle El Membrillar P. 192</t>
  </si>
  <si>
    <t>Av Hernán Prieto 1711 - Los Silos</t>
  </si>
  <si>
    <t>9.162.795-7</t>
  </si>
  <si>
    <t>Carmen Luz Valenzuela</t>
  </si>
  <si>
    <t>El Chalaco 66-B, P.18-A</t>
  </si>
  <si>
    <t>C340</t>
  </si>
  <si>
    <t>Carmen Luz (Vecina)</t>
  </si>
  <si>
    <t>Cond. Las Alondras - Las Bandurrias</t>
  </si>
  <si>
    <t>AS-47</t>
  </si>
  <si>
    <t>MA-126</t>
  </si>
  <si>
    <t>Antiparasitario Gatos Grandes 5 - 8 Kg</t>
  </si>
  <si>
    <t>Profender</t>
  </si>
  <si>
    <t>MA-127</t>
  </si>
  <si>
    <t>Antiparasitario Gatos Medianos 2,5 - 5 Kg</t>
  </si>
  <si>
    <t>MA-128</t>
  </si>
  <si>
    <t>Antiparasitario Gatos Pequeños 0,5 - 2,5 Kg</t>
  </si>
  <si>
    <t>Sub-Total</t>
  </si>
  <si>
    <t>C341</t>
  </si>
  <si>
    <t>El Escorial, Casa 19, Huelquen</t>
  </si>
  <si>
    <t>C342</t>
  </si>
  <si>
    <t>Julio Cesar Contreras</t>
  </si>
  <si>
    <t>El Valle P.1225</t>
  </si>
  <si>
    <t>IVA</t>
  </si>
  <si>
    <t>Neto</t>
  </si>
  <si>
    <t>C343</t>
  </si>
  <si>
    <t>Ana Maria Diaz</t>
  </si>
  <si>
    <t>Camino Los Magnolios P.47111</t>
  </si>
  <si>
    <t>Camino La Escuela, Mano Izq</t>
  </si>
  <si>
    <t>Security</t>
  </si>
  <si>
    <t>Juan Mela</t>
  </si>
  <si>
    <t>MA-129</t>
  </si>
  <si>
    <t>Lata Adulto Carne 375 gr</t>
  </si>
  <si>
    <t>MA-130</t>
  </si>
  <si>
    <t>Lata Cachorro 375 gr</t>
  </si>
  <si>
    <t>DE-570</t>
  </si>
  <si>
    <t>C344</t>
  </si>
  <si>
    <t>Aceite Oliva Arbequina 1 Lt</t>
  </si>
  <si>
    <t>Aceite Oliva Blend 1 Lt</t>
  </si>
  <si>
    <t>Almarza del Pacifico SA</t>
  </si>
  <si>
    <t>PVD-68</t>
  </si>
  <si>
    <t>Aceite Oliva Empeltre 1 Lt</t>
  </si>
  <si>
    <t>DE-571</t>
  </si>
  <si>
    <t>DE-572</t>
  </si>
  <si>
    <t>Aceite Oliva Blend 250 ml</t>
  </si>
  <si>
    <t>DE-573</t>
  </si>
  <si>
    <t>Aceite Oliva Arbequina 250 ml</t>
  </si>
  <si>
    <t>DE-574</t>
  </si>
  <si>
    <t>Aceto Balsamico 250 ml</t>
  </si>
  <si>
    <t>Santa Ignacia</t>
  </si>
  <si>
    <t>PVD-69</t>
  </si>
  <si>
    <t>Comercial Santa Fe SA</t>
  </si>
  <si>
    <t>76.383.662-3</t>
  </si>
  <si>
    <t>Conche y Toro 2464</t>
  </si>
  <si>
    <t>Comercial y Servicios Tepual Ltda</t>
  </si>
  <si>
    <t>76.909.700-7</t>
  </si>
  <si>
    <t>Longitudinal Sur 334</t>
  </si>
  <si>
    <t>PVD-70</t>
  </si>
  <si>
    <t>Blanca Cepeda</t>
  </si>
  <si>
    <t>Calle El Olivo 7826 - Villorrio El Ollivar</t>
  </si>
  <si>
    <t>C345</t>
  </si>
  <si>
    <t>Omar (Jardinero)</t>
  </si>
  <si>
    <t>Rinconada El Principal</t>
  </si>
  <si>
    <t>David Le May</t>
  </si>
  <si>
    <t xml:space="preserve">Cond. Santa Ignacia </t>
  </si>
  <si>
    <t>Alvaro del Carmen Ruiz Farias y Otro (Hornito)</t>
  </si>
  <si>
    <t>50.578.460-K</t>
  </si>
  <si>
    <t>C346</t>
  </si>
  <si>
    <t>Ananias Pizarro</t>
  </si>
  <si>
    <t>Liquidación de Ruta</t>
  </si>
  <si>
    <t>Total</t>
  </si>
  <si>
    <t>Cant</t>
  </si>
  <si>
    <t>Fecha OV</t>
  </si>
  <si>
    <t>Rutas</t>
  </si>
  <si>
    <t>Pagos Pendientes y Vencidos</t>
  </si>
  <si>
    <t># Doc</t>
  </si>
  <si>
    <t>C1</t>
  </si>
  <si>
    <t>7.081.563-K</t>
  </si>
  <si>
    <t>Vicuña Mackenna 30745</t>
  </si>
  <si>
    <t>San Alfonso</t>
  </si>
  <si>
    <t>Atun en Aceite 180 gr</t>
  </si>
  <si>
    <t>Comercio 19262</t>
  </si>
  <si>
    <t>Tomate Entero Pelado 2,5 Kg</t>
  </si>
  <si>
    <t>F. Desp</t>
  </si>
  <si>
    <t>DE-575</t>
  </si>
  <si>
    <t>Frasco Conservero 500 ml Maravilla</t>
  </si>
  <si>
    <t>Cerveza Botella 330 cc 5,0°</t>
  </si>
  <si>
    <t>DE-576</t>
  </si>
  <si>
    <t>Brandy VSOP 700 ml 40°</t>
  </si>
  <si>
    <t>St Remy</t>
  </si>
  <si>
    <t>DE-577</t>
  </si>
  <si>
    <t>Pepinillos Rodela p/ Sandwich 580 ml</t>
  </si>
  <si>
    <t>Tomate Entero Pelado 800 gr</t>
  </si>
  <si>
    <t>9.145.180-8</t>
  </si>
  <si>
    <t>O'Higgins de Pilay #12</t>
  </si>
  <si>
    <t>San Francisco de Mostzal</t>
  </si>
  <si>
    <t>Pilay</t>
  </si>
  <si>
    <t>11.979.494-3</t>
  </si>
  <si>
    <t>Escorial Sitio 45</t>
  </si>
  <si>
    <t>DE-578</t>
  </si>
  <si>
    <t>Cono Aromatico Surtido</t>
  </si>
  <si>
    <t>Renuzit</t>
  </si>
  <si>
    <t>9.116.600-3</t>
  </si>
  <si>
    <t>CHAMPIÑONES LAMINADOS 2840 Grs.</t>
  </si>
  <si>
    <t>C347</t>
  </si>
  <si>
    <t>Hasparren</t>
  </si>
  <si>
    <t>Público con IVA</t>
  </si>
  <si>
    <t>C348</t>
  </si>
  <si>
    <t>Jorge Bahamondes</t>
  </si>
  <si>
    <t>Rinconada, La Puntilla Verde, par 66</t>
  </si>
  <si>
    <t>30</t>
  </si>
  <si>
    <t>76.235.685-6</t>
  </si>
  <si>
    <t>11.939.586-0</t>
  </si>
  <si>
    <t>C349</t>
  </si>
  <si>
    <t>Elaine Pratt</t>
  </si>
  <si>
    <t>Camino Los Quillayes P.8</t>
  </si>
  <si>
    <t>Lo Arcaya</t>
  </si>
  <si>
    <t>ATUN DESMENUZADO EN ACEITE 48x170gr</t>
  </si>
  <si>
    <t>C350</t>
  </si>
  <si>
    <t>Sandra Pino</t>
  </si>
  <si>
    <t>Camino La Rinconada P.27</t>
  </si>
  <si>
    <t>Condiminio La Rinconada</t>
  </si>
  <si>
    <t>Tomas Eduardo Spuler Pincheira</t>
  </si>
  <si>
    <t>6.551.600-4</t>
  </si>
  <si>
    <t>Irarrazabal 3835</t>
  </si>
  <si>
    <t>Ñuñoa</t>
  </si>
  <si>
    <t>22 966 2673</t>
  </si>
  <si>
    <t>tomasspuler@hotmail.com</t>
  </si>
  <si>
    <t>DE-579</t>
  </si>
  <si>
    <t>Whisky 75 ml 40°C</t>
  </si>
  <si>
    <t>Andrew McDuff</t>
  </si>
  <si>
    <t>DE-580</t>
  </si>
  <si>
    <t>Ron 70 ml 37°C</t>
  </si>
  <si>
    <t>Comandante</t>
  </si>
  <si>
    <t>Palmitos Entero 400 gr</t>
  </si>
  <si>
    <t>AS-48</t>
  </si>
  <si>
    <t>Servilleta de Mesa Grande</t>
  </si>
  <si>
    <t>Elite</t>
  </si>
  <si>
    <t>DE-581</t>
  </si>
  <si>
    <t>Limonada Original 591 ml</t>
  </si>
  <si>
    <t>Calypso</t>
  </si>
  <si>
    <t>DE-582</t>
  </si>
  <si>
    <t>Half &amp; Half Teamonade 591 ml</t>
  </si>
  <si>
    <t>AS-49</t>
  </si>
  <si>
    <t xml:space="preserve">Paño Amarillo </t>
  </si>
  <si>
    <t>Videla</t>
  </si>
  <si>
    <t>CHAMPIÑONES ENTEROS 400 Grs.</t>
  </si>
  <si>
    <t>C351</t>
  </si>
  <si>
    <t>Benjamin Israel Moreno Riquelme (Las Aguilas)</t>
  </si>
  <si>
    <t>9.522.726-0</t>
  </si>
  <si>
    <t>Parcela 2 Sitio 4</t>
  </si>
  <si>
    <t>Las Lomas del Aguila</t>
  </si>
  <si>
    <t>Champa</t>
  </si>
  <si>
    <t>76.693.363-7</t>
  </si>
  <si>
    <t>11.171.213-1</t>
  </si>
  <si>
    <t>Sitio 15 La Turbina 255</t>
  </si>
  <si>
    <t>C352</t>
  </si>
  <si>
    <t>Rosa Cabrera</t>
  </si>
  <si>
    <t>Lo Arcaya Sitio14</t>
  </si>
  <si>
    <t>Segundo Callejon</t>
  </si>
  <si>
    <t>Gran Gourmet Italia</t>
  </si>
  <si>
    <t>76.772.550-7</t>
  </si>
  <si>
    <t>Cerro San Luis 9971 Bod 12</t>
  </si>
  <si>
    <t>Roberto Armando Manriquez Gonzalez</t>
  </si>
  <si>
    <t>6.123.480-2</t>
  </si>
  <si>
    <t>Camino Aculeo P. 3 #7391</t>
  </si>
  <si>
    <t>22 824 9786</t>
  </si>
  <si>
    <t>Pvd</t>
  </si>
  <si>
    <t>Mordiskan x 25 Kgs</t>
  </si>
  <si>
    <t>Mordiskan x 18 Kgs</t>
  </si>
  <si>
    <t>Mordiskan x 10 Kgs</t>
  </si>
  <si>
    <t>Nutra Can x 18 kgs</t>
  </si>
  <si>
    <t>Nutra Can x 10 Kgs</t>
  </si>
  <si>
    <t>Nutra Can Cachorro x 8Kgs</t>
  </si>
  <si>
    <t>TYSON 30 k</t>
  </si>
  <si>
    <t>TYSON 25 k</t>
  </si>
  <si>
    <t>TYSON 9 k</t>
  </si>
  <si>
    <t>Rabito x 20 Kgs</t>
  </si>
  <si>
    <t>Salud Urinaria 2 Kg</t>
  </si>
  <si>
    <t>PVD-65</t>
  </si>
  <si>
    <t>PVD-66</t>
  </si>
  <si>
    <t>PVD-71</t>
  </si>
  <si>
    <t>PVD-72</t>
  </si>
  <si>
    <t>Num CQ</t>
  </si>
  <si>
    <t>PVD-73</t>
  </si>
  <si>
    <t>Imducom Spa</t>
  </si>
  <si>
    <t>76.613.298-7</t>
  </si>
  <si>
    <t>Antonio Bellet 77, Dpto 1201A</t>
  </si>
  <si>
    <t>Providencia</t>
  </si>
  <si>
    <t>DE-583</t>
  </si>
  <si>
    <t>Aceituna Deshuesada Verde 160 gr</t>
  </si>
  <si>
    <t>Olivalle</t>
  </si>
  <si>
    <t>DE-584</t>
  </si>
  <si>
    <t>Aceituna Rellena Pimenton 180 gr</t>
  </si>
  <si>
    <t>PC N</t>
  </si>
  <si>
    <t>DE-585</t>
  </si>
  <si>
    <t>CAFE INTENSO DESCAFEINADO MOLIDO GR 25O</t>
  </si>
  <si>
    <t>CAFE INTENSO DESCAFEINADO CAPSULA GR 5</t>
  </si>
  <si>
    <t>Cafe Instantaneo Descafeinado 50 gr Frasco</t>
  </si>
  <si>
    <t>Cafe Instantaneo Descafeinado 85 gr Frasco</t>
  </si>
  <si>
    <t>Café Instantaneo Descafeinado 170 grs Frasco</t>
  </si>
  <si>
    <t>C354</t>
  </si>
  <si>
    <t>Cristian Saavedra</t>
  </si>
  <si>
    <t xml:space="preserve">Lago Villarrica 780 </t>
  </si>
  <si>
    <t>sn</t>
  </si>
  <si>
    <t>DE-586</t>
  </si>
  <si>
    <t>Aceite Maravilla 900 ml</t>
  </si>
  <si>
    <t>Coliseo</t>
  </si>
  <si>
    <t>DE-587</t>
  </si>
  <si>
    <t>Aceite Vegetal 500 ml</t>
  </si>
  <si>
    <t>Suma de Total</t>
  </si>
  <si>
    <t>Pasta de Arroz Spaghetti 250 gr</t>
  </si>
  <si>
    <t>Pasta de Arroz Fettuccine 250 gr</t>
  </si>
  <si>
    <t>DE-588</t>
  </si>
  <si>
    <t>Champiñon Entero 400 gr</t>
  </si>
  <si>
    <t>Donca</t>
  </si>
  <si>
    <t>DE-589</t>
  </si>
  <si>
    <t>Aceituna Rellena Rocoto 180 gr</t>
  </si>
  <si>
    <t>DE-590</t>
  </si>
  <si>
    <t xml:space="preserve">Aceituna Azapa 1 kg </t>
  </si>
  <si>
    <t>DE-591</t>
  </si>
  <si>
    <t>Aceituna Amarga 1 kg</t>
  </si>
  <si>
    <t>Comercial Alpam SPA</t>
  </si>
  <si>
    <t>6.763.287-7</t>
  </si>
  <si>
    <t>Fecha Venc</t>
  </si>
  <si>
    <t>DE-592</t>
  </si>
  <si>
    <t>Bebida Mora 500 ml</t>
  </si>
  <si>
    <t>Maqui</t>
  </si>
  <si>
    <t>Envío Fact.</t>
  </si>
  <si>
    <t>Envío NC</t>
  </si>
  <si>
    <t>Mediterraneo Automotores S.A.</t>
  </si>
  <si>
    <t>Camino Los Queltehues P.143</t>
  </si>
  <si>
    <t>4.277.962-8</t>
  </si>
  <si>
    <t>Vegetal Hipoalergenico 15 Kg</t>
  </si>
  <si>
    <t>Soc. Conc. Autopista Nueva Vespucio Sur S.A.</t>
  </si>
  <si>
    <t>Soc. Conc. Vespucio Norte Express S.A.</t>
  </si>
  <si>
    <t>Soc. Conc. Autopista Central S.A.</t>
  </si>
  <si>
    <t>SII</t>
  </si>
  <si>
    <t>Soc. Conc. Costanera Norte S.A.</t>
  </si>
  <si>
    <t>Ruta :</t>
  </si>
  <si>
    <t>Fecha :</t>
  </si>
  <si>
    <t>C355</t>
  </si>
  <si>
    <t>Valentina Scholtbach</t>
  </si>
  <si>
    <t>DE-593</t>
  </si>
  <si>
    <t>Tallarines Finas Hierbas 400 gr</t>
  </si>
  <si>
    <t>C356</t>
  </si>
  <si>
    <t>Maria Jose Espinoza</t>
  </si>
  <si>
    <t>Camino Las Majadas 439</t>
  </si>
  <si>
    <t>C357</t>
  </si>
  <si>
    <t>Gato Senior 2 Kg</t>
  </si>
  <si>
    <t>Ferretería Señora Rosa</t>
  </si>
  <si>
    <t>7.814.062-3</t>
  </si>
  <si>
    <t xml:space="preserve">Rosa Ines Sanchez Aguilera </t>
  </si>
  <si>
    <t>Camino La Escuela St. 72</t>
  </si>
  <si>
    <t>9 9277 4470</t>
  </si>
  <si>
    <t>ferreteriarosasanchez@gmail.com</t>
  </si>
  <si>
    <t>Technical Cat</t>
  </si>
  <si>
    <t>Pasta de Arroz Caracolitos 250 gr</t>
  </si>
  <si>
    <t>Pasta de Arroz Twist Espiral 250 gr</t>
  </si>
  <si>
    <t>Cammilli y Cia Ltda</t>
  </si>
  <si>
    <t>80.152.700-0</t>
  </si>
  <si>
    <t>Agustinas 1161, Local 7</t>
  </si>
  <si>
    <t>Mermelada Damasco 250 gr</t>
  </si>
  <si>
    <t>Mermelada Frambuesa 250 gr</t>
  </si>
  <si>
    <t>Arvejitas Especiales 300 gr</t>
  </si>
  <si>
    <t>Mermelada Mora 250 gr</t>
  </si>
  <si>
    <t>Mermelada Durazno 250 gr</t>
  </si>
  <si>
    <t>96.889.440-4</t>
  </si>
  <si>
    <t>Del Valle Sur 577</t>
  </si>
  <si>
    <t>22 721 4900</t>
  </si>
  <si>
    <t>M</t>
  </si>
  <si>
    <t>N° Dco</t>
  </si>
  <si>
    <t>Efectivo - Gastos</t>
  </si>
  <si>
    <t>RECAUDACIÓN</t>
  </si>
  <si>
    <t>C358</t>
  </si>
  <si>
    <t>Patricia Lopez</t>
  </si>
  <si>
    <t>Control de Peso 15 Kg</t>
  </si>
  <si>
    <t>Senior de 15 Kg</t>
  </si>
  <si>
    <t>Adulto Criador 15 Kg</t>
  </si>
  <si>
    <t>Cachorro Criador 15 Kg</t>
  </si>
  <si>
    <t>MA-131</t>
  </si>
  <si>
    <t>MA-132</t>
  </si>
  <si>
    <t>Cachorro Razas Pequeñas 7,5 Kg</t>
  </si>
  <si>
    <t>Gato Adulto 10 Kg</t>
  </si>
  <si>
    <t>Control Bola de Pelo 2 Kg</t>
  </si>
  <si>
    <t>MA-133</t>
  </si>
  <si>
    <t>Gato Adulto 7,5 Kg</t>
  </si>
  <si>
    <t>MA-134</t>
  </si>
  <si>
    <t>Gato Adulto 3 Kg</t>
  </si>
  <si>
    <t>MA-135</t>
  </si>
  <si>
    <t>MA-136</t>
  </si>
  <si>
    <t>MA-137</t>
  </si>
  <si>
    <t>Gato Adulto Organico 1 Kg</t>
  </si>
  <si>
    <t>Gatitos y/o Gestacion 7,5 Kg</t>
  </si>
  <si>
    <t>Gatitos y/o Gestacion 1 Kg</t>
  </si>
  <si>
    <t>C359</t>
  </si>
  <si>
    <t>Aceite Oliva Blend 5 Lt pet</t>
  </si>
  <si>
    <t>DE-594</t>
  </si>
  <si>
    <t>Aceite Oliva Frantoio 5 Lt pet</t>
  </si>
  <si>
    <t>DE-595</t>
  </si>
  <si>
    <t>Aceite Oliva Arbequina 5 Lt pet</t>
  </si>
  <si>
    <t>DE-596</t>
  </si>
  <si>
    <t xml:space="preserve">Aceite Oliva Frantoio 250 cc </t>
  </si>
  <si>
    <t>DE-597</t>
  </si>
  <si>
    <t>Aceite Oliva Blend 2 Lt pet</t>
  </si>
  <si>
    <t>C360</t>
  </si>
  <si>
    <t>Maria Angelica Contreras</t>
  </si>
  <si>
    <t>El Llano P.15 Lote 13</t>
  </si>
  <si>
    <t>C361</t>
  </si>
  <si>
    <t>Marcela Biham</t>
  </si>
  <si>
    <t>Hasparren P.86</t>
  </si>
  <si>
    <t>C362</t>
  </si>
  <si>
    <t>Jacqueline Romero</t>
  </si>
  <si>
    <t>Pasaje Oscar Azua 2992</t>
  </si>
  <si>
    <t>Villorio Huingan (antes Cruce Sta Rita)</t>
  </si>
  <si>
    <t>76.152.494-1</t>
  </si>
  <si>
    <t>Camino El Volcan 19379</t>
  </si>
  <si>
    <t xml:space="preserve">BATERIA ALCAL 9V 12x1          </t>
  </si>
  <si>
    <t>El Llano</t>
  </si>
  <si>
    <t>MA-138</t>
  </si>
  <si>
    <t>Gato Pescado 15 Kg</t>
  </si>
  <si>
    <t>Com. y Dist. La Paloma Ltda</t>
  </si>
  <si>
    <t>76.376.800-7</t>
  </si>
  <si>
    <t>Jose Luis Coo 180</t>
  </si>
  <si>
    <t>22 934 4032</t>
  </si>
  <si>
    <t>Maria Veronica Andrea Polloni Contardo</t>
  </si>
  <si>
    <t>Camino Orilla del Rio P.234</t>
  </si>
  <si>
    <t xml:space="preserve">El Cruceral </t>
  </si>
  <si>
    <t>C363</t>
  </si>
  <si>
    <t>Isabel Nieto</t>
  </si>
  <si>
    <t>Cerro Carretón 11148</t>
  </si>
  <si>
    <t>Villorio Valle Alto Los Corrales</t>
  </si>
  <si>
    <t>C364</t>
  </si>
  <si>
    <t>Camino Cerro Largo P. 13</t>
  </si>
  <si>
    <t>C365</t>
  </si>
  <si>
    <t>Rodrigo Larraín</t>
  </si>
  <si>
    <t>Camino Los Queltehues P.107</t>
  </si>
  <si>
    <t>C366</t>
  </si>
  <si>
    <t>Zulema Arias</t>
  </si>
  <si>
    <t>Antonio Medina St.14</t>
  </si>
  <si>
    <t>Villorio detrás de Aguas Pirque</t>
  </si>
  <si>
    <t>El Chalaco 55</t>
  </si>
  <si>
    <t>Lentejas 400 gr</t>
  </si>
  <si>
    <t>Loteo Terracota P.4</t>
  </si>
  <si>
    <t>Ind. y Com. Drugplastics - Arcadia Ltda</t>
  </si>
  <si>
    <t>79.609.600-4</t>
  </si>
  <si>
    <t xml:space="preserve">Alcalde Pedro Alarcon 509 </t>
  </si>
  <si>
    <t>San Joaquin</t>
  </si>
  <si>
    <t>22 518 6490</t>
  </si>
  <si>
    <t>ventas@drugplas.cl</t>
  </si>
  <si>
    <t>AS-50</t>
  </si>
  <si>
    <t>C367</t>
  </si>
  <si>
    <t>Luis Lecaros</t>
  </si>
  <si>
    <t>Camino Orilla del Rio P.113</t>
  </si>
  <si>
    <t>DE-598</t>
  </si>
  <si>
    <t>Gnocchi / Ñoqui 500 gr</t>
  </si>
  <si>
    <t>Divella</t>
  </si>
  <si>
    <t>DE-599</t>
  </si>
  <si>
    <t>Cafe espresso 250 gr</t>
  </si>
  <si>
    <t>Kimbo</t>
  </si>
  <si>
    <t>DE-600</t>
  </si>
  <si>
    <t>Aceite Oliva Empeltre 5 Lt</t>
  </si>
  <si>
    <t>Santa Rita</t>
  </si>
  <si>
    <t>Camino Los Quillayes P.58</t>
  </si>
  <si>
    <t>C368</t>
  </si>
  <si>
    <t>Mayling Chiang</t>
  </si>
  <si>
    <t>Camino La Puntilla Verde P.68</t>
  </si>
  <si>
    <t>AS-51</t>
  </si>
  <si>
    <t>Lisoform</t>
  </si>
  <si>
    <t>Camino Polo P.1291</t>
  </si>
  <si>
    <t>DE-601</t>
  </si>
  <si>
    <t>DE-602</t>
  </si>
  <si>
    <t>Rollo Largo 250 Unid</t>
  </si>
  <si>
    <t>FL Comercial Ltda</t>
  </si>
  <si>
    <t>76.457.851-1</t>
  </si>
  <si>
    <t>Comercio 20173</t>
  </si>
  <si>
    <t>Pepinillos Picantes en Vinagre 1700 ml</t>
  </si>
  <si>
    <t>Comercial Puerto Motril Ltda</t>
  </si>
  <si>
    <t>76.132.030-0</t>
  </si>
  <si>
    <t>Santelices 71</t>
  </si>
  <si>
    <t>Fideos de Arroz 5 MM 375 gr</t>
  </si>
  <si>
    <t>Fideos de Arroz Vermicelli 375 gr</t>
  </si>
  <si>
    <t>Elias Selman Handal</t>
  </si>
  <si>
    <t>4.811.389-3</t>
  </si>
  <si>
    <t>Loreley 935</t>
  </si>
  <si>
    <t>La Reina</t>
  </si>
  <si>
    <t>caffe.roccis@gmail.com</t>
  </si>
  <si>
    <t>Roccis</t>
  </si>
  <si>
    <t>DE-604</t>
  </si>
  <si>
    <t>BA-35</t>
  </si>
  <si>
    <t>Frasco Conservero c/Tapa 200 cc</t>
  </si>
  <si>
    <t>BA-36</t>
  </si>
  <si>
    <t xml:space="preserve">Frasco Jugo c/Tapa 475 cc </t>
  </si>
  <si>
    <t>Cristoro</t>
  </si>
  <si>
    <t>CAFE  DESCAFEINADO EN GRANO  500 grs</t>
  </si>
  <si>
    <t>AS-52</t>
  </si>
  <si>
    <t>Confort</t>
  </si>
  <si>
    <t>AS-53</t>
  </si>
  <si>
    <t>Confort 27 5</t>
  </si>
  <si>
    <t>Soc. de Publicaciones Acval Ltda. (Todo Pirque)</t>
  </si>
  <si>
    <t>C369</t>
  </si>
  <si>
    <t>Inversiones Socoal S.A</t>
  </si>
  <si>
    <t>78.375.860-1</t>
  </si>
  <si>
    <t xml:space="preserve">Puerto Madero 9686 </t>
  </si>
  <si>
    <t>Pudahuel</t>
  </si>
  <si>
    <t>C370</t>
  </si>
  <si>
    <t>Manuel Monteiro</t>
  </si>
  <si>
    <t>La Escuela 76 St. 3</t>
  </si>
  <si>
    <t>Poste Rosado frente Portón Negro</t>
  </si>
  <si>
    <t>C371</t>
  </si>
  <si>
    <t>Isabel Serrano</t>
  </si>
  <si>
    <t>Los Silos P.6</t>
  </si>
  <si>
    <t>Paradero Los Cipres</t>
  </si>
  <si>
    <t>Susan Harrinson</t>
  </si>
  <si>
    <t>Aceite 2 Lts</t>
  </si>
  <si>
    <t>C372</t>
  </si>
  <si>
    <t>Macarena Galindo</t>
  </si>
  <si>
    <t>Camino Los Canales par 81A</t>
  </si>
  <si>
    <t>Distribuidora Vogel Ltda - Santiago</t>
  </si>
  <si>
    <t>Sug</t>
  </si>
  <si>
    <t>M Sug</t>
  </si>
  <si>
    <t>Wiskey</t>
  </si>
  <si>
    <t>Shampoo</t>
  </si>
  <si>
    <t>Jabon</t>
  </si>
  <si>
    <t>Salud Animal</t>
  </si>
  <si>
    <t>C373</t>
  </si>
  <si>
    <t>Maria Paz Navarrete</t>
  </si>
  <si>
    <t>Camino La Puntilla Verde par 69</t>
  </si>
  <si>
    <t>C374</t>
  </si>
  <si>
    <t>Dini Overeem Beukel</t>
  </si>
  <si>
    <t>El Cruceral, Camino del Rio par 139</t>
  </si>
  <si>
    <t>Conserva Los Angeles Ltda</t>
  </si>
  <si>
    <t>C375</t>
  </si>
  <si>
    <t>Hernan Javier Sanchez Solano</t>
  </si>
  <si>
    <t>10.347.012-9</t>
  </si>
  <si>
    <t>Comercio 2041 Local B</t>
  </si>
  <si>
    <t>DE-606</t>
  </si>
  <si>
    <t xml:space="preserve">Cous Cous 500 gr </t>
  </si>
  <si>
    <t>DE-607</t>
  </si>
  <si>
    <t>Pasta Vera</t>
  </si>
  <si>
    <t>DE-608</t>
  </si>
  <si>
    <t>Inti Zen</t>
  </si>
  <si>
    <t>DE-609</t>
  </si>
  <si>
    <t>DE-610</t>
  </si>
  <si>
    <t>DE-611</t>
  </si>
  <si>
    <t>Infusion Lovely x 10</t>
  </si>
  <si>
    <t>Chamana</t>
  </si>
  <si>
    <t>DE-612</t>
  </si>
  <si>
    <t>Infusion Abrazo x 10</t>
  </si>
  <si>
    <t>DE-613</t>
  </si>
  <si>
    <t>DE-614</t>
  </si>
  <si>
    <t>DE-615</t>
  </si>
  <si>
    <t>DE-616</t>
  </si>
  <si>
    <t>Empanizador 100 gr</t>
  </si>
  <si>
    <t>Salvador Jesus Maulen Lizana e Hios Ltda</t>
  </si>
  <si>
    <t>78-059.010-6</t>
  </si>
  <si>
    <t>Ramon Subercaseux 4800</t>
  </si>
  <si>
    <t>DE-617</t>
  </si>
  <si>
    <t>Harina Maiz</t>
  </si>
  <si>
    <t>Doña Arepa</t>
  </si>
  <si>
    <t>DE-618</t>
  </si>
  <si>
    <t>Salsa de Soya 150 ml</t>
  </si>
  <si>
    <t>Lee Kum Kee</t>
  </si>
  <si>
    <t>Abastecedora del Comercio Ltda (Adelco)</t>
  </si>
  <si>
    <t>84.348.700-9</t>
  </si>
  <si>
    <t>Santa Elena 1761</t>
  </si>
  <si>
    <t>DE-619</t>
  </si>
  <si>
    <t>Balde Mermelada Durazno 4800 cc</t>
  </si>
  <si>
    <t>Perello</t>
  </si>
  <si>
    <t>Unit Neto</t>
  </si>
  <si>
    <t>Caja Neto</t>
  </si>
  <si>
    <t>M Comp</t>
  </si>
  <si>
    <t>DE-621</t>
  </si>
  <si>
    <t>Aceite Maravilla 250 cc</t>
  </si>
  <si>
    <t>C376</t>
  </si>
  <si>
    <t>Lucila Rojas</t>
  </si>
  <si>
    <t>Rinconada El Principal par 25B</t>
  </si>
  <si>
    <t>Aceitunas Negras 300 gr</t>
  </si>
  <si>
    <t>Choclos Tajadas 560 gr</t>
  </si>
  <si>
    <t>Pimientos Morrones 800 gr</t>
  </si>
  <si>
    <t>Cerezas al Jugo con Carozo 580 gr</t>
  </si>
  <si>
    <t>Cerezas al Jugo sin Carozo 580 gr</t>
  </si>
  <si>
    <t>Cocktail de Frutas 580 gr</t>
  </si>
  <si>
    <t>Duraznos Cubitos al Jugo 580 gr</t>
  </si>
  <si>
    <t>Duraznos Mitades al Jugo 580 gr</t>
  </si>
  <si>
    <t>Frambuesas al Jugo 430 gr</t>
  </si>
  <si>
    <t>Peras Mitades al Jugo 580 gr</t>
  </si>
  <si>
    <t>Crema de Castañas 1000 gr</t>
  </si>
  <si>
    <t>Cerezas Marrasquino (Rojas) 250 gr</t>
  </si>
  <si>
    <t>Cerezas Marrasquino (Verdes) 250 gr</t>
  </si>
  <si>
    <t>Cerezas Marrasquino (Rojas) 500 gr</t>
  </si>
  <si>
    <t>Cerezas Marrasquino (Rojas) 1150 gr</t>
  </si>
  <si>
    <t>Cerezas Marrasquino (Verdes) 1150 gr</t>
  </si>
  <si>
    <t>Cerezas Marrasquino (Rojas) 980 gr</t>
  </si>
  <si>
    <t>Mermelada Frutilla 250 gr</t>
  </si>
  <si>
    <t>Mermelada Ciruela 250 gr</t>
  </si>
  <si>
    <t>Mermelada Guinda 250 gr</t>
  </si>
  <si>
    <t>Mermelada Surtidas 250 gr</t>
  </si>
  <si>
    <t>Vicente Losada</t>
  </si>
  <si>
    <t>Huesillos en Almibar 1000 cc</t>
  </si>
  <si>
    <t>Piñas en Tiras 1190 cc</t>
  </si>
  <si>
    <t>Mango en Almibar 1190 cc</t>
  </si>
  <si>
    <t>Fondos de Alcachofas 1000 gr</t>
  </si>
  <si>
    <t>Corazones de Alcachofas 1000 gr</t>
  </si>
  <si>
    <t>Pimiento Morron 185 gr</t>
  </si>
  <si>
    <t>Pimiento Morron 390 gr</t>
  </si>
  <si>
    <t>Pimiento Morron 780 gr</t>
  </si>
  <si>
    <t>Pimiento Morron 2900 gr</t>
  </si>
  <si>
    <t>Pimiento Morron Tiras 2900 gr</t>
  </si>
  <si>
    <t>Pimiento Piquillo Frasco 290 gr</t>
  </si>
  <si>
    <t>Aji Jalapeño Frasco 290 gr</t>
  </si>
  <si>
    <t>Aji Jalapeño 2900 gr</t>
  </si>
  <si>
    <t>Pimiento Tricolor Sweety 290 gr</t>
  </si>
  <si>
    <t>Palmitos Enteros 800 gr</t>
  </si>
  <si>
    <t>Palmitos Enteros 400 gr</t>
  </si>
  <si>
    <t>Palmitos en Rodajas 800 gr</t>
  </si>
  <si>
    <t>Palmitos en Rodajas 400 gr</t>
  </si>
  <si>
    <t>Champiñones Enteros 184 gr</t>
  </si>
  <si>
    <t>Champiñones Enteros 400 gr</t>
  </si>
  <si>
    <t>Champiñones Laminados 400 gr</t>
  </si>
  <si>
    <t>Champiñones Laminados 2840 gr</t>
  </si>
  <si>
    <t>DE-623</t>
  </si>
  <si>
    <t>DE-624</t>
  </si>
  <si>
    <t>Choclitos Cocktail Enteros 425 gr</t>
  </si>
  <si>
    <t>Choclitos Cocktail Trozos 425 gr</t>
  </si>
  <si>
    <t>DE-625</t>
  </si>
  <si>
    <t>Jurel Natural 425 gr</t>
  </si>
  <si>
    <t>C377</t>
  </si>
  <si>
    <t>Gabriela Morgado</t>
  </si>
  <si>
    <t>Santa Teresa P.5</t>
  </si>
  <si>
    <t>LYM</t>
  </si>
  <si>
    <t>Toalla Jumbo 185 m x 2</t>
  </si>
  <si>
    <t>Toalla Nova Prep. 115 m x 2</t>
  </si>
  <si>
    <t>AS-55</t>
  </si>
  <si>
    <t>AS-66</t>
  </si>
  <si>
    <t>AS-56</t>
  </si>
  <si>
    <t>AS-57</t>
  </si>
  <si>
    <t>AS-58</t>
  </si>
  <si>
    <t>AS-59</t>
  </si>
  <si>
    <t>AS-60</t>
  </si>
  <si>
    <t>AS-61</t>
  </si>
  <si>
    <t>AS-62</t>
  </si>
  <si>
    <t>AS-63</t>
  </si>
  <si>
    <t>AS-64</t>
  </si>
  <si>
    <t>AS-65</t>
  </si>
  <si>
    <t>Jamon Serrano 500 gr</t>
  </si>
  <si>
    <t>Jamon Serrano 100 gr</t>
  </si>
  <si>
    <t>Jamon Serrano Pimentado 100 gr</t>
  </si>
  <si>
    <t>Quimera</t>
  </si>
  <si>
    <t>CARNES</t>
  </si>
  <si>
    <t>CA-1</t>
  </si>
  <si>
    <t>CA-4</t>
  </si>
  <si>
    <t>CA-2</t>
  </si>
  <si>
    <t>CA-5</t>
  </si>
  <si>
    <t>CA-3</t>
  </si>
  <si>
    <t>CA-6</t>
  </si>
  <si>
    <t>CA-7</t>
  </si>
  <si>
    <t>CA-8</t>
  </si>
  <si>
    <t>CA-9</t>
  </si>
  <si>
    <t>CA-10</t>
  </si>
  <si>
    <t>CA-11</t>
  </si>
  <si>
    <t>Neto c/Dcto</t>
  </si>
  <si>
    <t>%</t>
  </si>
  <si>
    <t>C378</t>
  </si>
  <si>
    <t xml:space="preserve">Ines Scott </t>
  </si>
  <si>
    <t xml:space="preserve">Loteo Las Majadas </t>
  </si>
  <si>
    <t>C379</t>
  </si>
  <si>
    <t>Daniela Pavez</t>
  </si>
  <si>
    <t>Camino El Carrillo 1964</t>
  </si>
  <si>
    <t>Linderos</t>
  </si>
  <si>
    <t>C380</t>
  </si>
  <si>
    <t>Paola Reyes</t>
  </si>
  <si>
    <t>Camino Orilla del Rio P.8</t>
  </si>
  <si>
    <t>Toalla Nova 12 ,5 mts x 1</t>
  </si>
  <si>
    <t>Nova</t>
  </si>
  <si>
    <t>AS-67</t>
  </si>
  <si>
    <t>CONSERVAS</t>
  </si>
  <si>
    <t>FRUTAS</t>
  </si>
  <si>
    <t>PATE</t>
  </si>
  <si>
    <t>VERDURAS</t>
  </si>
  <si>
    <t>MERMELADA</t>
  </si>
  <si>
    <t>Casta</t>
  </si>
  <si>
    <t>DE-626</t>
  </si>
  <si>
    <t>TERRAMASTER</t>
  </si>
  <si>
    <t>PVD-74</t>
  </si>
  <si>
    <t>PVD-75</t>
  </si>
  <si>
    <t>PVD-76</t>
  </si>
  <si>
    <t>PVD-77</t>
  </si>
  <si>
    <t>PVD-78</t>
  </si>
  <si>
    <t>PVD-79</t>
  </si>
  <si>
    <t>PVD-80</t>
  </si>
  <si>
    <t>PVD-81</t>
  </si>
  <si>
    <t>PVD-82</t>
  </si>
  <si>
    <t xml:space="preserve">Vicente Andres Losada Kroger </t>
  </si>
  <si>
    <t>15.829.952-6</t>
  </si>
  <si>
    <t>Miraflores 442</t>
  </si>
  <si>
    <t>vicentelosadak@gmail.com</t>
  </si>
  <si>
    <t>Pasta de Arroz Macarrones 250 gr</t>
  </si>
  <si>
    <t>DE-628</t>
  </si>
  <si>
    <t>M Com</t>
  </si>
  <si>
    <t>M Pub</t>
  </si>
  <si>
    <t>PVD-83</t>
  </si>
  <si>
    <t>PLW Spa</t>
  </si>
  <si>
    <t>76.732.186-4</t>
  </si>
  <si>
    <t>Americo Vespucio 1980</t>
  </si>
  <si>
    <t>Conchali</t>
  </si>
  <si>
    <t>Chorizo Sarta c/Vino Riojano 200 gr</t>
  </si>
  <si>
    <t>PVD-84</t>
  </si>
  <si>
    <t>ILOP SA (Lapiz Lopez)</t>
  </si>
  <si>
    <t>80.478.200-1</t>
  </si>
  <si>
    <t>Americo Vespucio 727</t>
  </si>
  <si>
    <t>Soc. Com. Paine Ltda</t>
  </si>
  <si>
    <t>77.932.020-0</t>
  </si>
  <si>
    <t>Ruta Sur Km 40</t>
  </si>
  <si>
    <t>PVD-85</t>
  </si>
  <si>
    <t>PVD-86</t>
  </si>
  <si>
    <t>Comercial Rey Ltda</t>
  </si>
  <si>
    <t>79.880.870-2</t>
  </si>
  <si>
    <t>Vu¿icula Mackenna 4601</t>
  </si>
  <si>
    <t>PVD-87</t>
  </si>
  <si>
    <t>La Criolla Spa</t>
  </si>
  <si>
    <t>76.471.396-6</t>
  </si>
  <si>
    <t>Galvez 1779</t>
  </si>
  <si>
    <t>9 964 4738</t>
  </si>
  <si>
    <t>diego@cecinaslacriolla.cl</t>
  </si>
  <si>
    <t>PVD-88</t>
  </si>
  <si>
    <t>Terramater SA</t>
  </si>
  <si>
    <t>78.173.420-9</t>
  </si>
  <si>
    <t>Matucana 15</t>
  </si>
  <si>
    <t>Casablanca</t>
  </si>
  <si>
    <t>243 8000</t>
  </si>
  <si>
    <t>Aceite de Oliva 1000 cc</t>
  </si>
  <si>
    <t>Papel Higienico H/S 420 m x 8</t>
  </si>
  <si>
    <t>Natura</t>
  </si>
  <si>
    <t>Aceite Marav. 900</t>
  </si>
  <si>
    <t>DE-629</t>
  </si>
  <si>
    <t>C381</t>
  </si>
  <si>
    <t>Ma Jose Caro</t>
  </si>
  <si>
    <t>Calle Medialuna par 25, Lo Arcaya</t>
  </si>
  <si>
    <t>C382</t>
  </si>
  <si>
    <t xml:space="preserve">Ana María </t>
  </si>
  <si>
    <t>Camino Orilla de Rio P. 4 1/2</t>
  </si>
  <si>
    <t>Por la Capilla a mano derecha</t>
  </si>
  <si>
    <t>Fish &amp; Rice 12 Kg Hipoalergenico</t>
  </si>
  <si>
    <t>PVD-89</t>
  </si>
  <si>
    <t>Alimentos e Inversiones Valles de Chile Ltda</t>
  </si>
  <si>
    <t>76.186.718-0</t>
  </si>
  <si>
    <t>Barros Arana 510</t>
  </si>
  <si>
    <t>Til-Til</t>
  </si>
  <si>
    <t>Aceituna Pimentón Frasco 130 gr</t>
  </si>
  <si>
    <t>Aceituna Kalamata 180 gr</t>
  </si>
  <si>
    <t>Aceituna Giardinera 180 gr</t>
  </si>
  <si>
    <t>Valles de Chile</t>
  </si>
  <si>
    <t>Cale</t>
  </si>
  <si>
    <t>DE-630</t>
  </si>
  <si>
    <t>DE-631</t>
  </si>
  <si>
    <t>DE-632</t>
  </si>
  <si>
    <t>Envío Fact</t>
  </si>
  <si>
    <t>Aislantes y Envases Ltda</t>
  </si>
  <si>
    <t>Jacquort</t>
  </si>
  <si>
    <t xml:space="preserve">Bombom Choc-Leche 1 Kg </t>
  </si>
  <si>
    <t>Bombom Gold 300 gr</t>
  </si>
  <si>
    <t>DE-633</t>
  </si>
  <si>
    <t>DE-634</t>
  </si>
  <si>
    <t>77.546.260-4</t>
  </si>
  <si>
    <t>Vicuña Mackena 4571</t>
  </si>
  <si>
    <t>PVD-90</t>
  </si>
  <si>
    <t>PVD-91</t>
  </si>
  <si>
    <t>96.992.030-1</t>
  </si>
  <si>
    <t>Vespucio Oriente 1305</t>
  </si>
  <si>
    <t>C383</t>
  </si>
  <si>
    <t>12.927.205-8</t>
  </si>
  <si>
    <t>Lautaro 211</t>
  </si>
  <si>
    <t>C384</t>
  </si>
  <si>
    <t>Matias Navarrete</t>
  </si>
  <si>
    <t>Los Silos - psje Andes 1534</t>
  </si>
  <si>
    <t>Los Silos - Psje Andes 1534</t>
  </si>
  <si>
    <t>C385</t>
  </si>
  <si>
    <t>Ema del Carmen Ortega</t>
  </si>
  <si>
    <t>Valle del Principal par 1195</t>
  </si>
  <si>
    <t>Valle del Principal, par 1195</t>
  </si>
  <si>
    <t>C386</t>
  </si>
  <si>
    <t>Gisela Vallejos</t>
  </si>
  <si>
    <t>Teniente Bello 286</t>
  </si>
  <si>
    <t>PVD-92</t>
  </si>
  <si>
    <t>PVD-93</t>
  </si>
  <si>
    <t>PVD-94</t>
  </si>
  <si>
    <t>PH Confort x 4</t>
  </si>
  <si>
    <t>AS-68</t>
  </si>
  <si>
    <t>Cloro Concentrado 5% 1000 cc</t>
  </si>
  <si>
    <t>Cloro Gel 900 cc</t>
  </si>
  <si>
    <t>Ropa Color 900 cc</t>
  </si>
  <si>
    <t>Ropa Blanca 900 cc</t>
  </si>
  <si>
    <t>Pilar Aguilera</t>
  </si>
  <si>
    <t>C387</t>
  </si>
  <si>
    <t>Angelina Del Carmen Verdugo Navarro</t>
  </si>
  <si>
    <t>7.207.805-5</t>
  </si>
  <si>
    <t>Camino Al Volcan 11001</t>
  </si>
  <si>
    <t>San Jose DE Maipo</t>
  </si>
  <si>
    <t>M&amp;M</t>
  </si>
  <si>
    <t>Promerco</t>
  </si>
  <si>
    <t>6pack Plain 54x 6x48gr</t>
  </si>
  <si>
    <t>6pack Peanut  64x6x49gr</t>
  </si>
  <si>
    <t>Minis Tubos Chocolate 31gr</t>
  </si>
  <si>
    <t>Chocolate Doy Pack 124gr</t>
  </si>
  <si>
    <t>Peanut Doy Pack 124gr</t>
  </si>
  <si>
    <t>Chocolate Pouch 142gr</t>
  </si>
  <si>
    <t>Peanut Pouch 156gr</t>
  </si>
  <si>
    <t>Snickers</t>
  </si>
  <si>
    <t>Snickers 22gr</t>
  </si>
  <si>
    <t>Almendra Single 50gr</t>
  </si>
  <si>
    <t>6pack  64x6x53gr</t>
  </si>
  <si>
    <t>Fnsz 24 x 94 grs  ( 6x16gr)</t>
  </si>
  <si>
    <t>Plain 544GRS</t>
  </si>
  <si>
    <t>Fun Size Plain 24 x6x15    (90 grs sixpack)</t>
  </si>
  <si>
    <t>Minis Peg Pack 124gr</t>
  </si>
  <si>
    <t>Milk Way</t>
  </si>
  <si>
    <t>Bil Jac</t>
  </si>
  <si>
    <t>Select Adult 2,7 Kg</t>
  </si>
  <si>
    <t>Small Breed Adult  2,7 Kg</t>
  </si>
  <si>
    <t>Large Breed Select 13,6 Kg</t>
  </si>
  <si>
    <t>Large Breed Select 6,8 Kg</t>
  </si>
  <si>
    <t>Puppy Select 13,6 Kg</t>
  </si>
  <si>
    <t>Puppy Select 6,8 Kg</t>
  </si>
  <si>
    <t>Puppy Select 2,7 Kg</t>
  </si>
  <si>
    <t>Small Breed Puppy 2,7 Kg</t>
  </si>
  <si>
    <t>Large Breed Puppy 13,6 kg</t>
  </si>
  <si>
    <t>Large Breed Puppy 6,8 kg</t>
  </si>
  <si>
    <t>Senior Select 13,6 Kg</t>
  </si>
  <si>
    <t>Senior Select 6,8 Kg</t>
  </si>
  <si>
    <t>Senior Select 2,7 Kg</t>
  </si>
  <si>
    <t>Reduce Fat 13,6 Kg</t>
  </si>
  <si>
    <t>Reduce Fat 6,8 Kg</t>
  </si>
  <si>
    <t>Reduce Fat 2,7 Kg</t>
  </si>
  <si>
    <t>Sensitive Solution 13,6 Kg</t>
  </si>
  <si>
    <t>Sensitive Solution 2,7 Kg</t>
  </si>
  <si>
    <t>Treats Chicken 113 gr</t>
  </si>
  <si>
    <t>Little Jacs Treats 213 gr</t>
  </si>
  <si>
    <t>MA-140</t>
  </si>
  <si>
    <t>MA-141</t>
  </si>
  <si>
    <t>MA-142</t>
  </si>
  <si>
    <t>MA-143</t>
  </si>
  <si>
    <t>MA-144</t>
  </si>
  <si>
    <t>MA-145</t>
  </si>
  <si>
    <t>MA-146</t>
  </si>
  <si>
    <t>MA-147</t>
  </si>
  <si>
    <t>MA-148</t>
  </si>
  <si>
    <t>MA-149</t>
  </si>
  <si>
    <t>MA-150</t>
  </si>
  <si>
    <t>MA-151</t>
  </si>
  <si>
    <t>MA-152</t>
  </si>
  <si>
    <t>MA-153</t>
  </si>
  <si>
    <t>MA-154</t>
  </si>
  <si>
    <t>MA-155</t>
  </si>
  <si>
    <t>MA-156</t>
  </si>
  <si>
    <t>MA-157</t>
  </si>
  <si>
    <t>MA-158</t>
  </si>
  <si>
    <t>MA-159</t>
  </si>
  <si>
    <t>MA-160</t>
  </si>
  <si>
    <t>MA-161</t>
  </si>
  <si>
    <t>DE-635</t>
  </si>
  <si>
    <t>DE-636</t>
  </si>
  <si>
    <t>DE-637</t>
  </si>
  <si>
    <t>DE-638</t>
  </si>
  <si>
    <t>DE-639</t>
  </si>
  <si>
    <t>DE-640</t>
  </si>
  <si>
    <t>DE-641</t>
  </si>
  <si>
    <t>DE-642</t>
  </si>
  <si>
    <t>DE-643</t>
  </si>
  <si>
    <t>DE-644</t>
  </si>
  <si>
    <t>DE-645</t>
  </si>
  <si>
    <t>DE-646</t>
  </si>
  <si>
    <t>DE-647</t>
  </si>
  <si>
    <t>DE-648</t>
  </si>
  <si>
    <t>DE-649</t>
  </si>
  <si>
    <t>DE-650</t>
  </si>
  <si>
    <t>DE-651</t>
  </si>
  <si>
    <t>DE-652</t>
  </si>
  <si>
    <t>DE-653</t>
  </si>
  <si>
    <t>DE-654</t>
  </si>
  <si>
    <t>DE-655</t>
  </si>
  <si>
    <t>Aliño Completo 5 gr</t>
  </si>
  <si>
    <t>Pimenton Aji de Color 5 X 10 X 100 gr</t>
  </si>
  <si>
    <t>Aji Merken 50 X 15 gr</t>
  </si>
  <si>
    <t>Aji de Color 100 gr</t>
  </si>
  <si>
    <t>Aji de Color 250 gr</t>
  </si>
  <si>
    <t>Aji de Color 15 gr</t>
  </si>
  <si>
    <t>Ajo en Polvo 15 gr</t>
  </si>
  <si>
    <t xml:space="preserve">Aliño Completo 5 gr </t>
  </si>
  <si>
    <t>Aliño Completo 50 gr</t>
  </si>
  <si>
    <t>Aliño Completo 15 gr</t>
  </si>
  <si>
    <t>Bicarbonato 30 gr</t>
  </si>
  <si>
    <t>Bicarbonato 200 gr</t>
  </si>
  <si>
    <t>Canela Entera 60 gr</t>
  </si>
  <si>
    <t>Canela Entera 15 gr</t>
  </si>
  <si>
    <t>Canela Molida 15 gr</t>
  </si>
  <si>
    <t>Comino Entero 15 gr</t>
  </si>
  <si>
    <t>Comino Molido 15 gr</t>
  </si>
  <si>
    <t>Comino Entero 80 gr</t>
  </si>
  <si>
    <t>Comino Molido 80 gr</t>
  </si>
  <si>
    <t>Hojas de Laurel 5 gr</t>
  </si>
  <si>
    <t>Oregano Entero 15 gr</t>
  </si>
  <si>
    <t>Oregano Entero 10 gr</t>
  </si>
  <si>
    <t>Oregano Molido 10 gr</t>
  </si>
  <si>
    <t>Pimienta Bca. Entera 15 gr</t>
  </si>
  <si>
    <t>Pimienta Bca. Molida 15 gr</t>
  </si>
  <si>
    <t>Pimienta Ngr. Entera 15 gr</t>
  </si>
  <si>
    <t>Pimienta Ngr. Molida 15 gr</t>
  </si>
  <si>
    <t>Pimienta Ngr. Entera 80 gr</t>
  </si>
  <si>
    <t>Pimienta Negra Molida 80 gr</t>
  </si>
  <si>
    <t>Polvos Curry 10 gr</t>
  </si>
  <si>
    <t>Ajo en Polvo 10 x 5 gr</t>
  </si>
  <si>
    <t>Aji de Color 10 x 5 gr</t>
  </si>
  <si>
    <t>Bicarbonato 10 x 10 gr</t>
  </si>
  <si>
    <t>Canela Entera 10 x 5 gr</t>
  </si>
  <si>
    <t>Canela Molida 10 x 5 gr</t>
  </si>
  <si>
    <t>Comino Entero 10 x 5 gr</t>
  </si>
  <si>
    <t>Comino Molido 10 x 5 gr</t>
  </si>
  <si>
    <t>Oregano Entero 10 x 3 gr</t>
  </si>
  <si>
    <t>Pimienta Ngr. Molida 10 x 5 gr</t>
  </si>
  <si>
    <t>Clavo de Olor Entero 4 gr</t>
  </si>
  <si>
    <t>Clavo de Olor Molido 4 gr</t>
  </si>
  <si>
    <t>Coro Rallado 15 gr</t>
  </si>
  <si>
    <t>Coco Rallado 80 gr</t>
  </si>
  <si>
    <t>Chocolate Dulce 150 gr</t>
  </si>
  <si>
    <t>Chuño 150 gr</t>
  </si>
  <si>
    <t>Decoracion Chocolate 20 gr</t>
  </si>
  <si>
    <t>Decoracion de Color 20 gr</t>
  </si>
  <si>
    <t>Mostacillas 20 gr</t>
  </si>
  <si>
    <t>Perlitas Plateadas 10 gr</t>
  </si>
  <si>
    <t>Nuez Moscada Entera 1 gr</t>
  </si>
  <si>
    <t>Nuez Moscada Molida 5 gr</t>
  </si>
  <si>
    <t>Semillas de Anis 15 gr</t>
  </si>
  <si>
    <t>Brocheta Bambu Larga 50 u</t>
  </si>
  <si>
    <t>Brocheta Bambu Cocktail 50 u</t>
  </si>
  <si>
    <t>Bombillas Flexibles 20 u</t>
  </si>
  <si>
    <t>Bombillas Ractes 20 u</t>
  </si>
  <si>
    <t>Palitos de Cocktail 10 gr</t>
  </si>
  <si>
    <t>Orilla de Rio paradero 10</t>
  </si>
  <si>
    <t>Al fondo mano izquierda</t>
  </si>
  <si>
    <t>C388</t>
  </si>
  <si>
    <t>Veronica Valiente</t>
  </si>
  <si>
    <t>Camino La Escuela, Pje Los Cerezos 47 H</t>
  </si>
  <si>
    <t>Última casa portón blanco</t>
  </si>
  <si>
    <t>Balde Damasco 5 Estrellas 25 Kg</t>
  </si>
  <si>
    <t>Balde Frambuesa 5 Estrellas 25 Kg</t>
  </si>
  <si>
    <t>Balde Guinda 5 Estrellas 25 Kg</t>
  </si>
  <si>
    <t>Aceituna Tapenade Alcach. 185 gr</t>
  </si>
  <si>
    <t>Aceituna Mix 185 gr</t>
  </si>
  <si>
    <t>DE-656</t>
  </si>
  <si>
    <t>DE-657</t>
  </si>
  <si>
    <t>C389</t>
  </si>
  <si>
    <t>Juan Pinilla</t>
  </si>
  <si>
    <t>Castañas en Almibar 1150 gr</t>
  </si>
  <si>
    <t>Ajo Deshidratado en Escamas (Chile)</t>
  </si>
  <si>
    <t>Ajo Deshidratado en Polvo (China)</t>
  </si>
  <si>
    <t>Ajo Merken (Chile)</t>
  </si>
  <si>
    <t>Almidon de Maiz (Paraguay)</t>
  </si>
  <si>
    <t>Almidon Papa (Chuño) (Polonia)</t>
  </si>
  <si>
    <t>Aliño Completo (Chile)</t>
  </si>
  <si>
    <t>Amapola Azul 0,1% (Turquia)</t>
  </si>
  <si>
    <t>Anis 1 % Imp (Turquia)</t>
  </si>
  <si>
    <t>Bicarbonato de Sodio (Chile)</t>
  </si>
  <si>
    <t>Cacao Natural (Ecuador)</t>
  </si>
  <si>
    <t>Cacao Dulce (Chile)</t>
  </si>
  <si>
    <t>Canela H-1 Ent.Corte 7 cm (Siri Lanka)</t>
  </si>
  <si>
    <t>Canela H- 1 Entera (Siri Lanka)</t>
  </si>
  <si>
    <t>Canela Quilling N°1 Astillas (Siri Lanka)</t>
  </si>
  <si>
    <t>Canela Molida (Siri Lanka)</t>
  </si>
  <si>
    <t>Cilantro Entero 99 % Pureza (Argentina)</t>
  </si>
  <si>
    <t>Cilantro Molido (Argentina)</t>
  </si>
  <si>
    <t>Clavo de Olor Molido (Brasil)</t>
  </si>
  <si>
    <t>Clavo de Olor Entero (Brasil)</t>
  </si>
  <si>
    <t>Coco Rallado Fino (Siri Lanka)</t>
  </si>
  <si>
    <t>Comino 1-2% de Impureza Molida</t>
  </si>
  <si>
    <t>Comino 1-2% de Impureza Entero</t>
  </si>
  <si>
    <t>C390</t>
  </si>
  <si>
    <t>Auria Villanueva</t>
  </si>
  <si>
    <t>Top K9</t>
  </si>
  <si>
    <t>MA-162</t>
  </si>
  <si>
    <t>C391</t>
  </si>
  <si>
    <t>Patricia Cecilia Pacheco Acevedo</t>
  </si>
  <si>
    <t>Padre Hurtado Sitio 56 Lote A1</t>
  </si>
  <si>
    <t>Padre Huratdo Sitio 56 Lote A1</t>
  </si>
  <si>
    <t>paine</t>
  </si>
  <si>
    <t>C392</t>
  </si>
  <si>
    <t>Comercializadora Servimarket Ltda</t>
  </si>
  <si>
    <t>76.133.223-6</t>
  </si>
  <si>
    <t>Hermanos Carrera N° 0435</t>
  </si>
  <si>
    <t>13.595.078-5</t>
  </si>
  <si>
    <t>C393</t>
  </si>
  <si>
    <t>Karen Berrios</t>
  </si>
  <si>
    <t>Camino La Puntilla Verde P.76</t>
  </si>
  <si>
    <t>Parcelación Rinconada de El Principal</t>
  </si>
  <si>
    <t>Challay Alto P24/25</t>
  </si>
  <si>
    <t>El Cruceral P.180</t>
  </si>
  <si>
    <t>Baton</t>
  </si>
  <si>
    <t>Baston Choc Leche 30 x 16 gr</t>
  </si>
  <si>
    <t>Baston Choc Blanco 30 x 16gr</t>
  </si>
  <si>
    <t>Leche Relleno Fresa 30 x 16gr</t>
  </si>
  <si>
    <t xml:space="preserve">Bombones Surtidos 1 Kilo  </t>
  </si>
  <si>
    <t>Garoto</t>
  </si>
  <si>
    <t xml:space="preserve">Bombones Surtidos 300grs. </t>
  </si>
  <si>
    <r>
      <t>Serenata de Amor Bombon Castaña 266grs</t>
    </r>
    <r>
      <rPr>
        <b/>
        <sz val="14"/>
        <color rgb="FFFF0000"/>
        <rFont val="Calibri"/>
        <family val="2"/>
        <scheme val="minor"/>
      </rPr>
      <t xml:space="preserve"> </t>
    </r>
  </si>
  <si>
    <t>Bolsa Serenata de Amor 950gr</t>
  </si>
  <si>
    <t>DE-658</t>
  </si>
  <si>
    <t>DE-659</t>
  </si>
  <si>
    <t>DE-660</t>
  </si>
  <si>
    <t>DE-661</t>
  </si>
  <si>
    <t>DE-662</t>
  </si>
  <si>
    <t>DE-663</t>
  </si>
  <si>
    <t>DE-664</t>
  </si>
  <si>
    <t>C394</t>
  </si>
  <si>
    <t>Gabriela Ulloa</t>
  </si>
  <si>
    <t>Adulto Pollo Arroz 15 Kg</t>
  </si>
  <si>
    <t>Canine Principle</t>
  </si>
  <si>
    <t>MA-163</t>
  </si>
  <si>
    <t>Adulto 20 Kg 22/10</t>
  </si>
  <si>
    <t>PREMIUM</t>
  </si>
  <si>
    <t>Heinz</t>
  </si>
  <si>
    <t>Ketchup Glass 397 gr</t>
  </si>
  <si>
    <t>Squeze Ketchup 567 gr</t>
  </si>
  <si>
    <t>Room Service Ketchup  64 gr</t>
  </si>
  <si>
    <t>Vol Pack Ketchup 13 Kg</t>
  </si>
  <si>
    <t>Ketchup Reduce Sugar 369 gr</t>
  </si>
  <si>
    <t>Ketchup Organic 397 gr</t>
  </si>
  <si>
    <t>Ketchup No Salt 397 gr</t>
  </si>
  <si>
    <t>Ketchup Pouch 3,23 Kg</t>
  </si>
  <si>
    <t>Sachet Ketchup 9 gr</t>
  </si>
  <si>
    <t>Ketchup Doy Pack 397 gr</t>
  </si>
  <si>
    <t>Ketchup Doy Pack 620 gr</t>
  </si>
  <si>
    <t>Ketchup Doy Pack 900 gr</t>
  </si>
  <si>
    <t>DE-665</t>
  </si>
  <si>
    <t>DE-666</t>
  </si>
  <si>
    <t>DE-667</t>
  </si>
  <si>
    <t>DE-668</t>
  </si>
  <si>
    <t>DE-669</t>
  </si>
  <si>
    <t>DE-670</t>
  </si>
  <si>
    <t>DE-671</t>
  </si>
  <si>
    <t>DE-672</t>
  </si>
  <si>
    <t>DE-673</t>
  </si>
  <si>
    <t>DE-674</t>
  </si>
  <si>
    <t>DE-675</t>
  </si>
  <si>
    <t>DE-676</t>
  </si>
  <si>
    <t>DE-677</t>
  </si>
  <si>
    <t>DE-678</t>
  </si>
  <si>
    <t>DE-679</t>
  </si>
  <si>
    <t>Traditional Ketchup Pet  397 gr</t>
  </si>
  <si>
    <t>DE-680</t>
  </si>
  <si>
    <t>DE-681</t>
  </si>
  <si>
    <t>DE-682</t>
  </si>
  <si>
    <t>DE-683</t>
  </si>
  <si>
    <t>DE-684</t>
  </si>
  <si>
    <t>DE-685</t>
  </si>
  <si>
    <t>DE-686</t>
  </si>
  <si>
    <t>DE-687</t>
  </si>
  <si>
    <t>DE-688</t>
  </si>
  <si>
    <t>Mayonesa Normal 460 gr</t>
  </si>
  <si>
    <t>Mayonesa Squezze 215 gr</t>
  </si>
  <si>
    <t>Mayonesa Squezze 395 gr</t>
  </si>
  <si>
    <t>Mayonesa Ajo y Cebolla 395 gr</t>
  </si>
  <si>
    <t>Mayonesa Room Service 64 gr</t>
  </si>
  <si>
    <t>Yellow Mostaza 226 gr</t>
  </si>
  <si>
    <t>Yellow Mostaza Squezze 496 gr</t>
  </si>
  <si>
    <t>Yellow Mostaza 396 gr</t>
  </si>
  <si>
    <t>Dijon Mostaza Room Service 64 gr</t>
  </si>
  <si>
    <t>Mostaza Doy Pack 368 gr</t>
  </si>
  <si>
    <t>Mostaza Squezze Spicy Brown 396 gr</t>
  </si>
  <si>
    <t>Mostaza Doy Pack 200 gr</t>
  </si>
  <si>
    <t>Dijon Mostaza Sachet 5,67 gr</t>
  </si>
  <si>
    <t>Mostaza Squezze Spicy Brown 496 gr</t>
  </si>
  <si>
    <t>Mayonesa Sachet 12 gr</t>
  </si>
  <si>
    <t>DE-689</t>
  </si>
  <si>
    <t>DE-690</t>
  </si>
  <si>
    <t>DE-691</t>
  </si>
  <si>
    <t>DE-692</t>
  </si>
  <si>
    <t>DE-693</t>
  </si>
  <si>
    <t>DE-694</t>
  </si>
  <si>
    <t>DE-695</t>
  </si>
  <si>
    <t>C395</t>
  </si>
  <si>
    <t>Monica Meza</t>
  </si>
  <si>
    <t>Loteo San Vicente P.27</t>
  </si>
  <si>
    <t>C396</t>
  </si>
  <si>
    <t>Alejandro Ossandon</t>
  </si>
  <si>
    <t>Maximo Valdes 4738</t>
  </si>
  <si>
    <t>Chocolate Singles 48gr</t>
  </si>
  <si>
    <t>Peanut Singles 49gr</t>
  </si>
  <si>
    <t>Single 53 gr</t>
  </si>
  <si>
    <t>Six Pack 6 x 53 gr</t>
  </si>
  <si>
    <t>Single 52 gr</t>
  </si>
  <si>
    <t>Six Pack 48 gr</t>
  </si>
  <si>
    <t>Wherters Original</t>
  </si>
  <si>
    <t>Toffiffe</t>
  </si>
  <si>
    <t>Caramelo Duro 24 x 50 gr</t>
  </si>
  <si>
    <t>Caramelo Duro Sin Azucar 1000 gr</t>
  </si>
  <si>
    <t>Caramelo Blando 24 x 48 gr</t>
  </si>
  <si>
    <t>Caramelo Blando 12 x 100 gr</t>
  </si>
  <si>
    <t>Caramelo Duro Sin Azucar 10 x 42 gr</t>
  </si>
  <si>
    <t>Caramelo Duro Manzana-Canela Sin Azucar 10 x 42 gr</t>
  </si>
  <si>
    <t>Caramelo Duro Capuccino 10 x 42 gr</t>
  </si>
  <si>
    <t>Toffiffe 15 x 125 gr</t>
  </si>
  <si>
    <t>Caramelo Duro Leche 1000 gr</t>
  </si>
  <si>
    <t>DE-696</t>
  </si>
  <si>
    <t>DE-697</t>
  </si>
  <si>
    <t>DE-698</t>
  </si>
  <si>
    <t>DE-699</t>
  </si>
  <si>
    <t>DE-700</t>
  </si>
  <si>
    <t>DE-701</t>
  </si>
  <si>
    <t>DE-702</t>
  </si>
  <si>
    <t>DE-703</t>
  </si>
  <si>
    <t>DE-704</t>
  </si>
  <si>
    <t>89.225.500-8</t>
  </si>
  <si>
    <t>C397</t>
  </si>
  <si>
    <t>Silvia Quintana</t>
  </si>
  <si>
    <t>Camino Las Parcelas P.15 St.17</t>
  </si>
  <si>
    <t>Ruca Mapu - Villorio Nuevo - Porton Negro</t>
  </si>
  <si>
    <t>DE-705</t>
  </si>
  <si>
    <t>Caldo Natural Pollo 1 litro</t>
  </si>
  <si>
    <t>Gallina Blanca</t>
  </si>
  <si>
    <t>DE-706</t>
  </si>
  <si>
    <t>Caldo Natural Carne 1 litro</t>
  </si>
  <si>
    <t>DE-707</t>
  </si>
  <si>
    <t>Caldo Natural Verdura 1 litro</t>
  </si>
  <si>
    <t>DE-708</t>
  </si>
  <si>
    <t>Caldo Natural Paella 1 litro</t>
  </si>
  <si>
    <t>DE-709</t>
  </si>
  <si>
    <t>Semola 250 gr</t>
  </si>
  <si>
    <t>DE-710</t>
  </si>
  <si>
    <t>DE-711</t>
  </si>
  <si>
    <t>DE-712</t>
  </si>
  <si>
    <t>Trisabor espirales 400 gr</t>
  </si>
  <si>
    <t>DE-713</t>
  </si>
  <si>
    <t>DE-714</t>
  </si>
  <si>
    <t>Aceite Oliva Coratina 1 Lt</t>
  </si>
  <si>
    <t>Aperol 900 ml</t>
  </si>
  <si>
    <t>Aperol</t>
  </si>
  <si>
    <t>DE-715</t>
  </si>
  <si>
    <t>Manuel Perez</t>
  </si>
  <si>
    <t>Herminda Arriagada</t>
  </si>
  <si>
    <t>Leche de Coco 400 ml Tetrapack</t>
  </si>
  <si>
    <t>Lady Coconut</t>
  </si>
  <si>
    <t>Irma Hortensia Moreno Morales</t>
  </si>
  <si>
    <t>4.588.648-4</t>
  </si>
  <si>
    <t>Sargento Menadier 15</t>
  </si>
  <si>
    <t>joset@terra.cl</t>
  </si>
  <si>
    <t>Ketchup Sachet 10 x 90 gr</t>
  </si>
  <si>
    <t>Ketchup Doy Pack 200 gr</t>
  </si>
  <si>
    <t>Mayonesa Ligera 490 gr</t>
  </si>
  <si>
    <t>Galvarino 7401</t>
  </si>
  <si>
    <t>22 3990000</t>
  </si>
  <si>
    <t>Martinez Somalo</t>
  </si>
  <si>
    <t>DE-716</t>
  </si>
  <si>
    <t>DE-717</t>
  </si>
  <si>
    <t>DE-718</t>
  </si>
  <si>
    <t>DE-719</t>
  </si>
  <si>
    <t>Longanizas Blanco 1 Kg x 10</t>
  </si>
  <si>
    <t>Longanizas Tradicional 1 Kg x 10</t>
  </si>
  <si>
    <t>Longanizas Blanco 300 gr x 4</t>
  </si>
  <si>
    <t>Longanizas Tradicional 300 gr x 4</t>
  </si>
  <si>
    <t>Longanizas Luganica 300 gr x 4</t>
  </si>
  <si>
    <t>Longanizas Angus 300 gr x 4</t>
  </si>
  <si>
    <t>Panceta Curada Bloque 1 Kg</t>
  </si>
  <si>
    <t>Panceta Curada Laminada 1 Kg 33-35 unid</t>
  </si>
  <si>
    <t>Longanizas Luganica 1 Kg x 20</t>
  </si>
  <si>
    <t>CA-12</t>
  </si>
  <si>
    <t>CA-13</t>
  </si>
  <si>
    <t>C398</t>
  </si>
  <si>
    <t>76.261.378-6</t>
  </si>
  <si>
    <t>Cam.Padre Hurtado  Sito 2 y 3</t>
  </si>
  <si>
    <t>Restaurante y Cafeteria Ruah Ltda</t>
  </si>
  <si>
    <t>Jose Miguel Osorio</t>
  </si>
  <si>
    <t>Camino El Peumo P.151</t>
  </si>
  <si>
    <t>Parcelación La rinconada</t>
  </si>
  <si>
    <t>Monica Severino</t>
  </si>
  <si>
    <t>Kim Cornely</t>
  </si>
  <si>
    <t>ALIMENTO</t>
  </si>
  <si>
    <t>MANTENCION</t>
  </si>
  <si>
    <t>C400</t>
  </si>
  <si>
    <t>Repuestos Pte Alto</t>
  </si>
  <si>
    <t>Cabritas Microhondas Sweet</t>
  </si>
  <si>
    <t>Cisnes</t>
  </si>
  <si>
    <t>MA-164</t>
  </si>
  <si>
    <t>Gato Pollo 20 Kg</t>
  </si>
  <si>
    <t>Cerezas al Jugo con Carozo 3000 gr</t>
  </si>
  <si>
    <t>Cerezas al Jugo sin Carozo 3000 gr</t>
  </si>
  <si>
    <t>Cocktail de Frutas 3000 gr</t>
  </si>
  <si>
    <t>Duraznos Cubitos al Jugo 3000 gr</t>
  </si>
  <si>
    <t>Duraznos Mitades al Jugo 3000 gr</t>
  </si>
  <si>
    <t>Frutillas al Jugo 3000 grs</t>
  </si>
  <si>
    <t>Peras Mitades al Jugo 3000 gr</t>
  </si>
  <si>
    <t>DE-720</t>
  </si>
  <si>
    <t>DE-721</t>
  </si>
  <si>
    <t>DE-722</t>
  </si>
  <si>
    <t>DE-723</t>
  </si>
  <si>
    <t>DE-724</t>
  </si>
  <si>
    <t>DE-725</t>
  </si>
  <si>
    <t>DE-726</t>
  </si>
  <si>
    <t>C401</t>
  </si>
  <si>
    <t>Constanza Bustos</t>
  </si>
  <si>
    <t>Ramón Subercaseux #426</t>
  </si>
  <si>
    <t>Personal Computer Factory S.A.</t>
  </si>
  <si>
    <t>78.885.550-8</t>
  </si>
  <si>
    <t>Av. Concha y Toro #95</t>
  </si>
  <si>
    <t>22 560 0105</t>
  </si>
  <si>
    <t>Empresas DMG S.A.</t>
  </si>
  <si>
    <t>96.803.690-4</t>
  </si>
  <si>
    <t>Meiggs #58</t>
  </si>
  <si>
    <t>22 396 2100</t>
  </si>
  <si>
    <t>Soc. Com. Cruzeiro Gomas Ltda</t>
  </si>
  <si>
    <t>78.131.690-3</t>
  </si>
  <si>
    <t>Av. Gral. Rondizzoni #1752</t>
  </si>
  <si>
    <t>22 550 4928</t>
  </si>
  <si>
    <t>Pila Grande D 6 x 2 Und</t>
  </si>
  <si>
    <t>Pila AA Tira 12 Und</t>
  </si>
  <si>
    <t xml:space="preserve">PILA ALCAL DURACELL </t>
  </si>
  <si>
    <t>Pila AAA Tira 6 Und</t>
  </si>
  <si>
    <t>PILA ALCA DU</t>
  </si>
  <si>
    <t>PILA ALCA DURAC</t>
  </si>
  <si>
    <t>PILA ALCAL DURACE</t>
  </si>
  <si>
    <t>C402</t>
  </si>
  <si>
    <t>Fernando Garay</t>
  </si>
  <si>
    <t>Manuel Larraín St. 9 Casa 4, Cooperativa Los Silos</t>
  </si>
  <si>
    <t>Lomo Toro 1 y 2, Almacen, Sig casa roja negra</t>
  </si>
  <si>
    <t>C403</t>
  </si>
  <si>
    <t>Gonzalo Larrain</t>
  </si>
  <si>
    <t>Santa Rita 688</t>
  </si>
  <si>
    <t>C404</t>
  </si>
  <si>
    <t>Carolina Orellana</t>
  </si>
  <si>
    <t>9:30 - 11:30 / 16:30 - 18:30</t>
  </si>
  <si>
    <t>Te Verde Pure Ceylon Tea</t>
  </si>
  <si>
    <t>Mayonesa Doy Pack 200 grs</t>
  </si>
  <si>
    <t>DE-727</t>
  </si>
  <si>
    <t>76.105.637-9</t>
  </si>
  <si>
    <t>C405</t>
  </si>
  <si>
    <t>La Criolla SPA.</t>
  </si>
  <si>
    <t>Isla DE Maipo</t>
  </si>
  <si>
    <t>C406</t>
  </si>
  <si>
    <t>Naitana y Kufeke SPA</t>
  </si>
  <si>
    <t>76.831.678-3</t>
  </si>
  <si>
    <t>Ramon Subercaseux 3162 Lote 12</t>
  </si>
  <si>
    <t>PIrque</t>
  </si>
  <si>
    <t>C408</t>
  </si>
  <si>
    <t>Sociedad  Agricola y Comercial Delicias del Valle Ltda.</t>
  </si>
  <si>
    <t>76.819.520-k</t>
  </si>
  <si>
    <t>Longitudinal Sur Km 39,5 Par. 87-B1</t>
  </si>
  <si>
    <t>Longitudinal Sur Km 39,5 Par.87-B1</t>
  </si>
  <si>
    <t>TE</t>
  </si>
  <si>
    <t>C409</t>
  </si>
  <si>
    <t>Almacenes Loreto Spa</t>
  </si>
  <si>
    <t>76.848.877-0</t>
  </si>
  <si>
    <t>Av. El Principal St.1 P.28</t>
  </si>
  <si>
    <t>Centro Comercial San Michell</t>
  </si>
  <si>
    <t>Adulto con Pillow 18 Kg</t>
  </si>
  <si>
    <t xml:space="preserve">Funny Dog </t>
  </si>
  <si>
    <t>MA-165</t>
  </si>
  <si>
    <t>PROMO</t>
  </si>
  <si>
    <t>Molina Puente Alto</t>
  </si>
  <si>
    <t>Molino</t>
  </si>
  <si>
    <t>Los Acacios P16</t>
  </si>
  <si>
    <t>Los Silos</t>
  </si>
  <si>
    <t>Origen</t>
  </si>
  <si>
    <t>Origen de Venta</t>
  </si>
  <si>
    <t>FB</t>
  </si>
  <si>
    <t>Revista</t>
  </si>
  <si>
    <t>Datito</t>
  </si>
  <si>
    <t>Conocido</t>
  </si>
  <si>
    <t>Visita</t>
  </si>
  <si>
    <t>C411</t>
  </si>
  <si>
    <t>Neto Compra</t>
  </si>
  <si>
    <t>Margen</t>
  </si>
  <si>
    <t>Los Vilos</t>
  </si>
  <si>
    <t>C412</t>
  </si>
  <si>
    <t>9.967.940-9</t>
  </si>
  <si>
    <t>Camino El volcan 30466</t>
  </si>
  <si>
    <t>Camino El Volcan 30466</t>
  </si>
  <si>
    <t>Lucho Riddellco</t>
  </si>
  <si>
    <t>C414</t>
  </si>
  <si>
    <t>Riddellco</t>
  </si>
  <si>
    <t>Jose Ghiardo 051</t>
  </si>
  <si>
    <t>La Granja</t>
  </si>
  <si>
    <t>C415</t>
  </si>
  <si>
    <t>Karin Wilckens</t>
  </si>
  <si>
    <t>Camino La Pirca P.56</t>
  </si>
  <si>
    <t>Parcelación La Rinconada</t>
  </si>
  <si>
    <t>Cono Helado 18 Unid</t>
  </si>
  <si>
    <t>M Cobro</t>
  </si>
  <si>
    <t>Hilda de Lourdes Gomez Retamal</t>
  </si>
  <si>
    <t>M. Cobrado</t>
  </si>
  <si>
    <t>Marcela del Carmen Bustamante Aguilar</t>
  </si>
  <si>
    <t>7.333.127-7</t>
  </si>
  <si>
    <t>Atun al Agua 180 gr</t>
  </si>
  <si>
    <t>Atun al Agua 354 gr</t>
  </si>
  <si>
    <t>Atun en Aceite 354 gr</t>
  </si>
  <si>
    <t>Atun al Agua 1880 gr</t>
  </si>
  <si>
    <t>Atun en Aceite 1880 gr</t>
  </si>
  <si>
    <t>Atun en Aceite de Palta 170 gr</t>
  </si>
  <si>
    <t>DE-728</t>
  </si>
  <si>
    <t>Palmitos Entero 800 gr</t>
  </si>
  <si>
    <t>Palmitos Rodaja 400 gr</t>
  </si>
  <si>
    <t>Palmitos Rodaja 800 gr</t>
  </si>
  <si>
    <t>Piñas en Cubitos 3 Kg</t>
  </si>
  <si>
    <t>Piñas en Rodajas 565 gr</t>
  </si>
  <si>
    <t>Piñas en Rodajas 825 gr</t>
  </si>
  <si>
    <t>Piñas en Rodajas 3 Kg</t>
  </si>
  <si>
    <t>Grosellas 720 ml</t>
  </si>
  <si>
    <t>Pure de Manzanas 720 ml</t>
  </si>
  <si>
    <t>Pepinillo Seleccionado en Vinagre 720 ml</t>
  </si>
  <si>
    <t>Varita de Pepinillo en Vinagre 720 ml</t>
  </si>
  <si>
    <t>Repollo Rojo Pre Cocido 720 ml</t>
  </si>
  <si>
    <t>Repollo Rojo con Manzana 720 ml</t>
  </si>
  <si>
    <t>Chukrut 720 ml</t>
  </si>
  <si>
    <t>Ensalada Zanahoria Tritas 370 ml</t>
  </si>
  <si>
    <t>Surtido de Pepinillos 370 ml</t>
  </si>
  <si>
    <t>Chilly Pepers Mild (Pepperoni) 370 ml</t>
  </si>
  <si>
    <t xml:space="preserve">Pepinillos </t>
  </si>
  <si>
    <t>Bella Holandesa</t>
  </si>
  <si>
    <t>Leche Condensada 397 gr</t>
  </si>
  <si>
    <t>DEL MAR</t>
  </si>
  <si>
    <t>C416</t>
  </si>
  <si>
    <t>Sonia Aravena</t>
  </si>
  <si>
    <t>Los Comendadores 1146</t>
  </si>
  <si>
    <t>Piscina 5% 4 Lt</t>
  </si>
  <si>
    <t>CLORO</t>
  </si>
  <si>
    <t>DETERGENTE</t>
  </si>
  <si>
    <t>HOGAR</t>
  </si>
  <si>
    <t>JARDIN</t>
  </si>
  <si>
    <t>Balde Frutilla  5 Estrellas 25 Kg</t>
  </si>
  <si>
    <t>Tomate en Cubitos 400 gr Easy Open</t>
  </si>
  <si>
    <t>Tomate en Cubitos 2,5 Kg</t>
  </si>
  <si>
    <t>TOMATE PULPA</t>
  </si>
  <si>
    <t>Tomate Doble Concentrado 2,2 Kg</t>
  </si>
  <si>
    <t>Passata Botella 680 ml</t>
  </si>
  <si>
    <t>Passata Tarro 2,5 Kg</t>
  </si>
  <si>
    <t>Passata Brik 500 gr</t>
  </si>
  <si>
    <t>C417</t>
  </si>
  <si>
    <t>Beatriz Correa</t>
  </si>
  <si>
    <t>Hernan Prieto Lt.8 P.3</t>
  </si>
  <si>
    <t>Frente Local El Principal</t>
  </si>
  <si>
    <t>C418</t>
  </si>
  <si>
    <t>Claudia Ormazabal</t>
  </si>
  <si>
    <t>Virginia Subercaseux 1259</t>
  </si>
  <si>
    <t>Antes de la Copec</t>
  </si>
  <si>
    <t>M. Total</t>
  </si>
  <si>
    <t>C419</t>
  </si>
  <si>
    <t>Graciela Gonzalez</t>
  </si>
  <si>
    <t>Camino La Rinconada P.33</t>
  </si>
  <si>
    <t>C420</t>
  </si>
  <si>
    <t>Irene Saavedra</t>
  </si>
  <si>
    <t>Calle Nueva 44</t>
  </si>
  <si>
    <t>Portón Negro / Muro Rojo</t>
  </si>
  <si>
    <t>PH Confort x 6</t>
  </si>
  <si>
    <t>DE-729</t>
  </si>
  <si>
    <t>Cabernet Souvignon Riberas del Loncomilla 750 cc</t>
  </si>
  <si>
    <t>NN</t>
  </si>
  <si>
    <t>Altos de Mujica</t>
  </si>
  <si>
    <t>VINO</t>
  </si>
  <si>
    <t>C421</t>
  </si>
  <si>
    <t>Adrian Morgado</t>
  </si>
  <si>
    <t>Santa Teresa P.5-A</t>
  </si>
  <si>
    <t>C422</t>
  </si>
  <si>
    <t xml:space="preserve">Manuel Antonio Neyra Piceros </t>
  </si>
  <si>
    <t>7.335.185-5</t>
  </si>
  <si>
    <t>Av.El Manzano N° 690-D-C</t>
  </si>
  <si>
    <t>Padre Hurtado</t>
  </si>
  <si>
    <t>Rosa Paz (Municipalidad Pirque)</t>
  </si>
  <si>
    <t>Cachorro 20 Kg  28/17</t>
  </si>
  <si>
    <t>Imp. Ad</t>
  </si>
  <si>
    <t>C423</t>
  </si>
  <si>
    <t>Paz</t>
  </si>
  <si>
    <t>El Chalaco 66 B P.12B</t>
  </si>
  <si>
    <t>Loteo El Chalaco</t>
  </si>
  <si>
    <t>Cafe Robusta-Arabico 500 gr</t>
  </si>
  <si>
    <t>Cafe 100% Arabico 500 gr</t>
  </si>
  <si>
    <t>Cafe Robusta-Arabico 1 Kg</t>
  </si>
  <si>
    <t>Strong Gato 8 k</t>
  </si>
  <si>
    <t>Strong</t>
  </si>
  <si>
    <t>Trigo 1k Granel</t>
  </si>
  <si>
    <t>Granel</t>
  </si>
  <si>
    <t>C424</t>
  </si>
  <si>
    <t>76.784.251</t>
  </si>
  <si>
    <t>1</t>
  </si>
  <si>
    <t>Av Ramon Subercaseux  N°585</t>
  </si>
  <si>
    <t>Restaurante Eventos Leon Gabriel Eskenazi EIRL</t>
  </si>
  <si>
    <t>Av Ramon Subercaseux N°585</t>
  </si>
  <si>
    <t>C425</t>
  </si>
  <si>
    <t>Katherine Jovina Neira Piceros</t>
  </si>
  <si>
    <t>16.083.495-1</t>
  </si>
  <si>
    <t xml:space="preserve">San Ignacio Manzana7 Sitio20 </t>
  </si>
  <si>
    <t>San Ignacio Manzana 7 Sitio 20</t>
  </si>
  <si>
    <t>Padre Hurtao</t>
  </si>
  <si>
    <t>DE-627</t>
  </si>
  <si>
    <t>Cono Artesanal Maxi Super x 96u</t>
  </si>
  <si>
    <t>Dulconoroma</t>
  </si>
  <si>
    <t>C426</t>
  </si>
  <si>
    <t>Andrea Martinez Cordoba</t>
  </si>
  <si>
    <t>Camino La Pirca P.56-B</t>
  </si>
  <si>
    <t>C427</t>
  </si>
  <si>
    <t>Vanina Toti</t>
  </si>
  <si>
    <t>Hernan Prieto Km.8</t>
  </si>
  <si>
    <t>El Principal</t>
  </si>
  <si>
    <t>DE-730</t>
  </si>
  <si>
    <t>DE-731</t>
  </si>
  <si>
    <t>DE-732</t>
  </si>
  <si>
    <t>DE-733</t>
  </si>
  <si>
    <t>Soya Bidon 18,9 Lt</t>
  </si>
  <si>
    <t>Carlos Bunster Medina y Loreto Reyes</t>
  </si>
  <si>
    <t>77.340.120-9</t>
  </si>
  <si>
    <t>San Eugenio 1602</t>
  </si>
  <si>
    <t>AS-54</t>
  </si>
  <si>
    <t>PH Florax</t>
  </si>
  <si>
    <t>Arevalo y Navarro Soc. Ltda.</t>
  </si>
  <si>
    <t>37077</t>
  </si>
  <si>
    <t>General Gana 1401</t>
  </si>
  <si>
    <t>PVD-95</t>
  </si>
  <si>
    <t>PVD-96</t>
  </si>
  <si>
    <t>PVD-97</t>
  </si>
  <si>
    <t>PVD-98</t>
  </si>
  <si>
    <t>PVD-99</t>
  </si>
  <si>
    <t>PVD-100</t>
  </si>
  <si>
    <t>C428</t>
  </si>
  <si>
    <t>Maritza Polanco</t>
  </si>
  <si>
    <t xml:space="preserve">Parcela 81 </t>
  </si>
  <si>
    <t>El Romero, Frente Cata Peña</t>
  </si>
  <si>
    <t>C429</t>
  </si>
  <si>
    <t>Alicia Saavedra</t>
  </si>
  <si>
    <t>C430</t>
  </si>
  <si>
    <t>Felipe Muñoz</t>
  </si>
  <si>
    <t>DE-800</t>
  </si>
  <si>
    <t>Spritz 750 ml 8º</t>
  </si>
  <si>
    <t>Heart</t>
  </si>
  <si>
    <t>DE-801</t>
  </si>
  <si>
    <t xml:space="preserve">Amaretto 500 ml 28º </t>
  </si>
  <si>
    <t>Galliano</t>
  </si>
  <si>
    <t>DE-802</t>
  </si>
  <si>
    <t>Sambuca 700 ml 30º</t>
  </si>
  <si>
    <t>DE-803</t>
  </si>
  <si>
    <t>Cointreau 700 ml 40º</t>
  </si>
  <si>
    <t>Cointreau</t>
  </si>
  <si>
    <t>C431</t>
  </si>
  <si>
    <t>Susana Morales</t>
  </si>
  <si>
    <t>Sachet  Vainilla 1,8 gr x 6</t>
  </si>
  <si>
    <t>Sachet  Caramelo 1,8 gr x 6</t>
  </si>
  <si>
    <t>Sachet  Clasico 1,8 gr x 6</t>
  </si>
  <si>
    <t>Tomate Entero Pelado 400 gr</t>
  </si>
  <si>
    <t>DE-804</t>
  </si>
  <si>
    <t>Conosur</t>
  </si>
  <si>
    <t>DE-805</t>
  </si>
  <si>
    <t>Raid 235 cc</t>
  </si>
  <si>
    <t>Raid</t>
  </si>
  <si>
    <t>C432</t>
  </si>
  <si>
    <t>Silvia Zuñiga</t>
  </si>
  <si>
    <t>C433</t>
  </si>
  <si>
    <t>Camila Pizarro</t>
  </si>
  <si>
    <t>Alcalde Hernan Prieto33</t>
  </si>
  <si>
    <t>Alcalde Hernan Prieto 33</t>
  </si>
  <si>
    <t>Limon Jengibre 10 x 2 gr</t>
  </si>
  <si>
    <t>Manzanilla Miel Vainilla 10 x 2 gr</t>
  </si>
  <si>
    <t>Manzana Canela Manzanilla 10 x 2 gr</t>
  </si>
  <si>
    <t>Miraflores</t>
  </si>
  <si>
    <t>C434</t>
  </si>
  <si>
    <t>Betty Ravillot</t>
  </si>
  <si>
    <t>Calle San Benjamin P19 Lote 3</t>
  </si>
  <si>
    <t>Camino Cerro Largo P.13</t>
  </si>
  <si>
    <t>Parcelaciòn Rinconada de El Principal</t>
  </si>
  <si>
    <t xml:space="preserve">Los Quillales S/ N </t>
  </si>
  <si>
    <t>Frente Jardin Infantil Lo Arcaya</t>
  </si>
  <si>
    <t>C435</t>
  </si>
  <si>
    <t>Fabiola Martinez</t>
  </si>
  <si>
    <t>El Cruceral I P.165</t>
  </si>
  <si>
    <t>C436</t>
  </si>
  <si>
    <t>Cecilia Howard</t>
  </si>
  <si>
    <t>Viñas del Maipo S/N</t>
  </si>
  <si>
    <t>Spa Pirque</t>
  </si>
  <si>
    <t>Cono Helado 10 Unid</t>
  </si>
  <si>
    <t>Pasta Spaguetti Nero 500 grs</t>
  </si>
  <si>
    <t xml:space="preserve">Spaghetti </t>
  </si>
  <si>
    <t>Camino El protrerillo, par 143</t>
  </si>
  <si>
    <t>PVD-111</t>
  </si>
  <si>
    <t>Viña Altos de Mujica Ltda</t>
  </si>
  <si>
    <t>99.578.570-6</t>
  </si>
  <si>
    <t>Fundo Altos de Sta Rita SN</t>
  </si>
  <si>
    <t>San Javier</t>
  </si>
  <si>
    <t>7321388</t>
  </si>
  <si>
    <t>andream210@hotmail.com</t>
  </si>
  <si>
    <t>Alimentos Bas y Asociadoss</t>
  </si>
  <si>
    <t>76.390.229-3</t>
  </si>
  <si>
    <t>CaminomPadre Hurtado Parcela 5 C</t>
  </si>
  <si>
    <t>Macarena Bas</t>
  </si>
  <si>
    <t>+56994176367</t>
  </si>
  <si>
    <t>Lomas Grande</t>
  </si>
  <si>
    <t>DE-808</t>
  </si>
  <si>
    <t>Lomo de Conejo 200 grs ( 2 Unid)</t>
  </si>
  <si>
    <t>Carnico</t>
  </si>
  <si>
    <t>14:45 - 15:30 No está</t>
  </si>
  <si>
    <t>C437</t>
  </si>
  <si>
    <t>Camila Margarit</t>
  </si>
  <si>
    <t>La Lecheria Parcela 30 San Vicente</t>
  </si>
  <si>
    <t>La mecheria Parcela 30 San Vicente</t>
  </si>
  <si>
    <t>C438</t>
  </si>
  <si>
    <t>Ana Maria Gonzalez Oñate</t>
  </si>
  <si>
    <t>Psje Ancud 667, Villorrio Sigisfredo Vit</t>
  </si>
  <si>
    <t>PVD-112</t>
  </si>
  <si>
    <t>Alimentos Bas y Asociados</t>
  </si>
  <si>
    <t>Gatitos 2 Kg</t>
  </si>
  <si>
    <t>Gato Adulto 2 Kg</t>
  </si>
  <si>
    <t>Control Peso 2 Kg</t>
  </si>
  <si>
    <t>C439</t>
  </si>
  <si>
    <t>Eugenia Arriagada</t>
  </si>
  <si>
    <t>EL Llano, Al fondo</t>
  </si>
  <si>
    <t>DE-810</t>
  </si>
  <si>
    <t>Agronova</t>
  </si>
  <si>
    <t>PVD-114</t>
  </si>
  <si>
    <t xml:space="preserve">Dino Peirano y Compañia Ltda </t>
  </si>
  <si>
    <t>89.166.500-8</t>
  </si>
  <si>
    <t>Gral . Velazquez 301 c / 5 de Abril</t>
  </si>
  <si>
    <t>Estacion Central</t>
  </si>
  <si>
    <t>C440</t>
  </si>
  <si>
    <t>Silvia Bustos</t>
  </si>
  <si>
    <t>Pique</t>
  </si>
  <si>
    <t>Paleta Serrana  ER 80 gr.</t>
  </si>
  <si>
    <t>Taco Jamon Serrano  ER 350 gr.</t>
  </si>
  <si>
    <t>Centro Jamon Serrano ER 1 Kg</t>
  </si>
  <si>
    <t>Paleta Jamon Serrana  ER + atril y cuchillo</t>
  </si>
  <si>
    <t>Pata Jamon Serrano  ER</t>
  </si>
  <si>
    <t>Pata Jamon Serrano (atril y cuchillo) ER</t>
  </si>
  <si>
    <t>Jamon Serrano  ER 80 gr.</t>
  </si>
  <si>
    <t>Jamon Serrano  ER 180 gr.</t>
  </si>
  <si>
    <t>Jamon Serrano  ER 500 gr. Atmósfera</t>
  </si>
  <si>
    <t>Pata Jamon Serrano  ER 1 Kg</t>
  </si>
  <si>
    <t>Pata Jamon Serrano  EV</t>
  </si>
  <si>
    <t>Pata Jamon Serrano  EV Ud.+ atril y cuchillo</t>
  </si>
  <si>
    <t>Jamon Serrano  EV Gran Reserva 80 gr.</t>
  </si>
  <si>
    <t>Jamon Serrano  EV Gran Reserva 180 gr.</t>
  </si>
  <si>
    <t>Jamon Serrano  Gran Reserva EV 500 gr. Atmósfera</t>
  </si>
  <si>
    <t>Pata Jamon Serrano  EV 1 Kg</t>
  </si>
  <si>
    <t>Centro Jamon Serrano  EV 1 Kg</t>
  </si>
  <si>
    <t>Paleta Iberica de Cebo  EN 70 gr.</t>
  </si>
  <si>
    <t>Paleta Iberica de Cebo  EN + atril y cuchillo</t>
  </si>
  <si>
    <t>Centro Paleta Iberica de Cebo  EN 1 Kg</t>
  </si>
  <si>
    <t>Jamon Iberico de Cebo  EN 70 gr. Corte cuchillo</t>
  </si>
  <si>
    <t>Pata Jamon Iberico de Cebo  EN</t>
  </si>
  <si>
    <t>Pata Jamon Iberico de Cebo  EN + atril y cuchillo</t>
  </si>
  <si>
    <t>Jamon Iberico de Cebo  EN 500 gr. Atmósfera</t>
  </si>
  <si>
    <t>Panceta Natural Curada  180 gr.</t>
  </si>
  <si>
    <t>Panceta Natural Curada  500 gr. Bolsa</t>
  </si>
  <si>
    <t>Panceta Natural Curada  pieza granel 1 Kg</t>
  </si>
  <si>
    <t>Chorizo Sarta  ER 240 gr.</t>
  </si>
  <si>
    <t>Chorizo Sarta  EV 240 gr.</t>
  </si>
  <si>
    <t>Chorizo Vela  80 gr.</t>
  </si>
  <si>
    <t>Chorizo Vela  pieza 1 Kg</t>
  </si>
  <si>
    <t>Espetec  150 gr.</t>
  </si>
  <si>
    <t>Fuet  Unidad 240 gr.</t>
  </si>
  <si>
    <t>Lomo Embuchado  80 gr.</t>
  </si>
  <si>
    <t>Lomo Embuchado  pieza 1 Kg</t>
  </si>
  <si>
    <t>Salami a la Pimienta  50 gr.</t>
  </si>
  <si>
    <t>Salami  50 gr.</t>
  </si>
  <si>
    <t>Salchichon Vela  80 gr.</t>
  </si>
  <si>
    <t>Surtido Serrano  200 gr. (Chorizo, Salchichón y Lomo)</t>
  </si>
  <si>
    <t>Tapa Express  Chorizo Vela</t>
  </si>
  <si>
    <t>Tapa Express  Lomo Embuchado</t>
  </si>
  <si>
    <t>Tapa Express  Salchichon Vela</t>
  </si>
  <si>
    <t>Tapa Express  Jamon Serrano</t>
  </si>
  <si>
    <t>Tabla Serrana  - Chorizo, Salchichón y Jamon Serrano (40 gr. c/uno)</t>
  </si>
  <si>
    <t>Salchichon Vela  pieza 1 Kg</t>
  </si>
  <si>
    <t>Salami  Pieza 1 Kg</t>
  </si>
  <si>
    <t xml:space="preserve">Chorizo Vela Iberico pieza 1 Kg </t>
  </si>
  <si>
    <t>Lomo Embuchado Iberico  pieza 1 Kg</t>
  </si>
  <si>
    <t>Surtido Iberico  200 gr. Chorizo, Salchichón y Lomo (66 gr. c/uno)</t>
  </si>
  <si>
    <t>Chorizo Vela Iberico  EN 70 gr.</t>
  </si>
  <si>
    <t>Lomo Embuchado Iberico  EN 70 gr.</t>
  </si>
  <si>
    <t>Salchichon Vela Iberico EN pieza 1 Kg</t>
  </si>
  <si>
    <t>Salchichón Vela Iberico  EN 70 gr.</t>
  </si>
  <si>
    <t>Tabla Iberica  200 gr (Chorizo, Salchichón y Jamon Serrano)</t>
  </si>
  <si>
    <t>Butifarra  450 gr.</t>
  </si>
  <si>
    <t>Butifarreta  250 gr.</t>
  </si>
  <si>
    <t>Chistorra  250 gr.</t>
  </si>
  <si>
    <t>Chorizo Criollo  450 gr.</t>
  </si>
  <si>
    <t>Chorizo Riojano  450 gr.</t>
  </si>
  <si>
    <t>Chorizo Segoviano  400 gr.</t>
  </si>
  <si>
    <t>Diablitos Picantes  400 gr.</t>
  </si>
  <si>
    <t>Longanicilla Casera  400 gr.</t>
  </si>
  <si>
    <t>Longaniza Parrillera  450 gr.</t>
  </si>
  <si>
    <t>Longanicilla de Campo  250 gr.</t>
  </si>
  <si>
    <t>Rosario Parrillero  400 gr.</t>
  </si>
  <si>
    <t>Surtido Parrillero  500 gr.</t>
  </si>
  <si>
    <t>Surtido Parrillero  1 kg.</t>
  </si>
  <si>
    <t>Tapa de Queso Tres Leches y mini bastones camperos</t>
  </si>
  <si>
    <t>Queso Oveja Gran Reserva  (8 meses, Pieza  3,2 kg. aprox)</t>
  </si>
  <si>
    <t>Queso Oveja Semicurado (3-6M)  Pieza ud.</t>
  </si>
  <si>
    <t>Queso de Oveja Semicurado (3-6M)  Cuña 150 gr.</t>
  </si>
  <si>
    <t>Queso Cabra  Pieza Unidad (3,1 kg. aprox.)</t>
  </si>
  <si>
    <t>Queso Cabra  Cuña 150 gr.</t>
  </si>
  <si>
    <t>Queso Tres Leches  Cuña 150 gr.</t>
  </si>
  <si>
    <t>Queso Tres Leches Madurado en Aceite de Oliva  Cuña 150 gr.</t>
  </si>
  <si>
    <t>Tabla Queso  Oveja 3 Meses y  Lomo Embuchado 150 gr.</t>
  </si>
  <si>
    <t>Tabla Queso  Tres Leches y Jamón Serrano 150 gr.</t>
  </si>
  <si>
    <t>Queso Tres Leches  Pieza 1 Kg</t>
  </si>
  <si>
    <t>Tarrina de Anchoas L´Escala en aceite 100 filetes (700/500 grs)</t>
  </si>
  <si>
    <t>Tarrina de Boquerones L´Escala en aceite 120 filetes (700/500 grs)</t>
  </si>
  <si>
    <t>Iberitos Jamón Pierna Pack 3x25g</t>
  </si>
  <si>
    <t>Iberitos Jamón Serrano Pack 3x25g - caja</t>
  </si>
  <si>
    <t>Iberitos Paté Pack 3x25g - caja</t>
  </si>
  <si>
    <t>Aceite de Oliva Extra Virgen  Bidón 5 lt.</t>
  </si>
  <si>
    <t>Mini Bastones al Aceite de Oliva  50 gr.</t>
  </si>
  <si>
    <t>Arroz Bomba  1 kg.</t>
  </si>
  <si>
    <t>Arroz Valencia  1 kg.</t>
  </si>
  <si>
    <t>Turron  de Maní 200 gr.</t>
  </si>
  <si>
    <t>Turron  de Chocolate Crujiente 200 gr.</t>
  </si>
  <si>
    <t>Turron  de Yema Tostada 200 gr.</t>
  </si>
  <si>
    <t>Turron  de Almendra Blando 200 gr.</t>
  </si>
  <si>
    <t>Turron  de Almendra Duro 200 gr.</t>
  </si>
  <si>
    <t>Turron  de Chocolate con Almendras 200 gr.</t>
  </si>
  <si>
    <t>Sangria con Gas  Pet 1,5 LT</t>
  </si>
  <si>
    <t>DE-811</t>
  </si>
  <si>
    <t>DE-812</t>
  </si>
  <si>
    <t>DE-813</t>
  </si>
  <si>
    <t>DE-814</t>
  </si>
  <si>
    <t>DE-815</t>
  </si>
  <si>
    <t>DE-816</t>
  </si>
  <si>
    <t>DE-817</t>
  </si>
  <si>
    <t>DE-818</t>
  </si>
  <si>
    <t>DE-819</t>
  </si>
  <si>
    <t>DE-820</t>
  </si>
  <si>
    <t>DE-821</t>
  </si>
  <si>
    <t>DE-822</t>
  </si>
  <si>
    <t>DE-823</t>
  </si>
  <si>
    <t>DE-824</t>
  </si>
  <si>
    <t>DE-825</t>
  </si>
  <si>
    <t>DE-826</t>
  </si>
  <si>
    <t>DE-827</t>
  </si>
  <si>
    <t>DE-828</t>
  </si>
  <si>
    <t>DE-829</t>
  </si>
  <si>
    <t>DE-830</t>
  </si>
  <si>
    <t>DE-831</t>
  </si>
  <si>
    <t>DE-832</t>
  </si>
  <si>
    <t>DE-833</t>
  </si>
  <si>
    <t>DE-834</t>
  </si>
  <si>
    <t>DE-835</t>
  </si>
  <si>
    <t>DE-836</t>
  </si>
  <si>
    <t>DE-837</t>
  </si>
  <si>
    <t>DE-838</t>
  </si>
  <si>
    <t>DE-839</t>
  </si>
  <si>
    <t>DE-840</t>
  </si>
  <si>
    <t>DE-841</t>
  </si>
  <si>
    <t>DE-842</t>
  </si>
  <si>
    <t>DE-843</t>
  </si>
  <si>
    <t>DE-844</t>
  </si>
  <si>
    <t>DE-845</t>
  </si>
  <si>
    <t>DE-846</t>
  </si>
  <si>
    <t>DE-847</t>
  </si>
  <si>
    <t>DE-848</t>
  </si>
  <si>
    <t>DE-849</t>
  </si>
  <si>
    <t>DE-850</t>
  </si>
  <si>
    <t>DE-851</t>
  </si>
  <si>
    <t>DE-852</t>
  </si>
  <si>
    <t>DE-853</t>
  </si>
  <si>
    <t>DE-854</t>
  </si>
  <si>
    <t>DE-855</t>
  </si>
  <si>
    <t>DE-856</t>
  </si>
  <si>
    <t>DE-857</t>
  </si>
  <si>
    <t>DE-858</t>
  </si>
  <si>
    <t>DE-859</t>
  </si>
  <si>
    <t>DE-860</t>
  </si>
  <si>
    <t>DE-861</t>
  </si>
  <si>
    <t>DE-862</t>
  </si>
  <si>
    <t>DE-863</t>
  </si>
  <si>
    <t>DE-864</t>
  </si>
  <si>
    <t>DE-865</t>
  </si>
  <si>
    <t>DE-866</t>
  </si>
  <si>
    <t>DE-867</t>
  </si>
  <si>
    <t>DE-868</t>
  </si>
  <si>
    <t>DE-869</t>
  </si>
  <si>
    <t>DE-870</t>
  </si>
  <si>
    <t>DE-871</t>
  </si>
  <si>
    <t>DE-872</t>
  </si>
  <si>
    <t>DE-873</t>
  </si>
  <si>
    <t>DE-874</t>
  </si>
  <si>
    <t>DE-875</t>
  </si>
  <si>
    <t>DE-876</t>
  </si>
  <si>
    <t>DE-877</t>
  </si>
  <si>
    <t>DE-878</t>
  </si>
  <si>
    <t>DE-879</t>
  </si>
  <si>
    <t>DE-880</t>
  </si>
  <si>
    <t>DE-881</t>
  </si>
  <si>
    <t>DE-882</t>
  </si>
  <si>
    <t>DE-883</t>
  </si>
  <si>
    <t>DE-884</t>
  </si>
  <si>
    <t>DE-885</t>
  </si>
  <si>
    <t>DE-886</t>
  </si>
  <si>
    <t>DE-887</t>
  </si>
  <si>
    <t>DE-888</t>
  </si>
  <si>
    <t>DE-889</t>
  </si>
  <si>
    <t>DE-895</t>
  </si>
  <si>
    <t>DE-896</t>
  </si>
  <si>
    <t>DE-897</t>
  </si>
  <si>
    <t>DE-898</t>
  </si>
  <si>
    <t>DE-899</t>
  </si>
  <si>
    <t>DE-900</t>
  </si>
  <si>
    <t>DE-901</t>
  </si>
  <si>
    <t>DE-902</t>
  </si>
  <si>
    <t>DE-903</t>
  </si>
  <si>
    <t>DE-904</t>
  </si>
  <si>
    <t>DE-905</t>
  </si>
  <si>
    <t>DE-906</t>
  </si>
  <si>
    <t>DE-907</t>
  </si>
  <si>
    <t>DE-908</t>
  </si>
  <si>
    <t>DE-909</t>
  </si>
  <si>
    <t>DE-910</t>
  </si>
  <si>
    <t>DE-911</t>
  </si>
  <si>
    <t>DE-912</t>
  </si>
  <si>
    <t>Salamanca Foods</t>
  </si>
  <si>
    <t>Crema de Queso Oveja 140 g</t>
  </si>
  <si>
    <t>Chorizo Criollo  400 gr.</t>
  </si>
  <si>
    <t>Chorizo Riojano  400 gr.</t>
  </si>
  <si>
    <t>Longaniza Parrillera  400 gr.</t>
  </si>
  <si>
    <t>Surtido Parrillero  400 gr.</t>
  </si>
  <si>
    <t>Chorizo Sarta  180 gr.</t>
  </si>
  <si>
    <t>Chorizo Sarta Picante  180 gr.</t>
  </si>
  <si>
    <t>Chorizo Vela  500 gr.</t>
  </si>
  <si>
    <t>Chorizo Vela  50 gr</t>
  </si>
  <si>
    <t>Salchichon Vela  50 gr</t>
  </si>
  <si>
    <t>Salchichón Vela  500 gr.</t>
  </si>
  <si>
    <t>Jamon Serrano  65 gr.</t>
  </si>
  <si>
    <t>Jamón Serrano  180 gr.</t>
  </si>
  <si>
    <t>Jamón Serrano  500 gr. Atmósfera</t>
  </si>
  <si>
    <t>Centro Jamón Serrano 1 Kg</t>
  </si>
  <si>
    <t>Toledo</t>
  </si>
  <si>
    <t>DE-913</t>
  </si>
  <si>
    <t>DE-914</t>
  </si>
  <si>
    <t>DE-915</t>
  </si>
  <si>
    <t>DE-916</t>
  </si>
  <si>
    <t>DE-917</t>
  </si>
  <si>
    <t>DE-918</t>
  </si>
  <si>
    <t>DE-919</t>
  </si>
  <si>
    <t>DE-920</t>
  </si>
  <si>
    <t>DE-921</t>
  </si>
  <si>
    <t>DE-922</t>
  </si>
  <si>
    <t>DE-923</t>
  </si>
  <si>
    <t>DE-924</t>
  </si>
  <si>
    <t>DE-925</t>
  </si>
  <si>
    <t>DE-926</t>
  </si>
  <si>
    <t>CARNICO</t>
  </si>
  <si>
    <t>Queso Gorgonzola 1,45 Kg</t>
  </si>
  <si>
    <t>Gato Pescado 3k</t>
  </si>
  <si>
    <t>MA-166</t>
  </si>
  <si>
    <t>Cono Helado Super x 180</t>
  </si>
  <si>
    <t>DE-927</t>
  </si>
  <si>
    <t>C442</t>
  </si>
  <si>
    <t>Marisol Del Carmen Fajardo Hurtado</t>
  </si>
  <si>
    <t>11.190.501-0</t>
  </si>
  <si>
    <t>AV. Carrera Pinto 693 .P Hurtado</t>
  </si>
  <si>
    <t>AV. Carrera Pinto 693. P: Hurtado</t>
  </si>
  <si>
    <t>MA-167</t>
  </si>
  <si>
    <t>Collar 48 cm</t>
  </si>
  <si>
    <t>ARTICULO</t>
  </si>
  <si>
    <t>SALUD ANIMAL</t>
  </si>
  <si>
    <t>C443</t>
  </si>
  <si>
    <t>Maria Mendez</t>
  </si>
  <si>
    <t>Uno Norte P.32 D</t>
  </si>
  <si>
    <t>Av El Romero - Colonia Kennedy - Frente Viveros Nena</t>
  </si>
  <si>
    <t>DE-928</t>
  </si>
  <si>
    <t>Queso Oveja Gran Reserva 150 gr (8-12M)</t>
  </si>
  <si>
    <t xml:space="preserve">Queso Oveja Gran Reserva 3,1 Kg (8-12M) </t>
  </si>
  <si>
    <t>C444</t>
  </si>
  <si>
    <t>Solange Franjola</t>
  </si>
  <si>
    <t>Los Quillales Parad 13 B El Chalaco</t>
  </si>
  <si>
    <t>C445</t>
  </si>
  <si>
    <t xml:space="preserve">Sitio 14 Lo Arcaya </t>
  </si>
  <si>
    <t>Sitio 14 Lo Arcaya pasado el almacen del Carmen</t>
  </si>
  <si>
    <t>Carmen Nuñez</t>
  </si>
  <si>
    <t>C446</t>
  </si>
  <si>
    <t>Raul Saez</t>
  </si>
  <si>
    <t>El Cerrillo con Macul (mano izquierda)</t>
  </si>
  <si>
    <t>El Cerrillo con Macul (Cruz Blanca al fondo porton cafe)</t>
  </si>
  <si>
    <t>C447</t>
  </si>
  <si>
    <t>Silvia Berrios</t>
  </si>
  <si>
    <t>Los Quillales c/ Camino Macul  Sitiom6</t>
  </si>
  <si>
    <t>El Cruceral I P.53</t>
  </si>
  <si>
    <t>Salsa Soya Tradicional 150 cc</t>
  </si>
  <si>
    <t>CONDIMENTO</t>
  </si>
  <si>
    <t>Salsa Soya Tradicional 500 cc</t>
  </si>
  <si>
    <t>C448</t>
  </si>
  <si>
    <t>Paulina Fierro</t>
  </si>
  <si>
    <t>Orilla de Rio P.13</t>
  </si>
  <si>
    <t>C449</t>
  </si>
  <si>
    <t>Alejandra Picasso</t>
  </si>
  <si>
    <t>C450</t>
  </si>
  <si>
    <t>Gabriela Aviles</t>
  </si>
  <si>
    <t>Doña Carmen P.10</t>
  </si>
  <si>
    <t>Cloro Tab. 1 Kg</t>
  </si>
  <si>
    <t>AS-70</t>
  </si>
  <si>
    <t>AS-71</t>
  </si>
  <si>
    <t>PISCINA</t>
  </si>
  <si>
    <t>MA-168</t>
  </si>
  <si>
    <t>Adulto Carne 18 Kgs</t>
  </si>
  <si>
    <t>Champion Dog</t>
  </si>
  <si>
    <t>MA-169</t>
  </si>
  <si>
    <t>Cachorro Carne 18 Kgs</t>
  </si>
  <si>
    <t>Adulto Carne 3 Kgs</t>
  </si>
  <si>
    <t>Com. y Serv. Adcomm Ltda</t>
  </si>
  <si>
    <t>76.377.386-8</t>
  </si>
  <si>
    <t>Camino Nos a Los Morros 1275</t>
  </si>
  <si>
    <t>San Bernardo</t>
  </si>
  <si>
    <t>Q</t>
  </si>
  <si>
    <t>C451</t>
  </si>
  <si>
    <t>Enrique Montero</t>
  </si>
  <si>
    <t>Camino La Puntilla Verde P.73</t>
  </si>
  <si>
    <t>C452</t>
  </si>
  <si>
    <t>Camila Zamorano</t>
  </si>
  <si>
    <t>KM 8 Al fondo.</t>
  </si>
  <si>
    <t>C453</t>
  </si>
  <si>
    <t>Alejandro Jorquera</t>
  </si>
  <si>
    <t>Camino La Rinconada P.47</t>
  </si>
  <si>
    <t>Los Quilyalles 1675 P 21- Loteo Las Vertientes</t>
  </si>
  <si>
    <t>Grace Moore</t>
  </si>
  <si>
    <t>Parcela 48 Isla Redonda</t>
  </si>
  <si>
    <t>C455</t>
  </si>
  <si>
    <t>C456</t>
  </si>
  <si>
    <t>Carolina Muñoz</t>
  </si>
  <si>
    <t>Camino Los Canales P 138</t>
  </si>
  <si>
    <t>DE-929</t>
  </si>
  <si>
    <t>Petti</t>
  </si>
  <si>
    <t>DE-930</t>
  </si>
  <si>
    <t>Panceta Bloque 500 grs</t>
  </si>
  <si>
    <t>DE-931</t>
  </si>
  <si>
    <t>Panceta laminada 200 grs</t>
  </si>
  <si>
    <t>DE-932</t>
  </si>
  <si>
    <t>DE-933</t>
  </si>
  <si>
    <t>DE-934</t>
  </si>
  <si>
    <t>DE-935</t>
  </si>
  <si>
    <t>DE-936</t>
  </si>
  <si>
    <t>Passata Tartufo Bco 350 grs</t>
  </si>
  <si>
    <t>DE-937</t>
  </si>
  <si>
    <t>DE-938</t>
  </si>
  <si>
    <t>Passata Picanto Jalapeño 350 grs</t>
  </si>
  <si>
    <t>DE-939</t>
  </si>
  <si>
    <t>Jugo Pomodorato Toscano 1000cc</t>
  </si>
  <si>
    <t>Passata Corposo Rustica 700 grs</t>
  </si>
  <si>
    <t>Passata Il Sublime 350 grs</t>
  </si>
  <si>
    <t>Passata Profumatto Basilico 500 grs</t>
  </si>
  <si>
    <t>Passata Zenzero / Gengibre 350 grs</t>
  </si>
  <si>
    <t>DE-940</t>
  </si>
  <si>
    <t>Passata Delicato Extrafine 700 grs</t>
  </si>
  <si>
    <t>DE-941</t>
  </si>
  <si>
    <t>Corazon de Alcachofa 2,5 k</t>
  </si>
  <si>
    <t>DE-942</t>
  </si>
  <si>
    <t>Cuartos de Alcachofa 2,5 k</t>
  </si>
  <si>
    <t>DE-943</t>
  </si>
  <si>
    <t>DE-944</t>
  </si>
  <si>
    <t>Tomate Seco Frasco 280</t>
  </si>
  <si>
    <t>DE-945</t>
  </si>
  <si>
    <t>Tomate Seco Frasco 280 grs</t>
  </si>
  <si>
    <t>DE-946</t>
  </si>
  <si>
    <t>DE-947</t>
  </si>
  <si>
    <t>MOSTAZA ROTISSEUR 200 g</t>
  </si>
  <si>
    <t>PEPINILLO POLACA - Sin Gluten 720</t>
  </si>
  <si>
    <t>Mostaza ORGANICA Dijon 210 grs</t>
  </si>
  <si>
    <t>MOSTAZA DIJON 200 cc</t>
  </si>
  <si>
    <t>RÁBANO PICANTE 145</t>
  </si>
  <si>
    <t>PEPINILLO PECERA - Sin Gluten  1550 dre.</t>
  </si>
  <si>
    <t>DE-948</t>
  </si>
  <si>
    <t>Knax</t>
  </si>
  <si>
    <t>DE-949</t>
  </si>
  <si>
    <t>Pepinilos Stacksi 720</t>
  </si>
  <si>
    <t>Hengstenberg</t>
  </si>
  <si>
    <t>MOSTAZA DIJON  F - 370 S/n Gluten</t>
  </si>
  <si>
    <t>Crema de Coco Thai 400 tarro</t>
  </si>
  <si>
    <t>Leche de Coco LIGHT 400</t>
  </si>
  <si>
    <t>Leche de Coco Thai 400</t>
  </si>
  <si>
    <t>Leche de Coco 1 Lt Tetra.</t>
  </si>
  <si>
    <t>DE-950</t>
  </si>
  <si>
    <t>Leche Coco Tarro</t>
  </si>
  <si>
    <t>Alejandro Octavio Apablaza Mella</t>
  </si>
  <si>
    <t>13.108.925-2</t>
  </si>
  <si>
    <t>Camino El Volcan 10751</t>
  </si>
  <si>
    <t>C459</t>
  </si>
  <si>
    <t>Rocio Parraguez</t>
  </si>
  <si>
    <t>La Escuela Parcela 25 Lote 4</t>
  </si>
  <si>
    <t>76.444.475-2</t>
  </si>
  <si>
    <t xml:space="preserve">Las Casa De San Vicente Lote 4 </t>
  </si>
  <si>
    <t>C461</t>
  </si>
  <si>
    <t>Camilo Sanchez</t>
  </si>
  <si>
    <t>Santa Rita 2705 parcela 24</t>
  </si>
  <si>
    <t>ADULTO 15 k</t>
  </si>
  <si>
    <t>DE-964</t>
  </si>
  <si>
    <t>Cono Artesanal Maxi 96 Unid</t>
  </si>
  <si>
    <t>DE-965</t>
  </si>
  <si>
    <t xml:space="preserve">Canastillo </t>
  </si>
  <si>
    <t>DE-966</t>
  </si>
  <si>
    <t>Rollo Largo</t>
  </si>
  <si>
    <t>DE-967</t>
  </si>
  <si>
    <t>Rollo largo</t>
  </si>
  <si>
    <t>Dulcocoroma</t>
  </si>
  <si>
    <t>DE-968</t>
  </si>
  <si>
    <t>Waffer</t>
  </si>
  <si>
    <t>DE-969</t>
  </si>
  <si>
    <t>Canastillo Borde Chocolate</t>
  </si>
  <si>
    <t>DE-970</t>
  </si>
  <si>
    <t>Rolo Corto Chocolate</t>
  </si>
  <si>
    <t>DE-971</t>
  </si>
  <si>
    <t>Barquillocopa Strd.</t>
  </si>
  <si>
    <t>DE-972</t>
  </si>
  <si>
    <t>Barquillo Copa Primavera</t>
  </si>
  <si>
    <t>DE-973</t>
  </si>
  <si>
    <t>Vaso</t>
  </si>
  <si>
    <t>DE-974</t>
  </si>
  <si>
    <t>Barquillo Galleta Super</t>
  </si>
  <si>
    <t>DE-975</t>
  </si>
  <si>
    <t>Barquillo Galleta</t>
  </si>
  <si>
    <t>DE-976</t>
  </si>
  <si>
    <t>Barquillo Cono Maxi 6 uni.</t>
  </si>
  <si>
    <t>DE-977</t>
  </si>
  <si>
    <t>Barquillo Vaso x10 uni.</t>
  </si>
  <si>
    <t>DE-978</t>
  </si>
  <si>
    <t>Sweet Roll x 80 uni.</t>
  </si>
  <si>
    <t>DE-979</t>
  </si>
  <si>
    <t>Cono Maxi Super Premium x 8 uni.</t>
  </si>
  <si>
    <t>DE-980</t>
  </si>
  <si>
    <t>Canastillo Premium</t>
  </si>
  <si>
    <t>DE-981</t>
  </si>
  <si>
    <t>Wffer Premium x20</t>
  </si>
  <si>
    <t>DE-982</t>
  </si>
  <si>
    <t>Cono Artesanal Sleeve Generico</t>
  </si>
  <si>
    <t>DE-983</t>
  </si>
  <si>
    <t>Cono Artesanal largo Sleeve Generico</t>
  </si>
  <si>
    <t>18069,7</t>
  </si>
  <si>
    <t>DE-984</t>
  </si>
  <si>
    <t>Gin London N°1</t>
  </si>
  <si>
    <t>London N°1</t>
  </si>
  <si>
    <t>DE-985</t>
  </si>
  <si>
    <t>Gin Wellinton 700 40 °</t>
  </si>
  <si>
    <t>Wellington</t>
  </si>
  <si>
    <t>DE-986</t>
  </si>
  <si>
    <t>Gin MOM 39,5 °</t>
  </si>
  <si>
    <t>MOM</t>
  </si>
  <si>
    <t>DE-987</t>
  </si>
  <si>
    <t>Sour Maracuya 14° 1 Litro</t>
  </si>
  <si>
    <t>Montesierpe</t>
  </si>
  <si>
    <t>DE-988</t>
  </si>
  <si>
    <t>DE-989</t>
  </si>
  <si>
    <t>Aguardiente 42° 2 litro</t>
  </si>
  <si>
    <t>DE-990</t>
  </si>
  <si>
    <t>Brandy 36° 700 ml</t>
  </si>
  <si>
    <t>Soberano</t>
  </si>
  <si>
    <t>DE-991</t>
  </si>
  <si>
    <t>Agua Tonica 200 Ml</t>
  </si>
  <si>
    <t>Brivit</t>
  </si>
  <si>
    <t>DE-992</t>
  </si>
  <si>
    <t>Amargo angostura 44,7°</t>
  </si>
  <si>
    <t>Angostura</t>
  </si>
  <si>
    <t>C462</t>
  </si>
  <si>
    <t>Denissa Contreras</t>
  </si>
  <si>
    <t>Camino El Huingan parcela 5</t>
  </si>
  <si>
    <t>Sour Limon 14° 1 Litro</t>
  </si>
  <si>
    <t>Camino La Nogalada Lote C1</t>
  </si>
  <si>
    <t>Loteo La Esperanza parcela 18</t>
  </si>
  <si>
    <t>DE-993</t>
  </si>
  <si>
    <t>Cono Artesanal Maxi Super Sleevs Generico</t>
  </si>
  <si>
    <t>Dulcooroma</t>
  </si>
  <si>
    <t>DE-994</t>
  </si>
  <si>
    <t>Cono Artesanal Clasico</t>
  </si>
  <si>
    <t>DE-995</t>
  </si>
  <si>
    <t>Cono Artesanal Largo</t>
  </si>
  <si>
    <t>DE-996</t>
  </si>
  <si>
    <t>Cono Artesanal Mini</t>
  </si>
  <si>
    <t>DE-997</t>
  </si>
  <si>
    <t>Cono Artesanal Maxi</t>
  </si>
  <si>
    <t>DE-998</t>
  </si>
  <si>
    <t>Cono Artesanal Maxi Super</t>
  </si>
  <si>
    <t>DE-999</t>
  </si>
  <si>
    <t>Cono Artesanal Super</t>
  </si>
  <si>
    <t>DE-1000</t>
  </si>
  <si>
    <t xml:space="preserve">Cono Artesanal Clasico  </t>
  </si>
  <si>
    <t>DE-1001</t>
  </si>
  <si>
    <t>C463</t>
  </si>
  <si>
    <t>Sr de Las Paltas</t>
  </si>
  <si>
    <t>El Cerrillo SN</t>
  </si>
  <si>
    <t>DE-1002</t>
  </si>
  <si>
    <t>Soya 500 Premium</t>
  </si>
  <si>
    <t>C464</t>
  </si>
  <si>
    <t>Ma Ignacia Monje</t>
  </si>
  <si>
    <t>Ocho Poniente 2201</t>
  </si>
  <si>
    <t>C465</t>
  </si>
  <si>
    <t>Marianne Van Helden</t>
  </si>
  <si>
    <t>Camino Cerro Largo par 20 Rinconada</t>
  </si>
  <si>
    <t>C466</t>
  </si>
  <si>
    <t>Pilar Poblete</t>
  </si>
  <si>
    <t>R. Suvercaseaux, Camino San Benjamin parcela 6</t>
  </si>
  <si>
    <t>C467</t>
  </si>
  <si>
    <t>Adrian Celis</t>
  </si>
  <si>
    <t>Rinconada San Vicente par 42 lote 18</t>
  </si>
  <si>
    <t>El Cruceral 1, Camino Los Pimientos par 19</t>
  </si>
  <si>
    <t>Riconada, Camino El Peumo par 64</t>
  </si>
  <si>
    <t xml:space="preserve">Rinconada </t>
  </si>
  <si>
    <t>DE-1003</t>
  </si>
  <si>
    <t>Jamon Serrano 500 grs</t>
  </si>
  <si>
    <t>Las Majadas</t>
  </si>
  <si>
    <t>Inversiones Doña Candelaria SPA</t>
  </si>
  <si>
    <t>76.536.121-4</t>
  </si>
  <si>
    <t>Avda.Francia 1541</t>
  </si>
  <si>
    <t>Osorno</t>
  </si>
  <si>
    <t>sibaritasdelmar@gmail.com</t>
  </si>
  <si>
    <t>DE-1004</t>
  </si>
  <si>
    <t>Lomo Siervo kilo</t>
  </si>
  <si>
    <t>BA-38</t>
  </si>
  <si>
    <t>Trocito salmon  500 ahumado en  frio</t>
  </si>
  <si>
    <t>DE-1006</t>
  </si>
  <si>
    <t>Slice de Salmon 500 grs ahumado en frio</t>
  </si>
  <si>
    <t>DE-1007</t>
  </si>
  <si>
    <t>Carne Jaiba 500 grs</t>
  </si>
  <si>
    <t>3,4</t>
  </si>
  <si>
    <t>DE-1008</t>
  </si>
  <si>
    <t>Filete Samon Salar pieza</t>
  </si>
  <si>
    <t>1,92</t>
  </si>
  <si>
    <t>DE-1009</t>
  </si>
  <si>
    <t>Chicha pituca</t>
  </si>
  <si>
    <t>La Consentida</t>
  </si>
  <si>
    <t>TBK / Banco</t>
  </si>
  <si>
    <t>Despachos</t>
  </si>
  <si>
    <t>Gastos</t>
  </si>
  <si>
    <t>Fecha CQ</t>
  </si>
  <si>
    <t>DE-1010</t>
  </si>
  <si>
    <t>Semola Suazo 500 rs</t>
  </si>
  <si>
    <t>C468</t>
  </si>
  <si>
    <t>Nathalie Acuña</t>
  </si>
  <si>
    <t xml:space="preserve">Claudio Matte 73 </t>
  </si>
  <si>
    <t>Claudio Matte 73 - Puente San Ramon</t>
  </si>
  <si>
    <t>C469</t>
  </si>
  <si>
    <t>Carolina Guerrero</t>
  </si>
  <si>
    <t>Cruceral Parcela 211</t>
  </si>
  <si>
    <t>C470</t>
  </si>
  <si>
    <t>Erica Bahamonde</t>
  </si>
  <si>
    <t>Avda. Parque Central 06885 Las Palmas Casa 42</t>
  </si>
  <si>
    <t>Pte Alto</t>
  </si>
  <si>
    <t>Rinconada San Vicente, parcela 27</t>
  </si>
  <si>
    <t>DE-1012</t>
  </si>
  <si>
    <t>Atun  Lomito Aceite 170 grs</t>
  </si>
  <si>
    <t>Colorado</t>
  </si>
  <si>
    <t>C471</t>
  </si>
  <si>
    <t>Claudia Koch</t>
  </si>
  <si>
    <t>La Nogalada parcela 8A</t>
  </si>
  <si>
    <t>DE-1013</t>
  </si>
  <si>
    <t>Loncoleche</t>
  </si>
  <si>
    <t>DE-1014</t>
  </si>
  <si>
    <t>levadura 10 x 10gr</t>
  </si>
  <si>
    <t>Lefersa</t>
  </si>
  <si>
    <t>Leche Sin Lactosa caja x12 unidades</t>
  </si>
  <si>
    <t>C472</t>
  </si>
  <si>
    <t>Los Pimientos par 20, El Cruceral</t>
  </si>
  <si>
    <t>Patricia Perez</t>
  </si>
  <si>
    <t>DE-1015</t>
  </si>
  <si>
    <t>Castañas Tostadas 60 grs</t>
  </si>
  <si>
    <t>Blue Dragoon</t>
  </si>
  <si>
    <t>Joelle Buyse</t>
  </si>
  <si>
    <t xml:space="preserve">Rinaconada El Principal, par 161B </t>
  </si>
  <si>
    <t>Rinconada El Principal, par 161B</t>
  </si>
  <si>
    <t>C473</t>
  </si>
  <si>
    <t>Angela Aviles</t>
  </si>
  <si>
    <t>Loteo Doña Carmen,  Alcalde H. Prieto 220, par 10</t>
  </si>
  <si>
    <t>Loteo Doña Carmen, Alcalde H. Prieto 220, par 10</t>
  </si>
  <si>
    <t>Orden Principal</t>
  </si>
  <si>
    <t>Soc. Conc. Autopista Aconcagua S.A.</t>
  </si>
  <si>
    <t>96.820.630-3</t>
  </si>
  <si>
    <t>La Rosenda Spa</t>
  </si>
  <si>
    <t>76.678.134-9</t>
  </si>
  <si>
    <t>Adm. de Super. Hiper Ltda</t>
  </si>
  <si>
    <t>76.134.941-4</t>
  </si>
  <si>
    <t>C474</t>
  </si>
  <si>
    <t>Gonzalo Quintanilla</t>
  </si>
  <si>
    <t>Los QUillayes, sitio 6 esquina Macul</t>
  </si>
  <si>
    <t>Los Quillayes, sitio 6 esquina Macul</t>
  </si>
  <si>
    <t>Camino El Carmen cruce Santa Rita</t>
  </si>
  <si>
    <t>Monica Aedo</t>
  </si>
  <si>
    <t>Los Silos P.10 Lote 2 entrar x Lipigas</t>
  </si>
  <si>
    <t>Los Silos par 10 Lote 2 entrar x Lipigas</t>
  </si>
  <si>
    <t>C475</t>
  </si>
  <si>
    <t>Jose Miguel Gaete</t>
  </si>
  <si>
    <t>El Cruceral par 98</t>
  </si>
  <si>
    <t>DE-1016</t>
  </si>
  <si>
    <t>Paleta serrana 80 grs E Roja</t>
  </si>
  <si>
    <t>DE-1017</t>
  </si>
  <si>
    <t>DE-1018</t>
  </si>
  <si>
    <t>DE-1019</t>
  </si>
  <si>
    <t>Aceto Balsamico Blanco</t>
  </si>
  <si>
    <t>DE-1020</t>
  </si>
  <si>
    <t>VESU</t>
  </si>
  <si>
    <t>C476</t>
  </si>
  <si>
    <t>Jose Gonzalez Salinas</t>
  </si>
  <si>
    <t>Loteo Terranova, parcela 30</t>
  </si>
  <si>
    <t>C477</t>
  </si>
  <si>
    <t>karina Palma</t>
  </si>
  <si>
    <t>Las Parcelas lote 3</t>
  </si>
  <si>
    <t>Las Parcelas, lote 3</t>
  </si>
  <si>
    <t>DE-1021</t>
  </si>
  <si>
    <t>Agua Tonica Low Calories</t>
  </si>
  <si>
    <t>Britvic</t>
  </si>
  <si>
    <t>DE-1022</t>
  </si>
  <si>
    <t>Gingel Ale 200 ml</t>
  </si>
  <si>
    <t>Brisas del Raco, par 6</t>
  </si>
  <si>
    <t>C478</t>
  </si>
  <si>
    <t>Hugo Palma</t>
  </si>
  <si>
    <t>Villorrio El Olivar, Psje El Arrallan 854</t>
  </si>
  <si>
    <t>Villorrio El Olivar, psje El Arrallan 854</t>
  </si>
  <si>
    <t>Leche Entera</t>
  </si>
  <si>
    <t>Colun</t>
  </si>
  <si>
    <t>78.998.410-7</t>
  </si>
  <si>
    <t>Carrascal 5574</t>
  </si>
  <si>
    <t>Alejandro Solis</t>
  </si>
  <si>
    <t>+56982095284</t>
  </si>
  <si>
    <t>40</t>
  </si>
  <si>
    <t>Import. Export Distribuidora Universal Ltda</t>
  </si>
  <si>
    <t>DE-1023</t>
  </si>
  <si>
    <t>ROSS</t>
  </si>
  <si>
    <t>DE-1024</t>
  </si>
  <si>
    <t>C479</t>
  </si>
  <si>
    <t>Guisselle Contreras</t>
  </si>
  <si>
    <t>Camino Macul, Haras Chevaley par3 B</t>
  </si>
  <si>
    <t>Camino Macul, Haras Chevaly par 3B</t>
  </si>
  <si>
    <t>Cachorro 15 kg 28/17</t>
  </si>
  <si>
    <t>C480</t>
  </si>
  <si>
    <t>Importadora Exportadora y Comercializadora D&amp;M SPA</t>
  </si>
  <si>
    <t>76582729-9</t>
  </si>
  <si>
    <t>Alvaro Belmar</t>
  </si>
  <si>
    <t>Apoquindo 6410 Of 506</t>
  </si>
  <si>
    <t>Los Almendros par 8</t>
  </si>
  <si>
    <t>Adulto LB 15 Kg</t>
  </si>
  <si>
    <t>DE-1025</t>
  </si>
  <si>
    <t>Tomate Gran Trito 4,1 k</t>
  </si>
  <si>
    <t>MA-172</t>
  </si>
  <si>
    <t>Cobranza</t>
  </si>
  <si>
    <t>Ruta:</t>
  </si>
  <si>
    <t>Fecha:</t>
  </si>
  <si>
    <t># NC</t>
  </si>
  <si>
    <t># NV</t>
  </si>
  <si>
    <t># Factura</t>
  </si>
  <si>
    <t># Boleta</t>
  </si>
  <si>
    <t>OC03</t>
  </si>
  <si>
    <t>C481</t>
  </si>
  <si>
    <t>Oscar Benavides</t>
  </si>
  <si>
    <t>Rinconada El Principal, par 13 orilla de rio</t>
  </si>
  <si>
    <t>Comercial Chile Papeles SPA</t>
  </si>
  <si>
    <t>Apoquindo 6410 of 605</t>
  </si>
  <si>
    <t>9 8505 6624</t>
  </si>
  <si>
    <t>AS-72</t>
  </si>
  <si>
    <t>Toalla prepicada 2R verde</t>
  </si>
  <si>
    <t>C482</t>
  </si>
  <si>
    <t>Mariela Pinar</t>
  </si>
  <si>
    <t>La Esperanza SN</t>
  </si>
  <si>
    <t>C483</t>
  </si>
  <si>
    <t>Isidora de la Cruz</t>
  </si>
  <si>
    <t>La Nogalada par 9 km1</t>
  </si>
  <si>
    <t>La Nogalada par 9 km 1</t>
  </si>
  <si>
    <t>PVD-113</t>
  </si>
  <si>
    <t>PVD-115</t>
  </si>
  <si>
    <t>PVD-116</t>
  </si>
  <si>
    <t>PVD-117</t>
  </si>
  <si>
    <t>PVD-118</t>
  </si>
  <si>
    <t>PVD-119</t>
  </si>
  <si>
    <t>PVD-120</t>
  </si>
  <si>
    <t>PVD-121</t>
  </si>
  <si>
    <t>Senior 8 Kg</t>
  </si>
  <si>
    <t>C484</t>
  </si>
  <si>
    <t>Rinconada El Principal, El Litral  par 147</t>
  </si>
  <si>
    <t xml:space="preserve">Fabiola Moya </t>
  </si>
  <si>
    <t>PVD-123</t>
  </si>
  <si>
    <t>99.552.380-9</t>
  </si>
  <si>
    <t>Los Alerces 32130</t>
  </si>
  <si>
    <t>Nuñoa</t>
  </si>
  <si>
    <t>Francini</t>
  </si>
  <si>
    <t>AS-73</t>
  </si>
  <si>
    <t>C485</t>
  </si>
  <si>
    <t>Patricia Amand de Mandieta</t>
  </si>
  <si>
    <t>Km 8 primera parcela mano izquierda</t>
  </si>
  <si>
    <t>C486</t>
  </si>
  <si>
    <t>Carolina Vicuña</t>
  </si>
  <si>
    <t>Valle El Principal par 1004</t>
  </si>
  <si>
    <t>C487</t>
  </si>
  <si>
    <t>Marianne Hucke</t>
  </si>
  <si>
    <t>Camino La Esperanza s/n Santa Rita</t>
  </si>
  <si>
    <t>C488</t>
  </si>
  <si>
    <t>Rinconada El Principal, camino Isla Redonda  par 96</t>
  </si>
  <si>
    <t>Trinidad Siviragol</t>
  </si>
  <si>
    <t>C490</t>
  </si>
  <si>
    <t>Matias Moreno</t>
  </si>
  <si>
    <t>Fundo Santa Julia de Viluco</t>
  </si>
  <si>
    <t>Chat Matute Paine</t>
  </si>
  <si>
    <t>Cristalerias Chile SA</t>
  </si>
  <si>
    <t>90.331.000-6</t>
  </si>
  <si>
    <t>Camin Melipeilla 17650</t>
  </si>
  <si>
    <t>Maipu</t>
  </si>
  <si>
    <t>DE-1026</t>
  </si>
  <si>
    <t>Frasco 2000cc T/O110 mm</t>
  </si>
  <si>
    <t>DE-1027</t>
  </si>
  <si>
    <t>Frasco 450 cc T/O 82 MM</t>
  </si>
  <si>
    <t>DE-1028</t>
  </si>
  <si>
    <t>Frasco 3900 cc T/O 110 mmm</t>
  </si>
  <si>
    <t>DE-1029</t>
  </si>
  <si>
    <t>Frasco 1000 cc T/O 82</t>
  </si>
  <si>
    <t>DE-1030</t>
  </si>
  <si>
    <t>Tapa 82 mm</t>
  </si>
  <si>
    <t>DE-1031</t>
  </si>
  <si>
    <t>Tapa 110 mm Blanca</t>
  </si>
  <si>
    <t>C491</t>
  </si>
  <si>
    <t>Delicia Sandoval</t>
  </si>
  <si>
    <t>Santa Amelia km 2</t>
  </si>
  <si>
    <t>OC 04</t>
  </si>
  <si>
    <t>C492</t>
  </si>
  <si>
    <t>Marcos Perez 0817</t>
  </si>
  <si>
    <t>Pablo Puño</t>
  </si>
  <si>
    <t>Inversionesny Comercial Bezeta Ltda</t>
  </si>
  <si>
    <t>76.300.718-9</t>
  </si>
  <si>
    <t xml:space="preserve">Camino el Peuco Parc. 5 ,2800 </t>
  </si>
  <si>
    <t>San Francisco De Mostazal</t>
  </si>
  <si>
    <t>MA-174</t>
  </si>
  <si>
    <t>Comida Caballo 25 k</t>
  </si>
  <si>
    <t>MA-175</t>
  </si>
  <si>
    <t>Maiz Chancado 25 k</t>
  </si>
  <si>
    <t>C493</t>
  </si>
  <si>
    <t>Omar Lagunas</t>
  </si>
  <si>
    <t>Rinconada .Camino EL Peumo Parc 81B</t>
  </si>
  <si>
    <t>n</t>
  </si>
  <si>
    <t>Clean Cat</t>
  </si>
  <si>
    <t>Carlos Vial Infante 1368, El Llano</t>
  </si>
  <si>
    <t>xxxxx</t>
  </si>
  <si>
    <t>C494</t>
  </si>
  <si>
    <t>Francisco Espinosa</t>
  </si>
  <si>
    <t>Loteo Los Quillayes parcela 4D, Macul</t>
  </si>
  <si>
    <t>Soc. Electronica Solari Ltda</t>
  </si>
  <si>
    <t>76.652.140-1</t>
  </si>
  <si>
    <t>Arena Sanitaria Cristal 1,6 Kg</t>
  </si>
  <si>
    <t xml:space="preserve">TOP K9 </t>
  </si>
  <si>
    <t>16.393.788-3</t>
  </si>
  <si>
    <t>Juan Carlos Henriquez Roman</t>
  </si>
  <si>
    <t>Blanco del Sur</t>
  </si>
  <si>
    <t>AS-76</t>
  </si>
  <si>
    <t>DE-1032</t>
  </si>
  <si>
    <t>Mozzarella Ciliegine 250 grs</t>
  </si>
  <si>
    <t>Dibufala</t>
  </si>
  <si>
    <t>C495</t>
  </si>
  <si>
    <t>Felipe Saint Jean Metzen</t>
  </si>
  <si>
    <t>Loma del Durazno, par 1036 El Valle</t>
  </si>
  <si>
    <t>C496</t>
  </si>
  <si>
    <t>Juan Jose Torres</t>
  </si>
  <si>
    <t>El Valle, camino El Golf par 1105</t>
  </si>
  <si>
    <t>C497</t>
  </si>
  <si>
    <t xml:space="preserve">Isabel Gonzalez </t>
  </si>
  <si>
    <t>Psje Mariano Latorre, Villorrio Los Alamos del Llano</t>
  </si>
  <si>
    <t>C498</t>
  </si>
  <si>
    <t>Camino San Vicente, par 16-B</t>
  </si>
  <si>
    <t>C499</t>
  </si>
  <si>
    <t>Sergio Gaete Street</t>
  </si>
  <si>
    <t>Condominio Club de Golf Las Araucarias, par 42</t>
  </si>
  <si>
    <t>Chat Paine</t>
  </si>
  <si>
    <t>C500</t>
  </si>
  <si>
    <t>Nicolas Fermandois  (Nelly esposa)</t>
  </si>
  <si>
    <t>Los Almendros, par 7 A</t>
  </si>
  <si>
    <t>C501</t>
  </si>
  <si>
    <t>Victor Rodriguez</t>
  </si>
  <si>
    <t xml:space="preserve">Sargento Menadier 0176 </t>
  </si>
  <si>
    <t>C502</t>
  </si>
  <si>
    <t>Margarita del Valle</t>
  </si>
  <si>
    <t>Villorio Santa Rita, mano izquierda al fondo</t>
  </si>
  <si>
    <t>C503</t>
  </si>
  <si>
    <t xml:space="preserve">Los Almendros Parc. 8 </t>
  </si>
  <si>
    <t xml:space="preserve"> </t>
  </si>
  <si>
    <t>C504</t>
  </si>
  <si>
    <t>Felix Rodriguez</t>
  </si>
  <si>
    <t>No indicada</t>
  </si>
  <si>
    <t>Las Vertientes</t>
  </si>
  <si>
    <t>Sann Jose De Maipo</t>
  </si>
  <si>
    <t>Cerveza lata Polaca 500 cc</t>
  </si>
  <si>
    <t>C505</t>
  </si>
  <si>
    <t>Ma Elena Ossandon</t>
  </si>
  <si>
    <t>Santa Rita 4738</t>
  </si>
  <si>
    <t>Arena Sanitaria Aglutinante 2 Kg</t>
  </si>
  <si>
    <t>C506</t>
  </si>
  <si>
    <t>Maria Sandoval</t>
  </si>
  <si>
    <t>Alameda 18A</t>
  </si>
  <si>
    <t>DE-1033</t>
  </si>
  <si>
    <t>Vinagre Rojo Org.500 cc</t>
  </si>
  <si>
    <t>De Nigris</t>
  </si>
  <si>
    <t>C507</t>
  </si>
  <si>
    <t>Gonzalo Calvo</t>
  </si>
  <si>
    <t>Ramon Subercaseux 2580</t>
  </si>
  <si>
    <t>Ramon Subercaseux 2584</t>
  </si>
  <si>
    <t>DE-1034</t>
  </si>
  <si>
    <t>Longaniza Tradicional</t>
  </si>
  <si>
    <t>Don Pedro</t>
  </si>
  <si>
    <t>DE-1035</t>
  </si>
  <si>
    <t xml:space="preserve">Longaniza Blanca </t>
  </si>
  <si>
    <t>MA-177</t>
  </si>
  <si>
    <t>Arena Sanitaria reciclable 4 kgs</t>
  </si>
  <si>
    <t>Rodamientos Brinck</t>
  </si>
  <si>
    <t>86.028.400-6</t>
  </si>
  <si>
    <t>PVD-122</t>
  </si>
  <si>
    <t>PVD-124</t>
  </si>
  <si>
    <t>PVD-125</t>
  </si>
  <si>
    <t>PVD-126</t>
  </si>
  <si>
    <t>PVD-127</t>
  </si>
  <si>
    <t>Galleta Arroz Sesamo SLIM</t>
  </si>
  <si>
    <t>Inversiones y Comercial Bezeta Ltda</t>
  </si>
  <si>
    <t>MA-178</t>
  </si>
  <si>
    <t>Razas Pequeñas Carne 1,5 Kgs</t>
  </si>
  <si>
    <t>Servilleta Restaurant Mesa 12x200 u</t>
  </si>
  <si>
    <t>Distribucion y Servicios Compomanes SA</t>
  </si>
  <si>
    <t>DE-1036</t>
  </si>
  <si>
    <t>Queso Crema Oveja Abre Facil 140g</t>
  </si>
  <si>
    <t>DE-1037</t>
  </si>
  <si>
    <t>Callos Madrileña 415 g</t>
  </si>
  <si>
    <t>DE-1038</t>
  </si>
  <si>
    <t>Fabada Asturiana 415 g</t>
  </si>
  <si>
    <t>DE-1039</t>
  </si>
  <si>
    <t>Cocido Madrileño 415 g</t>
  </si>
  <si>
    <t>DE-1040</t>
  </si>
  <si>
    <t>Lentejas con Chorizo 415 g</t>
  </si>
  <si>
    <t>DE-1041</t>
  </si>
  <si>
    <t>Pasta Boloñesa 415 g</t>
  </si>
  <si>
    <t>C508</t>
  </si>
  <si>
    <t>C509</t>
  </si>
  <si>
    <t>Herman Mayenberger</t>
  </si>
  <si>
    <t xml:space="preserve">Los Silos, Camino </t>
  </si>
  <si>
    <t>C510</t>
  </si>
  <si>
    <t>Ricardo Edwards</t>
  </si>
  <si>
    <t>Maximo Valdes parcela 1 Poniente, Sta Rita</t>
  </si>
  <si>
    <t>C511</t>
  </si>
  <si>
    <t>Sebastian Ulloa</t>
  </si>
  <si>
    <t>Las pesebreras de San Vicente</t>
  </si>
  <si>
    <t>C512</t>
  </si>
  <si>
    <t>Segundo Palma (abuelo Hugo Palma)</t>
  </si>
  <si>
    <t xml:space="preserve">Villorrio </t>
  </si>
  <si>
    <t>C513</t>
  </si>
  <si>
    <t>Barbara Rios</t>
  </si>
  <si>
    <t>Condominio La Aparicion, parcela 17-3B</t>
  </si>
  <si>
    <t>MA-179</t>
  </si>
  <si>
    <t>Comida Vaca 25 k</t>
  </si>
  <si>
    <t>P</t>
  </si>
  <si>
    <t>C514</t>
  </si>
  <si>
    <t>Claudio Berrios</t>
  </si>
  <si>
    <t>Las Bandurrias sitio 13 (200 mts a la derecha)</t>
  </si>
  <si>
    <t>C515</t>
  </si>
  <si>
    <t>Enrique Rodriguez</t>
  </si>
  <si>
    <t>Regidor Osvaldo Valenzuela 25, La Lecheria</t>
  </si>
  <si>
    <t>DE-1042</t>
  </si>
  <si>
    <t>Carne para Tacos- Frasco 400 grs</t>
  </si>
  <si>
    <t>AS-77</t>
  </si>
  <si>
    <t>Toalla 32 Mts</t>
  </si>
  <si>
    <t>Blanco Del Sur</t>
  </si>
  <si>
    <t>Alfalfa Pellet 25 k</t>
  </si>
  <si>
    <t>MA-181</t>
  </si>
  <si>
    <t>Avena Entera 25 k</t>
  </si>
  <si>
    <t>C516</t>
  </si>
  <si>
    <t>David Figueroa</t>
  </si>
  <si>
    <t>La Granja s/n (2da</t>
  </si>
  <si>
    <t>C517</t>
  </si>
  <si>
    <t>Jenny Thomas</t>
  </si>
  <si>
    <t xml:space="preserve"> Virginia Sub. 4505, Santa Virginia,  par 23</t>
  </si>
  <si>
    <t>C518</t>
  </si>
  <si>
    <t>Fernando Reyes</t>
  </si>
  <si>
    <t>Brisas del Raco par 560 A</t>
  </si>
  <si>
    <t>C519</t>
  </si>
  <si>
    <t>Eduardo Contreras</t>
  </si>
  <si>
    <t>Santa Cecilia al fondo par 3</t>
  </si>
  <si>
    <t>C520</t>
  </si>
  <si>
    <t>Pamela Perez</t>
  </si>
  <si>
    <t>Los Quillayes sitio 44</t>
  </si>
  <si>
    <t>C521</t>
  </si>
  <si>
    <t>Noelia Boved</t>
  </si>
  <si>
    <t>Calle Nueva 35-D</t>
  </si>
  <si>
    <t>C522</t>
  </si>
  <si>
    <t>Jose Manuel Rios</t>
  </si>
  <si>
    <t>Pasaje Manuel Cornejo 2649</t>
  </si>
  <si>
    <t>Villorio Santa Rita</t>
  </si>
  <si>
    <t>Santa Elena Spa</t>
  </si>
  <si>
    <t>Pedro Mauel Fernandez Urtubia</t>
  </si>
  <si>
    <t>3.425.512-1</t>
  </si>
  <si>
    <t>Dist y Serv Campomanes SA</t>
  </si>
  <si>
    <t>Com. Ibanez Ltda</t>
  </si>
  <si>
    <t>76.646.310-K</t>
  </si>
  <si>
    <t>Cooprinsem</t>
  </si>
  <si>
    <t>MA-182</t>
  </si>
  <si>
    <t>Josera</t>
  </si>
  <si>
    <t>MA-183</t>
  </si>
  <si>
    <t>MA-184</t>
  </si>
  <si>
    <t>Balance Senior 15 Kg (sin gluten)</t>
  </si>
  <si>
    <t>MA-185</t>
  </si>
  <si>
    <t>MA-186</t>
  </si>
  <si>
    <t>SUPER PREMIUM</t>
  </si>
  <si>
    <t>MA-187</t>
  </si>
  <si>
    <t>Naturecat 2 kg (sin cereales)</t>
  </si>
  <si>
    <t>MA-188</t>
  </si>
  <si>
    <t>Naturecat 10 Kg (sin cereales)</t>
  </si>
  <si>
    <t>MA-189</t>
  </si>
  <si>
    <t>MA-190</t>
  </si>
  <si>
    <t>MA-191</t>
  </si>
  <si>
    <t>Bavaro</t>
  </si>
  <si>
    <t>MA-192</t>
  </si>
  <si>
    <t>MA-193</t>
  </si>
  <si>
    <t xml:space="preserve">Regular Adulto 18 Kg </t>
  </si>
  <si>
    <t>JosiDog</t>
  </si>
  <si>
    <t>MA-194</t>
  </si>
  <si>
    <t>Family 18 Kg (Lactancia)</t>
  </si>
  <si>
    <t>MA-195</t>
  </si>
  <si>
    <t>Junior 18 Kg (Cachorros)</t>
  </si>
  <si>
    <t>MA-196</t>
  </si>
  <si>
    <t>Cuidado de Articulaciones 20 Kg 24/14</t>
  </si>
  <si>
    <t>Exportadores del Agro S:A</t>
  </si>
  <si>
    <t>95.891.000-2</t>
  </si>
  <si>
    <t>AVDA. SENADOR JAIME GUZMAN E n°3180</t>
  </si>
  <si>
    <t>Renca</t>
  </si>
  <si>
    <t>Carlos Mardones</t>
  </si>
  <si>
    <t>DE-1043</t>
  </si>
  <si>
    <t>Porotos Tortola</t>
  </si>
  <si>
    <t>Agroprodex</t>
  </si>
  <si>
    <t>DE-1044</t>
  </si>
  <si>
    <t>Poroto Hayado IMP:</t>
  </si>
  <si>
    <t>DE-1045</t>
  </si>
  <si>
    <t>Poroto Rojo ( RED KINDLEY)</t>
  </si>
  <si>
    <t>DE-1046</t>
  </si>
  <si>
    <t>Poroto negro</t>
  </si>
  <si>
    <t>DE-1047</t>
  </si>
  <si>
    <t xml:space="preserve">Poroto Coscorron </t>
  </si>
  <si>
    <t>DE-1048</t>
  </si>
  <si>
    <t>Lenteja Laird</t>
  </si>
  <si>
    <t>DE-1049</t>
  </si>
  <si>
    <t>Arvejas Verdes Partidas</t>
  </si>
  <si>
    <t>DE-1050</t>
  </si>
  <si>
    <t>Garbanzo Mediano Pelado</t>
  </si>
  <si>
    <t>DE-1051</t>
  </si>
  <si>
    <t>Arroz G1 Nacional</t>
  </si>
  <si>
    <t>Agrorpodex</t>
  </si>
  <si>
    <t>DE-1052</t>
  </si>
  <si>
    <t>DE-1053</t>
  </si>
  <si>
    <t>Arroz Integral</t>
  </si>
  <si>
    <t>DE-1054</t>
  </si>
  <si>
    <t xml:space="preserve">Arroz Parboiled </t>
  </si>
  <si>
    <t>DE-1055</t>
  </si>
  <si>
    <t>Arroz G1 Agentino</t>
  </si>
  <si>
    <t>DE-1056</t>
  </si>
  <si>
    <t>Arroz G2 Argentino</t>
  </si>
  <si>
    <t>DE-1057</t>
  </si>
  <si>
    <t>DE-1058</t>
  </si>
  <si>
    <t>DE-1059</t>
  </si>
  <si>
    <t>Harina de Maiz Amarilla</t>
  </si>
  <si>
    <t>DE-1060</t>
  </si>
  <si>
    <t>Emilia</t>
  </si>
  <si>
    <t>Piña Cubitos 565</t>
  </si>
  <si>
    <t>DE-1064</t>
  </si>
  <si>
    <t>Piñas  Cubitos Galon 3 k</t>
  </si>
  <si>
    <t>DE-1065</t>
  </si>
  <si>
    <t>Cous Cous 500 grs</t>
  </si>
  <si>
    <t>Sahara</t>
  </si>
  <si>
    <t>DE-1067</t>
  </si>
  <si>
    <t>DE-1068</t>
  </si>
  <si>
    <t>Patos Enteros</t>
  </si>
  <si>
    <t>DE-1069</t>
  </si>
  <si>
    <t>Carne de Siervo  en trozos</t>
  </si>
  <si>
    <t>5,4</t>
  </si>
  <si>
    <t>C523</t>
  </si>
  <si>
    <t>Ibañez Manriquez Lltda.</t>
  </si>
  <si>
    <t>78.785.190-8</t>
  </si>
  <si>
    <t>Hortensia Del Carmen Manriquez Molina</t>
  </si>
  <si>
    <t>7.126.717-2</t>
  </si>
  <si>
    <t>Pje Elqui 309 Sta. Rosa De Chena.</t>
  </si>
  <si>
    <t>Primera Transversal 1743</t>
  </si>
  <si>
    <t>Padre Hurtado.</t>
  </si>
  <si>
    <t>C524</t>
  </si>
  <si>
    <t xml:space="preserve">Fermin Alberto Bravo Moreno </t>
  </si>
  <si>
    <t>15.900.360-4</t>
  </si>
  <si>
    <t>Sitio N° 17</t>
  </si>
  <si>
    <t>Sitio N° 17 Culitrin</t>
  </si>
  <si>
    <t>DE-1070</t>
  </si>
  <si>
    <t>Frasco Conservero 819 cc</t>
  </si>
  <si>
    <t>BA-46</t>
  </si>
  <si>
    <t>Tapa 70 mm</t>
  </si>
  <si>
    <t>Panasonic Chile</t>
  </si>
  <si>
    <t>Pila ZC Chica AA20</t>
  </si>
  <si>
    <t>Pila ZC Mediana C24</t>
  </si>
  <si>
    <t>agricoal Siemel Ltda</t>
  </si>
  <si>
    <t>Av. El Golf 150m Piso 18</t>
  </si>
  <si>
    <t>228211800 Yesic a/ 953714526 Maria</t>
  </si>
  <si>
    <t>DE-1071</t>
  </si>
  <si>
    <t>Boladero</t>
  </si>
  <si>
    <t>C525</t>
  </si>
  <si>
    <t>Katherine Salfate</t>
  </si>
  <si>
    <t xml:space="preserve">Rinconada San Vicente, Portal del Viento, parcela 5 </t>
  </si>
  <si>
    <t>C526</t>
  </si>
  <si>
    <t>14.170.081-2</t>
  </si>
  <si>
    <t>Camino Al Volcan SN</t>
  </si>
  <si>
    <t>Gisela Esterlinda Arias</t>
  </si>
  <si>
    <t>C527</t>
  </si>
  <si>
    <t>Bercic y Cia Ltda</t>
  </si>
  <si>
    <t>78.852.750-0</t>
  </si>
  <si>
    <t>Cam.El Volcan N°9831 El Manzano</t>
  </si>
  <si>
    <t>Tetera</t>
  </si>
  <si>
    <t>BA-47</t>
  </si>
  <si>
    <t>DE-1072</t>
  </si>
  <si>
    <t>Starfood</t>
  </si>
  <si>
    <t>DE-1073</t>
  </si>
  <si>
    <t>DE-1074</t>
  </si>
  <si>
    <t>DE-1075</t>
  </si>
  <si>
    <t>Oregano</t>
  </si>
  <si>
    <t>12,5</t>
  </si>
  <si>
    <t>C528</t>
  </si>
  <si>
    <t>Alejandra Ayres</t>
  </si>
  <si>
    <t>El Cerrillo 2351 Parcela 36</t>
  </si>
  <si>
    <t>(Lado Tierra Buena)</t>
  </si>
  <si>
    <t>C529</t>
  </si>
  <si>
    <t>Correo y Comercializadora Maservicios LTda</t>
  </si>
  <si>
    <t>Alberto Blest Gana 692</t>
  </si>
  <si>
    <t>Alberto Blest gana 692</t>
  </si>
  <si>
    <t>76.072.284-7</t>
  </si>
  <si>
    <t>C530</t>
  </si>
  <si>
    <t>Eliana Gonzalez Soto</t>
  </si>
  <si>
    <t>7.299.822-7</t>
  </si>
  <si>
    <t>Avda. El Volcan N° 04845</t>
  </si>
  <si>
    <t>Pte Alto.</t>
  </si>
  <si>
    <t>C531</t>
  </si>
  <si>
    <t>Maria Igor Ojeda</t>
  </si>
  <si>
    <t>10.313.472-2</t>
  </si>
  <si>
    <t>Camino Al Volcan N° 20017</t>
  </si>
  <si>
    <t>MA-197</t>
  </si>
  <si>
    <t>Raticida Pellet 50 grs</t>
  </si>
  <si>
    <t>Klerat</t>
  </si>
  <si>
    <t>MA-198</t>
  </si>
  <si>
    <t>MA-199</t>
  </si>
  <si>
    <t>Raticida Bloque Paraf. 100 grs</t>
  </si>
  <si>
    <t>MA-200</t>
  </si>
  <si>
    <t>Raticida Bloque Paraf. 500 grs</t>
  </si>
  <si>
    <t>Raticida Pellet 500 grs</t>
  </si>
  <si>
    <t>C532</t>
  </si>
  <si>
    <t>Rodrigo Ulloa</t>
  </si>
  <si>
    <t>MA-201</t>
  </si>
  <si>
    <t>Insecticida Multi-Insecto 500 cc</t>
  </si>
  <si>
    <t>Callejon frente San Michel</t>
  </si>
  <si>
    <t>Frente San Michel</t>
  </si>
  <si>
    <t>OC 05</t>
  </si>
  <si>
    <t>2019</t>
  </si>
  <si>
    <t>PVD-128</t>
  </si>
  <si>
    <t>PVD-129</t>
  </si>
  <si>
    <t>PVD-130</t>
  </si>
  <si>
    <t>PVD-131</t>
  </si>
  <si>
    <t>PVD-132</t>
  </si>
  <si>
    <t>PVD-133</t>
  </si>
  <si>
    <t>Exportadores del Agro S.A</t>
  </si>
  <si>
    <t>Com. y Serv. Tarahuin Ltda</t>
  </si>
  <si>
    <t>DE-1077</t>
  </si>
  <si>
    <t>DE-1078</t>
  </si>
  <si>
    <t>DE-1079</t>
  </si>
  <si>
    <t>Com. La Punta Ltda</t>
  </si>
  <si>
    <t>Pate de Ternera 100 gr</t>
  </si>
  <si>
    <t>Agricola Siemel Ltda</t>
  </si>
  <si>
    <t>DE-1080</t>
  </si>
  <si>
    <t>DE-1081</t>
  </si>
  <si>
    <t>DE-1082</t>
  </si>
  <si>
    <t>Piñas Rodajas 565 grs</t>
  </si>
  <si>
    <t>DE-1083</t>
  </si>
  <si>
    <t>Piñas Trozos 565 grs</t>
  </si>
  <si>
    <t>DE-1084</t>
  </si>
  <si>
    <t>Piñas Rodajas Galon 3K</t>
  </si>
  <si>
    <t>DE-1085</t>
  </si>
  <si>
    <t>Piñas Trozos Galon 3K</t>
  </si>
  <si>
    <t>Entregado</t>
  </si>
  <si>
    <t>OC 01</t>
  </si>
  <si>
    <t>C533</t>
  </si>
  <si>
    <t>Hugo Adrian</t>
  </si>
  <si>
    <t>Ramon Subercaseaux 540 Local 2 Ex Evaristo</t>
  </si>
  <si>
    <t>Chat Matute Pirque</t>
  </si>
  <si>
    <t>C534</t>
  </si>
  <si>
    <t>Helga Nagilschmitz</t>
  </si>
  <si>
    <t>Los Quillayes 7B</t>
  </si>
  <si>
    <t>C535</t>
  </si>
  <si>
    <t>Juan Pablo Garcia</t>
  </si>
  <si>
    <t>Loteo Majadas C</t>
  </si>
  <si>
    <t>Pimienta Negra Entera 1k</t>
  </si>
  <si>
    <t>Merken 1k</t>
  </si>
  <si>
    <t>Ajo en Polvo 1k</t>
  </si>
  <si>
    <t>C536</t>
  </si>
  <si>
    <t>Katherine Gonzalez</t>
  </si>
  <si>
    <t>El valle del Principal . Loma del durazno P1075</t>
  </si>
  <si>
    <t>Matute Pirque</t>
  </si>
  <si>
    <t>C537</t>
  </si>
  <si>
    <t>Ma Jose Garcia</t>
  </si>
  <si>
    <t>Majadas C par 4</t>
  </si>
  <si>
    <t>C538</t>
  </si>
  <si>
    <t>Katherine Torres</t>
  </si>
  <si>
    <t>Las Tortolas x fuera par 2, Santa Rita</t>
  </si>
  <si>
    <t>C539</t>
  </si>
  <si>
    <t>Teresa Poblete</t>
  </si>
  <si>
    <t>San Benjamin Lote 6</t>
  </si>
  <si>
    <t>San Bejamin Lote 6</t>
  </si>
  <si>
    <t>DE-1086</t>
  </si>
  <si>
    <t>Pompeii</t>
  </si>
  <si>
    <t>DE-1087</t>
  </si>
  <si>
    <t>DE-1088</t>
  </si>
  <si>
    <t>Diomede ( 50% Robusta 50% Arabica)</t>
  </si>
  <si>
    <t>DE-1089</t>
  </si>
  <si>
    <t>Enea ( 100% Arabica )</t>
  </si>
  <si>
    <t>DE-1090</t>
  </si>
  <si>
    <t>DE-1091</t>
  </si>
  <si>
    <t>DE-1092</t>
  </si>
  <si>
    <t>DE-1093</t>
  </si>
  <si>
    <t>Capsula Poseidon (50% Robusta 50% Arabica) 10 Unid.</t>
  </si>
  <si>
    <t>DE-1094</t>
  </si>
  <si>
    <t>DE-1095</t>
  </si>
  <si>
    <t>Extra Fuerte Ulises (100% Robusta)</t>
  </si>
  <si>
    <t>Descaf. ( 50% Robusta 50% Arabica)</t>
  </si>
  <si>
    <t>Capsula Ulises (100% Robusta)10 Unid.</t>
  </si>
  <si>
    <t>Capsula Arabica ( 100% Arabica ) 10 Unid.</t>
  </si>
  <si>
    <t>C540</t>
  </si>
  <si>
    <t>Francisca Donoso</t>
  </si>
  <si>
    <t>Localidad Huelquen</t>
  </si>
  <si>
    <t>Los Loros , Hijuela N°5</t>
  </si>
  <si>
    <t>Matutes bPaine</t>
  </si>
  <si>
    <t>MA-202</t>
  </si>
  <si>
    <t>Razas Pequeñas 18 kg</t>
  </si>
  <si>
    <t>C541</t>
  </si>
  <si>
    <t>Daniel Mellado</t>
  </si>
  <si>
    <t>Henry Ferj Jure</t>
  </si>
  <si>
    <t xml:space="preserve">Santa Ignacia </t>
  </si>
  <si>
    <t>Pepinillos Polaca 720</t>
  </si>
  <si>
    <t>OC 02</t>
  </si>
  <si>
    <t>OC 03</t>
  </si>
  <si>
    <t>C542</t>
  </si>
  <si>
    <t>Marcial Romero</t>
  </si>
  <si>
    <t>Los Lirios par 26, El Cruceral</t>
  </si>
  <si>
    <t>C543</t>
  </si>
  <si>
    <t>Rosa Valdes</t>
  </si>
  <si>
    <t>Camino Macul, Haras de Chevalex parcela 3B lote 5</t>
  </si>
  <si>
    <t>Chat Datito</t>
  </si>
  <si>
    <t>C544</t>
  </si>
  <si>
    <t>Carla Valencoa</t>
  </si>
  <si>
    <t>Alcalde Hernan Prieto 122 con El Llano</t>
  </si>
  <si>
    <t>DE-1096</t>
  </si>
  <si>
    <t xml:space="preserve">Salsa Ostra Panda 255 </t>
  </si>
  <si>
    <t>DE-1097</t>
  </si>
  <si>
    <t xml:space="preserve">Soya 6x 1,9 Lts. </t>
  </si>
  <si>
    <t>Queso Oveja Maduro Bola</t>
  </si>
  <si>
    <t>PVD-134</t>
  </si>
  <si>
    <t>PVD-135</t>
  </si>
  <si>
    <t>C546</t>
  </si>
  <si>
    <t>Martha Feres</t>
  </si>
  <si>
    <t>Los Comendadores 1133</t>
  </si>
  <si>
    <t>C547</t>
  </si>
  <si>
    <t>Aquiles Guerrero</t>
  </si>
  <si>
    <t>El Valle par 1003</t>
  </si>
  <si>
    <t>Chat Rinconada</t>
  </si>
  <si>
    <t>C548</t>
  </si>
  <si>
    <t>Rodrigo Bejares</t>
  </si>
  <si>
    <t>El Valle, Loma Tendida 1096</t>
  </si>
  <si>
    <t>Javier Nuñez</t>
  </si>
  <si>
    <t>DE-1098</t>
  </si>
  <si>
    <t>Abolengo</t>
  </si>
  <si>
    <t>Servilleta Coctail 80 uni.</t>
  </si>
  <si>
    <t>C549</t>
  </si>
  <si>
    <t>Ma Jesus Arriagada</t>
  </si>
  <si>
    <t>El Cruceral, Camino del Rio parcela 198</t>
  </si>
  <si>
    <t>MA-203</t>
  </si>
  <si>
    <t>Rico</t>
  </si>
  <si>
    <t>MA-204</t>
  </si>
  <si>
    <t>Distribuidora Buin Ltda</t>
  </si>
  <si>
    <t>78.632.650-8</t>
  </si>
  <si>
    <t xml:space="preserve">Errazuriz 345 </t>
  </si>
  <si>
    <t>22812003-228212185</t>
  </si>
  <si>
    <t>DE-1099</t>
  </si>
  <si>
    <t>Jamon Praga C/Cuero 1/2 Pieza</t>
  </si>
  <si>
    <t>Bavaria</t>
  </si>
  <si>
    <t>3,2</t>
  </si>
  <si>
    <t>C550</t>
  </si>
  <si>
    <t>Ismael</t>
  </si>
  <si>
    <t>SD</t>
  </si>
  <si>
    <t>C551</t>
  </si>
  <si>
    <t>Voluntarias Hospital Damas De Rojo</t>
  </si>
  <si>
    <t>70.323.500-k</t>
  </si>
  <si>
    <t>General Parra 714</t>
  </si>
  <si>
    <t>C552</t>
  </si>
  <si>
    <t>Miguel Cabrera</t>
  </si>
  <si>
    <t>Cooperarativa BIG</t>
  </si>
  <si>
    <t>C553</t>
  </si>
  <si>
    <t>Sta Ignacia</t>
  </si>
  <si>
    <t>Alimento gato 25 k</t>
  </si>
  <si>
    <t>Alimento perro 25 k</t>
  </si>
  <si>
    <t>MA-205</t>
  </si>
  <si>
    <t>Adulto Razas Pequeñas SB 14 kg</t>
  </si>
  <si>
    <t>C554</t>
  </si>
  <si>
    <t>Minimarket Doña Olga SPA</t>
  </si>
  <si>
    <t>76.987.126-8</t>
  </si>
  <si>
    <t>Los Salinas 1955</t>
  </si>
  <si>
    <t>Soc. Serv. Automotrices Premium S.A.</t>
  </si>
  <si>
    <t>76.361.403-4</t>
  </si>
  <si>
    <t>Soc. Com San Martino Ltda</t>
  </si>
  <si>
    <t>76.788.334-K</t>
  </si>
  <si>
    <t>Com. Nova Retail Spa</t>
  </si>
  <si>
    <t>76822.752-9</t>
  </si>
  <si>
    <t>Rojas y Riquelme Ltda.</t>
  </si>
  <si>
    <t>79.575.130-0</t>
  </si>
  <si>
    <t>C555</t>
  </si>
  <si>
    <t>Patricio Olmedo</t>
  </si>
  <si>
    <t>DE-1100</t>
  </si>
  <si>
    <t xml:space="preserve">Arrollado Receta Casera </t>
  </si>
  <si>
    <t>DE-1101</t>
  </si>
  <si>
    <t>DE-1102</t>
  </si>
  <si>
    <t>Bellini</t>
  </si>
  <si>
    <t>DE-1103</t>
  </si>
  <si>
    <t>Harina de Maiz Amarilla 1k</t>
  </si>
  <si>
    <t>Harina de Maiz Blanca 1k</t>
  </si>
  <si>
    <t>Mora Santibañes y Otro Ltda</t>
  </si>
  <si>
    <t>76.293.180-K</t>
  </si>
  <si>
    <t xml:space="preserve">B´Ohiggins N° 195 </t>
  </si>
  <si>
    <t>Talagante</t>
  </si>
  <si>
    <t>228963800-228156099</t>
  </si>
  <si>
    <t>Comercial JMA SPA</t>
  </si>
  <si>
    <t>76.591.642-9</t>
  </si>
  <si>
    <t>Juan Contreras</t>
  </si>
  <si>
    <t>Avda. LO Espejo 0156 5Loc 1705</t>
  </si>
  <si>
    <t>Lo Espejo</t>
  </si>
  <si>
    <t>Erika Lanas</t>
  </si>
  <si>
    <t>Gaucho</t>
  </si>
  <si>
    <t>MA-207</t>
  </si>
  <si>
    <t>Alimento Cachorro 15 K</t>
  </si>
  <si>
    <t>MA-208</t>
  </si>
  <si>
    <t>Alimento Gato 10 K</t>
  </si>
  <si>
    <t>MA-209</t>
  </si>
  <si>
    <t>Alimento Perro 15 k</t>
  </si>
  <si>
    <t>C556</t>
  </si>
  <si>
    <t>Patricio Tapia</t>
  </si>
  <si>
    <t>El Valle, parcela 1104</t>
  </si>
  <si>
    <t>C557</t>
  </si>
  <si>
    <t>Manne Vergara</t>
  </si>
  <si>
    <t>Ramon Subercaseaux 7845, parcela La Quebrada, San Juan</t>
  </si>
  <si>
    <t>C558</t>
  </si>
  <si>
    <t>Carola Pardo</t>
  </si>
  <si>
    <t>Los Almendros, parcela 7</t>
  </si>
  <si>
    <t>C559</t>
  </si>
  <si>
    <t>Jaime Theran</t>
  </si>
  <si>
    <t>Ososrno</t>
  </si>
  <si>
    <t>DE-1104</t>
  </si>
  <si>
    <t>Aceite vegetal 500 cc</t>
  </si>
  <si>
    <t>Belmond</t>
  </si>
  <si>
    <t>C560</t>
  </si>
  <si>
    <t>Guillermo Garces</t>
  </si>
  <si>
    <t>Virginia Subercaseaux 1010</t>
  </si>
  <si>
    <t>Grupo Aranda Ltda.</t>
  </si>
  <si>
    <t>76.651.699-8</t>
  </si>
  <si>
    <t xml:space="preserve">Sitio 25 Santa Luisa </t>
  </si>
  <si>
    <t>Quintero</t>
  </si>
  <si>
    <t>Cta Crte Banco Santander 71544710</t>
  </si>
  <si>
    <t>MA-211</t>
  </si>
  <si>
    <t>Capitan</t>
  </si>
  <si>
    <t>Alimento Perro Adulto15 K</t>
  </si>
  <si>
    <t>Argentina</t>
  </si>
  <si>
    <t>MA-212</t>
  </si>
  <si>
    <t>DE-1106</t>
  </si>
  <si>
    <t xml:space="preserve">Chorito Aceite </t>
  </si>
  <si>
    <t>Agricola las Higeras Ltda</t>
  </si>
  <si>
    <t>Los Fresnos Bodega 3</t>
  </si>
  <si>
    <t>DE-1107</t>
  </si>
  <si>
    <t>Hernandez</t>
  </si>
  <si>
    <t>DE-1108</t>
  </si>
  <si>
    <t>Vinagre Tinto 1 Litro</t>
  </si>
  <si>
    <t>DE-1109</t>
  </si>
  <si>
    <t>Vinagre Blanco 1 Litro</t>
  </si>
  <si>
    <t>Hrernandez</t>
  </si>
  <si>
    <t>DE-1110</t>
  </si>
  <si>
    <t>Vinagre Tinto 1/2 Litro</t>
  </si>
  <si>
    <t>DE-1111</t>
  </si>
  <si>
    <t>Vinagre Blanco 1/2 Litro</t>
  </si>
  <si>
    <t>hernandez</t>
  </si>
  <si>
    <t>DE-1112</t>
  </si>
  <si>
    <t>DE-1113</t>
  </si>
  <si>
    <t>Vinagre Blanco 1/4 Litro</t>
  </si>
  <si>
    <t>DE-1114</t>
  </si>
  <si>
    <t>Vinagre Manzana 5 L Bidon</t>
  </si>
  <si>
    <t>DE-1115</t>
  </si>
  <si>
    <t>Vinagre Manzana 1/2 Litro</t>
  </si>
  <si>
    <t>DE-1116</t>
  </si>
  <si>
    <t>Salsa Soya 5 Litros Bid. ( Directa)</t>
  </si>
  <si>
    <t>DE-1117</t>
  </si>
  <si>
    <t>DE-1118</t>
  </si>
  <si>
    <t>Vinagre Balsamico 5 L ( Solo Pedido)</t>
  </si>
  <si>
    <t>DE-1119</t>
  </si>
  <si>
    <t xml:space="preserve">Sucedaneo Limon 5 Litros </t>
  </si>
  <si>
    <t>DE-1120</t>
  </si>
  <si>
    <t>Sucedaneo Limon 1/2 Litro</t>
  </si>
  <si>
    <t>DE-1121</t>
  </si>
  <si>
    <t>Sucedaneo Limon 1/4 Litro</t>
  </si>
  <si>
    <t>DE-1122</t>
  </si>
  <si>
    <t>Sucedaneo Limon 1 Litro</t>
  </si>
  <si>
    <t>Vinagre Bidon 5 L Tinto</t>
  </si>
  <si>
    <t>Vinagre Tinto 1/4 Litro</t>
  </si>
  <si>
    <t>DE-1123</t>
  </si>
  <si>
    <t>Vinagre Blanco 5 L Bidon</t>
  </si>
  <si>
    <t>DE-1124</t>
  </si>
  <si>
    <t>Harina de Maiz Blanca</t>
  </si>
  <si>
    <t>DE-1125</t>
  </si>
  <si>
    <t>PAN</t>
  </si>
  <si>
    <t>DE-1126</t>
  </si>
  <si>
    <t>Harina de Maiz 500 grs</t>
  </si>
  <si>
    <t>Harina de Maiz blanca / ama.1 kilo</t>
  </si>
  <si>
    <t>Naitana y Kufeke</t>
  </si>
  <si>
    <t>Ramon Subercaseux n3162 lote 12</t>
  </si>
  <si>
    <t>+569 45046646</t>
  </si>
  <si>
    <t>DE-1127</t>
  </si>
  <si>
    <t>Ciao Italia</t>
  </si>
  <si>
    <t>DE-1128</t>
  </si>
  <si>
    <t>Cannelloni de Espinaca 450 grs</t>
  </si>
  <si>
    <t>Cia Italia</t>
  </si>
  <si>
    <t>DE-1129</t>
  </si>
  <si>
    <t>Panzerotti 450 grs</t>
  </si>
  <si>
    <t>DE-1130</t>
  </si>
  <si>
    <t>Ravioli 450</t>
  </si>
  <si>
    <t>DE-1131</t>
  </si>
  <si>
    <t>Maccheroni / Bolognesa 450 g</t>
  </si>
  <si>
    <t>DE-1132</t>
  </si>
  <si>
    <t>Penne a la Carbonara 450</t>
  </si>
  <si>
    <t>DE-1133</t>
  </si>
  <si>
    <t>Crema de Zuchini 450</t>
  </si>
  <si>
    <t>DE-1134</t>
  </si>
  <si>
    <t>Minestrone 450</t>
  </si>
  <si>
    <t>DE-1135</t>
  </si>
  <si>
    <t>Crema de Pomodoro 450</t>
  </si>
  <si>
    <t xml:space="preserve">Ciao Italia </t>
  </si>
  <si>
    <t>DE-1136</t>
  </si>
  <si>
    <t>Postre Tiramisu</t>
  </si>
  <si>
    <t>DE-1137</t>
  </si>
  <si>
    <t>Postre Profiteroles</t>
  </si>
  <si>
    <t>Lasagña Bolognesa 450 grs</t>
  </si>
  <si>
    <t xml:space="preserve">Chat </t>
  </si>
  <si>
    <t>DE-1138</t>
  </si>
  <si>
    <t>Prosciutto crudo 90gr</t>
  </si>
  <si>
    <t>Cassini</t>
  </si>
  <si>
    <t>DE-1139</t>
  </si>
  <si>
    <t>Mozzarella Oveline 250 gr</t>
  </si>
  <si>
    <t>C561</t>
  </si>
  <si>
    <t>Nene Mujica</t>
  </si>
  <si>
    <t>Alcalde Hernan Prieto 6501</t>
  </si>
  <si>
    <t>Alcalde Hernan Prieto 6501 al lado</t>
  </si>
  <si>
    <t>Chat</t>
  </si>
  <si>
    <t>C562</t>
  </si>
  <si>
    <t>Carmen Pineda</t>
  </si>
  <si>
    <t>La Esperanza s/n</t>
  </si>
  <si>
    <t>C563</t>
  </si>
  <si>
    <t>Juan Jupgla</t>
  </si>
  <si>
    <t>Rinonada San Vicente, par 35</t>
  </si>
  <si>
    <t>C564</t>
  </si>
  <si>
    <t>Manuel Mellado</t>
  </si>
  <si>
    <t>El Valle del Principal</t>
  </si>
  <si>
    <t>DE-1140</t>
  </si>
  <si>
    <t>Queso Oveja Semi Maduro</t>
  </si>
  <si>
    <t>C565</t>
  </si>
  <si>
    <t>Expendio ( Sin Nombre)</t>
  </si>
  <si>
    <t>Camino El Romero S/N</t>
  </si>
  <si>
    <t>C566</t>
  </si>
  <si>
    <t>Maria Ines Gastellu</t>
  </si>
  <si>
    <t>Infusion 8 Variedades x15</t>
  </si>
  <si>
    <t>Frenos Santiago</t>
  </si>
  <si>
    <t>4.133.314-6</t>
  </si>
  <si>
    <t>Orlando Renato Henriquez Barrera</t>
  </si>
  <si>
    <t>DE-1141</t>
  </si>
  <si>
    <t>Com. e Inv. Salares Ltda</t>
  </si>
  <si>
    <t>76.388.224-1</t>
  </si>
  <si>
    <t>Ruta del Maipo Soc. Cons S.A</t>
  </si>
  <si>
    <t>96.875.230-8</t>
  </si>
  <si>
    <t>76.416.437-7</t>
  </si>
  <si>
    <t>PVD-136</t>
  </si>
  <si>
    <t>PVD-137</t>
  </si>
  <si>
    <t>PVD-138</t>
  </si>
  <si>
    <t>PVD-139</t>
  </si>
  <si>
    <t>PVD-140</t>
  </si>
  <si>
    <t>PVD-141</t>
  </si>
  <si>
    <t>PVD-142</t>
  </si>
  <si>
    <t>PVD-143</t>
  </si>
  <si>
    <t>PVD-144</t>
  </si>
  <si>
    <t>PVD-145</t>
  </si>
  <si>
    <t>PVD-146</t>
  </si>
  <si>
    <t>PVD-147</t>
  </si>
  <si>
    <t>PVD-148</t>
  </si>
  <si>
    <t>PVD-149</t>
  </si>
  <si>
    <t>DE-1142</t>
  </si>
  <si>
    <t>Atun 160 grs Agua</t>
  </si>
  <si>
    <t>O´Tuna</t>
  </si>
  <si>
    <t>fh</t>
  </si>
  <si>
    <t>Infusion Inti Zen 8 variedades x 15</t>
  </si>
  <si>
    <t>Infusion Herbal 5 variedades x 15</t>
  </si>
  <si>
    <t>Infusion Ilumine x 15</t>
  </si>
  <si>
    <t>Infusion Blanco Lychee x 15</t>
  </si>
  <si>
    <t>Infusion Inti Grey x 15</t>
  </si>
  <si>
    <t>Infusion Pampa Dulce x 15</t>
  </si>
  <si>
    <t>Bidon 10 Lts cloro piscina 10%</t>
  </si>
  <si>
    <t>Bidon 10 Lts cloro psicina 5%</t>
  </si>
  <si>
    <t>Bidon 10 Lts cloro piscina 5%</t>
  </si>
  <si>
    <t>DE-1143</t>
  </si>
  <si>
    <t>Cafe Molido Vacio 250 Tradicional</t>
  </si>
  <si>
    <t>Melitta</t>
  </si>
  <si>
    <t>DE-1144</t>
  </si>
  <si>
    <t>Cafe Molido vacio 250 Extraforte</t>
  </si>
  <si>
    <t>C567</t>
  </si>
  <si>
    <t>Diego Cañete</t>
  </si>
  <si>
    <t>Gabriela Mistral 400, Villorrio Los Alamos</t>
  </si>
  <si>
    <t>C568</t>
  </si>
  <si>
    <t>Patricia Rojas</t>
  </si>
  <si>
    <t xml:space="preserve">Sitio 18 San Vicente </t>
  </si>
  <si>
    <t>C569</t>
  </si>
  <si>
    <t>Max Riveros</t>
  </si>
  <si>
    <t>Airbnb</t>
  </si>
  <si>
    <t>C570</t>
  </si>
  <si>
    <t>Miguel Diaz</t>
  </si>
  <si>
    <t>Haras de Pirque</t>
  </si>
  <si>
    <t>DE-1145</t>
  </si>
  <si>
    <t>Cafe Extraforte 500 grs</t>
  </si>
  <si>
    <t>DE-1146</t>
  </si>
  <si>
    <t>Cafe Tradicional 500 grs</t>
  </si>
  <si>
    <t>Pet Center Express</t>
  </si>
  <si>
    <t>DE-1147</t>
  </si>
  <si>
    <t>Atun lomos al agua 160 grs</t>
  </si>
  <si>
    <t>Bezmalinovic</t>
  </si>
  <si>
    <t>78.223.030-1</t>
  </si>
  <si>
    <t>Ruta A133 Km 5,7 V Azapa Sucurzal Fariña N° 499 Recoleta</t>
  </si>
  <si>
    <t>Azapa</t>
  </si>
  <si>
    <t>24811159-24811179</t>
  </si>
  <si>
    <t>comercial@bezma.cl</t>
  </si>
  <si>
    <t>DE-1148</t>
  </si>
  <si>
    <t>Aceite Oliva Intenso 1 L</t>
  </si>
  <si>
    <t>Bezma</t>
  </si>
  <si>
    <t>MA-214</t>
  </si>
  <si>
    <t>Bavaro Work 18 Kg</t>
  </si>
  <si>
    <t xml:space="preserve">Bavaro Task adulto 18 Kg </t>
  </si>
  <si>
    <t>Bavaro Force Adulto y Cachorro 18 Kg  (Lactancia)</t>
  </si>
  <si>
    <t>C571</t>
  </si>
  <si>
    <t>Constanza Mujica</t>
  </si>
  <si>
    <t>Alcalde Hernan Prieto 6600</t>
  </si>
  <si>
    <t>C572</t>
  </si>
  <si>
    <t>Aldo Tapia</t>
  </si>
  <si>
    <t>Ramon Subercaseaux 5021, La Puntilla</t>
  </si>
  <si>
    <t>Virginia subercasaux 4605 parcela 13A</t>
  </si>
  <si>
    <t>Surtido de Mariscos Natural 425 gr</t>
  </si>
  <si>
    <t>DE-1149</t>
  </si>
  <si>
    <t>Surtido Mariscos Aceite 425 grs</t>
  </si>
  <si>
    <t>C573</t>
  </si>
  <si>
    <t>Pamela Avila</t>
  </si>
  <si>
    <t>Litral con la Pirca par 36, Rinconada</t>
  </si>
  <si>
    <t>C574</t>
  </si>
  <si>
    <t>Sandra Costa</t>
  </si>
  <si>
    <t>Loteo las Vertientes 1675 Parc. C</t>
  </si>
  <si>
    <t>Promedio</t>
  </si>
  <si>
    <t xml:space="preserve">,    </t>
  </si>
  <si>
    <t>Darwin Cristopher Ramirez Tapia</t>
  </si>
  <si>
    <t>Conservas Centauro SA</t>
  </si>
  <si>
    <t>81.161.500-5</t>
  </si>
  <si>
    <t>PVD-151</t>
  </si>
  <si>
    <t>PVD-152</t>
  </si>
  <si>
    <t>Adulto Razas Pequeñas SB 7,5 Kg</t>
  </si>
  <si>
    <t>DE-1150</t>
  </si>
  <si>
    <t>Carbon Quebracho Bco 2,5 k</t>
  </si>
  <si>
    <t>Fuegos de Norte</t>
  </si>
  <si>
    <t>MA-215</t>
  </si>
  <si>
    <t>Alimento Gato 0,5 k</t>
  </si>
  <si>
    <t>MA-216</t>
  </si>
  <si>
    <t>Alimento Perro 12 x 1,5K</t>
  </si>
  <si>
    <t>C576</t>
  </si>
  <si>
    <t>Eliana Pavez</t>
  </si>
  <si>
    <t>Camino El Litral, parcela 34, Rinconada</t>
  </si>
  <si>
    <t>C577</t>
  </si>
  <si>
    <t>Comercializadora de productos Agropecuarios Futrono SPA</t>
  </si>
  <si>
    <t>76.495.111-5</t>
  </si>
  <si>
    <t>San Luis de Macul N5171 N-3</t>
  </si>
  <si>
    <t>Peñalolen</t>
  </si>
  <si>
    <t>Avda San Luis de Macul N-5171 N-3</t>
  </si>
  <si>
    <t>C578</t>
  </si>
  <si>
    <t>Barbara Strobel</t>
  </si>
  <si>
    <t>Centro Yoga Pirque</t>
  </si>
  <si>
    <t>C579</t>
  </si>
  <si>
    <t>Maria Elena lepe</t>
  </si>
  <si>
    <t>Virginia Subercaseux 4980 la Puntilla</t>
  </si>
  <si>
    <t>C580</t>
  </si>
  <si>
    <t xml:space="preserve">Servicios Gastronomicos Hms </t>
  </si>
  <si>
    <t>76.268.481-0</t>
  </si>
  <si>
    <t>Café Holzer Alto Jahuel o Linderos</t>
  </si>
  <si>
    <t>DE-1152</t>
  </si>
  <si>
    <t>Aceto balsamico bidon 5lts</t>
  </si>
  <si>
    <t>C581</t>
  </si>
  <si>
    <t>Jose Aguilar</t>
  </si>
  <si>
    <t>San Vicente, sitio 11</t>
  </si>
  <si>
    <t>Alcalde Hernan Prieto 25A</t>
  </si>
  <si>
    <t>C582</t>
  </si>
  <si>
    <t>Luis Narvaes</t>
  </si>
  <si>
    <t>Loteo Santa Virginia, par 2B</t>
  </si>
  <si>
    <t>C583</t>
  </si>
  <si>
    <t>Karina Ormeño</t>
  </si>
  <si>
    <t>El Cruceral, Las Golondrinas parcela 214</t>
  </si>
  <si>
    <t>DE-1153</t>
  </si>
  <si>
    <t>Centauro</t>
  </si>
  <si>
    <t>DE-1154</t>
  </si>
  <si>
    <t>Frutillas al Jugo 570 grs.</t>
  </si>
  <si>
    <t>DE-1155</t>
  </si>
  <si>
    <t>Triple Conc Tomate 310 gr</t>
  </si>
  <si>
    <t>DE-1156</t>
  </si>
  <si>
    <t>DE-1157</t>
  </si>
  <si>
    <t>Banco2</t>
  </si>
  <si>
    <t>SII2</t>
  </si>
  <si>
    <t>Monto3</t>
  </si>
  <si>
    <t>Suma de Monto</t>
  </si>
  <si>
    <t>Estacion de Servicio Cordillera Ltda</t>
  </si>
  <si>
    <t>89.605.500-3</t>
  </si>
  <si>
    <t>Marcela Lizana</t>
  </si>
  <si>
    <t>C584</t>
  </si>
  <si>
    <t>Alejandra Hamame</t>
  </si>
  <si>
    <t>Santa Rita 2850</t>
  </si>
  <si>
    <t>Psje Andes 1534, Los Silos</t>
  </si>
  <si>
    <t>C585</t>
  </si>
  <si>
    <t>Angela Hernandez</t>
  </si>
  <si>
    <t>San Vicente, sitio 303</t>
  </si>
  <si>
    <t>C586</t>
  </si>
  <si>
    <t>Nini Scholtbach</t>
  </si>
  <si>
    <t>el Valle 1111</t>
  </si>
  <si>
    <t>DE-1158</t>
  </si>
  <si>
    <t>Queso Oveja Pecorino</t>
  </si>
  <si>
    <t>2,28</t>
  </si>
  <si>
    <t>Papel Higienico D/H 30 m 12 x 4</t>
  </si>
  <si>
    <t>Toalla Mega Rollo D/H 32 mt 15 x 1</t>
  </si>
  <si>
    <t>Toalla Domestica D/H 12 mt 12 x 2</t>
  </si>
  <si>
    <t>Toalla MegaRollo D/H 32 mt 6 x 2</t>
  </si>
  <si>
    <t>C587</t>
  </si>
  <si>
    <t>Cecilia Milos</t>
  </si>
  <si>
    <t>Virginia Subercaseaux 4605, parcela 5</t>
  </si>
  <si>
    <t>DE-1159</t>
  </si>
  <si>
    <t>Samuel Adams</t>
  </si>
  <si>
    <t>C588</t>
  </si>
  <si>
    <t>Juan Pizarro</t>
  </si>
  <si>
    <t>Loteo Santa Virginia par 38</t>
  </si>
  <si>
    <t>C589</t>
  </si>
  <si>
    <t xml:space="preserve">Divna Curcic </t>
  </si>
  <si>
    <t>Valle del Principal , par 1130</t>
  </si>
  <si>
    <t>oct</t>
  </si>
  <si>
    <t>741-0</t>
  </si>
  <si>
    <t>C590</t>
  </si>
  <si>
    <t>Lorena Sanzana</t>
  </si>
  <si>
    <t>Ramon Subercaseaux 4308, La Puntilla</t>
  </si>
  <si>
    <t>C591</t>
  </si>
  <si>
    <t>Manuel Vergara Ricci</t>
  </si>
  <si>
    <t>Virginia Subercaseaux 4175, Cruceral 2 por fuera</t>
  </si>
  <si>
    <t>Cerveza Lager 4 pack x 6</t>
  </si>
  <si>
    <t>C592</t>
  </si>
  <si>
    <t>Rogelio Castillo</t>
  </si>
  <si>
    <t>Macul, pasado Las Clarillanas</t>
  </si>
  <si>
    <t>C593</t>
  </si>
  <si>
    <t xml:space="preserve">Rene Sanchez </t>
  </si>
  <si>
    <t>C594</t>
  </si>
  <si>
    <t>Noelia Guajardo</t>
  </si>
  <si>
    <t>Villorio El Llano, psje Mariano Latorre 1743</t>
  </si>
  <si>
    <t>C595</t>
  </si>
  <si>
    <t>Juan Neira</t>
  </si>
  <si>
    <t>Loteo Terranova  par 21</t>
  </si>
  <si>
    <t>MA-218</t>
  </si>
  <si>
    <t>C596</t>
  </si>
  <si>
    <t>Leslie Mora</t>
  </si>
  <si>
    <t>Viñas del Maipo par 18</t>
  </si>
  <si>
    <t>DE-1160</t>
  </si>
  <si>
    <t>BA-48</t>
  </si>
  <si>
    <t>C597</t>
  </si>
  <si>
    <t>Juani Covarrubias</t>
  </si>
  <si>
    <t>El Cruceral 1,  par  40</t>
  </si>
  <si>
    <t>C598</t>
  </si>
  <si>
    <t>Francisco Godoy</t>
  </si>
  <si>
    <t>Las Tortolas, par 5 Santa Rita</t>
  </si>
  <si>
    <t>C599</t>
  </si>
  <si>
    <t>Tamara Chavez</t>
  </si>
  <si>
    <t>Los Almendrales, San Juan</t>
  </si>
  <si>
    <t>Chat San Juan</t>
  </si>
  <si>
    <t>C600</t>
  </si>
  <si>
    <t>Francisco Gutierrez</t>
  </si>
  <si>
    <t>Las Palomas, par 25, San Juan</t>
  </si>
  <si>
    <t>Chat whp</t>
  </si>
  <si>
    <t>C601</t>
  </si>
  <si>
    <t>Claudia Ramos</t>
  </si>
  <si>
    <t>CHAT WHP</t>
  </si>
  <si>
    <t>C602</t>
  </si>
  <si>
    <t>Benjamin Rebolledo</t>
  </si>
  <si>
    <t>Los Almendrales, sitio 57, San Juan</t>
  </si>
  <si>
    <t>Chat Whp</t>
  </si>
  <si>
    <t>C603</t>
  </si>
  <si>
    <t>Arturo Martinez</t>
  </si>
  <si>
    <t>Miel Pasteurizada 1K Polipapel</t>
  </si>
  <si>
    <t>Arroz G2 Nacional</t>
  </si>
  <si>
    <t>Arroz G2 Argentino 500 GRS</t>
  </si>
  <si>
    <t>DE-1161</t>
  </si>
  <si>
    <t>Aceite Soya 900</t>
  </si>
  <si>
    <t>DE-1162</t>
  </si>
  <si>
    <t>Aceite Maravilla 1 L</t>
  </si>
  <si>
    <t>DE-1163</t>
  </si>
  <si>
    <t>Cous cous 500 grs</t>
  </si>
  <si>
    <t>ina</t>
  </si>
  <si>
    <t>Whisky 750 cc</t>
  </si>
  <si>
    <t>MA-219</t>
  </si>
  <si>
    <t>Gato Delimix 21 Kg</t>
  </si>
  <si>
    <t xml:space="preserve">Cat Chow </t>
  </si>
  <si>
    <t>Gato Activo delicias de Pescado 8 Kg</t>
  </si>
  <si>
    <t>Cat Chow</t>
  </si>
  <si>
    <t>C604</t>
  </si>
  <si>
    <t>Antonieta Errazuriz</t>
  </si>
  <si>
    <t>Colegio Los Olivos</t>
  </si>
  <si>
    <t>C605</t>
  </si>
  <si>
    <t>Juan Navarro</t>
  </si>
  <si>
    <t>Dog Chow</t>
  </si>
  <si>
    <t>Perro Adulto Grandes y Medianos 21 Kg</t>
  </si>
  <si>
    <t>MA-222</t>
  </si>
  <si>
    <t>C606</t>
  </si>
  <si>
    <t>Luis Moyano</t>
  </si>
  <si>
    <t>Las Clarillanas, sitio 10 Camino Macul</t>
  </si>
  <si>
    <t>C607</t>
  </si>
  <si>
    <t>Marisol Larrain</t>
  </si>
  <si>
    <t>Ramon Suvercaseuax 6742, Puente Los Coipos, San Juan</t>
  </si>
  <si>
    <t>C608</t>
  </si>
  <si>
    <t>Solange Villarroel</t>
  </si>
  <si>
    <t>El Chalaco 66 B, Loteo Los Quillayes</t>
  </si>
  <si>
    <t>DE-1165</t>
  </si>
  <si>
    <t>Higienico 12 x4 x30 Mts DH</t>
  </si>
  <si>
    <t>MA-223</t>
  </si>
  <si>
    <t>Soya 1000 cc</t>
  </si>
  <si>
    <t>C609</t>
  </si>
  <si>
    <t>Patricio Jardiinero</t>
  </si>
  <si>
    <t>Rinconada</t>
  </si>
  <si>
    <t>C610</t>
  </si>
  <si>
    <t>Macarena Guzman</t>
  </si>
  <si>
    <t>Padre Hurtado 4500, Paine</t>
  </si>
  <si>
    <t>C611</t>
  </si>
  <si>
    <t>Esmeralda Riveros</t>
  </si>
  <si>
    <t>Villorrio El Llano, Gabriela Mistral 378</t>
  </si>
  <si>
    <t>DE-1166</t>
  </si>
  <si>
    <t>Queso Maduro Bola Chico</t>
  </si>
  <si>
    <t>DE-1167</t>
  </si>
  <si>
    <t>Queso Pecorino Cuña</t>
  </si>
  <si>
    <t>DE-1168</t>
  </si>
  <si>
    <t>Queso Ricoton Cuña</t>
  </si>
  <si>
    <t>Centro de Eventos Amancay, Camino El Bajo 0129</t>
  </si>
  <si>
    <t>El Canelo, San Jose</t>
  </si>
  <si>
    <t>C612</t>
  </si>
  <si>
    <t>Manuel Ponce</t>
  </si>
  <si>
    <t>El Cruceral 1 , parcela 225</t>
  </si>
  <si>
    <t>nov</t>
  </si>
  <si>
    <t>PVD-153</t>
  </si>
  <si>
    <t>C613</t>
  </si>
  <si>
    <t>Ivonne Pamela Palavecino Quinteros</t>
  </si>
  <si>
    <t>9.477.049-1</t>
  </si>
  <si>
    <t xml:space="preserve">Camino Los Pinos PC 28-A </t>
  </si>
  <si>
    <t>Puerta de Chena</t>
  </si>
  <si>
    <t>DE-1169</t>
  </si>
  <si>
    <t>Papel Higienico 12 x4 x30 Mts DH</t>
  </si>
  <si>
    <t>C614</t>
  </si>
  <si>
    <t>Elizabeth Reyes</t>
  </si>
  <si>
    <t>Santa Rita 2700, frente a Sta Margarita</t>
  </si>
  <si>
    <t>C615</t>
  </si>
  <si>
    <t>Gabriela Ordoñez</t>
  </si>
  <si>
    <t>Villorrio Los Corrales, El Castaño 11208</t>
  </si>
  <si>
    <t>C616</t>
  </si>
  <si>
    <t>Patricia Sandoval</t>
  </si>
  <si>
    <t>Villorrio El LLano</t>
  </si>
  <si>
    <t>Arroz Basmati ROYAL</t>
  </si>
  <si>
    <t>Royal</t>
  </si>
  <si>
    <t>C617</t>
  </si>
  <si>
    <t>Daniel Corro</t>
  </si>
  <si>
    <t>Rinconada del Përicipal, par 133</t>
  </si>
  <si>
    <t>Alimento Ponedora 20 k</t>
  </si>
  <si>
    <t>Bezeta</t>
  </si>
  <si>
    <t>San Vicente Lote 1 sitio 28</t>
  </si>
  <si>
    <t>Viñas del Maipo, parcela 8</t>
  </si>
  <si>
    <t>1091-1</t>
  </si>
  <si>
    <t>C618</t>
  </si>
  <si>
    <t>Paulo Rodriguez</t>
  </si>
  <si>
    <t>Loteo El Valle, Los Quillayes par 1159</t>
  </si>
  <si>
    <t>DE-1171</t>
  </si>
  <si>
    <t>Queso Oveja Feta</t>
  </si>
  <si>
    <t>DE-1172</t>
  </si>
  <si>
    <t>Queso Oveja Dulce Pote 800 bgrs</t>
  </si>
  <si>
    <t>DE-1173</t>
  </si>
  <si>
    <t xml:space="preserve">Queso Oveja Primor </t>
  </si>
  <si>
    <t>C619</t>
  </si>
  <si>
    <t>Luz Maria Streeter</t>
  </si>
  <si>
    <t>Las Palomas 10, San Juan de Pirque</t>
  </si>
  <si>
    <t>C620</t>
  </si>
  <si>
    <t>Luz Maria Ossandon</t>
  </si>
  <si>
    <t>El Llano parcela 14, casa 1</t>
  </si>
  <si>
    <t>C621</t>
  </si>
  <si>
    <t>Luz Troncozo</t>
  </si>
  <si>
    <t>Los Almendrales, Los Caballos par 8, San Juan</t>
  </si>
  <si>
    <t>Manne</t>
  </si>
  <si>
    <t>C622</t>
  </si>
  <si>
    <t>Inversiones y Comercial BEZETA Ltda.</t>
  </si>
  <si>
    <t>Camino El Peuco Parcela 5</t>
  </si>
  <si>
    <t>San Francisco Mostazal</t>
  </si>
  <si>
    <t>C623</t>
  </si>
  <si>
    <t>Lautaro Yanquez</t>
  </si>
  <si>
    <t>Ramon Subercaseuax 6742, San Juan (pasado Rocas del Padre)</t>
  </si>
  <si>
    <t>C624</t>
  </si>
  <si>
    <t>Sara Nuñez</t>
  </si>
  <si>
    <t>Doña Carmen par 36</t>
  </si>
  <si>
    <t>C625</t>
  </si>
  <si>
    <t>Patricia Zapata</t>
  </si>
  <si>
    <t>Revsita</t>
  </si>
  <si>
    <t>Luz Troncoso</t>
  </si>
  <si>
    <t>C626</t>
  </si>
  <si>
    <t>Omar Feres</t>
  </si>
  <si>
    <t>Los Comendadores, Pte Alto</t>
  </si>
  <si>
    <t>DE-1174</t>
  </si>
  <si>
    <t>Tomate Pelati Visciano 6 x 2,5k</t>
  </si>
  <si>
    <t>Visciano</t>
  </si>
  <si>
    <t>DE-1175</t>
  </si>
  <si>
    <t>Dulcor</t>
  </si>
  <si>
    <t>DE-1176</t>
  </si>
  <si>
    <t>DE-1177</t>
  </si>
  <si>
    <t>Coctail Fruta 820 grs</t>
  </si>
  <si>
    <t>Lenteja Imp. 6mm b 25 k</t>
  </si>
  <si>
    <t>Frejol Nac. Tortola  25 k</t>
  </si>
  <si>
    <t>Frejol Imp. Rojo 25 k</t>
  </si>
  <si>
    <t>Frejol Imp. Hallado 25 k</t>
  </si>
  <si>
    <t>Frejol Imp. Negro 25 k</t>
  </si>
  <si>
    <t>Frejol Coscorron Alubia Bca 25 k</t>
  </si>
  <si>
    <t>Miel Pasteurizada Frasco 500 grs</t>
  </si>
  <si>
    <t>Tomate Trito Fco.12 x520 grs</t>
  </si>
  <si>
    <t>Tomate Trito Fco. 960 grs</t>
  </si>
  <si>
    <t>C627</t>
  </si>
  <si>
    <t>Los Silos, Los Acacios</t>
  </si>
  <si>
    <t>Juan Elola</t>
  </si>
  <si>
    <t>PROVEEDORES</t>
  </si>
  <si>
    <t>Pepinillos KNAX 370 ml</t>
  </si>
  <si>
    <t>Pansari</t>
  </si>
  <si>
    <t>Blue Dragon</t>
  </si>
  <si>
    <t>DE-1178</t>
  </si>
  <si>
    <t>Pasta de arroz Lasagña 250grs</t>
  </si>
  <si>
    <t>Sopa Cup-Pollo 65 grs</t>
  </si>
  <si>
    <t>DE-1179</t>
  </si>
  <si>
    <t>Sopa Cup-carne 65 grs</t>
  </si>
  <si>
    <t>DE-1180</t>
  </si>
  <si>
    <t>Sopa Cup- verduras 65 grs</t>
  </si>
  <si>
    <t>DE-1181</t>
  </si>
  <si>
    <t>Sopa Cup-Camarones 65 grs</t>
  </si>
  <si>
    <t>DE-1182</t>
  </si>
  <si>
    <t>Queque Chocolate relleno Chocolate 250 grs</t>
  </si>
  <si>
    <t>BA-49</t>
  </si>
  <si>
    <t>Queque L Condensada relleno L Condensada250 grs</t>
  </si>
  <si>
    <t>DE-1183</t>
  </si>
  <si>
    <t>Oregano verde 12,5 k</t>
  </si>
  <si>
    <t>DE-1184</t>
  </si>
  <si>
    <t>Oregano verde 10 X 1K</t>
  </si>
  <si>
    <t>271/272</t>
  </si>
  <si>
    <t>DE-1185</t>
  </si>
  <si>
    <t xml:space="preserve">Alimento Equino </t>
  </si>
  <si>
    <t>Rev Tec San Damaso</t>
  </si>
  <si>
    <t>96.888.000-4</t>
  </si>
  <si>
    <t>Ramirez y Sanchez Ltda</t>
  </si>
  <si>
    <t>86.172.000-4</t>
  </si>
  <si>
    <t>PVD-154</t>
  </si>
  <si>
    <t>PVD-155</t>
  </si>
  <si>
    <t>1161-6</t>
  </si>
  <si>
    <t>Aceite Freir 10 Lts</t>
  </si>
  <si>
    <t>Distribucion y Servicios Compomanes S.A.</t>
  </si>
  <si>
    <t>Los Alerces N° 2130</t>
  </si>
  <si>
    <t>NUñoa</t>
  </si>
  <si>
    <t>Fronsini</t>
  </si>
  <si>
    <t>Aceite Oliva E Virgen 250</t>
  </si>
  <si>
    <t>Aceite Oliva E Virgen 500</t>
  </si>
  <si>
    <t>Aceite Oliva E Virgen 1L</t>
  </si>
  <si>
    <t>Aceite Oliva E Virgen 2 L</t>
  </si>
  <si>
    <t>DE-1186</t>
  </si>
  <si>
    <t>DE-1187</t>
  </si>
  <si>
    <t>Aceite Oliva E Vigen BiB (3x5 L)</t>
  </si>
  <si>
    <t>DE-1188</t>
  </si>
  <si>
    <t>DE-1189</t>
  </si>
  <si>
    <t>Aceto Balsamico 5 L Pet</t>
  </si>
  <si>
    <t>Tierra de Poetas</t>
  </si>
  <si>
    <t>Tierra de Poeta</t>
  </si>
  <si>
    <t>DE-1190</t>
  </si>
  <si>
    <t>Aceite Oliva Virgen 5 L Pet</t>
  </si>
  <si>
    <t>DE-1191</t>
  </si>
  <si>
    <t>Arroz G2 Argentino 1 K</t>
  </si>
  <si>
    <t>Maxiarroz</t>
  </si>
  <si>
    <t>DE-1192</t>
  </si>
  <si>
    <t>Jamon Centro ER</t>
  </si>
  <si>
    <t>DE-1193</t>
  </si>
  <si>
    <t>Jamon Serrano Inter 500 ER</t>
  </si>
  <si>
    <t>TGrujillo</t>
  </si>
  <si>
    <t>5,055,05</t>
  </si>
  <si>
    <t>DE-1194</t>
  </si>
  <si>
    <t>Galletas Lady Cookie Blue -113</t>
  </si>
  <si>
    <t>C628</t>
  </si>
  <si>
    <t>Margot Edwards</t>
  </si>
  <si>
    <t>Santa Ignacia, Paine</t>
  </si>
  <si>
    <t>C629</t>
  </si>
  <si>
    <t>Edmundo Sobino</t>
  </si>
  <si>
    <t>Colegio Colonial, Pirque</t>
  </si>
  <si>
    <t>Colegio Colonial</t>
  </si>
  <si>
    <t>DE-1195</t>
  </si>
  <si>
    <t>DE-1196</t>
  </si>
  <si>
    <t>DE-1197</t>
  </si>
  <si>
    <t>DE-1198</t>
  </si>
  <si>
    <t>Passata Rustica 690</t>
  </si>
  <si>
    <t>BA-50</t>
  </si>
  <si>
    <t>Jugo Tomate 300 grs</t>
  </si>
  <si>
    <t>C630</t>
  </si>
  <si>
    <t>Ma Antonieta Latorre</t>
  </si>
  <si>
    <t>Ramon Subercaseaux 9963</t>
  </si>
  <si>
    <t>Santa Ignasia N°</t>
  </si>
  <si>
    <t>C631</t>
  </si>
  <si>
    <t>Daniela Sepulveda</t>
  </si>
  <si>
    <t>Loteo Vista Hermosa, parcela 14 B</t>
  </si>
  <si>
    <t>Chat Matutes Pirque</t>
  </si>
  <si>
    <t>C632</t>
  </si>
  <si>
    <t>Juan Araya</t>
  </si>
  <si>
    <t>Viñas del Maipo, par 9</t>
  </si>
  <si>
    <t>C633</t>
  </si>
  <si>
    <t>Cintia Zuñiga</t>
  </si>
  <si>
    <t>El Burrito Blanco</t>
  </si>
  <si>
    <t>C634</t>
  </si>
  <si>
    <t>Isabel Luco</t>
  </si>
  <si>
    <t>Haras Sumaya</t>
  </si>
  <si>
    <t>C635</t>
  </si>
  <si>
    <t>Teresa Meza</t>
  </si>
  <si>
    <t>El Cruceral</t>
  </si>
  <si>
    <t>Gnochi 500 grs</t>
  </si>
  <si>
    <t>Arcor</t>
  </si>
  <si>
    <t>DE-1199</t>
  </si>
  <si>
    <t>Aceite  para Wok 10 L</t>
  </si>
  <si>
    <t>WOK</t>
  </si>
  <si>
    <t>DE-1200</t>
  </si>
  <si>
    <t>Aceite Vegetal 10 L</t>
  </si>
  <si>
    <t>Vegetal</t>
  </si>
  <si>
    <t>DE-1201</t>
  </si>
  <si>
    <t>DE-1202</t>
  </si>
  <si>
    <t>Aceite Freir5 L</t>
  </si>
  <si>
    <t>Maxifrit</t>
  </si>
  <si>
    <t>DE-1203</t>
  </si>
  <si>
    <t>Arroz GL Importado G2 25 k</t>
  </si>
  <si>
    <t>Aceite Vegetal 5 L</t>
  </si>
  <si>
    <t>Ramon Subercaseaux lado Casa Linda</t>
  </si>
  <si>
    <t>1219-1</t>
  </si>
  <si>
    <t>C636</t>
  </si>
  <si>
    <t>Jessica Cabello</t>
  </si>
  <si>
    <t>Orilla de Rio paradero 4 1/2, ultima parcela</t>
  </si>
  <si>
    <t>C637</t>
  </si>
  <si>
    <t>Daniela Veliz</t>
  </si>
  <si>
    <t>Los Corraleros, par 31</t>
  </si>
  <si>
    <t>C638</t>
  </si>
  <si>
    <t>Catherine Barra</t>
  </si>
  <si>
    <t>Los Almendros , par 9</t>
  </si>
  <si>
    <t>Jamin Serrano  80 Grs  E.Roja</t>
  </si>
  <si>
    <t>Pack Serrano 220 grs</t>
  </si>
  <si>
    <t>DE-1204</t>
  </si>
  <si>
    <t>DE-1205</t>
  </si>
  <si>
    <t>DE-1206</t>
  </si>
  <si>
    <t>Ave Mayo 150 grs</t>
  </si>
  <si>
    <t>DE-1207</t>
  </si>
  <si>
    <t>Chancho BBQ 150 grs</t>
  </si>
  <si>
    <t>Pollo en Tacos 100 grs</t>
  </si>
  <si>
    <t>Queso Oveja Semicurado cuña 150 grs</t>
  </si>
  <si>
    <t>dic</t>
  </si>
  <si>
    <t>Filtros Marticorena SA</t>
  </si>
  <si>
    <t>84.652.600-5</t>
  </si>
  <si>
    <t>PVD-150</t>
  </si>
  <si>
    <t>PVD-156</t>
  </si>
  <si>
    <t>PVD-157</t>
  </si>
  <si>
    <t>Los 4 Silos</t>
  </si>
  <si>
    <t>$</t>
  </si>
  <si>
    <t>C639</t>
  </si>
  <si>
    <t>Erika Navarro</t>
  </si>
  <si>
    <t>Vitacura</t>
  </si>
  <si>
    <t>C640</t>
  </si>
  <si>
    <t>Carola Gonzalez</t>
  </si>
  <si>
    <t xml:space="preserve">La Lecheria s/n </t>
  </si>
  <si>
    <t>C641</t>
  </si>
  <si>
    <t>Cristian Alvarez</t>
  </si>
  <si>
    <t>Cajon del Maipo</t>
  </si>
  <si>
    <t>C642</t>
  </si>
  <si>
    <t>Jose Luis Miranda</t>
  </si>
  <si>
    <t>C643</t>
  </si>
  <si>
    <t>Veronica Riveros</t>
  </si>
  <si>
    <t xml:space="preserve">La Guitarra, San Juan </t>
  </si>
  <si>
    <t>OC01</t>
  </si>
  <si>
    <t>OC02</t>
  </si>
  <si>
    <t>6,35</t>
  </si>
  <si>
    <t>Virginia Subercaseaux , par 7</t>
  </si>
  <si>
    <t>C644</t>
  </si>
  <si>
    <t>Marta Bravo</t>
  </si>
  <si>
    <t>Las Bandurrias pasado Ester Seco par 19</t>
  </si>
  <si>
    <t>C645</t>
  </si>
  <si>
    <t>Hernan Valdovinos</t>
  </si>
  <si>
    <t>El Criceral parcela 159</t>
  </si>
  <si>
    <t>C646</t>
  </si>
  <si>
    <t>Patricio Capata</t>
  </si>
  <si>
    <t>sssss</t>
  </si>
  <si>
    <t xml:space="preserve">Senior 8k </t>
  </si>
  <si>
    <t>C647</t>
  </si>
  <si>
    <t>Patricia Salas</t>
  </si>
  <si>
    <t xml:space="preserve">La Aparicion s/n </t>
  </si>
  <si>
    <t>C648</t>
  </si>
  <si>
    <t>Patricio Sandoval</t>
  </si>
  <si>
    <t>Circunvalacion Max Valdes s/n entre las Vias Santa Alicia y Concha y Toro</t>
  </si>
  <si>
    <t>Fernando Felix Arenillas Cotroneo</t>
  </si>
  <si>
    <t>Gregorio de la Fuente 3250</t>
  </si>
  <si>
    <t>Macul</t>
  </si>
  <si>
    <t>Adolfo</t>
  </si>
  <si>
    <t>DE-1208</t>
  </si>
  <si>
    <t>Alcaparras 950</t>
  </si>
  <si>
    <t>Luxapears</t>
  </si>
  <si>
    <t>DE-1209</t>
  </si>
  <si>
    <t>Alcaparron 240 grs</t>
  </si>
  <si>
    <t>DE-1210</t>
  </si>
  <si>
    <t>Esparrago Bco.345 grs</t>
  </si>
  <si>
    <t>Al Sur</t>
  </si>
  <si>
    <t>Super 10</t>
  </si>
  <si>
    <t>76.012.833-3</t>
  </si>
  <si>
    <t>Avda Concha y Toro 4115</t>
  </si>
  <si>
    <t>Super</t>
  </si>
  <si>
    <t>19-01.2020</t>
  </si>
  <si>
    <t>DE-1212</t>
  </si>
  <si>
    <t>Aceite Vegetal 0.9 L</t>
  </si>
  <si>
    <t>14-01-20120</t>
  </si>
  <si>
    <t>salaman</t>
  </si>
  <si>
    <t>6,3</t>
  </si>
  <si>
    <t>OC 06</t>
  </si>
  <si>
    <t>Rico Adulto 25 Kg</t>
  </si>
  <si>
    <t>C649</t>
  </si>
  <si>
    <t>Victor Quiroz</t>
  </si>
  <si>
    <t>Loteo Los Perales, par 2, El Huingan</t>
  </si>
  <si>
    <t>Angel Pimentel 157, Poblacion San Pedro</t>
  </si>
  <si>
    <t>pasado puente San Ramon</t>
  </si>
  <si>
    <t>Sensiplus Intolerencias Digestivas 15 Kg (sin gluten)</t>
  </si>
  <si>
    <t xml:space="preserve">Kids 15 Kg (sin gluten) </t>
  </si>
  <si>
    <t>Marinesse Gato 2 Kg - Libre de granos</t>
  </si>
  <si>
    <t>Marinesse Gato 10 Kg - Libre de Granos</t>
  </si>
  <si>
    <t>Miniwell Adulto 15 Kg (Razas Pequeñas)</t>
  </si>
  <si>
    <t xml:space="preserve">Naturelle Libre de Granos 2 Kg (Esterilizados) </t>
  </si>
  <si>
    <t>Adulto 10 Kg</t>
  </si>
  <si>
    <t>Josicat</t>
  </si>
  <si>
    <t>MA-224</t>
  </si>
  <si>
    <t>Naturelle Libre de Granos 10 Kg (Estrilizados)</t>
  </si>
  <si>
    <t>Huingan, loteo Los Perales</t>
  </si>
  <si>
    <t>C650</t>
  </si>
  <si>
    <t>Loreto Ramirez</t>
  </si>
  <si>
    <t>Huingan</t>
  </si>
  <si>
    <t>OC 07</t>
  </si>
  <si>
    <t>revista</t>
  </si>
  <si>
    <t>284/285</t>
  </si>
  <si>
    <t>C651</t>
  </si>
  <si>
    <t>Javier Santander</t>
  </si>
  <si>
    <t>Ramon Subercaseaux 530 (lado centro comercial Campanario)</t>
  </si>
  <si>
    <t>C652</t>
  </si>
  <si>
    <t>Verito Don Rafa</t>
  </si>
  <si>
    <t>xxxxxxxxxxxxx</t>
  </si>
  <si>
    <t>snj</t>
  </si>
  <si>
    <t>OC 08</t>
  </si>
  <si>
    <t>C653</t>
  </si>
  <si>
    <t>Inversiones y Comercial Santa Bernardita SA:</t>
  </si>
  <si>
    <t>76.050.422-k</t>
  </si>
  <si>
    <t>Avenida Costanera Sur 4832</t>
  </si>
  <si>
    <t>C654</t>
  </si>
  <si>
    <t>Inversione y Comercial BEZETA Ltda</t>
  </si>
  <si>
    <t>76-300.718-9</t>
  </si>
  <si>
    <t>Camino El Peuco Parcela N° 5</t>
  </si>
  <si>
    <t>San Francisco de Mostazal</t>
  </si>
  <si>
    <t>2020</t>
  </si>
  <si>
    <t>ene</t>
  </si>
  <si>
    <t>feb</t>
  </si>
  <si>
    <t>Maderas Valdes SA</t>
  </si>
  <si>
    <t>93.420.000-4</t>
  </si>
  <si>
    <t>Evoofoods Agroindustrial Ltda</t>
  </si>
  <si>
    <t>76.301.941-1</t>
  </si>
  <si>
    <t>PVD-158</t>
  </si>
  <si>
    <t>PVD-159</t>
  </si>
  <si>
    <t>PVD-160</t>
  </si>
  <si>
    <t>Soc. Com. Almonte Ltda</t>
  </si>
  <si>
    <t>77.663.780-7</t>
  </si>
  <si>
    <t>C655</t>
  </si>
  <si>
    <t>Fabiola</t>
  </si>
  <si>
    <t>xxxxxx</t>
  </si>
  <si>
    <t>Pje Rafaelo 1076</t>
  </si>
  <si>
    <t>snm</t>
  </si>
  <si>
    <t>C656</t>
  </si>
  <si>
    <t>Lorena Ahumada</t>
  </si>
  <si>
    <t>Virginia Subercaseaux 3489</t>
  </si>
  <si>
    <t>Gral San Martin 9340, galpon U6</t>
  </si>
  <si>
    <t>Carny Acosta, Asistente Comercial</t>
  </si>
  <si>
    <t>9 7280 8676</t>
  </si>
  <si>
    <t>ventas@evoofoods.cl</t>
  </si>
  <si>
    <t>6.205.901-k</t>
  </si>
  <si>
    <t>17.241.838-4</t>
  </si>
  <si>
    <t>Food Expert Spa</t>
  </si>
  <si>
    <t>76.580.812-K</t>
  </si>
  <si>
    <t>Gral San Martin 9340, Galpon U6</t>
  </si>
  <si>
    <t>Carny Acosta</t>
  </si>
  <si>
    <t>9 8418 5432</t>
  </si>
  <si>
    <t>DE-1214</t>
  </si>
  <si>
    <t xml:space="preserve">Cafe de Grano Organico 1 kg </t>
  </si>
  <si>
    <t>I Wanna Coffee</t>
  </si>
  <si>
    <t>79.068.4790-5</t>
  </si>
  <si>
    <t>76.754.404-9</t>
  </si>
  <si>
    <t>77.072.740-5</t>
  </si>
  <si>
    <t>76.197.149-2</t>
  </si>
  <si>
    <t>76.660.002-6</t>
  </si>
  <si>
    <t>Agricola Las Higueras Ltda</t>
  </si>
  <si>
    <t>76.738.688-5</t>
  </si>
  <si>
    <t>96.803.460-K</t>
  </si>
  <si>
    <t>17.316.214-6</t>
  </si>
  <si>
    <t>96.806.980-2</t>
  </si>
  <si>
    <t>77.137.860-9</t>
  </si>
  <si>
    <t>12.472.133-4</t>
  </si>
  <si>
    <t>76.016.278-7</t>
  </si>
  <si>
    <t>96.680.480-7</t>
  </si>
  <si>
    <t>76.453.012-8</t>
  </si>
  <si>
    <t>4.750.598-4</t>
  </si>
  <si>
    <t>77.215.640-5</t>
  </si>
  <si>
    <t>94.625.000-7</t>
  </si>
  <si>
    <t>PVD-161</t>
  </si>
  <si>
    <t>PVD-162</t>
  </si>
  <si>
    <t>PVD-163</t>
  </si>
  <si>
    <t>C657</t>
  </si>
  <si>
    <t>Patricio La Escuela</t>
  </si>
  <si>
    <t>La Escuela 70</t>
  </si>
  <si>
    <t>C658</t>
  </si>
  <si>
    <t>Isabel Valdes (Revista Todo Pirque)</t>
  </si>
  <si>
    <t>Valle del Principal</t>
  </si>
  <si>
    <t>C659</t>
  </si>
  <si>
    <t>Carola Huerta</t>
  </si>
  <si>
    <t>Los Cardenales N°  0839</t>
  </si>
  <si>
    <t>Los Cardenales N° 0839</t>
  </si>
  <si>
    <t>C660</t>
  </si>
  <si>
    <t xml:space="preserve">Carolina Lama </t>
  </si>
  <si>
    <t>Loteo San Vicente Parcela, 45</t>
  </si>
  <si>
    <t>Loteo San Vicente Parcela 45</t>
  </si>
  <si>
    <t>DE-1215</t>
  </si>
  <si>
    <t>Atun Aceite 48 x 170 grs</t>
  </si>
  <si>
    <t>Satu</t>
  </si>
  <si>
    <t>C661</t>
  </si>
  <si>
    <t>Cecilia Figueroa</t>
  </si>
  <si>
    <t>Las Azucenas 4005, Villorrio San Jose Obrero</t>
  </si>
  <si>
    <t>Jenny Reyes</t>
  </si>
  <si>
    <t>Luis  Elola</t>
  </si>
  <si>
    <t>C662</t>
  </si>
  <si>
    <t>Flavia Lopez</t>
  </si>
  <si>
    <t>Brisas del Raco, 2do pasaje al fondo</t>
  </si>
  <si>
    <t>C663</t>
  </si>
  <si>
    <t>Graciela Lobos</t>
  </si>
  <si>
    <t>Ramon Subercaeaux 3735</t>
  </si>
  <si>
    <t>C664</t>
  </si>
  <si>
    <t>Sandra Simunovic</t>
  </si>
  <si>
    <t>Loteo El Llano</t>
  </si>
  <si>
    <t>DE-1216</t>
  </si>
  <si>
    <t>Crema Aceto Galce 380</t>
  </si>
  <si>
    <t>Roland</t>
  </si>
  <si>
    <t>DE-1217</t>
  </si>
  <si>
    <t>Atun Agua 170 grs</t>
  </si>
  <si>
    <t>San Expedito 02940</t>
  </si>
  <si>
    <t>La Florida</t>
  </si>
  <si>
    <t>C665</t>
  </si>
  <si>
    <t>Marisol Pimentel</t>
  </si>
  <si>
    <t>Los Nogales, par 27</t>
  </si>
  <si>
    <t>C666</t>
  </si>
  <si>
    <t>Bernardo Carrasco</t>
  </si>
  <si>
    <t xml:space="preserve">La Puntilla s/n </t>
  </si>
  <si>
    <t>C667</t>
  </si>
  <si>
    <t>Josefina Prieto</t>
  </si>
  <si>
    <t>Las Majadas par 36</t>
  </si>
  <si>
    <t>C668</t>
  </si>
  <si>
    <t>Gastronomica Nikkei SPA.</t>
  </si>
  <si>
    <t>76.106.151-8</t>
  </si>
  <si>
    <t>Magnere 1540 OF 706</t>
  </si>
  <si>
    <t>Varias</t>
  </si>
  <si>
    <t>C669</t>
  </si>
  <si>
    <t>Consuelo Ruiz</t>
  </si>
  <si>
    <t>Ramon Subercaseaux 8090, San Juan</t>
  </si>
  <si>
    <t>DE-1218</t>
  </si>
  <si>
    <t>Sesamo Blanco 1k</t>
  </si>
  <si>
    <t>Tostani</t>
  </si>
  <si>
    <t>BA-51</t>
  </si>
  <si>
    <t>SesamoTostado 1k</t>
  </si>
  <si>
    <t>DE-1219</t>
  </si>
  <si>
    <t>Arvejitas Especiales 300</t>
  </si>
  <si>
    <t>DE-1220</t>
  </si>
  <si>
    <t>Pepinillos 680</t>
  </si>
  <si>
    <t>Alcaparras 200-120 gr</t>
  </si>
  <si>
    <t>DE-1221</t>
  </si>
  <si>
    <t>Quinua Real  Negra 400 grs</t>
  </si>
  <si>
    <t>Real</t>
  </si>
  <si>
    <t>DE-1222</t>
  </si>
  <si>
    <t>Chorito Aceite 190grs</t>
  </si>
  <si>
    <t>Angelmo</t>
  </si>
  <si>
    <t>C670</t>
  </si>
  <si>
    <t>Nella Marchetti</t>
  </si>
  <si>
    <t>Viñas del Maipo, parcela 8A</t>
  </si>
  <si>
    <t>Comercial Porvenir SPA</t>
  </si>
  <si>
    <t>76.217.386-7</t>
  </si>
  <si>
    <t>Avda Providencia 1208 OF 3030</t>
  </si>
  <si>
    <t>DE-1223</t>
  </si>
  <si>
    <t>Queso Cabra Barra</t>
  </si>
  <si>
    <t>Holandia</t>
  </si>
  <si>
    <t>AS-78</t>
  </si>
  <si>
    <t>Cloro Concentrado 4 Litros 5%</t>
  </si>
  <si>
    <t>DE-1224</t>
  </si>
  <si>
    <t>Vinagre Incoloro 5L</t>
  </si>
  <si>
    <t>DE-1225</t>
  </si>
  <si>
    <t>Aceto Balsamino 5 L</t>
  </si>
  <si>
    <t>DE-1226</t>
  </si>
  <si>
    <t>Vinagre Balsamico Bot 500 cc</t>
  </si>
  <si>
    <t>Bolsa Basura 70x90</t>
  </si>
  <si>
    <t>ASEO &amp; HIGIENE</t>
  </si>
  <si>
    <t>Bolsa Basura 80x110</t>
  </si>
  <si>
    <t>CloroGel Tradicional - 900 ml</t>
  </si>
  <si>
    <t>CloroGel Limon - 900 ml</t>
  </si>
  <si>
    <t>CloroGel Citrus - 900 ml</t>
  </si>
  <si>
    <t>Cloro Concentrado - 1000 ml</t>
  </si>
  <si>
    <t>Cloro Concentrado - 2000 ml</t>
  </si>
  <si>
    <t>Cloro Economico 3% - 1000 ml</t>
  </si>
  <si>
    <t>Cloro Concentrado 5% - 1000 ml</t>
  </si>
  <si>
    <t>Cloro Espuma 3% - 500 ml</t>
  </si>
  <si>
    <t>Cloro Gel - 900 ml</t>
  </si>
  <si>
    <t>Cloro Ropa Color - 900 ml</t>
  </si>
  <si>
    <t>Cloro Ropa Blanca - 900 ml</t>
  </si>
  <si>
    <t>Papel Higienico D/H 30 m x 4 rollos</t>
  </si>
  <si>
    <t>Toalla Domestica D/H 12 m x 2 rollos</t>
  </si>
  <si>
    <t>Toalla Jumbo 185 m x 2 rollos</t>
  </si>
  <si>
    <t>Toalla Jumbo Econ. 159 m x 2 rollos</t>
  </si>
  <si>
    <t>Toalla Nova Prep. 115 m x 2 rollos</t>
  </si>
  <si>
    <t>Algicida 2 Lt</t>
  </si>
  <si>
    <t>Cloro Piscina - Bidon 10 Lts - 5%</t>
  </si>
  <si>
    <t>Cloro Granulado 1 Kg</t>
  </si>
  <si>
    <t>Decantador 1 kg</t>
  </si>
  <si>
    <t>Cloro Piscina - Bidon 10 Lts - 10%</t>
  </si>
  <si>
    <t>Cloro Piscina - Bidon 10 Lts  5%</t>
  </si>
  <si>
    <t>Cloro Granulado - Tineta 20 Kg</t>
  </si>
  <si>
    <t>Confort 30 mt x 4 rollos</t>
  </si>
  <si>
    <t>Toalla Jumbo Autocorte 140 m x 2 rollos</t>
  </si>
  <si>
    <t>Toalla Jumbo 185 m x 6 rollos</t>
  </si>
  <si>
    <t>Toalla MegaRollo D/H 32 m x 2 rollos</t>
  </si>
  <si>
    <t>Papel Higienico H/S 420 m x 4 rollos</t>
  </si>
  <si>
    <t>Papel Higienico H/S 420 m x 6 rollos</t>
  </si>
  <si>
    <t>Papel Higienico H/S 420 m x 8 rollos</t>
  </si>
  <si>
    <t>Papel Higienico H/S 300 m x 6 rollos</t>
  </si>
  <si>
    <t>Papel Higienico D/H 220 m x 4 rollos</t>
  </si>
  <si>
    <t>Papel Higienico D/H 220 m x 6 rollos</t>
  </si>
  <si>
    <t>Papel Higienico D/H 20 m x 4 rollos</t>
  </si>
  <si>
    <t>Papel Higienico H/S 30 m x 4 rollos</t>
  </si>
  <si>
    <t>CAFETERIA</t>
  </si>
  <si>
    <t>Castañas en Almibar 500 gr - Lata</t>
  </si>
  <si>
    <t>Castañas en Almibar 500 gr - Frasco</t>
  </si>
  <si>
    <t>Porotos Cannellini 400 gr</t>
  </si>
  <si>
    <t>Porotos Borlotti 400 gr</t>
  </si>
  <si>
    <t>Alcaparras 120 gr</t>
  </si>
  <si>
    <t>Duraznos Cubitos Sin Az 425 gr</t>
  </si>
  <si>
    <t>Tomate Cubitos 2,9 Kg</t>
  </si>
  <si>
    <t>Passata Di Pomodori 3 Kg</t>
  </si>
  <si>
    <t>Tomate Pellati 2950 gr</t>
  </si>
  <si>
    <t>Tomate Pellati 540 gr</t>
  </si>
  <si>
    <t>Passata Classica 690 gr</t>
  </si>
  <si>
    <t>Passata Rustica 690 gr</t>
  </si>
  <si>
    <t>Pechuga Pollo 100 Grs Oliva / Girasol</t>
  </si>
  <si>
    <t>Passata Extrafine Toscano 700 grs</t>
  </si>
  <si>
    <t>Tomate Seco Frasco 2,9 k</t>
  </si>
  <si>
    <t>Berenjenas Filete Frasco 280 grs</t>
  </si>
  <si>
    <t>Aceite de Oliva Ext Virgen  1 Lt</t>
  </si>
  <si>
    <t>CAFÉ</t>
  </si>
  <si>
    <t>QUESOS</t>
  </si>
  <si>
    <t>ABARROTES</t>
  </si>
  <si>
    <t>Senior 8 kgs</t>
  </si>
  <si>
    <t>ARENA</t>
  </si>
  <si>
    <t>CONDIMENTOS</t>
  </si>
  <si>
    <t>GALLETA</t>
  </si>
  <si>
    <t>PAPEL</t>
  </si>
  <si>
    <t>Detergente Matic - 3 Lts</t>
  </si>
  <si>
    <t>Papel Flora x 50 mts DH x 4 rollos</t>
  </si>
  <si>
    <t>Toalla 120 mts x 1 rollo</t>
  </si>
  <si>
    <t>English Breakfast Lata x 100 gr</t>
  </si>
  <si>
    <t>Lady Grey Lata x 100 grs</t>
  </si>
  <si>
    <t>Earl Grey 10 x 2 g</t>
  </si>
  <si>
    <t>Prince Of Wales 10 x 2 grs</t>
  </si>
  <si>
    <t>Lady Grey 10 x2 g</t>
  </si>
  <si>
    <t>Lemon Scented 10 X 2 g</t>
  </si>
  <si>
    <t>Cuatro Frutos Rojos 10 x 2 gr</t>
  </si>
  <si>
    <t>Verde con Menta 10 x 2 g</t>
  </si>
  <si>
    <t>Pure Ceylon Green Tea 10 x 2 g</t>
  </si>
  <si>
    <t>Pura Manzanilla 10 x 2 g</t>
  </si>
  <si>
    <t>Giove (80% Robusta 20 % Arabica)</t>
  </si>
  <si>
    <t>Capsula Atena ( 80% Robusta 20% Arabica)</t>
  </si>
  <si>
    <t>Capsula Descaf. ( 50% Robusta 50% Arabica)</t>
  </si>
  <si>
    <t>English Breakfast  10 x 2 g</t>
  </si>
  <si>
    <t>Lapsang Souchong 10 x 2 g</t>
  </si>
  <si>
    <t>Indian Chai 10 x 2 g</t>
  </si>
  <si>
    <t>Orange Pekoe 10 x 2 g</t>
  </si>
  <si>
    <t>Luis Elola</t>
  </si>
  <si>
    <t>6,5</t>
  </si>
  <si>
    <t>C671</t>
  </si>
  <si>
    <t>Comercial &gt;JMA SPA</t>
  </si>
  <si>
    <t>Avda. Lo Espejo 01565</t>
  </si>
  <si>
    <t>C672</t>
  </si>
  <si>
    <t xml:space="preserve">Inversiones y Comercial Bezeta Ltda </t>
  </si>
  <si>
    <t>Camino El ÑPeuco parc 5, 2800</t>
  </si>
  <si>
    <t>Camino El Peuco Parcela 5 .2800</t>
  </si>
  <si>
    <t>San Francisco ostazal</t>
  </si>
  <si>
    <t>C673</t>
  </si>
  <si>
    <t>Anamaria Feliu</t>
  </si>
  <si>
    <t>Orilla de Rio paradero 4 y medio</t>
  </si>
  <si>
    <t>77140880-K</t>
  </si>
  <si>
    <t>Camino Colina 1448</t>
  </si>
  <si>
    <t>Cristian Linares</t>
  </si>
  <si>
    <t>9 8294 8070</t>
  </si>
  <si>
    <t>Comercial VYA Spa</t>
  </si>
  <si>
    <t>Taste of Wild</t>
  </si>
  <si>
    <t>MA-226</t>
  </si>
  <si>
    <t>Rocky Mountain Gato Adulto 7 Kg</t>
  </si>
  <si>
    <t>C674</t>
  </si>
  <si>
    <t>Alejandra Castillo</t>
  </si>
  <si>
    <t>Podologa</t>
  </si>
  <si>
    <t>Nutra Gold</t>
  </si>
  <si>
    <t>Microbite Adulto 7 Kg</t>
  </si>
  <si>
    <t>MA-229</t>
  </si>
  <si>
    <t>Bravo</t>
  </si>
  <si>
    <t>MA-231</t>
  </si>
  <si>
    <t>Pollo y Cereal Perro Adulto 20 Kg</t>
  </si>
  <si>
    <t>MA-232</t>
  </si>
  <si>
    <t>Cachorro Perro 20 Kg</t>
  </si>
  <si>
    <t>MA-233</t>
  </si>
  <si>
    <t>Formula Perro 20 kg</t>
  </si>
  <si>
    <t>MA-234</t>
  </si>
  <si>
    <t>Cachorro 15 Kg</t>
  </si>
  <si>
    <t>MA-235</t>
  </si>
  <si>
    <t xml:space="preserve">Breeder Perro 20 Kg </t>
  </si>
  <si>
    <t>MA-236</t>
  </si>
  <si>
    <t>Ocean Gato 8 Kg</t>
  </si>
  <si>
    <t>C675</t>
  </si>
  <si>
    <t>Ximena Vicuña</t>
  </si>
  <si>
    <t>Villorrio El Olivar, piscina Chindunjal</t>
  </si>
  <si>
    <t>C676</t>
  </si>
  <si>
    <t>Ximena Acuña</t>
  </si>
  <si>
    <t>Villorrio El Olivar, piscina Chindunja</t>
  </si>
  <si>
    <t>Quantum Integral SA</t>
  </si>
  <si>
    <t>76146366-7</t>
  </si>
  <si>
    <t xml:space="preserve">Sucursal: Meulen 300 </t>
  </si>
  <si>
    <t>9 5215 1005</t>
  </si>
  <si>
    <t>maria.diaz@gragpharma.cl</t>
  </si>
  <si>
    <t>MA-237</t>
  </si>
  <si>
    <t>Adulto perro 20 Kg</t>
  </si>
  <si>
    <t>Fit Formula</t>
  </si>
  <si>
    <t>CONFITERIA</t>
  </si>
  <si>
    <t>LIQUIDOS</t>
  </si>
  <si>
    <t>Aceite de Oliva</t>
  </si>
  <si>
    <t>Harina</t>
  </si>
  <si>
    <t>Aceto</t>
  </si>
  <si>
    <t>Sopas</t>
  </si>
  <si>
    <t>Master Rice</t>
  </si>
  <si>
    <t>Aceite Vegetal 5 Lt</t>
  </si>
  <si>
    <t>Aceite Oliva Ex Virgen 250 ml</t>
  </si>
  <si>
    <t>Aceite Oliva Ex Virgen 500 ml</t>
  </si>
  <si>
    <t>Aceite Oliva Ex Virgen 1 Lt</t>
  </si>
  <si>
    <t>Aceite Oliva Ex Virgen 2 Lt</t>
  </si>
  <si>
    <t>Aceite Freir 5 Lt</t>
  </si>
  <si>
    <t>Aceite Vegetal 10 Lt</t>
  </si>
  <si>
    <t>Aceite para Wok 10 L</t>
  </si>
  <si>
    <t>Aceite Oliva Frantoio 250 ml</t>
  </si>
  <si>
    <t>Aceite Oliva Ex Virgen 5 Lt Pet</t>
  </si>
  <si>
    <t>Aceite Oliva Virgen 5 Lt Pet</t>
  </si>
  <si>
    <t>Aceite de Oliva Ex Virgen Bid 5 Lt</t>
  </si>
  <si>
    <t>Aceto Balsamico Bid 5lts</t>
  </si>
  <si>
    <t>Aceto Balsamico 5 Lt Pet</t>
  </si>
  <si>
    <t>Arroz G2 Argentino 1 Kg</t>
  </si>
  <si>
    <t>Arroz G2 Importado 25 Kg</t>
  </si>
  <si>
    <t>Galleta Arroz Chia Slim</t>
  </si>
  <si>
    <t xml:space="preserve">Galletas Lady Cookie Blue </t>
  </si>
  <si>
    <t>Harina de Maiz Blanca 1 Kg</t>
  </si>
  <si>
    <t>Harina de Maiz Amarilla 1 Kg</t>
  </si>
  <si>
    <t>Pasta de Arroz Lasagña 250 grs</t>
  </si>
  <si>
    <t>Fideos de Arroz 5 mm 375 gr</t>
  </si>
  <si>
    <t>Sopa Cup- Verduras 65 grs</t>
  </si>
  <si>
    <t>Maxi Vegetal</t>
  </si>
  <si>
    <t>Maxi Wok</t>
  </si>
  <si>
    <t>Maxi Arroz</t>
  </si>
  <si>
    <t>AS-79</t>
  </si>
  <si>
    <t>Cloro Gel 5 Litros</t>
  </si>
  <si>
    <t>BA-52</t>
  </si>
  <si>
    <t>Cerveza 500 cc</t>
  </si>
  <si>
    <t>Bear Beer</t>
  </si>
  <si>
    <t>Galleta de Arroz Maiz Natural SLIM</t>
  </si>
  <si>
    <t>Passata Arrabiata Peperoncino 500 grs</t>
  </si>
  <si>
    <t>C677</t>
  </si>
  <si>
    <t>Paola Jorquera</t>
  </si>
  <si>
    <t>Ramon Subercaseaux 5361, La Puntilla</t>
  </si>
  <si>
    <t>Beiersdorf Chile SA</t>
  </si>
  <si>
    <t>76412206-2</t>
  </si>
  <si>
    <t>2 2368 8800</t>
  </si>
  <si>
    <t>BA-53</t>
  </si>
  <si>
    <t>Crema hidratante 150 ml</t>
  </si>
  <si>
    <t>Nivea</t>
  </si>
  <si>
    <t>C678</t>
  </si>
  <si>
    <t>Lupe Gatica</t>
  </si>
  <si>
    <t>Brisas del Raco, par 13</t>
  </si>
  <si>
    <t>C679</t>
  </si>
  <si>
    <t>Ma Jose Olguin</t>
  </si>
  <si>
    <t>Ramon Subercaseaux 4150 (Pilares de piedra)</t>
  </si>
  <si>
    <t>C680</t>
  </si>
  <si>
    <t>Andrea Roccatagliata</t>
  </si>
  <si>
    <t>Ramon Subercaseaux 950 (pasado Manso Toro)</t>
  </si>
  <si>
    <t>DE-1227</t>
  </si>
  <si>
    <t>Preparado Tortilla de Papa frasco 580 ml</t>
  </si>
  <si>
    <t>C681</t>
  </si>
  <si>
    <t>Marilu Ossa</t>
  </si>
  <si>
    <t>El Huingan , Loteo Los Perales par 13</t>
  </si>
  <si>
    <t>C682</t>
  </si>
  <si>
    <t>Karina Lopez</t>
  </si>
  <si>
    <t>Las Bandurrias, parcelacion 21 Lote A2-6B, Lo Arcaya</t>
  </si>
  <si>
    <t>C683</t>
  </si>
  <si>
    <t>Ma Teresa Wilson</t>
  </si>
  <si>
    <t>Brisas del Raco, primer pasaje a derecha  al fondo</t>
  </si>
  <si>
    <t>C684</t>
  </si>
  <si>
    <t>Ma Angelica Puga</t>
  </si>
  <si>
    <t>Alcalde Hernan Prieto 2750 A par 18</t>
  </si>
  <si>
    <t>C685</t>
  </si>
  <si>
    <t>Daniela Danna</t>
  </si>
  <si>
    <t>La Esperanza parlela 6, Lote 13</t>
  </si>
  <si>
    <t>ulce</t>
  </si>
  <si>
    <t>AS-80</t>
  </si>
  <si>
    <t>Cloro Gel 2 Litros</t>
  </si>
  <si>
    <t>Multiquimica</t>
  </si>
  <si>
    <t>C686</t>
  </si>
  <si>
    <t>Sebastian Tapia</t>
  </si>
  <si>
    <t>Los Quillayes parcela 6, esquina Macul</t>
  </si>
  <si>
    <t>C687</t>
  </si>
  <si>
    <t>Carolina Arriagada</t>
  </si>
  <si>
    <t>Las Palomas s/n, San Juan</t>
  </si>
  <si>
    <t>C688</t>
  </si>
  <si>
    <t>Constanza Cubillos</t>
  </si>
  <si>
    <t>Santa Elena de Pirque, Alcalde Hernan Prieto 2750 A, parcela 19</t>
  </si>
  <si>
    <t>C689</t>
  </si>
  <si>
    <t>Maida Mujica</t>
  </si>
  <si>
    <t>DE-1228</t>
  </si>
  <si>
    <t>Mani Tostarso 25 k</t>
  </si>
  <si>
    <t>DE-1229</t>
  </si>
  <si>
    <t>Quinua Trescolores 25 k</t>
  </si>
  <si>
    <t>DE-1230</t>
  </si>
  <si>
    <t>Quinua Roja 25 k</t>
  </si>
  <si>
    <t>DE-1231</t>
  </si>
  <si>
    <t>Chia 25 k</t>
  </si>
  <si>
    <t>DE-1232</t>
  </si>
  <si>
    <t>Cous Cous 25 k</t>
  </si>
  <si>
    <t>C690</t>
  </si>
  <si>
    <t>Karin de Manfred Myer</t>
  </si>
  <si>
    <t>Rinc El Principal, Parcela 55</t>
  </si>
  <si>
    <t>BA-54</t>
  </si>
  <si>
    <t>Proteina de Soya Texturizada 10 k</t>
  </si>
  <si>
    <t>vogel</t>
  </si>
  <si>
    <t>Extrumol Ltda</t>
  </si>
  <si>
    <t>MA-238</t>
  </si>
  <si>
    <t>Maiz Chancado 20 k</t>
  </si>
  <si>
    <t>0'</t>
  </si>
  <si>
    <t>xxx</t>
  </si>
  <si>
    <t>mar</t>
  </si>
  <si>
    <t>abr</t>
  </si>
  <si>
    <t>PVD-164</t>
  </si>
  <si>
    <t>PVD-165</t>
  </si>
  <si>
    <t>PVD-166</t>
  </si>
  <si>
    <t>PVD-167</t>
  </si>
  <si>
    <t>Cuenta de Cant</t>
  </si>
  <si>
    <t>(Varios elementos)</t>
  </si>
  <si>
    <t>C691</t>
  </si>
  <si>
    <t>Jorge Ulloa</t>
  </si>
  <si>
    <t>Jardinero</t>
  </si>
  <si>
    <t>C692</t>
  </si>
  <si>
    <t>Claudia Perez</t>
  </si>
  <si>
    <t>Loteo Cerro Las Majadas sn</t>
  </si>
  <si>
    <t>9.04-2020</t>
  </si>
  <si>
    <t>Contreras y Sanchez Ltda</t>
  </si>
  <si>
    <t>76.113.250-4</t>
  </si>
  <si>
    <t>Santa Fee 1665</t>
  </si>
  <si>
    <t>Quinta Norma</t>
  </si>
  <si>
    <t>227864404-227721714</t>
  </si>
  <si>
    <t>DE-1233</t>
  </si>
  <si>
    <t>Proteina TEX de Soya Color Fino 10 K</t>
  </si>
  <si>
    <t>iddellco</t>
  </si>
  <si>
    <t>MA-239</t>
  </si>
  <si>
    <t>Gato Adulto 10 Kgs</t>
  </si>
  <si>
    <t>C693</t>
  </si>
  <si>
    <t>Daniel Garrido</t>
  </si>
  <si>
    <t>Valledel Principal, par 1123 Los Quillayes</t>
  </si>
  <si>
    <t>C694</t>
  </si>
  <si>
    <t>Ma de Los Angeles Piña</t>
  </si>
  <si>
    <t>Valle del Principal, Loma del Durazno par 1058</t>
  </si>
  <si>
    <t>BA-55</t>
  </si>
  <si>
    <t>Filtro N° 4  Papel</t>
  </si>
  <si>
    <t>5}%</t>
  </si>
  <si>
    <t>C695</t>
  </si>
  <si>
    <t>Jose Antonio Goñi</t>
  </si>
  <si>
    <t>Las Majadas s/n</t>
  </si>
  <si>
    <t>C696</t>
  </si>
  <si>
    <t>Alfredo Jardinero Edwards</t>
  </si>
  <si>
    <t>DE-1234</t>
  </si>
  <si>
    <t>Arvejitas Re-Hidratadas 400 grs</t>
  </si>
  <si>
    <t>C697</t>
  </si>
  <si>
    <t>La Bolleria (Roma)</t>
  </si>
  <si>
    <t>Rinconada El Principal, par 91</t>
  </si>
  <si>
    <t>Rinconada El Principal,  par 91</t>
  </si>
  <si>
    <t>C698</t>
  </si>
  <si>
    <t>Raquel Valenzuela</t>
  </si>
  <si>
    <t>Las Clarillanas (loteo) 3ra parcela</t>
  </si>
  <si>
    <t>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</si>
</sst>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&quot;$&quot;#,##0_);[Red]\(&quot;$&quot;#,##0\)"/>
    <numFmt numFmtId="165" formatCode="&quot;€&quot;#,##0_);[Red]\(&quot;€&quot;#,##0\)"/>
    <numFmt numFmtId="166" formatCode="_(&quot;$&quot;* #,##0_);_(&quot;$&quot;* \(#,##0\);_(&quot;$&quot;* &quot;-&quot;_);_(@_)"/>
    <numFmt numFmtId="167" formatCode="_(&quot;$&quot;* #,##0.00_);_(&quot;$&quot;* \(#,##0.00\);_(&quot;$&quot;* &quot;-&quot;??_);_(@_)"/>
    <numFmt numFmtId="168" formatCode="&quot;$&quot;\ #,##0"/>
    <numFmt numFmtId="169" formatCode="0.000"/>
    <numFmt numFmtId="170" formatCode="0.0%"/>
    <numFmt numFmtId="171" formatCode="&quot;$&quot;\ #,##0.0"/>
    <numFmt numFmtId="172" formatCode="dd/mm/yyyy;@"/>
    <numFmt numFmtId="173" formatCode="0.0"/>
    <numFmt numFmtId="174" formatCode="_(&quot;$&quot;* #,##0_);_(&quot;$&quot;* \(#,##0\);_(&quot;$&quot;* &quot;-&quot;??_);_(@_)"/>
    <numFmt numFmtId="175" formatCode="&quot;$&quot;#,##0"/>
    <numFmt numFmtId="176" formatCode="#,##0_ ;[Red]\-#,##0\ "/>
    <numFmt numFmtId="177" formatCode="dd/mm/yy;@"/>
    <numFmt numFmtId="178" formatCode="m/d/yyyy"/>
    <numFmt numFmtId="179" formatCode="[$$-340A]\ #,##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Lucida Sans Unicode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b/>
      <sz val="28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8"/>
      <name val="Times New Roman"/>
      <family val="1"/>
    </font>
    <font>
      <b/>
      <sz val="16"/>
      <color theme="1" tint="0.249977111117893"/>
      <name val="Calibri"/>
      <family val="2"/>
      <scheme val="minor"/>
    </font>
    <font>
      <b/>
      <sz val="1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1"/>
      <color rgb="FF000000"/>
      <name val="Calibri"/>
      <family val="2"/>
    </font>
    <font>
      <sz val="2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FF0000"/>
      <name val="Calibri"/>
      <family val="2"/>
      <scheme val="minor"/>
    </font>
    <font>
      <sz val="1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4" fillId="0" borderId="0"/>
    <xf numFmtId="167" fontId="1" fillId="0" borderId="0" applyFont="0" applyFill="0" applyBorder="0" applyAlignment="0" applyProtection="0"/>
    <xf numFmtId="0" fontId="24" fillId="0" borderId="0"/>
    <xf numFmtId="167" fontId="1" fillId="0" borderId="0" applyFont="0" applyFill="0" applyBorder="0" applyAlignment="0" applyProtection="0"/>
  </cellStyleXfs>
  <cellXfs count="767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168" fontId="0" fillId="0" borderId="0" xfId="0" applyNumberFormat="1"/>
    <xf numFmtId="0" fontId="2" fillId="0" borderId="2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pivotButton="1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10" xfId="0" applyBorder="1"/>
    <xf numFmtId="0" fontId="0" fillId="0" borderId="9" xfId="0" applyBorder="1"/>
    <xf numFmtId="0" fontId="0" fillId="0" borderId="7" xfId="0" applyBorder="1"/>
    <xf numFmtId="0" fontId="0" fillId="0" borderId="14" xfId="0" applyBorder="1"/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0" borderId="2" xfId="0" applyBorder="1" applyAlignment="1">
      <alignment horizontal="center"/>
    </xf>
    <xf numFmtId="9" fontId="0" fillId="0" borderId="1" xfId="1" applyFont="1" applyBorder="1" applyAlignment="1">
      <alignment horizontal="center"/>
    </xf>
    <xf numFmtId="168" fontId="0" fillId="0" borderId="1" xfId="0" applyNumberFormat="1" applyBorder="1"/>
    <xf numFmtId="14" fontId="0" fillId="0" borderId="0" xfId="0" applyNumberFormat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168" fontId="8" fillId="0" borderId="0" xfId="0" applyNumberFormat="1" applyFont="1" applyAlignment="1">
      <alignment horizontal="center"/>
    </xf>
    <xf numFmtId="0" fontId="2" fillId="0" borderId="30" xfId="0" applyFont="1" applyBorder="1" applyAlignment="1">
      <alignment horizontal="center"/>
    </xf>
    <xf numFmtId="9" fontId="0" fillId="0" borderId="30" xfId="1" applyFont="1" applyBorder="1" applyAlignment="1">
      <alignment horizontal="center"/>
    </xf>
    <xf numFmtId="0" fontId="6" fillId="0" borderId="4" xfId="0" applyFont="1" applyBorder="1"/>
    <xf numFmtId="0" fontId="9" fillId="0" borderId="0" xfId="0" applyFont="1" applyAlignment="1">
      <alignment vertical="center"/>
    </xf>
    <xf numFmtId="0" fontId="9" fillId="0" borderId="13" xfId="0" applyFont="1" applyBorder="1"/>
    <xf numFmtId="0" fontId="9" fillId="0" borderId="0" xfId="0" applyFont="1"/>
    <xf numFmtId="0" fontId="9" fillId="0" borderId="10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0" xfId="0" applyFont="1" applyBorder="1"/>
    <xf numFmtId="0" fontId="6" fillId="0" borderId="11" xfId="0" applyFont="1" applyBorder="1"/>
    <xf numFmtId="0" fontId="9" fillId="0" borderId="9" xfId="0" applyFont="1" applyBorder="1" applyAlignment="1">
      <alignment vertical="center"/>
    </xf>
    <xf numFmtId="0" fontId="6" fillId="0" borderId="9" xfId="0" applyFont="1" applyBorder="1" applyAlignment="1">
      <alignment horizontal="right" vertical="center"/>
    </xf>
    <xf numFmtId="0" fontId="9" fillId="0" borderId="9" xfId="0" applyFont="1" applyBorder="1" applyAlignment="1">
      <alignment horizontal="left"/>
    </xf>
    <xf numFmtId="0" fontId="9" fillId="0" borderId="9" xfId="0" applyFont="1" applyBorder="1"/>
    <xf numFmtId="0" fontId="6" fillId="0" borderId="12" xfId="0" applyFont="1" applyBorder="1"/>
    <xf numFmtId="0" fontId="9" fillId="0" borderId="13" xfId="0" applyFont="1" applyBorder="1" applyAlignment="1">
      <alignment vertical="center"/>
    </xf>
    <xf numFmtId="0" fontId="9" fillId="0" borderId="13" xfId="0" applyFont="1" applyBorder="1" applyAlignment="1">
      <alignment horizontal="left"/>
    </xf>
    <xf numFmtId="0" fontId="6" fillId="0" borderId="13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6" fillId="0" borderId="9" xfId="0" applyFont="1" applyBorder="1" applyAlignment="1">
      <alignment horizontal="right"/>
    </xf>
    <xf numFmtId="0" fontId="9" fillId="0" borderId="7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0" borderId="28" xfId="0" applyFont="1" applyBorder="1" applyAlignment="1">
      <alignment horizontal="center" vertical="center"/>
    </xf>
    <xf numFmtId="168" fontId="9" fillId="0" borderId="7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164" fontId="9" fillId="0" borderId="6" xfId="0" applyNumberFormat="1" applyFont="1" applyBorder="1" applyAlignment="1">
      <alignment horizontal="center"/>
    </xf>
    <xf numFmtId="168" fontId="9" fillId="0" borderId="0" xfId="0" applyNumberFormat="1" applyFont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6" xfId="0" applyFont="1" applyBorder="1" applyAlignment="1">
      <alignment vertical="center"/>
    </xf>
    <xf numFmtId="0" fontId="9" fillId="0" borderId="13" xfId="0" applyFont="1" applyBorder="1" applyAlignment="1">
      <alignment horizontal="center"/>
    </xf>
    <xf numFmtId="9" fontId="9" fillId="0" borderId="17" xfId="1" applyFont="1" applyBorder="1" applyAlignment="1">
      <alignment horizontal="center"/>
    </xf>
    <xf numFmtId="0" fontId="6" fillId="0" borderId="18" xfId="0" applyFont="1" applyBorder="1"/>
    <xf numFmtId="168" fontId="9" fillId="0" borderId="0" xfId="0" applyNumberFormat="1" applyFont="1" applyAlignment="1">
      <alignment horizontal="right"/>
    </xf>
    <xf numFmtId="9" fontId="10" fillId="0" borderId="0" xfId="1" applyFont="1"/>
    <xf numFmtId="0" fontId="6" fillId="0" borderId="20" xfId="0" applyFont="1" applyBorder="1"/>
    <xf numFmtId="0" fontId="6" fillId="0" borderId="22" xfId="0" applyFont="1" applyBorder="1"/>
    <xf numFmtId="168" fontId="6" fillId="0" borderId="0" xfId="0" applyNumberFormat="1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164" fontId="0" fillId="0" borderId="3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164" fontId="2" fillId="0" borderId="5" xfId="0" applyNumberFormat="1" applyFont="1" applyBorder="1"/>
    <xf numFmtId="0" fontId="9" fillId="0" borderId="7" xfId="0" applyFont="1" applyBorder="1" applyAlignment="1">
      <alignment vertical="center"/>
    </xf>
    <xf numFmtId="0" fontId="2" fillId="0" borderId="11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64" fontId="2" fillId="0" borderId="7" xfId="0" applyNumberFormat="1" applyFont="1" applyBorder="1"/>
    <xf numFmtId="164" fontId="0" fillId="0" borderId="14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64" fontId="9" fillId="0" borderId="6" xfId="0" applyNumberFormat="1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6" fillId="0" borderId="31" xfId="0" applyFont="1" applyBorder="1"/>
    <xf numFmtId="170" fontId="9" fillId="0" borderId="1" xfId="1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1" xfId="0" applyNumberFormat="1" applyBorder="1" applyAlignment="1">
      <alignment horizontal="center"/>
    </xf>
    <xf numFmtId="14" fontId="2" fillId="0" borderId="5" xfId="0" applyNumberFormat="1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2" xfId="0" applyBorder="1"/>
    <xf numFmtId="0" fontId="17" fillId="0" borderId="13" xfId="0" applyFont="1" applyBorder="1" applyAlignment="1">
      <alignment horizontal="right"/>
    </xf>
    <xf numFmtId="0" fontId="16" fillId="0" borderId="13" xfId="0" applyFont="1" applyBorder="1"/>
    <xf numFmtId="0" fontId="0" fillId="0" borderId="4" xfId="0" applyBorder="1"/>
    <xf numFmtId="0" fontId="17" fillId="0" borderId="0" xfId="0" applyFont="1" applyAlignment="1">
      <alignment horizontal="right"/>
    </xf>
    <xf numFmtId="0" fontId="16" fillId="0" borderId="0" xfId="0" applyFont="1"/>
    <xf numFmtId="0" fontId="0" fillId="0" borderId="11" xfId="0" applyBorder="1"/>
    <xf numFmtId="0" fontId="18" fillId="0" borderId="2" xfId="0" applyFont="1" applyBorder="1" applyAlignment="1">
      <alignment vertical="center"/>
    </xf>
    <xf numFmtId="0" fontId="13" fillId="0" borderId="6" xfId="0" applyFont="1" applyBorder="1" applyAlignment="1">
      <alignment horizontal="right" vertical="center"/>
    </xf>
    <xf numFmtId="0" fontId="18" fillId="0" borderId="6" xfId="0" applyFont="1" applyBorder="1" applyAlignment="1">
      <alignment vertical="center"/>
    </xf>
    <xf numFmtId="0" fontId="0" fillId="0" borderId="13" xfId="0" applyBorder="1"/>
    <xf numFmtId="0" fontId="2" fillId="0" borderId="12" xfId="0" applyFont="1" applyBorder="1"/>
    <xf numFmtId="0" fontId="2" fillId="0" borderId="5" xfId="0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7" fillId="0" borderId="0" xfId="0" applyFont="1" applyAlignment="1">
      <alignment horizontal="right" vertical="center"/>
    </xf>
    <xf numFmtId="164" fontId="2" fillId="0" borderId="1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164" fontId="0" fillId="0" borderId="0" xfId="0" applyNumberFormat="1"/>
    <xf numFmtId="168" fontId="0" fillId="0" borderId="25" xfId="0" applyNumberFormat="1" applyBorder="1" applyAlignment="1">
      <alignment horizontal="center"/>
    </xf>
    <xf numFmtId="0" fontId="2" fillId="0" borderId="0" xfId="0" applyFont="1" applyAlignment="1">
      <alignment horizontal="left"/>
    </xf>
    <xf numFmtId="168" fontId="0" fillId="0" borderId="1" xfId="0" applyNumberFormat="1" applyBorder="1" applyAlignment="1">
      <alignment horizontal="left"/>
    </xf>
    <xf numFmtId="16" fontId="2" fillId="0" borderId="1" xfId="0" applyNumberFormat="1" applyFont="1" applyBorder="1" applyAlignment="1">
      <alignment horizontal="left"/>
    </xf>
    <xf numFmtId="168" fontId="5" fillId="0" borderId="0" xfId="0" applyNumberFormat="1" applyFont="1"/>
    <xf numFmtId="9" fontId="9" fillId="0" borderId="0" xfId="0" applyNumberFormat="1" applyFont="1"/>
    <xf numFmtId="168" fontId="2" fillId="2" borderId="39" xfId="0" applyNumberFormat="1" applyFont="1" applyFill="1" applyBorder="1" applyAlignment="1">
      <alignment horizontal="center" vertical="center"/>
    </xf>
    <xf numFmtId="168" fontId="2" fillId="2" borderId="30" xfId="0" applyNumberFormat="1" applyFont="1" applyFill="1" applyBorder="1" applyAlignment="1">
      <alignment horizontal="center" vertical="center"/>
    </xf>
    <xf numFmtId="14" fontId="6" fillId="0" borderId="0" xfId="0" applyNumberFormat="1" applyFont="1" applyAlignment="1">
      <alignment vertical="center"/>
    </xf>
    <xf numFmtId="164" fontId="0" fillId="0" borderId="25" xfId="0" applyNumberFormat="1" applyBorder="1" applyAlignment="1">
      <alignment horizontal="center"/>
    </xf>
    <xf numFmtId="164" fontId="0" fillId="0" borderId="9" xfId="0" applyNumberFormat="1" applyBorder="1"/>
    <xf numFmtId="170" fontId="9" fillId="0" borderId="26" xfId="1" applyNumberFormat="1" applyFont="1" applyBorder="1" applyAlignment="1">
      <alignment horizontal="center"/>
    </xf>
    <xf numFmtId="168" fontId="0" fillId="0" borderId="19" xfId="0" applyNumberFormat="1" applyBorder="1" applyAlignment="1">
      <alignment vertical="center"/>
    </xf>
    <xf numFmtId="168" fontId="0" fillId="0" borderId="21" xfId="0" applyNumberFormat="1" applyBorder="1" applyAlignment="1">
      <alignment vertical="center"/>
    </xf>
    <xf numFmtId="168" fontId="0" fillId="0" borderId="8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2" fillId="7" borderId="4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3" fillId="0" borderId="0" xfId="0" applyFont="1" applyAlignment="1">
      <alignment horizontal="left" vertical="center"/>
    </xf>
    <xf numFmtId="0" fontId="20" fillId="0" borderId="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72" fontId="9" fillId="0" borderId="10" xfId="0" applyNumberFormat="1" applyFont="1" applyBorder="1" applyAlignment="1">
      <alignment horizontal="center"/>
    </xf>
    <xf numFmtId="0" fontId="8" fillId="0" borderId="0" xfId="0" applyFont="1"/>
    <xf numFmtId="169" fontId="8" fillId="0" borderId="0" xfId="0" applyNumberFormat="1" applyFont="1" applyAlignment="1">
      <alignment horizontal="center"/>
    </xf>
    <xf numFmtId="9" fontId="8" fillId="0" borderId="0" xfId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0" fillId="0" borderId="2" xfId="0" applyBorder="1"/>
    <xf numFmtId="168" fontId="0" fillId="0" borderId="10" xfId="0" applyNumberFormat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vertical="center"/>
    </xf>
    <xf numFmtId="168" fontId="0" fillId="0" borderId="0" xfId="0" applyNumberFormat="1" applyAlignment="1">
      <alignment horizontal="right"/>
    </xf>
    <xf numFmtId="168" fontId="0" fillId="0" borderId="1" xfId="0" applyNumberFormat="1" applyBorder="1" applyAlignment="1">
      <alignment horizontal="right"/>
    </xf>
    <xf numFmtId="0" fontId="2" fillId="7" borderId="19" xfId="0" applyFont="1" applyFill="1" applyBorder="1" applyAlignment="1">
      <alignment horizontal="center"/>
    </xf>
    <xf numFmtId="0" fontId="26" fillId="0" borderId="0" xfId="0" applyFont="1"/>
    <xf numFmtId="14" fontId="8" fillId="0" borderId="0" xfId="0" applyNumberFormat="1" applyFont="1" applyAlignment="1">
      <alignment horizontal="center"/>
    </xf>
    <xf numFmtId="0" fontId="2" fillId="0" borderId="2" xfId="0" applyFont="1" applyBorder="1"/>
    <xf numFmtId="0" fontId="21" fillId="0" borderId="1" xfId="1" applyNumberFormat="1" applyFont="1" applyBorder="1" applyAlignment="1">
      <alignment horizontal="center"/>
    </xf>
    <xf numFmtId="0" fontId="21" fillId="0" borderId="25" xfId="1" applyNumberFormat="1" applyFont="1" applyBorder="1" applyAlignment="1">
      <alignment horizontal="center"/>
    </xf>
    <xf numFmtId="0" fontId="21" fillId="0" borderId="6" xfId="0" applyFont="1" applyBorder="1"/>
    <xf numFmtId="170" fontId="9" fillId="0" borderId="26" xfId="1" applyNumberFormat="1" applyFont="1" applyBorder="1"/>
    <xf numFmtId="170" fontId="9" fillId="0" borderId="27" xfId="1" applyNumberFormat="1" applyFont="1" applyBorder="1"/>
    <xf numFmtId="0" fontId="9" fillId="0" borderId="24" xfId="0" applyFont="1" applyBorder="1"/>
    <xf numFmtId="0" fontId="9" fillId="0" borderId="6" xfId="0" applyFont="1" applyBorder="1"/>
    <xf numFmtId="0" fontId="9" fillId="0" borderId="47" xfId="0" applyFont="1" applyBorder="1"/>
    <xf numFmtId="168" fontId="9" fillId="0" borderId="29" xfId="0" applyNumberFormat="1" applyFont="1" applyBorder="1" applyAlignment="1">
      <alignment horizontal="center"/>
    </xf>
    <xf numFmtId="168" fontId="9" fillId="0" borderId="48" xfId="0" applyNumberFormat="1" applyFont="1" applyBorder="1" applyAlignment="1">
      <alignment horizontal="center"/>
    </xf>
    <xf numFmtId="168" fontId="9" fillId="0" borderId="42" xfId="0" applyNumberFormat="1" applyFont="1" applyBorder="1" applyAlignment="1">
      <alignment horizontal="center"/>
    </xf>
    <xf numFmtId="168" fontId="6" fillId="0" borderId="49" xfId="0" applyNumberFormat="1" applyFont="1" applyBorder="1" applyAlignment="1">
      <alignment horizontal="center"/>
    </xf>
    <xf numFmtId="164" fontId="10" fillId="0" borderId="6" xfId="0" applyNumberFormat="1" applyFont="1" applyBorder="1" applyAlignment="1">
      <alignment horizontal="left"/>
    </xf>
    <xf numFmtId="0" fontId="10" fillId="0" borderId="6" xfId="0" applyFont="1" applyBorder="1"/>
    <xf numFmtId="10" fontId="9" fillId="0" borderId="2" xfId="1" applyNumberFormat="1" applyFont="1" applyBorder="1" applyAlignment="1">
      <alignment horizontal="center" vertical="center"/>
    </xf>
    <xf numFmtId="168" fontId="28" fillId="0" borderId="0" xfId="0" applyNumberFormat="1" applyFont="1"/>
    <xf numFmtId="0" fontId="5" fillId="0" borderId="0" xfId="0" applyFont="1" applyAlignment="1">
      <alignment vertical="center"/>
    </xf>
    <xf numFmtId="14" fontId="0" fillId="0" borderId="1" xfId="0" applyNumberFormat="1" applyBorder="1" applyAlignment="1">
      <alignment horizontal="right"/>
    </xf>
    <xf numFmtId="0" fontId="27" fillId="0" borderId="0" xfId="0" applyFont="1" applyAlignment="1">
      <alignment vertical="center"/>
    </xf>
    <xf numFmtId="168" fontId="0" fillId="11" borderId="0" xfId="0" applyNumberFormat="1" applyFill="1"/>
    <xf numFmtId="0" fontId="8" fillId="0" borderId="0" xfId="0" applyFont="1" applyAlignment="1">
      <alignment vertical="center"/>
    </xf>
    <xf numFmtId="168" fontId="8" fillId="0" borderId="0" xfId="0" applyNumberFormat="1" applyFont="1"/>
    <xf numFmtId="171" fontId="9" fillId="0" borderId="0" xfId="0" applyNumberFormat="1" applyFont="1"/>
    <xf numFmtId="0" fontId="23" fillId="0" borderId="0" xfId="0" applyFont="1" applyAlignment="1">
      <alignment horizontal="right" vertical="center"/>
    </xf>
    <xf numFmtId="168" fontId="0" fillId="0" borderId="30" xfId="0" applyNumberFormat="1" applyBorder="1" applyAlignment="1">
      <alignment horizontal="right"/>
    </xf>
    <xf numFmtId="0" fontId="29" fillId="0" borderId="0" xfId="0" applyFont="1" applyAlignment="1">
      <alignment horizontal="left" vertical="center"/>
    </xf>
    <xf numFmtId="0" fontId="0" fillId="12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" fillId="7" borderId="50" xfId="0" applyFont="1" applyFill="1" applyBorder="1" applyAlignment="1">
      <alignment horizontal="center"/>
    </xf>
    <xf numFmtId="0" fontId="2" fillId="7" borderId="24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left"/>
    </xf>
    <xf numFmtId="0" fontId="0" fillId="0" borderId="45" xfId="0" applyBorder="1" applyAlignment="1">
      <alignment horizontal="center"/>
    </xf>
    <xf numFmtId="1" fontId="9" fillId="0" borderId="10" xfId="0" applyNumberFormat="1" applyFont="1" applyBorder="1" applyAlignment="1">
      <alignment horizontal="center"/>
    </xf>
    <xf numFmtId="0" fontId="21" fillId="11" borderId="6" xfId="0" applyFont="1" applyFill="1" applyBorder="1"/>
    <xf numFmtId="173" fontId="8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166" fontId="2" fillId="0" borderId="25" xfId="2" applyFont="1" applyBorder="1" applyAlignment="1">
      <alignment horizontal="center" vertical="center"/>
    </xf>
    <xf numFmtId="0" fontId="6" fillId="0" borderId="32" xfId="0" applyFont="1" applyBorder="1" applyAlignment="1">
      <alignment horizontal="right"/>
    </xf>
    <xf numFmtId="14" fontId="6" fillId="0" borderId="41" xfId="0" applyNumberFormat="1" applyFont="1" applyBorder="1" applyAlignment="1">
      <alignment horizontal="right" vertical="center"/>
    </xf>
    <xf numFmtId="168" fontId="2" fillId="2" borderId="40" xfId="0" applyNumberFormat="1" applyFont="1" applyFill="1" applyBorder="1" applyAlignment="1">
      <alignment horizontal="center" vertical="center"/>
    </xf>
    <xf numFmtId="168" fontId="0" fillId="0" borderId="23" xfId="0" applyNumberFormat="1" applyBorder="1" applyAlignment="1">
      <alignment vertical="center"/>
    </xf>
    <xf numFmtId="164" fontId="0" fillId="0" borderId="1" xfId="0" applyNumberFormat="1" applyBorder="1"/>
    <xf numFmtId="14" fontId="21" fillId="11" borderId="14" xfId="0" quotePrefix="1" applyNumberFormat="1" applyFont="1" applyFill="1" applyBorder="1" applyAlignment="1">
      <alignment horizontal="center"/>
    </xf>
    <xf numFmtId="168" fontId="9" fillId="0" borderId="1" xfId="0" applyNumberFormat="1" applyFont="1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18" fillId="0" borderId="0" xfId="0" applyFont="1"/>
    <xf numFmtId="0" fontId="18" fillId="0" borderId="9" xfId="0" applyFont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7" borderId="1" xfId="0" applyFill="1" applyBorder="1"/>
    <xf numFmtId="9" fontId="0" fillId="7" borderId="1" xfId="1" applyFont="1" applyFill="1" applyBorder="1" applyAlignment="1">
      <alignment horizontal="center"/>
    </xf>
    <xf numFmtId="168" fontId="0" fillId="7" borderId="1" xfId="0" applyNumberFormat="1" applyFill="1" applyBorder="1" applyAlignment="1">
      <alignment horizontal="center"/>
    </xf>
    <xf numFmtId="168" fontId="0" fillId="7" borderId="21" xfId="0" applyNumberFormat="1" applyFill="1" applyBorder="1" applyAlignment="1">
      <alignment horizontal="center"/>
    </xf>
    <xf numFmtId="0" fontId="6" fillId="0" borderId="32" xfId="0" applyFont="1" applyBorder="1" applyAlignment="1">
      <alignment horizontal="right" vertical="center"/>
    </xf>
    <xf numFmtId="0" fontId="6" fillId="0" borderId="35" xfId="0" applyFont="1" applyBorder="1" applyAlignment="1">
      <alignment horizontal="right" vertical="center"/>
    </xf>
    <xf numFmtId="166" fontId="2" fillId="3" borderId="53" xfId="2" applyFont="1" applyFill="1" applyBorder="1" applyAlignment="1">
      <alignment horizontal="right" vertical="center"/>
    </xf>
    <xf numFmtId="166" fontId="2" fillId="5" borderId="54" xfId="2" applyFont="1" applyFill="1" applyBorder="1" applyAlignment="1">
      <alignment horizontal="right" vertical="center"/>
    </xf>
    <xf numFmtId="166" fontId="1" fillId="0" borderId="25" xfId="2" applyBorder="1" applyAlignment="1">
      <alignment horizontal="center" vertical="center"/>
    </xf>
    <xf numFmtId="174" fontId="2" fillId="0" borderId="52" xfId="6" applyNumberFormat="1" applyFont="1" applyBorder="1" applyAlignment="1">
      <alignment horizontal="right"/>
    </xf>
    <xf numFmtId="174" fontId="2" fillId="0" borderId="53" xfId="6" applyNumberFormat="1" applyFont="1" applyBorder="1" applyAlignment="1">
      <alignment horizontal="right"/>
    </xf>
    <xf numFmtId="0" fontId="2" fillId="2" borderId="25" xfId="0" applyFont="1" applyFill="1" applyBorder="1" applyAlignment="1">
      <alignment horizontal="center" vertical="center"/>
    </xf>
    <xf numFmtId="166" fontId="2" fillId="2" borderId="53" xfId="2" applyFont="1" applyFill="1" applyBorder="1" applyAlignment="1">
      <alignment horizontal="right"/>
    </xf>
    <xf numFmtId="166" fontId="2" fillId="4" borderId="53" xfId="2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166" fontId="1" fillId="2" borderId="25" xfId="2" applyFill="1" applyBorder="1" applyAlignment="1">
      <alignment horizontal="center" vertical="center"/>
    </xf>
    <xf numFmtId="166" fontId="1" fillId="4" borderId="25" xfId="2" applyFill="1" applyBorder="1" applyAlignment="1">
      <alignment horizontal="center" vertical="center"/>
    </xf>
    <xf numFmtId="166" fontId="1" fillId="3" borderId="25" xfId="2" applyFill="1" applyBorder="1" applyAlignment="1">
      <alignment horizontal="center" vertical="center"/>
    </xf>
    <xf numFmtId="166" fontId="1" fillId="5" borderId="25" xfId="2" applyFill="1" applyBorder="1" applyAlignment="1">
      <alignment horizontal="center" vertical="center"/>
    </xf>
    <xf numFmtId="0" fontId="30" fillId="11" borderId="0" xfId="0" applyFont="1" applyFill="1"/>
    <xf numFmtId="0" fontId="16" fillId="11" borderId="0" xfId="0" applyFont="1" applyFill="1"/>
    <xf numFmtId="166" fontId="16" fillId="11" borderId="0" xfId="0" applyNumberFormat="1" applyFont="1" applyFill="1"/>
    <xf numFmtId="0" fontId="0" fillId="11" borderId="0" xfId="0" applyFill="1"/>
    <xf numFmtId="0" fontId="9" fillId="11" borderId="0" xfId="0" applyFont="1" applyFill="1"/>
    <xf numFmtId="168" fontId="9" fillId="11" borderId="0" xfId="0" applyNumberFormat="1" applyFont="1" applyFill="1"/>
    <xf numFmtId="166" fontId="0" fillId="4" borderId="25" xfId="2" applyFont="1" applyFill="1" applyBorder="1" applyAlignment="1">
      <alignment horizontal="center" vertical="center"/>
    </xf>
    <xf numFmtId="166" fontId="0" fillId="3" borderId="25" xfId="2" applyFont="1" applyFill="1" applyBorder="1" applyAlignment="1">
      <alignment horizontal="center" vertical="center"/>
    </xf>
    <xf numFmtId="0" fontId="31" fillId="0" borderId="55" xfId="0" applyFont="1" applyBorder="1" applyAlignment="1">
      <alignment horizontal="center" vertical="center" wrapText="1"/>
    </xf>
    <xf numFmtId="14" fontId="2" fillId="0" borderId="55" xfId="0" applyNumberFormat="1" applyFont="1" applyBorder="1" applyAlignment="1">
      <alignment horizontal="left" wrapText="1"/>
    </xf>
    <xf numFmtId="14" fontId="0" fillId="11" borderId="1" xfId="0" applyNumberFormat="1" applyFill="1" applyBorder="1" applyAlignment="1">
      <alignment horizontal="center"/>
    </xf>
    <xf numFmtId="168" fontId="2" fillId="0" borderId="0" xfId="0" applyNumberFormat="1" applyFont="1"/>
    <xf numFmtId="166" fontId="0" fillId="0" borderId="0" xfId="0" applyNumberFormat="1"/>
    <xf numFmtId="168" fontId="0" fillId="0" borderId="0" xfId="0" applyNumberFormat="1" applyAlignment="1">
      <alignment vertical="center"/>
    </xf>
    <xf numFmtId="168" fontId="2" fillId="0" borderId="0" xfId="0" applyNumberFormat="1" applyFont="1" applyAlignment="1">
      <alignment vertical="center"/>
    </xf>
    <xf numFmtId="168" fontId="2" fillId="0" borderId="0" xfId="0" applyNumberFormat="1" applyFont="1" applyAlignment="1">
      <alignment horizontal="center" vertical="center"/>
    </xf>
    <xf numFmtId="175" fontId="0" fillId="0" borderId="0" xfId="0" applyNumberFormat="1"/>
    <xf numFmtId="0" fontId="0" fillId="11" borderId="1" xfId="0" applyFill="1" applyBorder="1"/>
    <xf numFmtId="0" fontId="0" fillId="11" borderId="2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164" fontId="0" fillId="11" borderId="1" xfId="0" applyNumberFormat="1" applyFill="1" applyBorder="1" applyAlignment="1">
      <alignment horizontal="right"/>
    </xf>
    <xf numFmtId="14" fontId="0" fillId="11" borderId="2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right"/>
    </xf>
    <xf numFmtId="171" fontId="9" fillId="11" borderId="6" xfId="0" applyNumberFormat="1" applyFont="1" applyFill="1" applyBorder="1" applyAlignment="1">
      <alignment horizontal="center"/>
    </xf>
    <xf numFmtId="164" fontId="0" fillId="0" borderId="13" xfId="0" applyNumberFormat="1" applyBorder="1"/>
    <xf numFmtId="0" fontId="18" fillId="11" borderId="0" xfId="0" applyFont="1" applyFill="1"/>
    <xf numFmtId="168" fontId="18" fillId="11" borderId="0" xfId="0" applyNumberFormat="1" applyFont="1" applyFill="1"/>
    <xf numFmtId="166" fontId="16" fillId="11" borderId="0" xfId="2" applyFont="1" applyFill="1"/>
    <xf numFmtId="0" fontId="0" fillId="0" borderId="5" xfId="0" applyBorder="1" applyAlignment="1">
      <alignment horizontal="center"/>
    </xf>
    <xf numFmtId="166" fontId="0" fillId="5" borderId="25" xfId="2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left"/>
    </xf>
    <xf numFmtId="14" fontId="0" fillId="0" borderId="0" xfId="0" applyNumberFormat="1" applyAlignment="1">
      <alignment horizontal="left" indent="1"/>
    </xf>
    <xf numFmtId="166" fontId="16" fillId="0" borderId="0" xfId="2" applyFont="1"/>
    <xf numFmtId="164" fontId="0" fillId="0" borderId="0" xfId="0" applyNumberFormat="1" applyAlignment="1">
      <alignment horizontal="center"/>
    </xf>
    <xf numFmtId="0" fontId="0" fillId="0" borderId="0" xfId="0" applyFill="1"/>
    <xf numFmtId="0" fontId="33" fillId="0" borderId="2" xfId="0" applyFont="1" applyBorder="1" applyAlignment="1">
      <alignment horizontal="right"/>
    </xf>
    <xf numFmtId="176" fontId="34" fillId="0" borderId="5" xfId="0" applyNumberFormat="1" applyFont="1" applyBorder="1" applyAlignment="1">
      <alignment horizontal="center"/>
    </xf>
    <xf numFmtId="0" fontId="4" fillId="0" borderId="0" xfId="0" applyFont="1" applyFill="1"/>
    <xf numFmtId="164" fontId="14" fillId="0" borderId="53" xfId="6" applyNumberFormat="1" applyFont="1" applyBorder="1" applyAlignment="1">
      <alignment horizontal="right"/>
    </xf>
    <xf numFmtId="166" fontId="4" fillId="0" borderId="25" xfId="2" applyFont="1" applyBorder="1" applyAlignment="1">
      <alignment horizontal="center" vertical="center"/>
    </xf>
    <xf numFmtId="14" fontId="21" fillId="11" borderId="10" xfId="0" applyNumberFormat="1" applyFont="1" applyFill="1" applyBorder="1" applyAlignment="1">
      <alignment horizontal="center"/>
    </xf>
    <xf numFmtId="0" fontId="14" fillId="0" borderId="0" xfId="0" applyFont="1" applyFill="1"/>
    <xf numFmtId="0" fontId="0" fillId="0" borderId="25" xfId="0" applyBorder="1"/>
    <xf numFmtId="0" fontId="21" fillId="11" borderId="2" xfId="0" applyFont="1" applyFill="1" applyBorder="1" applyAlignment="1">
      <alignment horizontal="center"/>
    </xf>
    <xf numFmtId="0" fontId="21" fillId="11" borderId="6" xfId="0" applyFont="1" applyFill="1" applyBorder="1" applyAlignment="1">
      <alignment horizontal="center" vertical="center"/>
    </xf>
    <xf numFmtId="0" fontId="21" fillId="11" borderId="6" xfId="0" applyFont="1" applyFill="1" applyBorder="1" applyAlignment="1">
      <alignment horizontal="left"/>
    </xf>
    <xf numFmtId="0" fontId="21" fillId="11" borderId="6" xfId="0" applyFont="1" applyFill="1" applyBorder="1" applyAlignment="1">
      <alignment horizontal="center"/>
    </xf>
    <xf numFmtId="171" fontId="21" fillId="11" borderId="6" xfId="0" applyNumberFormat="1" applyFont="1" applyFill="1" applyBorder="1" applyAlignment="1">
      <alignment horizontal="center"/>
    </xf>
    <xf numFmtId="164" fontId="2" fillId="11" borderId="1" xfId="0" applyNumberFormat="1" applyFont="1" applyFill="1" applyBorder="1" applyAlignment="1">
      <alignment horizontal="center"/>
    </xf>
    <xf numFmtId="166" fontId="2" fillId="0" borderId="16" xfId="0" applyNumberFormat="1" applyFont="1" applyBorder="1"/>
    <xf numFmtId="166" fontId="2" fillId="0" borderId="17" xfId="0" applyNumberFormat="1" applyFont="1" applyBorder="1"/>
    <xf numFmtId="164" fontId="0" fillId="0" borderId="1" xfId="0" applyNumberFormat="1" applyBorder="1" applyAlignment="1">
      <alignment horizontal="center"/>
    </xf>
    <xf numFmtId="168" fontId="0" fillId="0" borderId="2" xfId="0" applyNumberFormat="1" applyBorder="1"/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8" fontId="2" fillId="0" borderId="8" xfId="0" applyNumberFormat="1" applyFont="1" applyBorder="1" applyAlignment="1">
      <alignment horizontal="center"/>
    </xf>
    <xf numFmtId="168" fontId="2" fillId="0" borderId="11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2" fillId="0" borderId="8" xfId="0" applyFont="1" applyBorder="1"/>
    <xf numFmtId="168" fontId="2" fillId="0" borderId="11" xfId="0" applyNumberFormat="1" applyFont="1" applyBorder="1"/>
    <xf numFmtId="168" fontId="0" fillId="0" borderId="12" xfId="0" applyNumberFormat="1" applyBorder="1"/>
    <xf numFmtId="0" fontId="2" fillId="0" borderId="7" xfId="0" applyFont="1" applyBorder="1" applyAlignment="1">
      <alignment horizontal="center"/>
    </xf>
    <xf numFmtId="168" fontId="20" fillId="0" borderId="8" xfId="0" applyNumberFormat="1" applyFont="1" applyBorder="1" applyAlignment="1">
      <alignment horizontal="center"/>
    </xf>
    <xf numFmtId="168" fontId="2" fillId="0" borderId="8" xfId="0" applyNumberFormat="1" applyFont="1" applyBorder="1" applyAlignment="1">
      <alignment horizontal="right"/>
    </xf>
    <xf numFmtId="14" fontId="0" fillId="0" borderId="0" xfId="0" applyNumberFormat="1" applyAlignment="1">
      <alignment horizontal="left"/>
    </xf>
    <xf numFmtId="1" fontId="5" fillId="0" borderId="1" xfId="0" applyNumberFormat="1" applyFont="1" applyBorder="1" applyAlignment="1">
      <alignment horizontal="center"/>
    </xf>
    <xf numFmtId="177" fontId="2" fillId="0" borderId="8" xfId="0" applyNumberFormat="1" applyFon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11" borderId="1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8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5" xfId="0" applyBorder="1" applyAlignment="1">
      <alignment horizontal="left"/>
    </xf>
    <xf numFmtId="177" fontId="0" fillId="0" borderId="25" xfId="0" applyNumberFormat="1" applyBorder="1" applyAlignment="1">
      <alignment horizontal="center"/>
    </xf>
    <xf numFmtId="177" fontId="0" fillId="0" borderId="0" xfId="0" applyNumberFormat="1"/>
    <xf numFmtId="0" fontId="0" fillId="0" borderId="0" xfId="0" applyAlignment="1">
      <alignment horizontal="center"/>
    </xf>
    <xf numFmtId="168" fontId="0" fillId="11" borderId="1" xfId="0" applyNumberFormat="1" applyFill="1" applyBorder="1" applyAlignment="1">
      <alignment horizontal="center"/>
    </xf>
    <xf numFmtId="168" fontId="0" fillId="11" borderId="1" xfId="0" applyNumberFormat="1" applyFill="1" applyBorder="1" applyAlignment="1">
      <alignment horizontal="left"/>
    </xf>
    <xf numFmtId="0" fontId="0" fillId="0" borderId="0" xfId="0" applyBorder="1"/>
    <xf numFmtId="0" fontId="2" fillId="11" borderId="24" xfId="0" applyFont="1" applyFill="1" applyBorder="1" applyAlignment="1">
      <alignment horizontal="center"/>
    </xf>
    <xf numFmtId="178" fontId="0" fillId="0" borderId="25" xfId="0" applyNumberFormat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2" fillId="1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6" fontId="2" fillId="3" borderId="1" xfId="2" applyFont="1" applyFill="1" applyBorder="1" applyAlignment="1">
      <alignment horizontal="center" vertical="center"/>
    </xf>
    <xf numFmtId="166" fontId="2" fillId="5" borderId="1" xfId="2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0" fillId="0" borderId="56" xfId="0" applyBorder="1"/>
    <xf numFmtId="166" fontId="0" fillId="0" borderId="57" xfId="2" applyFont="1" applyBorder="1"/>
    <xf numFmtId="0" fontId="13" fillId="0" borderId="58" xfId="0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168" fontId="0" fillId="0" borderId="30" xfId="0" applyNumberFormat="1" applyBorder="1"/>
    <xf numFmtId="166" fontId="1" fillId="0" borderId="21" xfId="2" applyBorder="1"/>
    <xf numFmtId="0" fontId="0" fillId="0" borderId="1" xfId="0" applyFont="1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1" xfId="0" applyFont="1" applyBorder="1"/>
    <xf numFmtId="168" fontId="0" fillId="0" borderId="1" xfId="0" applyNumberFormat="1" applyFont="1" applyBorder="1"/>
    <xf numFmtId="14" fontId="0" fillId="0" borderId="1" xfId="0" applyNumberFormat="1" applyFont="1" applyBorder="1"/>
    <xf numFmtId="168" fontId="0" fillId="0" borderId="25" xfId="0" applyNumberFormat="1" applyFont="1" applyBorder="1"/>
    <xf numFmtId="14" fontId="0" fillId="0" borderId="25" xfId="0" applyNumberFormat="1" applyFont="1" applyBorder="1"/>
    <xf numFmtId="166" fontId="2" fillId="0" borderId="52" xfId="2" applyFont="1" applyBorder="1"/>
    <xf numFmtId="166" fontId="2" fillId="0" borderId="28" xfId="2" applyFont="1" applyBorder="1"/>
    <xf numFmtId="179" fontId="0" fillId="0" borderId="25" xfId="0" applyNumberFormat="1" applyFont="1" applyBorder="1"/>
    <xf numFmtId="179" fontId="0" fillId="4" borderId="25" xfId="0" applyNumberFormat="1" applyFont="1" applyFill="1" applyBorder="1" applyAlignment="1">
      <alignment horizontal="center" vertical="center"/>
    </xf>
    <xf numFmtId="179" fontId="1" fillId="3" borderId="25" xfId="2" applyNumberFormat="1" applyFont="1" applyFill="1" applyBorder="1" applyAlignment="1">
      <alignment horizontal="center" vertical="center"/>
    </xf>
    <xf numFmtId="179" fontId="1" fillId="5" borderId="25" xfId="2" applyNumberFormat="1" applyFont="1" applyFill="1" applyBorder="1" applyAlignment="1">
      <alignment horizontal="center" vertical="center"/>
    </xf>
    <xf numFmtId="179" fontId="0" fillId="11" borderId="25" xfId="0" applyNumberFormat="1" applyFont="1" applyFill="1" applyBorder="1" applyAlignment="1">
      <alignment horizontal="center" vertical="center"/>
    </xf>
    <xf numFmtId="165" fontId="0" fillId="11" borderId="25" xfId="0" applyNumberFormat="1" applyFont="1" applyFill="1" applyBorder="1" applyAlignment="1">
      <alignment horizontal="center" vertical="center"/>
    </xf>
    <xf numFmtId="14" fontId="0" fillId="11" borderId="25" xfId="0" applyNumberFormat="1" applyFont="1" applyFill="1" applyBorder="1" applyAlignment="1">
      <alignment horizontal="center" vertical="center"/>
    </xf>
    <xf numFmtId="0" fontId="0" fillId="12" borderId="2" xfId="0" applyFill="1" applyBorder="1" applyAlignment="1">
      <alignment horizontal="center"/>
    </xf>
    <xf numFmtId="168" fontId="0" fillId="12" borderId="1" xfId="0" applyNumberFormat="1" applyFill="1" applyBorder="1" applyAlignment="1">
      <alignment horizontal="center"/>
    </xf>
    <xf numFmtId="168" fontId="0" fillId="12" borderId="21" xfId="0" applyNumberForma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8" fontId="0" fillId="7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5" xfId="0" applyNumberFormat="1" applyBorder="1"/>
    <xf numFmtId="168" fontId="0" fillId="0" borderId="25" xfId="0" applyNumberFormat="1" applyBorder="1"/>
    <xf numFmtId="1" fontId="5" fillId="0" borderId="25" xfId="0" applyNumberFormat="1" applyFont="1" applyBorder="1" applyAlignment="1">
      <alignment horizontal="center"/>
    </xf>
    <xf numFmtId="168" fontId="0" fillId="0" borderId="25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4" xfId="0" applyBorder="1" applyAlignment="1">
      <alignment horizontal="center"/>
    </xf>
    <xf numFmtId="0" fontId="0" fillId="0" borderId="14" xfId="0" applyBorder="1" applyAlignment="1">
      <alignment horizontal="center"/>
    </xf>
    <xf numFmtId="172" fontId="2" fillId="0" borderId="8" xfId="0" applyNumberFormat="1" applyFont="1" applyBorder="1" applyAlignment="1">
      <alignment horizontal="center"/>
    </xf>
    <xf numFmtId="172" fontId="0" fillId="0" borderId="1" xfId="0" applyNumberFormat="1" applyBorder="1" applyAlignment="1">
      <alignment horizontal="center"/>
    </xf>
    <xf numFmtId="172" fontId="0" fillId="0" borderId="25" xfId="0" applyNumberFormat="1" applyBorder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14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16" fillId="12" borderId="2" xfId="0" applyFont="1" applyFill="1" applyBorder="1"/>
    <xf numFmtId="166" fontId="16" fillId="12" borderId="6" xfId="2" applyFont="1" applyFill="1" applyBorder="1"/>
    <xf numFmtId="168" fontId="2" fillId="12" borderId="5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20" fillId="0" borderId="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0" borderId="25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9" fontId="0" fillId="0" borderId="1" xfId="1" applyFont="1" applyBorder="1"/>
    <xf numFmtId="0" fontId="0" fillId="0" borderId="0" xfId="0" applyNumberFormat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9" fillId="0" borderId="0" xfId="0" applyFont="1" applyFill="1"/>
    <xf numFmtId="166" fontId="9" fillId="0" borderId="0" xfId="2" applyFont="1" applyFill="1"/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" xfId="0" applyFill="1" applyBorder="1" applyAlignment="1">
      <alignment horizontal="left"/>
    </xf>
    <xf numFmtId="0" fontId="2" fillId="0" borderId="25" xfId="0" applyFont="1" applyBorder="1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2" fillId="0" borderId="25" xfId="0" applyNumberFormat="1" applyFont="1" applyBorder="1" applyAlignment="1">
      <alignment horizontal="center"/>
    </xf>
    <xf numFmtId="164" fontId="4" fillId="0" borderId="25" xfId="0" applyNumberFormat="1" applyFont="1" applyBorder="1" applyAlignment="1">
      <alignment horizontal="center"/>
    </xf>
    <xf numFmtId="164" fontId="5" fillId="0" borderId="25" xfId="0" applyNumberFormat="1" applyFont="1" applyBorder="1" applyAlignment="1">
      <alignment horizontal="center"/>
    </xf>
    <xf numFmtId="14" fontId="0" fillId="12" borderId="1" xfId="0" applyNumberFormat="1" applyFill="1" applyBorder="1" applyAlignment="1">
      <alignment horizontal="center"/>
    </xf>
    <xf numFmtId="168" fontId="0" fillId="12" borderId="1" xfId="0" applyNumberFormat="1" applyFill="1" applyBorder="1" applyAlignment="1">
      <alignment horizontal="left"/>
    </xf>
    <xf numFmtId="0" fontId="0" fillId="12" borderId="0" xfId="0" applyFill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4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1" borderId="25" xfId="0" applyFill="1" applyBorder="1" applyAlignment="1">
      <alignment horizontal="left"/>
    </xf>
    <xf numFmtId="0" fontId="0" fillId="0" borderId="25" xfId="0" applyFill="1" applyBorder="1" applyAlignment="1">
      <alignment horizontal="left"/>
    </xf>
    <xf numFmtId="0" fontId="0" fillId="12" borderId="25" xfId="0" applyFill="1" applyBorder="1" applyAlignment="1">
      <alignment horizontal="left"/>
    </xf>
    <xf numFmtId="0" fontId="0" fillId="12" borderId="25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0" fillId="11" borderId="25" xfId="0" applyNumberFormat="1" applyFill="1" applyBorder="1" applyAlignment="1">
      <alignment horizontal="center"/>
    </xf>
    <xf numFmtId="164" fontId="0" fillId="12" borderId="25" xfId="0" applyNumberFormat="1" applyFill="1" applyBorder="1" applyAlignment="1">
      <alignment horizontal="center"/>
    </xf>
    <xf numFmtId="177" fontId="0" fillId="11" borderId="25" xfId="0" applyNumberFormat="1" applyFill="1" applyBorder="1" applyAlignment="1">
      <alignment horizontal="center"/>
    </xf>
    <xf numFmtId="177" fontId="0" fillId="12" borderId="25" xfId="0" applyNumberFormat="1" applyFill="1" applyBorder="1" applyAlignment="1">
      <alignment horizontal="center"/>
    </xf>
    <xf numFmtId="172" fontId="0" fillId="11" borderId="25" xfId="0" applyNumberFormat="1" applyFill="1" applyBorder="1" applyAlignment="1">
      <alignment horizontal="center"/>
    </xf>
    <xf numFmtId="172" fontId="0" fillId="12" borderId="25" xfId="0" applyNumberFormat="1" applyFill="1" applyBorder="1" applyAlignment="1">
      <alignment horizontal="center"/>
    </xf>
    <xf numFmtId="168" fontId="0" fillId="11" borderId="25" xfId="0" applyNumberFormat="1" applyFill="1" applyBorder="1" applyAlignment="1">
      <alignment horizontal="center"/>
    </xf>
    <xf numFmtId="168" fontId="0" fillId="12" borderId="25" xfId="0" applyNumberForma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1" borderId="25" xfId="0" applyFill="1" applyBorder="1"/>
    <xf numFmtId="0" fontId="0" fillId="12" borderId="25" xfId="0" applyFill="1" applyBorder="1"/>
    <xf numFmtId="168" fontId="0" fillId="11" borderId="12" xfId="0" applyNumberFormat="1" applyFill="1" applyBorder="1"/>
    <xf numFmtId="168" fontId="0" fillId="12" borderId="12" xfId="0" applyNumberFormat="1" applyFill="1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Fill="1" applyBorder="1"/>
    <xf numFmtId="0" fontId="0" fillId="0" borderId="0" xfId="0" applyFill="1" applyBorder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8" fontId="20" fillId="0" borderId="3" xfId="0" applyNumberFormat="1" applyFont="1" applyBorder="1" applyAlignment="1">
      <alignment horizontal="center"/>
    </xf>
    <xf numFmtId="178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4" fontId="0" fillId="0" borderId="0" xfId="0" applyNumberFormat="1"/>
    <xf numFmtId="0" fontId="9" fillId="11" borderId="2" xfId="0" applyFont="1" applyFill="1" applyBorder="1" applyAlignment="1">
      <alignment horizontal="center"/>
    </xf>
    <xf numFmtId="0" fontId="9" fillId="11" borderId="6" xfId="0" applyFont="1" applyFill="1" applyBorder="1" applyAlignment="1">
      <alignment vertical="center"/>
    </xf>
    <xf numFmtId="0" fontId="9" fillId="11" borderId="6" xfId="0" applyFont="1" applyFill="1" applyBorder="1" applyAlignment="1">
      <alignment horizontal="center" vertical="center"/>
    </xf>
    <xf numFmtId="0" fontId="10" fillId="11" borderId="6" xfId="0" applyFont="1" applyFill="1" applyBorder="1" applyAlignment="1">
      <alignment horizontal="left"/>
    </xf>
    <xf numFmtId="0" fontId="9" fillId="11" borderId="13" xfId="0" applyFont="1" applyFill="1" applyBorder="1" applyAlignment="1">
      <alignment horizontal="center"/>
    </xf>
    <xf numFmtId="0" fontId="21" fillId="11" borderId="1" xfId="1" applyNumberFormat="1" applyFont="1" applyFill="1" applyBorder="1" applyAlignment="1">
      <alignment horizontal="center"/>
    </xf>
    <xf numFmtId="10" fontId="9" fillId="11" borderId="2" xfId="1" applyNumberFormat="1" applyFont="1" applyFill="1" applyBorder="1" applyAlignment="1">
      <alignment horizontal="center" vertical="center"/>
    </xf>
    <xf numFmtId="170" fontId="9" fillId="11" borderId="26" xfId="1" applyNumberFormat="1" applyFont="1" applyFill="1" applyBorder="1" applyAlignment="1">
      <alignment horizontal="center"/>
    </xf>
    <xf numFmtId="168" fontId="9" fillId="11" borderId="7" xfId="0" applyNumberFormat="1" applyFont="1" applyFill="1" applyBorder="1" applyAlignment="1">
      <alignment horizontal="center"/>
    </xf>
    <xf numFmtId="16" fontId="21" fillId="11" borderId="6" xfId="0" applyNumberFormat="1" applyFont="1" applyFill="1" applyBorder="1" applyAlignment="1">
      <alignment horizontal="left"/>
    </xf>
    <xf numFmtId="0" fontId="9" fillId="11" borderId="6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25" xfId="0" applyFill="1" applyBorder="1" applyAlignment="1">
      <alignment horizontal="center" vertical="center"/>
    </xf>
    <xf numFmtId="166" fontId="1" fillId="0" borderId="25" xfId="2" applyFill="1" applyBorder="1" applyAlignment="1">
      <alignment horizontal="center" vertical="center"/>
    </xf>
    <xf numFmtId="166" fontId="4" fillId="0" borderId="25" xfId="2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41" fillId="0" borderId="0" xfId="0" applyFont="1" applyFill="1"/>
    <xf numFmtId="0" fontId="21" fillId="0" borderId="0" xfId="0" applyFont="1" applyFill="1" applyBorder="1"/>
    <xf numFmtId="166" fontId="21" fillId="0" borderId="0" xfId="2" applyFont="1" applyFill="1" applyBorder="1"/>
    <xf numFmtId="164" fontId="42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27" fillId="0" borderId="15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  <xf numFmtId="0" fontId="6" fillId="0" borderId="13" xfId="0" applyFont="1" applyBorder="1" applyAlignment="1">
      <alignment horizontal="right"/>
    </xf>
    <xf numFmtId="0" fontId="9" fillId="0" borderId="0" xfId="0" applyFont="1" applyAlignment="1">
      <alignment horizontal="left"/>
    </xf>
    <xf numFmtId="0" fontId="6" fillId="0" borderId="16" xfId="0" applyFont="1" applyBorder="1" applyAlignment="1">
      <alignment horizontal="center" vertical="center"/>
    </xf>
    <xf numFmtId="0" fontId="35" fillId="0" borderId="12" xfId="0" applyFont="1" applyBorder="1" applyAlignment="1">
      <alignment horizontal="left" vertical="top" wrapText="1"/>
    </xf>
    <xf numFmtId="0" fontId="22" fillId="0" borderId="13" xfId="0" applyFont="1" applyBorder="1" applyAlignment="1">
      <alignment horizontal="left" vertical="top" wrapText="1"/>
    </xf>
    <xf numFmtId="0" fontId="22" fillId="0" borderId="14" xfId="0" applyFont="1" applyBorder="1" applyAlignment="1">
      <alignment horizontal="left" vertical="top" wrapText="1"/>
    </xf>
    <xf numFmtId="0" fontId="22" fillId="0" borderId="4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10" xfId="0" applyFont="1" applyBorder="1" applyAlignment="1">
      <alignment horizontal="left" vertical="top" wrapText="1"/>
    </xf>
    <xf numFmtId="0" fontId="22" fillId="0" borderId="11" xfId="0" applyFont="1" applyBorder="1" applyAlignment="1">
      <alignment horizontal="left" vertical="top" wrapText="1"/>
    </xf>
    <xf numFmtId="0" fontId="22" fillId="0" borderId="9" xfId="0" applyFont="1" applyBorder="1" applyAlignment="1">
      <alignment horizontal="left" vertical="top" wrapText="1"/>
    </xf>
    <xf numFmtId="0" fontId="22" fillId="0" borderId="7" xfId="0" applyFont="1" applyBorder="1" applyAlignment="1">
      <alignment horizontal="left" vertical="top" wrapText="1"/>
    </xf>
    <xf numFmtId="168" fontId="6" fillId="0" borderId="15" xfId="0" applyNumberFormat="1" applyFont="1" applyBorder="1" applyAlignment="1">
      <alignment horizontal="center"/>
    </xf>
    <xf numFmtId="168" fontId="6" fillId="0" borderId="16" xfId="0" applyNumberFormat="1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77" fontId="12" fillId="0" borderId="6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14" fontId="6" fillId="0" borderId="36" xfId="0" applyNumberFormat="1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3" fillId="2" borderId="32" xfId="0" applyFont="1" applyFill="1" applyBorder="1" applyAlignment="1">
      <alignment horizontal="center"/>
    </xf>
    <xf numFmtId="0" fontId="13" fillId="2" borderId="34" xfId="0" applyFont="1" applyFill="1" applyBorder="1" applyAlignment="1">
      <alignment horizontal="center"/>
    </xf>
    <xf numFmtId="168" fontId="13" fillId="4" borderId="35" xfId="0" applyNumberFormat="1" applyFont="1" applyFill="1" applyBorder="1" applyAlignment="1">
      <alignment horizontal="center"/>
    </xf>
    <xf numFmtId="168" fontId="13" fillId="4" borderId="36" xfId="0" applyNumberFormat="1" applyFont="1" applyFill="1" applyBorder="1" applyAlignment="1">
      <alignment horizontal="center"/>
    </xf>
    <xf numFmtId="168" fontId="13" fillId="3" borderId="43" xfId="0" applyNumberFormat="1" applyFont="1" applyFill="1" applyBorder="1" applyAlignment="1">
      <alignment horizontal="center"/>
    </xf>
    <xf numFmtId="168" fontId="13" fillId="3" borderId="44" xfId="0" applyNumberFormat="1" applyFont="1" applyFill="1" applyBorder="1" applyAlignment="1">
      <alignment horizontal="center"/>
    </xf>
    <xf numFmtId="168" fontId="13" fillId="5" borderId="36" xfId="0" applyNumberFormat="1" applyFont="1" applyFill="1" applyBorder="1" applyAlignment="1">
      <alignment horizontal="center"/>
    </xf>
    <xf numFmtId="168" fontId="13" fillId="6" borderId="43" xfId="0" applyNumberFormat="1" applyFont="1" applyFill="1" applyBorder="1" applyAlignment="1">
      <alignment horizontal="center"/>
    </xf>
    <xf numFmtId="168" fontId="13" fillId="6" borderId="37" xfId="0" applyNumberFormat="1" applyFont="1" applyFill="1" applyBorder="1" applyAlignment="1">
      <alignment horizontal="center"/>
    </xf>
    <xf numFmtId="168" fontId="18" fillId="0" borderId="35" xfId="0" applyNumberFormat="1" applyFont="1" applyBorder="1" applyAlignment="1">
      <alignment horizontal="center"/>
    </xf>
    <xf numFmtId="168" fontId="18" fillId="0" borderId="37" xfId="0" applyNumberFormat="1" applyFont="1" applyBorder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3" fillId="4" borderId="41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6" borderId="12" xfId="0" applyFont="1" applyFill="1" applyBorder="1" applyAlignment="1">
      <alignment horizontal="center"/>
    </xf>
    <xf numFmtId="0" fontId="13" fillId="6" borderId="42" xfId="0" applyFont="1" applyFill="1" applyBorder="1" applyAlignment="1">
      <alignment horizont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3" fillId="0" borderId="15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14" fontId="6" fillId="0" borderId="38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164" fontId="13" fillId="0" borderId="6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164" fontId="16" fillId="0" borderId="13" xfId="0" applyNumberFormat="1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3" fillId="0" borderId="6" xfId="0" applyFont="1" applyBorder="1" applyAlignment="1">
      <alignment horizontal="left"/>
    </xf>
    <xf numFmtId="0" fontId="13" fillId="0" borderId="5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13" fillId="0" borderId="6" xfId="0" applyFont="1" applyBorder="1" applyAlignment="1">
      <alignment horizontal="right"/>
    </xf>
  </cellXfs>
  <cellStyles count="7">
    <cellStyle name="Moneda" xfId="6" builtinId="4"/>
    <cellStyle name="Moneda [0]" xfId="2" builtinId="7"/>
    <cellStyle name="Moneda 2" xfId="4"/>
    <cellStyle name="Normal" xfId="0" builtinId="0"/>
    <cellStyle name="Normal 2" xfId="5"/>
    <cellStyle name="Normal 3 2" xfId="3"/>
    <cellStyle name="Porcentaje" xfId="1" builtinId="5"/>
  </cellStyles>
  <dxfs count="74">
    <dxf>
      <numFmt numFmtId="168" formatCode="&quot;$&quot;\ 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8" formatCode="m/d/yy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8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numFmt numFmtId="178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&quot;$&quot;\ 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8" formatCode="&quot;$&quot;\ 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&quot;$&quot;#,##0_);[Red]\(&quot;$&quot;#,##0\)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&quot;$&quot;\ 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&quot;$&quot;\ 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&quot;$&quot;\ #,##0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&quot;$&quot;\ 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&quot;$&quot;\ #,##0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&quot;$&quot;\ 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2" formatCode="dd/mm/yy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8" formatCode="m/d/yy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&quot;$&quot;#,##0_);[Red]\(&quot;$&quot;#,##0\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8" formatCode="m/d/yy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dd/mm/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_);[Red]\(&quot;$&quot;#,##0\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&quot;$&quot;#,##0_);[Red]\(&quot;$&quot;#,##0\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&quot;$&quot;#,##0_);[Red]\(&quot;$&quot;#,##0\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 tint="-0.24994659260841701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colors>
    <mruColors>
      <color rgb="FF960000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[Maqueta.xlsm]Informes!TablaDinámica1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Informes!$B$1:$B$2</c:f>
              <c:strCache>
                <c:ptCount val="1"/>
                <c:pt idx="0">
                  <c:v>Factura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Informes!$A$3:$A$11</c:f>
              <c:multiLvlStrCache>
                <c:ptCount val="7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Informes!$B$3:$B$11</c:f>
              <c:numCache>
                <c:formatCode>"$"#,##0</c:formatCode>
                <c:ptCount val="7"/>
                <c:pt idx="0">
                  <c:v>6703622</c:v>
                </c:pt>
                <c:pt idx="1">
                  <c:v>5014990</c:v>
                </c:pt>
                <c:pt idx="2">
                  <c:v>5418823</c:v>
                </c:pt>
                <c:pt idx="3">
                  <c:v>5637198</c:v>
                </c:pt>
                <c:pt idx="4">
                  <c:v>7642087</c:v>
                </c:pt>
                <c:pt idx="5">
                  <c:v>4868248</c:v>
                </c:pt>
                <c:pt idx="6">
                  <c:v>515037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8-41E0-B2C6-1F68811FD261}"/>
            </c:ext>
          </c:extLst>
        </c:ser>
        <c:ser>
          <c:idx val="1"/>
          <c:order val="1"/>
          <c:tx>
            <c:strRef>
              <c:f>Informes!$C$1:$C$2</c:f>
              <c:strCache>
                <c:ptCount val="1"/>
                <c:pt idx="0">
                  <c:v>NV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Informes!$A$3:$A$11</c:f>
              <c:multiLvlStrCache>
                <c:ptCount val="7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Informes!$C$3:$C$11</c:f>
              <c:numCache>
                <c:formatCode>"$"#,##0</c:formatCode>
                <c:ptCount val="7"/>
                <c:pt idx="0">
                  <c:v>4981008</c:v>
                </c:pt>
                <c:pt idx="1">
                  <c:v>4222608</c:v>
                </c:pt>
                <c:pt idx="2">
                  <c:v>4162214</c:v>
                </c:pt>
                <c:pt idx="3">
                  <c:v>4633458</c:v>
                </c:pt>
                <c:pt idx="4">
                  <c:v>3690860</c:v>
                </c:pt>
                <c:pt idx="5">
                  <c:v>5157698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08-41E0-B2C6-1F68811FD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271232"/>
        <c:axId val="82289408"/>
      </c:barChart>
      <c:catAx>
        <c:axId val="8227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2289408"/>
        <c:crosses val="autoZero"/>
        <c:auto val="1"/>
        <c:lblAlgn val="ctr"/>
        <c:lblOffset val="100"/>
        <c:noMultiLvlLbl val="0"/>
      </c:catAx>
      <c:valAx>
        <c:axId val="8228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227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[Maqueta.xlsm]Informes!TablaDinámica2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Informes!$B$23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Informes!$A$24:$A$44</c:f>
              <c:strCache>
                <c:ptCount val="20"/>
                <c:pt idx="0">
                  <c:v>14-01-2020</c:v>
                </c:pt>
                <c:pt idx="1">
                  <c:v>07-01-2020</c:v>
                </c:pt>
                <c:pt idx="2">
                  <c:v>30-01-2020</c:v>
                </c:pt>
                <c:pt idx="3">
                  <c:v>10-01-2020</c:v>
                </c:pt>
                <c:pt idx="4">
                  <c:v>20-01-2020</c:v>
                </c:pt>
                <c:pt idx="5">
                  <c:v>21-01-2020</c:v>
                </c:pt>
                <c:pt idx="6">
                  <c:v>06-01-2020</c:v>
                </c:pt>
                <c:pt idx="7">
                  <c:v>13-01-2020</c:v>
                </c:pt>
                <c:pt idx="8">
                  <c:v>16-01-2020</c:v>
                </c:pt>
                <c:pt idx="9">
                  <c:v>28-01-2020</c:v>
                </c:pt>
                <c:pt idx="10">
                  <c:v>31-01-2020</c:v>
                </c:pt>
                <c:pt idx="11">
                  <c:v>17-01-2020</c:v>
                </c:pt>
                <c:pt idx="12">
                  <c:v>15-01-2020</c:v>
                </c:pt>
                <c:pt idx="13">
                  <c:v>27-01-2020</c:v>
                </c:pt>
                <c:pt idx="14">
                  <c:v>18-01-2020</c:v>
                </c:pt>
                <c:pt idx="15">
                  <c:v>03-01-2020</c:v>
                </c:pt>
                <c:pt idx="16">
                  <c:v>23-01-2020</c:v>
                </c:pt>
                <c:pt idx="17">
                  <c:v>05-01-2020</c:v>
                </c:pt>
                <c:pt idx="18">
                  <c:v>09-01-2020</c:v>
                </c:pt>
                <c:pt idx="19">
                  <c:v>02-01-2020</c:v>
                </c:pt>
              </c:strCache>
            </c:strRef>
          </c:cat>
          <c:val>
            <c:numRef>
              <c:f>Informes!$B$24:$B$44</c:f>
              <c:numCache>
                <c:formatCode>"$"#,##0</c:formatCode>
                <c:ptCount val="20"/>
                <c:pt idx="0">
                  <c:v>1117842</c:v>
                </c:pt>
                <c:pt idx="1">
                  <c:v>780985</c:v>
                </c:pt>
                <c:pt idx="2">
                  <c:v>466080</c:v>
                </c:pt>
                <c:pt idx="3">
                  <c:v>1223942</c:v>
                </c:pt>
                <c:pt idx="4">
                  <c:v>334152</c:v>
                </c:pt>
                <c:pt idx="5">
                  <c:v>407745</c:v>
                </c:pt>
                <c:pt idx="6">
                  <c:v>758475</c:v>
                </c:pt>
                <c:pt idx="7">
                  <c:v>151953</c:v>
                </c:pt>
                <c:pt idx="8">
                  <c:v>138445</c:v>
                </c:pt>
                <c:pt idx="9">
                  <c:v>1399737</c:v>
                </c:pt>
                <c:pt idx="10">
                  <c:v>441261</c:v>
                </c:pt>
                <c:pt idx="11">
                  <c:v>451777</c:v>
                </c:pt>
                <c:pt idx="12">
                  <c:v>1149459</c:v>
                </c:pt>
                <c:pt idx="13">
                  <c:v>348362</c:v>
                </c:pt>
                <c:pt idx="14">
                  <c:v>30000</c:v>
                </c:pt>
                <c:pt idx="15">
                  <c:v>40000</c:v>
                </c:pt>
                <c:pt idx="16">
                  <c:v>53552</c:v>
                </c:pt>
                <c:pt idx="17">
                  <c:v>2595</c:v>
                </c:pt>
                <c:pt idx="18">
                  <c:v>5012</c:v>
                </c:pt>
                <c:pt idx="19">
                  <c:v>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CB-4A8C-BFB6-AEA24B063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36832"/>
        <c:axId val="92950912"/>
      </c:barChart>
      <c:catAx>
        <c:axId val="9293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2950912"/>
        <c:crosses val="autoZero"/>
        <c:auto val="1"/>
        <c:lblAlgn val="ctr"/>
        <c:lblOffset val="100"/>
        <c:noMultiLvlLbl val="0"/>
      </c:catAx>
      <c:valAx>
        <c:axId val="929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293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447260</xdr:colOff>
      <xdr:row>2</xdr:row>
      <xdr:rowOff>198783</xdr:rowOff>
    </xdr:from>
    <xdr:to>
      <xdr:col>14</xdr:col>
      <xdr:colOff>397564</xdr:colOff>
      <xdr:row>14</xdr:row>
      <xdr:rowOff>57979</xdr:rowOff>
    </xdr:to>
    <xdr:pic macro="[0]!Menu">
      <xdr:nvPicPr>
        <xdr:cNvPr id="5" name="Imagen 4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3685760" y="1085022"/>
          <a:ext cx="2584174" cy="2468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38100</xdr:rowOff>
        </xdr:from>
        <xdr:to>
          <xdr:col>1</xdr:col>
          <xdr:colOff>1038225</xdr:colOff>
          <xdr:row>4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17</xdr:row>
          <xdr:rowOff>38100</xdr:rowOff>
        </xdr:from>
        <xdr:to>
          <xdr:col>4</xdr:col>
          <xdr:colOff>800100</xdr:colOff>
          <xdr:row>17</xdr:row>
          <xdr:rowOff>257175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76200</xdr:rowOff>
        </xdr:from>
        <xdr:to>
          <xdr:col>8</xdr:col>
          <xdr:colOff>228600</xdr:colOff>
          <xdr:row>33</xdr:row>
          <xdr:rowOff>0</xdr:rowOff>
        </xdr:to>
        <xdr:sp macro="" textlink="">
          <xdr:nvSpPr>
            <xdr:cNvPr id="1027" name="Button 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L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OV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1</xdr:row>
          <xdr:rowOff>257175</xdr:rowOff>
        </xdr:from>
        <xdr:to>
          <xdr:col>12</xdr:col>
          <xdr:colOff>723900</xdr:colOff>
          <xdr:row>1</xdr:row>
          <xdr:rowOff>638175</xdr:rowOff>
        </xdr:to>
        <xdr:sp macro="" textlink="">
          <xdr:nvSpPr>
            <xdr:cNvPr id="1030" name="Botó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</xdr:row>
          <xdr:rowOff>247650</xdr:rowOff>
        </xdr:from>
        <xdr:to>
          <xdr:col>10</xdr:col>
          <xdr:colOff>542925</xdr:colOff>
          <xdr:row>1</xdr:row>
          <xdr:rowOff>638175</xdr:rowOff>
        </xdr:to>
        <xdr:sp macro="" textlink="">
          <xdr:nvSpPr>
            <xdr:cNvPr id="1031" name="Botó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13</xdr:row>
          <xdr:rowOff>66675</xdr:rowOff>
        </xdr:from>
        <xdr:to>
          <xdr:col>14</xdr:col>
          <xdr:colOff>942975</xdr:colOff>
          <xdr:row>15</xdr:row>
          <xdr:rowOff>219075</xdr:rowOff>
        </xdr:to>
        <xdr:sp macro="" textlink="">
          <xdr:nvSpPr>
            <xdr:cNvPr id="1034" name="Botó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Imp. </a:t>
              </a:r>
            </a:p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66675</xdr:rowOff>
        </xdr:from>
        <xdr:to>
          <xdr:col>18</xdr:col>
          <xdr:colOff>342900</xdr:colOff>
          <xdr:row>15</xdr:row>
          <xdr:rowOff>219075</xdr:rowOff>
        </xdr:to>
        <xdr:sp macro="" textlink="">
          <xdr:nvSpPr>
            <xdr:cNvPr id="1035" name="Botón 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Imp. Adc.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12</xdr:row>
          <xdr:rowOff>57150</xdr:rowOff>
        </xdr:from>
        <xdr:to>
          <xdr:col>12</xdr:col>
          <xdr:colOff>1143000</xdr:colOff>
          <xdr:row>12</xdr:row>
          <xdr:rowOff>295275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68036</xdr:colOff>
      <xdr:row>0</xdr:row>
      <xdr:rowOff>190499</xdr:rowOff>
    </xdr:from>
    <xdr:to>
      <xdr:col>3</xdr:col>
      <xdr:colOff>27214</xdr:colOff>
      <xdr:row>3</xdr:row>
      <xdr:rowOff>32795</xdr:rowOff>
    </xdr:to>
    <xdr:pic macro="[0]!Menu">
      <xdr:nvPicPr>
        <xdr:cNvPr id="11" name="Imagen 10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476250" y="190499"/>
          <a:ext cx="1088571" cy="103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476250</xdr:colOff>
      <xdr:row>0</xdr:row>
      <xdr:rowOff>38100</xdr:rowOff>
    </xdr:from>
    <xdr:to>
      <xdr:col>1</xdr:col>
      <xdr:colOff>529884</xdr:colOff>
      <xdr:row>1</xdr:row>
      <xdr:rowOff>152400</xdr:rowOff>
    </xdr:to>
    <xdr:pic macro="[0]!Menu">
      <xdr:nvPicPr>
        <xdr:cNvPr id="3" name="Imagen 2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476250" y="38100"/>
          <a:ext cx="558459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238126</xdr:colOff>
      <xdr:row>0</xdr:row>
      <xdr:rowOff>28575</xdr:rowOff>
    </xdr:from>
    <xdr:to>
      <xdr:col>1</xdr:col>
      <xdr:colOff>656970</xdr:colOff>
      <xdr:row>1</xdr:row>
      <xdr:rowOff>9525</xdr:rowOff>
    </xdr:to>
    <xdr:pic macro="[0]!Menu">
      <xdr:nvPicPr>
        <xdr:cNvPr id="4" name="Imagen 3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647701" y="28575"/>
          <a:ext cx="418844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295274</xdr:colOff>
      <xdr:row>0</xdr:row>
      <xdr:rowOff>90487</xdr:rowOff>
    </xdr:from>
    <xdr:to>
      <xdr:col>14</xdr:col>
      <xdr:colOff>409575</xdr:colOff>
      <xdr:row>20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266700</xdr:colOff>
      <xdr:row>22</xdr:row>
      <xdr:rowOff>100012</xdr:rowOff>
    </xdr:from>
    <xdr:to>
      <xdr:col>11</xdr:col>
      <xdr:colOff>314325</xdr:colOff>
      <xdr:row>36</xdr:row>
      <xdr:rowOff>176212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168088</xdr:colOff>
      <xdr:row>0</xdr:row>
      <xdr:rowOff>11205</xdr:rowOff>
    </xdr:from>
    <xdr:to>
      <xdr:col>0</xdr:col>
      <xdr:colOff>586932</xdr:colOff>
      <xdr:row>0</xdr:row>
      <xdr:rowOff>411255</xdr:rowOff>
    </xdr:to>
    <xdr:pic macro="[0]!Menu">
      <xdr:nvPicPr>
        <xdr:cNvPr id="3" name="Imagen 2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168088" y="11205"/>
          <a:ext cx="418844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1409</xdr:row>
      <xdr:rowOff>0</xdr:rowOff>
    </xdr:from>
    <xdr:to>
      <xdr:col>6</xdr:col>
      <xdr:colOff>418844</xdr:colOff>
      <xdr:row>1411</xdr:row>
      <xdr:rowOff>19050</xdr:rowOff>
    </xdr:to>
    <xdr:pic>
      <xdr:nvPicPr>
        <xdr:cNvPr id="4" name="Imagen 3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7911353" y="268683441"/>
          <a:ext cx="418844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190500</xdr:colOff>
      <xdr:row>0</xdr:row>
      <xdr:rowOff>0</xdr:rowOff>
    </xdr:from>
    <xdr:to>
      <xdr:col>0</xdr:col>
      <xdr:colOff>609344</xdr:colOff>
      <xdr:row>0</xdr:row>
      <xdr:rowOff>400050</xdr:rowOff>
    </xdr:to>
    <xdr:pic>
      <xdr:nvPicPr>
        <xdr:cNvPr id="5" name="Imagen 4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190500" y="0"/>
          <a:ext cx="418844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110756</xdr:colOff>
      <xdr:row>0</xdr:row>
      <xdr:rowOff>0</xdr:rowOff>
    </xdr:from>
    <xdr:to>
      <xdr:col>0</xdr:col>
      <xdr:colOff>529600</xdr:colOff>
      <xdr:row>0</xdr:row>
      <xdr:rowOff>400050</xdr:rowOff>
    </xdr:to>
    <xdr:pic>
      <xdr:nvPicPr>
        <xdr:cNvPr id="3" name="Imagen 2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110756" y="0"/>
          <a:ext cx="418844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0</xdr:row>
          <xdr:rowOff>57150</xdr:rowOff>
        </xdr:from>
        <xdr:to>
          <xdr:col>1</xdr:col>
          <xdr:colOff>2305050</xdr:colOff>
          <xdr:row>0</xdr:row>
          <xdr:rowOff>361950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8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COMPRA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212912</xdr:colOff>
      <xdr:row>0</xdr:row>
      <xdr:rowOff>0</xdr:rowOff>
    </xdr:from>
    <xdr:to>
      <xdr:col>0</xdr:col>
      <xdr:colOff>631756</xdr:colOff>
      <xdr:row>0</xdr:row>
      <xdr:rowOff>400050</xdr:rowOff>
    </xdr:to>
    <xdr:pic>
      <xdr:nvPicPr>
        <xdr:cNvPr id="4" name="Imagen 3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212912" y="0"/>
          <a:ext cx="418844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232834</xdr:colOff>
      <xdr:row>0</xdr:row>
      <xdr:rowOff>0</xdr:rowOff>
    </xdr:from>
    <xdr:to>
      <xdr:col>0</xdr:col>
      <xdr:colOff>651678</xdr:colOff>
      <xdr:row>0</xdr:row>
      <xdr:rowOff>400050</xdr:rowOff>
    </xdr:to>
    <xdr:pic>
      <xdr:nvPicPr>
        <xdr:cNvPr id="3" name="Imagen 2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232834" y="0"/>
          <a:ext cx="418844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123825</xdr:rowOff>
        </xdr:from>
        <xdr:to>
          <xdr:col>10</xdr:col>
          <xdr:colOff>542925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A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272141</xdr:colOff>
      <xdr:row>0</xdr:row>
      <xdr:rowOff>136071</xdr:rowOff>
    </xdr:from>
    <xdr:to>
      <xdr:col>2</xdr:col>
      <xdr:colOff>287300</xdr:colOff>
      <xdr:row>2</xdr:row>
      <xdr:rowOff>217713</xdr:rowOff>
    </xdr:to>
    <xdr:pic>
      <xdr:nvPicPr>
        <xdr:cNvPr id="4" name="Imagen 3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898070" y="136071"/>
          <a:ext cx="641087" cy="61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</xdr:row>
          <xdr:rowOff>85725</xdr:rowOff>
        </xdr:from>
        <xdr:to>
          <xdr:col>8</xdr:col>
          <xdr:colOff>114300</xdr:colOff>
          <xdr:row>2</xdr:row>
          <xdr:rowOff>57150</xdr:rowOff>
        </xdr:to>
        <xdr:sp macro="" textlink="">
          <xdr:nvSpPr>
            <xdr:cNvPr id="12290" name="Botó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1</xdr:row>
          <xdr:rowOff>9525</xdr:rowOff>
        </xdr:from>
        <xdr:to>
          <xdr:col>10</xdr:col>
          <xdr:colOff>504825</xdr:colOff>
          <xdr:row>2</xdr:row>
          <xdr:rowOff>114300</xdr:rowOff>
        </xdr:to>
        <xdr:sp macro="" textlink="">
          <xdr:nvSpPr>
            <xdr:cNvPr id="12291" name="Button 1027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238125</xdr:colOff>
      <xdr:row>0</xdr:row>
      <xdr:rowOff>95249</xdr:rowOff>
    </xdr:from>
    <xdr:to>
      <xdr:col>2</xdr:col>
      <xdr:colOff>309562</xdr:colOff>
      <xdr:row>2</xdr:row>
      <xdr:rowOff>217974</xdr:rowOff>
    </xdr:to>
    <xdr:pic>
      <xdr:nvPicPr>
        <xdr:cNvPr id="6" name="Imagen 5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833438" y="95249"/>
          <a:ext cx="714374" cy="682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280146</xdr:colOff>
      <xdr:row>0</xdr:row>
      <xdr:rowOff>22412</xdr:rowOff>
    </xdr:from>
    <xdr:to>
      <xdr:col>0</xdr:col>
      <xdr:colOff>649941</xdr:colOff>
      <xdr:row>0</xdr:row>
      <xdr:rowOff>375614</xdr:rowOff>
    </xdr:to>
    <xdr:pic>
      <xdr:nvPicPr>
        <xdr:cNvPr id="4" name="Imagen 3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280146" y="22412"/>
          <a:ext cx="369795" cy="3532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4</xdr:row>
          <xdr:rowOff>47625</xdr:rowOff>
        </xdr:from>
        <xdr:to>
          <xdr:col>19</xdr:col>
          <xdr:colOff>514350</xdr:colOff>
          <xdr:row>7</xdr:row>
          <xdr:rowOff>104775</xdr:rowOff>
        </xdr:to>
        <xdr:sp macro="" textlink="">
          <xdr:nvSpPr>
            <xdr:cNvPr id="16385" name="Botón 16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1</xdr:row>
          <xdr:rowOff>19050</xdr:rowOff>
        </xdr:from>
        <xdr:to>
          <xdr:col>19</xdr:col>
          <xdr:colOff>495300</xdr:colOff>
          <xdr:row>1</xdr:row>
          <xdr:rowOff>323850</xdr:rowOff>
        </xdr:to>
        <xdr:sp macro="" textlink="">
          <xdr:nvSpPr>
            <xdr:cNvPr id="16386" name="Botón 16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31749</xdr:colOff>
      <xdr:row>3</xdr:row>
      <xdr:rowOff>0</xdr:rowOff>
    </xdr:from>
    <xdr:to>
      <xdr:col>1</xdr:col>
      <xdr:colOff>298889</xdr:colOff>
      <xdr:row>6</xdr:row>
      <xdr:rowOff>158750</xdr:rowOff>
    </xdr:to>
    <xdr:pic>
      <xdr:nvPicPr>
        <xdr:cNvPr id="6" name="Imagen 5" descr="V logo logo de empresa y plantilla de símbolos - Descargar ...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48" t="23070" r="28769" b="24046"/>
        <a:stretch/>
      </xdr:blipFill>
      <xdr:spPr bwMode="auto">
        <a:xfrm>
          <a:off x="31749" y="645583"/>
          <a:ext cx="764557" cy="73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jandro%20Scholtbach/Dropbox/DISTRIBUIDORA/2019/Gesti&#243;n%20DVL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OV"/>
      <sheetName val="Salidas"/>
      <sheetName val="Entradas"/>
      <sheetName val="Informes"/>
      <sheetName val="LProd"/>
      <sheetName val="Inv"/>
      <sheetName val="LV"/>
      <sheetName val="LC"/>
      <sheetName val="LCli"/>
      <sheetName val="Cob"/>
      <sheetName val="LQ"/>
      <sheetName val="LProv"/>
      <sheetName val="EC"/>
      <sheetName val="LValid"/>
      <sheetName val="Dep"/>
      <sheetName val="PRY"/>
      <sheetName val="Categoria"/>
      <sheetName val="Sub-Tipo"/>
      <sheetName val="Tip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jandro Scholtbach" refreshedDate="43866.687986111108" createdVersion="6" refreshedVersion="6" minRefreshableVersion="3" recordCount="56">
  <cacheSource type="worksheet">
    <worksheetSource name="Tabla2"/>
  </cacheSource>
  <cacheFields count="24">
    <cacheField name="Cód. Pvd" numFmtId="0">
      <sharedItems/>
    </cacheField>
    <cacheField name="Proovedor" numFmtId="0">
      <sharedItems/>
    </cacheField>
    <cacheField name="SII" numFmtId="0">
      <sharedItems containsNonDate="0" containsString="0" containsBlank="1"/>
    </cacheField>
    <cacheField name="Factura" numFmtId="0">
      <sharedItems containsSemiMixedTypes="0" containsString="0" containsNumber="1" containsInteger="1" minValue="639" maxValue="70113791"/>
    </cacheField>
    <cacheField name="Fecha Emisión" numFmtId="177">
      <sharedItems containsSemiMixedTypes="0" containsNonDate="0" containsDate="1" containsString="0" minDate="2020-01-02T00:00:00" maxDate="2020-02-01T00:00:00" count="20">
        <d v="2020-01-21T00:00:00"/>
        <d v="2020-01-14T00:00:00"/>
        <d v="2020-01-07T00:00:00"/>
        <d v="2020-01-30T00:00:00"/>
        <d v="2020-01-10T00:00:00"/>
        <d v="2020-01-20T00:00:00"/>
        <d v="2020-01-06T00:00:00"/>
        <d v="2020-01-13T00:00:00"/>
        <d v="2020-01-16T00:00:00"/>
        <d v="2020-01-28T00:00:00"/>
        <d v="2020-01-31T00:00:00"/>
        <d v="2020-01-17T00:00:00"/>
        <d v="2020-01-18T00:00:00"/>
        <d v="2020-01-03T00:00:00"/>
        <d v="2020-01-15T00:00:00"/>
        <d v="2020-01-27T00:00:00"/>
        <d v="2020-01-23T00:00:00"/>
        <d v="2020-01-05T00:00:00"/>
        <d v="2020-01-09T00:00:00"/>
        <d v="2020-01-02T00:00:00"/>
      </sharedItems>
    </cacheField>
    <cacheField name="Monto" numFmtId="164">
      <sharedItems containsSemiMixedTypes="0" containsString="0" containsNumber="1" containsInteger="1" minValue="1981" maxValue="1149459"/>
    </cacheField>
    <cacheField name="SII2" numFmtId="0">
      <sharedItems containsNonDate="0" containsString="0" containsBlank="1"/>
    </cacheField>
    <cacheField name="NC" numFmtId="0">
      <sharedItems containsNonDate="0" containsString="0" containsBlank="1"/>
    </cacheField>
    <cacheField name="F. Emisión" numFmtId="0">
      <sharedItems containsNonDate="0" containsString="0" containsBlank="1"/>
    </cacheField>
    <cacheField name="Monto3" numFmtId="168">
      <sharedItems containsNonDate="0" containsString="0" containsBlank="1"/>
    </cacheField>
    <cacheField name="TOTAL" numFmtId="168">
      <sharedItems/>
    </cacheField>
    <cacheField name="Credito" numFmtId="1">
      <sharedItems containsSemiMixedTypes="0" containsString="0" containsNumber="1" containsInteger="1" minValue="0" maxValue="30"/>
    </cacheField>
    <cacheField name="Fecha Venc" numFmtId="177">
      <sharedItems containsSemiMixedTypes="0" containsNonDate="0" containsDate="1" containsString="0" minDate="2019-01-06T00:00:00" maxDate="2020-02-28T00:00:00"/>
    </cacheField>
    <cacheField name="Estado" numFmtId="14">
      <sharedItems/>
    </cacheField>
    <cacheField name="Fecha de Pago" numFmtId="177">
      <sharedItems containsNonDate="0" containsDate="1" containsString="0" containsBlank="1" minDate="2020-01-10T00:00:00" maxDate="2020-01-11T00:00:00"/>
    </cacheField>
    <cacheField name="Monto Pagado" numFmtId="168">
      <sharedItems containsString="0" containsBlank="1" containsNumber="1" containsInteger="1" minValue="49921" maxValue="149428"/>
    </cacheField>
    <cacheField name="Forma de pago" numFmtId="0">
      <sharedItems/>
    </cacheField>
    <cacheField name="Tipo TBK" numFmtId="0">
      <sharedItems/>
    </cacheField>
    <cacheField name="Num CQ" numFmtId="1">
      <sharedItems containsString="0" containsBlank="1" containsNumber="1" containsInteger="1" minValue="1485" maxValue="6779012"/>
    </cacheField>
    <cacheField name="Fecha Cobro" numFmtId="177">
      <sharedItems containsNonDate="0" containsDate="1" containsString="0" containsBlank="1" minDate="2020-01-10T00:00:00" maxDate="2020-01-11T00:00:00"/>
    </cacheField>
    <cacheField name="Obvs" numFmtId="0">
      <sharedItems containsNonDate="0" containsString="0" containsBlank="1"/>
    </cacheField>
    <cacheField name="Envío Fact." numFmtId="0">
      <sharedItems containsNonDate="0" containsString="0" containsBlank="1"/>
    </cacheField>
    <cacheField name="Envío NC" numFmtId="0">
      <sharedItems containsNonDate="0" containsString="0" containsBlank="1"/>
    </cacheField>
    <cacheField name="M Cobro" numFmtId="168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ejandro Scholtbach" refreshedDate="43924.434147337961" createdVersion="6" refreshedVersion="6" minRefreshableVersion="3" recordCount="1128">
  <cacheSource type="worksheet">
    <worksheetSource ref="A2:Y1130" sheet="Salidas"/>
  </cacheSource>
  <cacheFields count="26">
    <cacheField name="Compr" numFmtId="0">
      <sharedItems containsSemiMixedTypes="0" containsString="0" containsNumber="1" containsInteger="1" minValue="2" maxValue="4296"/>
    </cacheField>
    <cacheField name="Cod. Prod" numFmtId="0">
      <sharedItems/>
    </cacheField>
    <cacheField name="Descripción" numFmtId="0">
      <sharedItems count="261">
        <s v="Jamon Serrano 500 grs"/>
        <s v="Tallarines 400 gr"/>
        <s v="Aguardiente 42° 2 litro"/>
        <s v="Queso Oveja Pecorino"/>
        <s v="Gato Pescado 15 Kg"/>
        <s v="Adulto Carne 18 Kgs"/>
        <s v="Cloro Granulado 1Kg"/>
        <s v="Decantador 1k"/>
        <s v="TYSON 25 k"/>
        <s v="Nutra Can x 18 kgs"/>
        <s v="Aceite Oliva Blend 5 Lt pet"/>
        <s v="Toalla Jumbo 185 m x 2"/>
        <s v="Queso Cabra  Pieza Unidad (3,1 kg. aprox.)"/>
        <s v="Bavaro Work 18 Kg"/>
        <s v="Cloro Granulado x 1 Kg"/>
        <s v="Baja PH 1 Kg"/>
        <s v="Cloro Tab.Triple Acción 1 Kg"/>
        <s v="Queso Oveja Feta"/>
        <s v="Queso Ricoton Cuña"/>
        <s v="Queso Pecorino Cuña"/>
        <s v="Queso Oveja Semicurado cuña 150 grs"/>
        <s v="Cono Helado 18 Unid"/>
        <s v="Pila AA Tira 12 Und"/>
        <s v="Pila AAA Tira 6 Und"/>
        <s v="Pila Grande D 6 x 2 Und"/>
        <s v="Bidon 10 Lts cloro piscina 10%"/>
        <s v="Algicida 2 litros"/>
        <s v="Aceite Oliva Arbequina 5 Lt pet"/>
        <s v="Masko Cachorro x 20 Kgs"/>
        <s v="Masko Gato x 25 Kgs"/>
        <s v="Adulto Carne 18Kg"/>
        <s v="Adulto Pollo 18 Kg"/>
        <s v="Senior 8k"/>
        <s v="Cloro Tableta Triple Acción 1 Kg"/>
        <s v="Alimento perro 25 k"/>
        <s v="Chorizo Sarta  EV 240 gr."/>
        <s v="Queso de Oveja Semicurado (3-6M)  Cuña 150 gr."/>
        <s v="Masko Can 25 Kg."/>
        <s v="Regular Adulto 18 Kg "/>
        <s v="Cloro Tableta 1 Kg"/>
        <s v="Bidon 10 Lts cloro piscina 5%"/>
        <s v="Adulto Premium Carne Cereal 18 Kg"/>
        <s v="Carbon Quebracho Bco 2,5 k"/>
        <s v="Cabernet Souvignon Riberas del Loncomilla 750 cc"/>
        <s v="Frasco Conservero c/Tapa 450 "/>
        <s v="Aceite Oliva E Virgen 250"/>
        <s v="Masko Gato x 10 Kgs"/>
        <s v="Servilleta Restaurant Mesa 12x200 u"/>
        <s v="Cono Helado 10 Unid"/>
        <s v="Cous Cous 500 grs"/>
        <s v="Gato Pescado 0,5 kg"/>
        <s v="Gato Pescado 1 Kg"/>
        <s v="Papel Higienico D/H 30 m 12 x 4"/>
        <s v="Pate de Foie 100 gr"/>
        <s v="Pate de Ternera 100 gr"/>
        <s v="Pepinillos Rodela p/ Sandwich 580 ml"/>
        <s v="Toalla 32 Mts"/>
        <s v="Bavaro Task adulto 18 Kg "/>
        <s v="Toalla Domestica D/H 12 mt 12 x 2"/>
        <s v="Toalla Nova Prep. 115 m x 2"/>
        <s v="Encendedores Transparentes"/>
        <s v="Collar 66 cm"/>
        <s v="Papel Higienico 12 x4 x30 Mts DH"/>
        <s v="Adulto Carne 1,5 Kg"/>
        <s v="Aceite Freir 10 Lts"/>
        <s v="Frasco 1000 cc T/O 82"/>
        <s v="Frasco 450 cc T/O 82 MM"/>
        <s v="Frasco 2000cc T/O110 mm"/>
        <s v="Frasco 3900 cc T/O 110 mmm"/>
        <s v="Tapa 82 mm"/>
        <s v="Tapa 110 mm Blanca"/>
        <s v="Bidon 10 Lts cloro psicina 5%"/>
        <s v="Comida Caballo 25 k"/>
        <s v="Sube PH 1 Kg"/>
        <s v="Alimento Ponedora 20 k"/>
        <s v="Fideos 400 gr"/>
        <s v="Salsa de Tomate"/>
        <s v="Duraznos Mitades al Jugo 580 gr"/>
        <s v="Masko Can x 2.5 Kgs"/>
        <s v="Masko Gato 1 kg"/>
        <s v="Cachorro Carne 1,5 k g"/>
        <s v="Adulto Carne 3 Kg"/>
        <s v="Masko Cachorro 1,5 kg"/>
        <s v="Esparrago Bco.345 grs"/>
        <s v="Servilleta Coctail 80 uni."/>
        <s v="Mermelada Damasco 250 gr"/>
        <s v="Mermelada Durazno 250 gr"/>
        <s v="Mermelada Mora 250 gr"/>
        <s v="Dulce de Membrillo 250 grs"/>
        <s v="Harina de Maiz Blanca"/>
        <s v="Higienico 12 x4 x30 Mts DH"/>
        <s v="Papel Higienico H/S 420 m x 8"/>
        <s v="Soya 1000 cc"/>
        <s v="Gato Pollo Leche 10 Kg"/>
        <s v="Arena Sanitaria Cristal 1,6 Kg"/>
        <s v="Mordiskan x 25 Kgs"/>
        <s v="Pepinillos Picantes en Vinagre 1700 ml"/>
        <s v="Toalla MegaRollo D/H 32 mt 6 x 2"/>
        <s v="Alimento Perro 15 k"/>
        <s v="Raid 235 cc"/>
        <s v="Dulce de Membrillo 1000 gr"/>
        <s v="Cachorro Carne 18 Kg"/>
        <s v="Dulce de Membrillo 500 gr"/>
        <s v="Alimento Gato 10 K"/>
        <s v="Razas Pequeñas 18 kg"/>
        <s v="Aceite Soya 900"/>
        <s v="Jamón Serrano  500 gr. Atmósfera"/>
        <s v="Aceite Oliva Arbequina 1 Lt"/>
        <s v="Arroz Basmati ROYAL"/>
        <s v="Adulto 10 Kg"/>
        <s v="Gato Pollo 20 Kg"/>
        <s v="Adulto Carne 21 Kg"/>
        <s v="Gato Pescado 3k"/>
        <s v="Arroz Parboiled "/>
        <s v="Candog Hueso 25 k"/>
        <s v="Candog Hueso 10 k"/>
        <s v="Gato Pescado 10 kg"/>
        <s v="Galleta Arroz Natural SLIM"/>
        <s v="Toalla Mega Rollo D/H 32 mt 15 x 1"/>
        <s v="Lentejas 400 gr"/>
        <s v="Masko Can x 10 Kgs"/>
        <s v="Mermelada Frutilla 250 gr"/>
        <s v="Mermelada Guinda 250 gr"/>
        <s v="Miel Pasteurizada 1K Polipapel"/>
        <s v="Miel Pasteurizada Frasco 500 grs"/>
        <s v="Papayas Almibar 1000 cc"/>
        <s v="Passata Botella 680 ml"/>
        <s v="Passata Corposo Rustica 700 grs"/>
        <s v="Passata Picanto Jalapeño 350 grs"/>
        <s v="Passata Profumatto Basilico 500 grs"/>
        <s v="Passata Rustica 690"/>
        <s v="Piñas  Cubitos Galon 3 k"/>
        <s v="Piñas Rodajas Galon 3K"/>
        <s v="Sucedaneo Limon 1 Litro"/>
        <s v="Sucedaneo Limon 1/2 Litro"/>
        <s v="Cafe de Grano Organico 1 kg "/>
        <s v="Frejol Coscorron Alubia Bca 25 k"/>
        <s v="Aceite Freir5 L"/>
        <s v="Alimento Cachorro 15 K"/>
        <s v="Cachorro Premium 18 Kg"/>
        <s v="Aceite Oliva Empeltre 1 Lt"/>
        <s v="Collar 35 cm"/>
        <s v="Collar 48 cm"/>
        <s v="Galleta Arroz Chia SLIM"/>
        <s v="Galleta Arroz Maravilla SLIM"/>
        <s v="Galleta Arroz Sesamo SLIM"/>
        <s v="Galleta Maiz SLIM"/>
        <s v="Gnochi 500 grs"/>
        <s v="Leche Coco Tarro"/>
        <s v="Atun Aceite 48 x 170 grs"/>
        <s v="Atun Agua 170 grs"/>
        <s v="Passata Il Sublime 350 grs"/>
        <s v="Crema Aceto Galce 380"/>
        <s v="Arena Sanitaria Aglutinante 2 Kg"/>
        <s v="Arroz G2 Argentino"/>
        <s v="Mermelada Surtidas 250 gr"/>
        <s v="Atun al Agua 180 gr"/>
        <s v="Atun en Aceite 180 gr"/>
        <s v="Cerezas Marrasquino (Rojas) 250 gr"/>
        <s v="Cocktail de Frutas 580 gr"/>
        <s v="Fideos de Arroz 5 MM 375 gr"/>
        <s v="Fideos de Arroz Vermicelli 375 gr"/>
        <s v="Fondos de Alcachofas 1000 gr"/>
        <s v="Mermelada Ciruela 250 gr"/>
        <s v="Mermelada Frambuesa 250 gr"/>
        <s v="Chorito Aceite 190grs"/>
        <s v="Duraznos Cubitos al Jugo 580 gr"/>
        <s v="Cafe Molido vacio 250 Extraforte"/>
        <s v="Pepinillos 680"/>
        <s v="MOSTAZA DIJON  F - 370 S/n Gluten"/>
        <s v="Aceite Oliva E Virgen 500"/>
        <s v="Te Verde Pure Ceylon Tea"/>
        <s v="Salsa de Soya 150 ml"/>
        <s v="Leche de Coco 400 ml Tetrapack"/>
        <s v="Quinua Real  Negra 400 grs"/>
        <s v="Alcaparras 200-120 gr"/>
        <s v="SesamoTostado 1k"/>
        <s v="Sesamo Blanco 1k"/>
        <s v="Arvejitas Especiales 300"/>
        <s v="Pepinillos Polaca 720"/>
        <s v="Vinagre Blanco 1/2 Litro"/>
        <s v="Vinagre Tinto 1 Litro"/>
        <s v="Vinagre Tinto 1/2 Litro"/>
        <s v="Cloro Concentrado 4 Litros 5%"/>
        <s v="Queso Cabra Barra"/>
        <s v="Cloro Piscina - Bidon 10 Lts - 5%"/>
        <s v="Algicida 2 Lt"/>
        <s v="Decantador 1 kg"/>
        <s v="Toalla Jumbo 185 m x 2 rollos"/>
        <s v="Tomate Pellati 2950 gr"/>
        <s v="Passata Di Pomodori 3 Kg"/>
        <s v="Tomate Entero Pelado 2,5 Kg"/>
        <s v="Cloro Granulado 1 Kg"/>
        <s v="Gato Delimix 21 Kg"/>
        <s v="Sensiplus Intolerencias Digestivas 15 Kg (sin gluten)"/>
        <s v="Kids 15 Kg (sin gluten) "/>
        <s v="Toalla Nova Prep. 115 m x 2 rollos"/>
        <s v="Longanizas Tradicional 1 Kg x 10"/>
        <s v="Cloro Piscina - Bidon 10 Lts  5%"/>
        <s v="CloroGel Limon - 900 ml"/>
        <s v="Papel Higienico D/H 30 m x 4 rollos"/>
        <s v="Cono Aromatico Surtido"/>
        <s v="Rabito x 20 Kgs"/>
        <s v="Detergente Matic - 3 Lts"/>
        <s v="Cloro Ropa Color - 900 ml"/>
        <s v="Rocky Mountain Gato Adulto 7 Kg"/>
        <s v="Microbite Adulto 7 Kg"/>
        <s v="Aceite Maravilla 1 L"/>
        <s v="Pollo y Cereal Perro Adulto 20 Kg"/>
        <s v="Ocean Gato 8 Kg"/>
        <s v="Candog Buffet 25 Kg"/>
        <s v="Candog Buffet 10 K"/>
        <s v="Senior 8 kgs"/>
        <s v="Alcaparron 240 grs"/>
        <s v="Chukrut 720 ml"/>
        <s v="Repollo Rojo Pre Cocido 720 ml"/>
        <s v="Arroz G2 Argentino 1 K"/>
        <s v="Lady Grey 10 x2 g"/>
        <s v="Lenteja Laird"/>
        <s v="Pimiento Morron 2900 gr"/>
        <s v="Caldo Natural Carne 1 litro"/>
        <s v="Caldo Natural Verdura 1 litro"/>
        <s v="Adulto perro 20 Kg"/>
        <s v="Galleta Arroz Multigrano SLIM"/>
        <s v="Galleta de Arroz Maiz Natural SLIM"/>
        <s v="Passata Arrabiata Peperoncino 500 grs"/>
        <s v="Passata Extrafine Toscano 700 grs"/>
        <s v="Passata Rustica 690 gr"/>
        <s v="Cloro Espuma 3% - 500 ml"/>
        <s v="Trisabor espirales 400 gr"/>
        <s v="Arroz G2 Argentino 1 Kg"/>
        <s v="Crema hidratante 150 ml"/>
        <s v="Cloro Gel 5 Litros"/>
        <s v="Cerveza Lata 330 cc 4.6°"/>
        <s v="Cerveza 500 cc"/>
        <s v="Harina Sin Polvo"/>
        <s v="Azucar 1 KG"/>
        <s v="Aceite Oliva Frantoio 5 Lt pet"/>
        <s v="Jamon Serrano  ER 500 gr. Atmósfera"/>
        <s v="Tomate Entero Pelado 400 gr"/>
        <s v="Jugo Tomate 300 grs"/>
        <s v="Lentejas con Chorizo 415 g"/>
        <s v="Preparado Tortilla de Papa frasco 580 ml"/>
        <s v="Triple Conc Tomate 310 gr"/>
        <s v="Queso Crema Oveja Abre Facil 140g"/>
        <s v="Cloro Piscina - Bidon 10 Lts - 10%"/>
        <s v="Arroz G1 Nacional"/>
        <s v="Poroto Hayado IMP:"/>
        <s v="Arroz G2 Nacional"/>
        <s v="Sucedaneo Limon 5 Litros "/>
        <s v="Cloro Gel 2 Litros"/>
        <s v="Cloro Gel - 900 ml"/>
        <s v="Vinagre Manzana 1/2 Litro"/>
        <s v="Mani Tostarso 25 k"/>
        <s v="Quinua Trescolores 25 k"/>
        <s v="Quinua Roja 25 k"/>
        <s v="Chia 25 k"/>
        <s v="Cous Cous 25 k"/>
        <s v="Toalla Domestica D/H 12 m x 2 rollos"/>
        <s v="Cloro Concentrado 5% - 1000 ml"/>
        <s v="Insecticida Multi-Insecto 500 cc"/>
      </sharedItems>
    </cacheField>
    <cacheField name="Marca" numFmtId="0">
      <sharedItems count="97">
        <s v="Toledo"/>
        <s v="Suazo"/>
        <s v="Montesierpe"/>
        <s v="Boladero"/>
        <s v="Raza"/>
        <s v="Champion Dog"/>
        <s v="Vogel"/>
        <s v="Tyson"/>
        <s v="Nutra Can"/>
        <s v="Alberto"/>
        <s v="S/M"/>
        <s v="Trujillo"/>
        <s v="Bavaro"/>
        <s v="Sunny Sol"/>
        <s v="Dulcono Roma"/>
        <s v="Duracell"/>
        <s v="Masko"/>
        <s v="Masko Gato"/>
        <s v="Master Dog"/>
        <s v="Rico"/>
        <s v="JosiDog"/>
        <s v="Cannes"/>
        <s v="Fuegos de Norte"/>
        <s v="Altos de Mujica"/>
        <s v="Cristoro"/>
        <s v="Doña Oliva"/>
        <s v="Elite"/>
        <s v="Sahara"/>
        <s v="Florax"/>
        <s v="Perello"/>
        <s v="StollenWerk"/>
        <s v="Blanco Del Sur"/>
        <s v="LYM"/>
        <s v="RedPower"/>
        <s v="Bayticol"/>
        <s v="Maxi Frits"/>
        <s v="Bezeta"/>
        <s v="Al Sur"/>
        <s v="Abolengo"/>
        <s v="Doña Arepa"/>
        <s v="Hernandez"/>
        <s v="TOP K9 "/>
        <s v="Mordiskan"/>
        <s v="Gaucho"/>
        <s v="Raid"/>
        <s v="Agroprodex"/>
        <s v="Pansari"/>
        <s v="Josicat"/>
        <s v="Master Cat"/>
        <s v="Candog"/>
        <s v="Kupiec"/>
        <s v="Vesu"/>
        <s v="San Ambrosio"/>
        <s v="Petti"/>
        <s v="Centauro"/>
        <s v="I Wanna Coffee"/>
        <s v="Maxifrit"/>
        <s v="Emilia"/>
        <s v="Lady Coconut"/>
        <s v="Satu"/>
        <s v="Roland"/>
        <s v="Top K9"/>
        <s v="Otuna"/>
        <s v="Thai Kitchen"/>
        <s v="Angelmo"/>
        <s v="Melitta"/>
        <s v="Tostani"/>
        <s v="BORNIER"/>
        <s v="Twinings"/>
        <s v="Lee Kum Kee"/>
        <s v="Real"/>
        <s v="Damico"/>
        <s v="HENGSTENBERG"/>
        <s v="Arcadia"/>
        <s v="Holandia"/>
        <s v="Cat Chow "/>
        <s v="Josera"/>
        <s v="Quimera"/>
        <s v="Impeke"/>
        <s v="Renuzit"/>
        <s v="Conejo Rabito"/>
        <s v="Taste of Wild"/>
        <s v="Nutra Gold"/>
        <s v="Bravo"/>
        <s v="Cat Chow"/>
        <s v="Luxapears"/>
        <s v="Maxiarroz"/>
        <s v="Gallina Blanca"/>
        <s v="Fit Formula"/>
        <s v="Maxi Arroz"/>
        <s v="Nivea"/>
        <s v="Harboe"/>
        <s v="Bear Beer"/>
        <s v="Molino"/>
        <s v="Shogun"/>
        <s v="Multiquimica"/>
        <s v="Klerat"/>
      </sharedItems>
    </cacheField>
    <cacheField name="Fecha OV" numFmtId="14">
      <sharedItems containsSemiMixedTypes="0" containsNonDate="0" containsDate="1" containsString="0" minDate="2020-01-02T00:00:00" maxDate="2020-04-02T00:00:00" count="71">
        <d v="2020-01-02T00:00:00"/>
        <d v="2020-01-03T00:00:00"/>
        <d v="2020-01-05T00:00:00"/>
        <d v="2020-01-06T00:00:00"/>
        <d v="2020-01-07T00:00:00"/>
        <d v="2020-01-08T00:00:00"/>
        <d v="2020-01-09T00:00:00"/>
        <d v="2020-01-10T00:00:00"/>
        <d v="2020-01-12T00:00:00"/>
        <d v="2020-01-13T00:00:00"/>
        <d v="2020-01-15T00:00:00"/>
        <d v="2020-01-17T00:00:00"/>
        <d v="2020-01-18T00:00:00"/>
        <d v="2020-01-20T00:00:00"/>
        <d v="2020-01-21T00:00:00"/>
        <d v="2020-01-22T00:00:00"/>
        <d v="2020-01-23T00:00:00"/>
        <d v="2020-01-24T00:00:00"/>
        <d v="2020-01-25T00:00:00"/>
        <d v="2020-01-27T00:00:00"/>
        <d v="2020-01-28T00:00:00"/>
        <d v="2020-01-29T00:00:00"/>
        <d v="2020-01-30T00:00:00"/>
        <d v="2020-01-31T00:00:00"/>
        <d v="2020-02-0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1T00:00:00"/>
        <d v="2020-02-22T00:00:00"/>
        <d v="2020-02-24T00:00:00"/>
        <d v="2020-02-25T00:00:00"/>
        <d v="2020-02-26T00:00:00"/>
        <d v="2020-02-28T00:00:00"/>
        <d v="2020-02-29T00:00:00"/>
        <d v="2020-03-02T00:00:00"/>
        <d v="2020-03-03T00:00:00"/>
        <d v="2020-03-04T00:00:00"/>
        <d v="2020-03-05T00:00:00"/>
        <d v="2020-03-06T00:00:00"/>
        <d v="2020-03-07T00:00:00"/>
        <d v="2020-03-09T00:00:00"/>
        <d v="2020-03-10T00:00:00"/>
        <d v="2020-03-11T00:00:00"/>
        <d v="2020-03-12T00:00:00"/>
        <d v="2020-03-13T00:00:00"/>
        <d v="2020-03-14T00:00:00"/>
        <d v="2020-03-16T00:00:00"/>
        <d v="2020-03-17T00:00:00"/>
        <d v="2020-03-18T00:00:00"/>
        <d v="2020-03-19T00:00:00"/>
        <d v="2020-03-20T00:00:00"/>
        <d v="2020-03-21T00:00:00"/>
        <d v="2020-03-24T00:00:00"/>
        <d v="2020-03-25T00:00:00"/>
        <d v="2020-03-26T00:00:00"/>
        <d v="2020-03-27T00:00:00"/>
        <d v="2020-03-28T00:00:00"/>
        <d v="2020-03-30T00:00:00"/>
        <d v="2020-03-31T00:00:00"/>
        <d v="2020-04-01T00:00:00"/>
      </sharedItems>
      <fieldGroup par="25" base="4">
        <rangePr groupBy="days" startDate="2020-01-02T00:00:00" endDate="2020-04-02T00:00:00"/>
        <groupItems count="368">
          <s v="&lt;02-01-2020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-04-2020"/>
        </groupItems>
      </fieldGroup>
    </cacheField>
    <cacheField name="Tipo Doc" numFmtId="0">
      <sharedItems/>
    </cacheField>
    <cacheField name="Núm Doc" numFmtId="0">
      <sharedItems containsNonDate="0" containsString="0" containsBlank="1"/>
    </cacheField>
    <cacheField name="NV" numFmtId="0">
      <sharedItems containsMixedTypes="1" containsNumber="1" containsInteger="1" minValue="5292" maxValue="1040256"/>
    </cacheField>
    <cacheField name="OV" numFmtId="0">
      <sharedItems containsSemiMixedTypes="0" containsString="0" containsNumber="1" containsInteger="1" minValue="4232" maxValue="4801"/>
    </cacheField>
    <cacheField name="Cod. Cliente" numFmtId="0">
      <sharedItems/>
    </cacheField>
    <cacheField name="Cliente" numFmtId="0">
      <sharedItems/>
    </cacheField>
    <cacheField name="Cant" numFmtId="0">
      <sharedItems containsSemiMixedTypes="0" containsString="0" containsNumber="1" containsInteger="1" minValue="0" maxValue="364"/>
    </cacheField>
    <cacheField name="Monto Neto" numFmtId="0">
      <sharedItems containsSemiMixedTypes="0" containsString="0" containsNumber="1" containsInteger="1" minValue="62" maxValue="83102"/>
    </cacheField>
    <cacheField name="Dcto" numFmtId="0">
      <sharedItems containsMixedTypes="1" containsNumber="1" minValue="-0.41" maxValue="0.28999999999999998"/>
    </cacheField>
    <cacheField name="Neto c/Dcto" numFmtId="0">
      <sharedItems containsSemiMixedTypes="0" containsString="0" containsNumber="1" containsInteger="1" minValue="59" maxValue="75719"/>
    </cacheField>
    <cacheField name="Monto c/IVA" numFmtId="0">
      <sharedItems containsSemiMixedTypes="0" containsString="0" containsNumber="1" containsInteger="1" minValue="70" maxValue="89250"/>
    </cacheField>
    <cacheField name="Sub-Total" numFmtId="0">
      <sharedItems containsMixedTypes="1" containsNumber="1" containsInteger="1" minValue="800" maxValue="552000"/>
    </cacheField>
    <cacheField name="F. Desp" numFmtId="14">
      <sharedItems containsSemiMixedTypes="0" containsNonDate="0" containsDate="1" containsString="0" minDate="2020-01-02T00:00:00" maxDate="2020-04-04T00:00:00"/>
    </cacheField>
    <cacheField name="Ruta" numFmtId="0">
      <sharedItems/>
    </cacheField>
    <cacheField name="Total" numFmtId="0">
      <sharedItems containsSemiMixedTypes="0" containsString="0" containsNumber="1" containsInteger="1" minValue="3800" maxValue="898777"/>
    </cacheField>
    <cacheField name="PVD" numFmtId="0">
      <sharedItems count="45">
        <s v="Salamanca Foods SA (Trujillo)"/>
        <s v="Suazo"/>
        <s v="Comercial FH Engel SA"/>
        <s v="Agricola Siemel Ltda"/>
        <s v="Importadora y Comercial Starfood Ltda"/>
        <s v="Allendes Hermanos"/>
        <s v="Empresa Multiquimica Ltda"/>
        <s v="Nutricion Balanceada SA"/>
        <s v="Olivares Don Alberto SA"/>
        <s v="Inversiones Socoal SA"/>
        <s v="Salamanca Foods"/>
        <s v="Cooprinsem"/>
        <s v="Dulconoroma Ltda"/>
        <s v="Adelco"/>
        <s v="Comercial JMA SPA"/>
        <s v="NN"/>
        <s v="Cristalerias Toro SPA"/>
        <s v="Alimentos y Aceites SPA (Aliace)"/>
        <s v="Distribucion y Servicios Compomanes SA"/>
        <s v="Exportadores del Agro S.A"/>
        <s v="Conserva Los Angeles Ltda"/>
        <s v="Ramírez y Sánchez Ltda (Drogueria Ñuñoa) "/>
        <s v="Aliace"/>
        <s v="Cristalerias Chile SA"/>
        <s v="Inversiones y Comercial Bezeta Ltda"/>
        <s v="Fernando Felix Arenillas Cotroneo"/>
        <s v="Central Mayorista"/>
        <s v="Agricola las Higeras Ltda"/>
        <s v="Elbelman Corp S.A."/>
        <s v="Italimentos Spa"/>
        <s v="Vicente Losada"/>
        <s v="Conservas Centauro SA"/>
        <s v="Food Expert Spa"/>
        <s v="Super 10"/>
        <s v="Distribuidora de Alimentos Globe Italia Ltda"/>
        <s v="Conservas los Angeles Ltda"/>
        <s v="Ind. y Com. Drugplastics - Arcadia Ltda"/>
        <s v="Comercial Porvenir SPA"/>
        <s v="PLW Spa"/>
        <s v="Virutex Ilko"/>
        <s v="Comercial VYA Spa"/>
        <s v="Quantum Integral SA"/>
        <s v="Beiersdorf Chile SA"/>
        <s v="Abastecedora del Comercio Ltda (Adelco)"/>
        <s v="Molina Puente Alto"/>
      </sharedItems>
    </cacheField>
    <cacheField name="Neto Compra" numFmtId="0">
      <sharedItems containsMixedTypes="1" containsNumber="1" containsInteger="1" minValue="45" maxValue="60000"/>
    </cacheField>
    <cacheField name="Margen" numFmtId="0">
      <sharedItems containsSemiMixedTypes="0" containsString="0" containsNumber="1" containsInteger="1" minValue="14" maxValue="37066"/>
    </cacheField>
    <cacheField name="%" numFmtId="0">
      <sharedItems containsSemiMixedTypes="0" containsString="0" containsNumber="1" minValue="7.0000000000000007E-2" maxValue="1"/>
    </cacheField>
    <cacheField name="M. Total" numFmtId="0">
      <sharedItems containsNonDate="0" containsString="0" containsBlank="1"/>
    </cacheField>
    <cacheField name="Meses" numFmtId="0" databaseField="0">
      <fieldGroup base="4">
        <rangePr groupBy="months" startDate="2020-01-02T00:00:00" endDate="2020-04-02T00:00:00"/>
        <groupItems count="14">
          <s v="&lt;02-01-2020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-04-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lumno" refreshedDate="44018.810083449076" createdVersion="6" refreshedVersion="6" minRefreshableVersion="3" recordCount="1136">
  <cacheSource type="worksheet">
    <worksheetSource name="Tabla1"/>
  </cacheSource>
  <cacheFields count="38">
    <cacheField name="Cód Cliente" numFmtId="0">
      <sharedItems containsMixedTypes="1" containsNumber="1" containsInteger="1" minValue="0" maxValue="0"/>
    </cacheField>
    <cacheField name="Cliente" numFmtId="0">
      <sharedItems/>
    </cacheField>
    <cacheField name="Factura" numFmtId="0">
      <sharedItems containsMixedTypes="1" containsNumber="1" containsInteger="1" minValue="0" maxValue="3185"/>
    </cacheField>
    <cacheField name="Boleta" numFmtId="0">
      <sharedItems containsMixedTypes="1" containsNumber="1" containsInteger="1" minValue="0" maxValue="3143"/>
    </cacheField>
    <cacheField name="NC" numFmtId="0">
      <sharedItems containsBlank="1" containsMixedTypes="1" containsNumber="1" containsInteger="1" minValue="257" maxValue="307"/>
    </cacheField>
    <cacheField name="ND" numFmtId="0">
      <sharedItems containsNonDate="0" containsString="0" containsBlank="1"/>
    </cacheField>
    <cacheField name="NV" numFmtId="0">
      <sharedItems containsBlank="1" containsMixedTypes="1" containsNumber="1" containsInteger="1" minValue="2979" maxValue="1039582"/>
    </cacheField>
    <cacheField name="Debe" numFmtId="164">
      <sharedItems containsSemiMixedTypes="0" containsString="0" containsNumber="1" containsInteger="1" minValue="0" maxValue="898435"/>
    </cacheField>
    <cacheField name="Haber" numFmtId="164">
      <sharedItems containsString="0" containsBlank="1" containsNumber="1" containsInteger="1" minValue="-159299" maxValue="-1474"/>
    </cacheField>
    <cacheField name="Total" numFmtId="164">
      <sharedItems containsSemiMixedTypes="0" containsString="0" containsNumber="1" containsInteger="1" minValue="0" maxValue="898435"/>
    </cacheField>
    <cacheField name="Fecha Emisión" numFmtId="177">
      <sharedItems containsSemiMixedTypes="0" containsNonDate="0" containsDate="1" containsString="0" minDate="2019-10-01T00:00:00" maxDate="2020-04-03T00:00:00" count="145"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19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2T00:00:00"/>
        <d v="2019-11-04T00:00:00"/>
        <d v="2019-11-05T00:00:00"/>
        <d v="2019-11-06T00:00:00"/>
        <d v="2019-11-07T00:00:00"/>
        <d v="2019-11-08T00:00:00"/>
        <d v="2019-11-09T00:00:00"/>
        <d v="2019-11-11T00:00:00"/>
        <d v="2019-11-12T00:00:00"/>
        <d v="2019-11-13T00:00:00"/>
        <d v="2019-11-14T00:00:00"/>
        <d v="2019-11-15T00:00:00"/>
        <d v="2019-11-16T00:00:00"/>
        <d v="2019-11-18T00:00:00"/>
        <d v="2019-11-19T00:00:00"/>
        <d v="2019-11-20T00:00:00"/>
        <d v="2019-11-21T00:00:00"/>
        <d v="2019-11-22T00:00:00"/>
        <d v="2019-11-23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6T00:00:00"/>
        <d v="2019-12-27T00:00:00"/>
        <d v="2019-12-28T00:00:00"/>
        <d v="2019-12-30T00:00:00"/>
        <d v="2019-12-3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18T00:00:00"/>
        <d v="2020-01-20T00:00:00"/>
        <d v="2020-01-21T00:00:00"/>
        <d v="2020-01-22T00:00:00"/>
        <d v="2020-01-23T00:00:00"/>
        <d v="2020-01-24T00:00:00"/>
        <d v="2020-01-25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08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2T00:00:00"/>
        <d v="2020-02-24T00:00:00"/>
        <d v="2020-02-25T00:00:00"/>
        <d v="2020-02-26T00:00:00"/>
        <d v="2020-02-28T00:00:00"/>
        <d v="2020-02-29T00:00:00"/>
        <d v="2020-03-02T00:00:00"/>
        <d v="2020-03-03T00:00:00"/>
        <d v="2020-03-04T00:00:00"/>
        <d v="2020-03-05T00:00:00"/>
        <d v="2020-03-06T00:00:00"/>
        <d v="2020-03-07T00:00:00"/>
        <d v="2020-03-09T00:00:00"/>
        <d v="2020-03-10T00:00:00"/>
        <d v="2020-03-11T00:00:00"/>
        <d v="2020-03-12T00:00:00"/>
        <d v="2020-03-13T00:00:00"/>
        <d v="2020-03-14T00:00:00"/>
        <d v="2020-03-16T00:00:00"/>
        <d v="2020-03-18T00:00:00"/>
        <d v="2020-03-26T00:00:00"/>
        <d v="2020-03-28T00:00:00"/>
        <d v="2020-03-30T00:00:00"/>
        <d v="2020-04-02T00:00:00"/>
        <d v="2020-03-17T00:00:00"/>
        <d v="2020-03-19T00:00:00"/>
        <d v="2020-03-20T00:00:00"/>
        <d v="2020-03-21T00:00:00"/>
        <d v="2020-03-24T00:00:00"/>
      </sharedItems>
      <fieldGroup par="37" base="10">
        <rangePr groupBy="months" startDate="2019-10-01T00:00:00" endDate="2020-04-03T00:00:00"/>
        <groupItems count="14">
          <s v="&lt;01-10-2019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3-04-2020"/>
        </groupItems>
      </fieldGroup>
    </cacheField>
    <cacheField name="Credito" numFmtId="0">
      <sharedItems containsString="0" containsBlank="1" containsNumber="1" containsInteger="1" minValue="0" maxValue="45"/>
    </cacheField>
    <cacheField name="Fecha de Venc" numFmtId="0">
      <sharedItems containsSemiMixedTypes="0" containsNonDate="0" containsDate="1" containsString="0" minDate="2019-10-01T00:00:00" maxDate="2020-05-03T00:00:00"/>
    </cacheField>
    <cacheField name="Estado" numFmtId="0">
      <sharedItems/>
    </cacheField>
    <cacheField name="Fecha de Pago" numFmtId="177">
      <sharedItems containsNonDate="0" containsDate="1" containsString="0" containsBlank="1" minDate="2019-01-02T00:00:00" maxDate="2020-12-31T00:00:00"/>
    </cacheField>
    <cacheField name="Monto Pagado" numFmtId="164">
      <sharedItems containsString="0" containsBlank="1" containsNumber="1" containsInteger="1" minValue="0" maxValue="898435"/>
    </cacheField>
    <cacheField name="Medio de Pago" numFmtId="0">
      <sharedItems containsBlank="1"/>
    </cacheField>
    <cacheField name="Tipo TBK" numFmtId="0">
      <sharedItems containsBlank="1"/>
    </cacheField>
    <cacheField name="Núm. Doc" numFmtId="0">
      <sharedItems containsBlank="1" containsMixedTypes="1" containsNumber="1" containsInteger="1" minValue="20" maxValue="9972249"/>
    </cacheField>
    <cacheField name="Banco" numFmtId="0">
      <sharedItems containsBlank="1"/>
    </cacheField>
    <cacheField name="Fecha Cobro" numFmtId="0">
      <sharedItems containsDate="1" containsBlank="1" containsMixedTypes="1" minDate="1919-11-25T00:00:00" maxDate="2029-11-21T00:00:00"/>
    </cacheField>
    <cacheField name="Núm Dep" numFmtId="0">
      <sharedItems containsString="0" containsBlank="1" containsNumber="1" containsInteger="1" minValue="133658" maxValue="464955371"/>
    </cacheField>
    <cacheField name="Monto" numFmtId="168">
      <sharedItems containsString="0" containsBlank="1" containsNumber="1" containsInteger="1" minValue="9600" maxValue="898435"/>
    </cacheField>
    <cacheField name="Fecha Dep" numFmtId="177">
      <sharedItems containsNonDate="0" containsDate="1" containsString="0" containsBlank="1" minDate="2019-10-14T00:00:00" maxDate="2020-05-26T00:00:00"/>
    </cacheField>
    <cacheField name="Banco2" numFmtId="0">
      <sharedItems containsBlank="1"/>
    </cacheField>
    <cacheField name="Obvs" numFmtId="0">
      <sharedItems containsDate="1" containsBlank="1" containsMixedTypes="1" minDate="2019-09-02T00:00:00" maxDate="2020-02-18T00:00:00"/>
    </cacheField>
    <cacheField name="Tipo Banco" numFmtId="168">
      <sharedItems/>
    </cacheField>
    <cacheField name="Estado Cheque" numFmtId="0">
      <sharedItems containsNonDate="0" containsString="0" containsBlank="1"/>
    </cacheField>
    <cacheField name="Neto" numFmtId="168">
      <sharedItems containsSemiMixedTypes="0" containsString="0" containsNumber="1" minValue="0" maxValue="754987.39495798328"/>
    </cacheField>
    <cacheField name="IVA" numFmtId="168">
      <sharedItems containsSemiMixedTypes="0" containsString="0" containsNumber="1" minValue="0" maxValue="143447.60504201672"/>
    </cacheField>
    <cacheField name="Ruta" numFmtId="0">
      <sharedItems containsBlank="1"/>
    </cacheField>
    <cacheField name="Origen" numFmtId="0">
      <sharedItems containsBlank="1"/>
    </cacheField>
    <cacheField name="C1" numFmtId="0">
      <sharedItems/>
    </cacheField>
    <cacheField name="Envío Fact" numFmtId="0">
      <sharedItems containsNonDate="0" containsString="0" containsBlank="1"/>
    </cacheField>
    <cacheField name="Envío NC" numFmtId="0">
      <sharedItems containsNonDate="0" containsString="0" containsBlank="1"/>
    </cacheField>
    <cacheField name="Tipo Doc" numFmtId="0">
      <sharedItems containsBlank="1" count="3">
        <s v="NV"/>
        <s v="Factura"/>
        <m u="1"/>
      </sharedItems>
    </cacheField>
    <cacheField name="M. Cobrado" numFmtId="168">
      <sharedItems containsNonDate="0" containsString="0" containsBlank="1"/>
    </cacheField>
    <cacheField name="Años" numFmtId="0" databaseField="0">
      <fieldGroup base="10">
        <rangePr groupBy="years" startDate="2019-10-01T00:00:00" endDate="2020-04-03T00:00:00"/>
        <groupItems count="4">
          <s v="&lt;01-10-2019"/>
          <s v="2019"/>
          <s v="2020"/>
          <s v="&gt;03-04-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s v="PVD-119"/>
    <s v="Adm. de Super. Hiper Ltda"/>
    <m/>
    <n v="70113791"/>
    <x v="0"/>
    <n v="13840"/>
    <m/>
    <m/>
    <m/>
    <m/>
    <s v="TOTAL"/>
    <n v="0"/>
    <d v="2020-01-21T00:00:00"/>
    <s v="Estado"/>
    <m/>
    <m/>
    <s v="Cheque al Día"/>
    <s v=""/>
    <m/>
    <m/>
    <m/>
    <m/>
    <m/>
    <m/>
  </r>
  <r>
    <s v="PVD-144"/>
    <s v="Agricola las Higeras Ltda"/>
    <m/>
    <n v="15652"/>
    <x v="1"/>
    <n v="43212"/>
    <m/>
    <m/>
    <m/>
    <m/>
    <s v="TOTAL"/>
    <n v="0"/>
    <d v="2019-01-14T00:00:00"/>
    <s v="Estado"/>
    <m/>
    <m/>
    <s v="Cheque al Día"/>
    <s v=""/>
    <m/>
    <m/>
    <m/>
    <m/>
    <m/>
    <m/>
  </r>
  <r>
    <s v="PVD-133"/>
    <s v="Agricola Siemel Ltda"/>
    <m/>
    <n v="306044"/>
    <x v="2"/>
    <n v="77976"/>
    <m/>
    <m/>
    <m/>
    <m/>
    <s v="TOTAL"/>
    <n v="0"/>
    <d v="2020-01-07T00:00:00"/>
    <s v="Estado"/>
    <m/>
    <m/>
    <s v="Cheque al Día"/>
    <s v=""/>
    <m/>
    <m/>
    <m/>
    <m/>
    <m/>
    <m/>
  </r>
  <r>
    <s v="PVD-133"/>
    <s v="Agricola Siemel Ltda"/>
    <m/>
    <n v="306078"/>
    <x v="1"/>
    <n v="20091"/>
    <m/>
    <m/>
    <m/>
    <m/>
    <s v="TOTAL"/>
    <n v="0"/>
    <d v="2020-01-14T00:00:00"/>
    <s v="Estado"/>
    <m/>
    <m/>
    <s v="Cheque al Día"/>
    <s v=""/>
    <m/>
    <m/>
    <m/>
    <m/>
    <m/>
    <m/>
  </r>
  <r>
    <s v="PVD-0004"/>
    <s v="Alimentos y Aceites SPA (Aliace)"/>
    <m/>
    <n v="55862"/>
    <x v="3"/>
    <n v="222768"/>
    <m/>
    <m/>
    <m/>
    <m/>
    <s v="TOTAL"/>
    <n v="0"/>
    <d v="2020-01-30T00:00:00"/>
    <s v="Estado"/>
    <m/>
    <m/>
    <s v="Cheque al Día"/>
    <s v=""/>
    <m/>
    <m/>
    <m/>
    <m/>
    <m/>
    <m/>
  </r>
  <r>
    <s v="PVD-0005"/>
    <s v="Allendes Hermanos"/>
    <m/>
    <n v="2062777"/>
    <x v="4"/>
    <n v="908013"/>
    <m/>
    <m/>
    <m/>
    <m/>
    <s v="TOTAL"/>
    <n v="30"/>
    <d v="2020-02-09T00:00:00"/>
    <s v="Estado"/>
    <m/>
    <m/>
    <s v="Transbank"/>
    <s v="Credito"/>
    <m/>
    <m/>
    <m/>
    <m/>
    <m/>
    <m/>
  </r>
  <r>
    <s v="PVD-0005"/>
    <s v="Allendes Hermanos"/>
    <m/>
    <n v="2062776"/>
    <x v="4"/>
    <n v="88619"/>
    <m/>
    <m/>
    <m/>
    <m/>
    <s v="TOTAL"/>
    <n v="30"/>
    <d v="2020-02-09T00:00:00"/>
    <s v="Estado"/>
    <m/>
    <m/>
    <s v="Transbank"/>
    <s v="Credito"/>
    <m/>
    <m/>
    <m/>
    <m/>
    <m/>
    <m/>
  </r>
  <r>
    <s v="PVD-0009"/>
    <s v="Banco de Chile"/>
    <m/>
    <n v="17765069"/>
    <x v="4"/>
    <n v="1981"/>
    <m/>
    <m/>
    <m/>
    <m/>
    <s v="TOTAL"/>
    <n v="0"/>
    <d v="2020-01-10T00:00:00"/>
    <s v="Estado"/>
    <m/>
    <m/>
    <s v="Cheque al Día"/>
    <s v=""/>
    <m/>
    <m/>
    <m/>
    <m/>
    <m/>
    <m/>
  </r>
  <r>
    <s v="PVD-142"/>
    <s v="Comercial JMA SPA"/>
    <m/>
    <n v="639"/>
    <x v="2"/>
    <n v="357000"/>
    <m/>
    <m/>
    <m/>
    <m/>
    <s v="TOTAL"/>
    <n v="0"/>
    <d v="2020-01-07T00:00:00"/>
    <s v="Estado"/>
    <m/>
    <m/>
    <s v="Cheque al Día"/>
    <s v=""/>
    <m/>
    <m/>
    <m/>
    <m/>
    <m/>
    <m/>
  </r>
  <r>
    <s v="PVD-142"/>
    <s v="Comercial JMA SPA"/>
    <m/>
    <n v="643"/>
    <x v="5"/>
    <n v="334152"/>
    <m/>
    <m/>
    <m/>
    <m/>
    <s v="TOTAL"/>
    <n v="0"/>
    <d v="2020-01-20T00:00:00"/>
    <s v="Estado"/>
    <m/>
    <m/>
    <s v="Cheque al Día"/>
    <s v=""/>
    <m/>
    <m/>
    <m/>
    <m/>
    <m/>
    <m/>
  </r>
  <r>
    <s v="PVD-142"/>
    <s v="Comercial JMA SPA"/>
    <m/>
    <n v="644"/>
    <x v="0"/>
    <n v="3856"/>
    <m/>
    <m/>
    <m/>
    <m/>
    <s v="TOTAL"/>
    <n v="0"/>
    <d v="2020-01-21T00:00:00"/>
    <s v="Estado"/>
    <m/>
    <m/>
    <s v="Cheque al Día"/>
    <s v=""/>
    <m/>
    <m/>
    <m/>
    <m/>
    <m/>
    <m/>
  </r>
  <r>
    <s v="PVD-68"/>
    <s v="Comercial Santa Fe SA"/>
    <m/>
    <n v="39981"/>
    <x v="2"/>
    <n v="35000"/>
    <m/>
    <m/>
    <m/>
    <m/>
    <s v="TOTAL"/>
    <n v="0"/>
    <d v="2020-01-07T00:00:00"/>
    <s v="Estado"/>
    <m/>
    <m/>
    <s v="Cheque al Día"/>
    <s v=""/>
    <m/>
    <m/>
    <m/>
    <m/>
    <m/>
    <m/>
  </r>
  <r>
    <s v="PVD-0018"/>
    <s v="Conservas los Angeles Ltda"/>
    <m/>
    <n v="4276"/>
    <x v="6"/>
    <n v="19057"/>
    <m/>
    <m/>
    <m/>
    <m/>
    <s v="TOTAL"/>
    <n v="0"/>
    <d v="2020-01-06T00:00:00"/>
    <s v="Estado"/>
    <m/>
    <m/>
    <s v="Cheque al Día"/>
    <s v=""/>
    <m/>
    <m/>
    <m/>
    <m/>
    <m/>
    <m/>
  </r>
  <r>
    <s v="PVD-0018"/>
    <s v="Conservas los Angeles Ltda"/>
    <m/>
    <n v="42956"/>
    <x v="7"/>
    <n v="23893"/>
    <m/>
    <m/>
    <m/>
    <m/>
    <s v="TOTAL"/>
    <n v="0"/>
    <d v="2020-01-13T00:00:00"/>
    <s v="Estado"/>
    <m/>
    <m/>
    <s v="Cheque al Día"/>
    <s v=""/>
    <m/>
    <m/>
    <m/>
    <m/>
    <m/>
    <m/>
  </r>
  <r>
    <s v="PVD-0018"/>
    <s v="Conservas los Angeles Ltda"/>
    <m/>
    <n v="43174"/>
    <x v="0"/>
    <n v="34816"/>
    <m/>
    <m/>
    <m/>
    <m/>
    <s v="TOTAL"/>
    <n v="0"/>
    <d v="2020-01-21T00:00:00"/>
    <s v="Estado"/>
    <m/>
    <m/>
    <s v="Cheque al Día"/>
    <s v=""/>
    <m/>
    <m/>
    <m/>
    <m/>
    <m/>
    <m/>
  </r>
  <r>
    <s v="PVD-131"/>
    <s v="Cooprinsem"/>
    <m/>
    <n v="3011063"/>
    <x v="8"/>
    <n v="138445"/>
    <m/>
    <m/>
    <m/>
    <m/>
    <s v="TOTAL"/>
    <n v="0"/>
    <d v="2020-01-16T00:00:00"/>
    <s v="Estado"/>
    <m/>
    <m/>
    <s v="Cheque al Día"/>
    <s v=""/>
    <m/>
    <m/>
    <m/>
    <m/>
    <m/>
    <m/>
  </r>
  <r>
    <s v="PVD-131"/>
    <s v="Cooprinsem"/>
    <m/>
    <n v="3019422"/>
    <x v="9"/>
    <n v="822837"/>
    <m/>
    <m/>
    <m/>
    <m/>
    <s v="TOTAL"/>
    <n v="0"/>
    <d v="2020-01-28T00:00:00"/>
    <s v="Estado"/>
    <m/>
    <m/>
    <s v="Cheque al Día"/>
    <s v=""/>
    <m/>
    <m/>
    <m/>
    <m/>
    <m/>
    <m/>
  </r>
  <r>
    <s v="PVD-131"/>
    <s v="Cooprinsem"/>
    <m/>
    <n v="3023276"/>
    <x v="10"/>
    <n v="184593"/>
    <m/>
    <m/>
    <m/>
    <m/>
    <s v="TOTAL"/>
    <n v="0"/>
    <d v="2020-01-31T00:00:00"/>
    <s v="Estado"/>
    <m/>
    <m/>
    <s v="Cheque al Día"/>
    <s v=""/>
    <m/>
    <m/>
    <m/>
    <m/>
    <m/>
    <m/>
  </r>
  <r>
    <s v="PVD-123"/>
    <s v="Cristalerias Chile SA"/>
    <m/>
    <n v="1293092"/>
    <x v="4"/>
    <n v="149428"/>
    <m/>
    <m/>
    <m/>
    <m/>
    <s v="TOTAL"/>
    <n v="0"/>
    <d v="2019-01-10T00:00:00"/>
    <s v="Estado"/>
    <d v="2020-01-10T00:00:00"/>
    <n v="149428"/>
    <s v="Transbank"/>
    <s v="Credito"/>
    <n v="1485"/>
    <d v="2020-01-10T00:00:00"/>
    <m/>
    <m/>
    <m/>
    <m/>
  </r>
  <r>
    <s v="PVD-0023"/>
    <s v="Dulconoroma Ltda"/>
    <m/>
    <n v="134503"/>
    <x v="6"/>
    <n v="49619"/>
    <m/>
    <m/>
    <m/>
    <m/>
    <s v="TOTAL"/>
    <n v="0"/>
    <d v="2019-01-06T00:00:00"/>
    <s v="Estado"/>
    <m/>
    <m/>
    <s v="Forma de pago"/>
    <s v="Tipo TBK"/>
    <m/>
    <m/>
    <m/>
    <m/>
    <m/>
    <m/>
  </r>
  <r>
    <s v="PVD-0052"/>
    <s v="Eleazar Antonio Contreras Contreras"/>
    <m/>
    <n v="92298"/>
    <x v="11"/>
    <n v="20000"/>
    <m/>
    <m/>
    <m/>
    <m/>
    <s v="TOTAL"/>
    <n v="0"/>
    <d v="2020-01-17T00:00:00"/>
    <s v="Estado"/>
    <m/>
    <m/>
    <s v="Cheque al Día"/>
    <s v=""/>
    <m/>
    <m/>
    <m/>
    <m/>
    <m/>
    <m/>
  </r>
  <r>
    <s v="PVD-0052"/>
    <s v="Eleazar Antonio Contreras Contreras"/>
    <m/>
    <n v="92305"/>
    <x v="12"/>
    <n v="30000"/>
    <m/>
    <m/>
    <m/>
    <m/>
    <s v="TOTAL"/>
    <n v="0"/>
    <d v="2020-01-18T00:00:00"/>
    <s v="Estado"/>
    <m/>
    <m/>
    <s v="Cheque al Día"/>
    <s v=""/>
    <m/>
    <m/>
    <m/>
    <m/>
    <m/>
    <m/>
  </r>
  <r>
    <s v="PVD-0025"/>
    <s v="Empresa Multiquimica Ltda"/>
    <m/>
    <n v="52347"/>
    <x v="6"/>
    <n v="299264"/>
    <m/>
    <m/>
    <m/>
    <m/>
    <s v="TOTAL"/>
    <n v="0"/>
    <d v="2020-01-06T00:00:00"/>
    <s v="Estado"/>
    <m/>
    <m/>
    <s v="Cheque al Día"/>
    <s v=""/>
    <m/>
    <m/>
    <m/>
    <m/>
    <m/>
    <m/>
  </r>
  <r>
    <s v="PVD-0025"/>
    <s v="Empresa Multiquimica Ltda"/>
    <m/>
    <n v="52410"/>
    <x v="2"/>
    <n v="311009"/>
    <m/>
    <m/>
    <m/>
    <m/>
    <s v="TOTAL"/>
    <n v="0"/>
    <d v="2020-01-07T00:00:00"/>
    <s v="Estado"/>
    <m/>
    <m/>
    <s v="Cheque al Día"/>
    <s v=""/>
    <m/>
    <m/>
    <m/>
    <m/>
    <m/>
    <m/>
  </r>
  <r>
    <s v="PVD-0025"/>
    <s v="Empresa Multiquimica Ltda"/>
    <m/>
    <n v="52706"/>
    <x v="11"/>
    <n v="431777"/>
    <m/>
    <m/>
    <m/>
    <m/>
    <s v="TOTAL"/>
    <n v="0"/>
    <d v="2020-01-17T00:00:00"/>
    <s v="Estado"/>
    <m/>
    <m/>
    <s v="Cheque al Día"/>
    <s v=""/>
    <m/>
    <m/>
    <m/>
    <m/>
    <m/>
    <m/>
  </r>
  <r>
    <s v="PVD-0025"/>
    <s v="Empresa Multiquimica Ltda"/>
    <m/>
    <n v="52817"/>
    <x v="0"/>
    <n v="203320"/>
    <m/>
    <m/>
    <m/>
    <m/>
    <s v="TOTAL"/>
    <n v="0"/>
    <d v="2020-01-21T00:00:00"/>
    <s v="Estado"/>
    <m/>
    <m/>
    <s v="Cheque al Día"/>
    <s v=""/>
    <m/>
    <m/>
    <m/>
    <m/>
    <m/>
    <m/>
  </r>
  <r>
    <s v="PVD-0025"/>
    <s v="Empresa Multiquimica Ltda"/>
    <m/>
    <n v="53104"/>
    <x v="3"/>
    <n v="230146"/>
    <m/>
    <m/>
    <m/>
    <m/>
    <s v="TOTAL"/>
    <n v="0"/>
    <d v="2020-01-30T00:00:00"/>
    <s v="Estado"/>
    <m/>
    <m/>
    <s v="Cheque al Día"/>
    <s v=""/>
    <m/>
    <m/>
    <m/>
    <m/>
    <m/>
    <m/>
  </r>
  <r>
    <s v="PVD-0062"/>
    <s v="Entel PCS Telecomunicaciones S.A."/>
    <m/>
    <n v="39964295"/>
    <x v="4"/>
    <n v="25980"/>
    <m/>
    <m/>
    <m/>
    <m/>
    <s v="TOTAL"/>
    <n v="0"/>
    <d v="2020-01-10T00:00:00"/>
    <s v="Estado"/>
    <m/>
    <m/>
    <s v="Cheque al Día"/>
    <s v=""/>
    <m/>
    <m/>
    <m/>
    <m/>
    <m/>
    <m/>
  </r>
  <r>
    <s v="PVD-153"/>
    <s v="Estacion de Servicio Cordillera Ltda"/>
    <m/>
    <n v="80791"/>
    <x v="13"/>
    <n v="40000"/>
    <m/>
    <m/>
    <m/>
    <m/>
    <s v="TOTAL"/>
    <n v="0"/>
    <d v="2020-01-03T00:00:00"/>
    <s v="Estado"/>
    <m/>
    <m/>
    <s v="Cheque al Día"/>
    <s v=""/>
    <m/>
    <m/>
    <m/>
    <m/>
    <m/>
    <m/>
  </r>
  <r>
    <s v="PVD-123"/>
    <s v="Evoofoods Agroindustrial Ltda"/>
    <m/>
    <n v="4430"/>
    <x v="6"/>
    <n v="88393"/>
    <m/>
    <m/>
    <m/>
    <m/>
    <s v="TOTAL"/>
    <n v="0"/>
    <d v="2020-01-06T00:00:00"/>
    <s v="Estado"/>
    <m/>
    <m/>
    <s v="Cheque al Día"/>
    <s v=""/>
    <m/>
    <m/>
    <m/>
    <m/>
    <m/>
    <m/>
  </r>
  <r>
    <s v="PVD-132"/>
    <s v="Exportadores del Agro S.A"/>
    <m/>
    <n v="86147"/>
    <x v="6"/>
    <n v="12915"/>
    <m/>
    <m/>
    <m/>
    <m/>
    <s v="TOTAL"/>
    <n v="0"/>
    <d v="2020-01-06T00:00:00"/>
    <s v="Estado"/>
    <m/>
    <m/>
    <s v="Cheque al Día"/>
    <s v=""/>
    <m/>
    <m/>
    <m/>
    <m/>
    <m/>
    <m/>
  </r>
  <r>
    <s v="PVD-132"/>
    <s v="Exportadores del Agro S.A"/>
    <m/>
    <n v="86516"/>
    <x v="1"/>
    <n v="61268"/>
    <m/>
    <m/>
    <m/>
    <m/>
    <s v="TOTAL"/>
    <n v="0"/>
    <d v="2020-01-14T00:00:00"/>
    <s v="Estado"/>
    <m/>
    <m/>
    <s v="Cheque al Día"/>
    <s v=""/>
    <m/>
    <m/>
    <m/>
    <m/>
    <m/>
    <m/>
  </r>
  <r>
    <s v="PVD-123"/>
    <s v="Fernando Felix Arenillas Cotroneo"/>
    <m/>
    <n v="59673"/>
    <x v="7"/>
    <n v="79040"/>
    <m/>
    <m/>
    <m/>
    <m/>
    <s v="TOTAL"/>
    <n v="0"/>
    <d v="2020-01-13T00:00:00"/>
    <s v="Estado"/>
    <m/>
    <m/>
    <s v="Cheque al Día"/>
    <s v=""/>
    <m/>
    <m/>
    <m/>
    <m/>
    <m/>
    <m/>
  </r>
  <r>
    <s v="PVD-0028"/>
    <s v="Importadora y Comercial Starfood Ltda"/>
    <m/>
    <n v="41945"/>
    <x v="14"/>
    <n v="1149459"/>
    <m/>
    <m/>
    <m/>
    <m/>
    <s v="TOTAL"/>
    <n v="0"/>
    <d v="2020-01-15T00:00:00"/>
    <s v="Estado"/>
    <m/>
    <m/>
    <s v="Cheque al Día"/>
    <s v=""/>
    <m/>
    <m/>
    <m/>
    <m/>
    <m/>
    <m/>
  </r>
  <r>
    <s v="PVD-0032"/>
    <s v="Inversiones Socoal SA"/>
    <m/>
    <n v="40452"/>
    <x v="15"/>
    <n v="313232"/>
    <m/>
    <m/>
    <m/>
    <m/>
    <s v="TOTAL"/>
    <n v="0"/>
    <d v="2020-01-27T00:00:00"/>
    <s v="Estado"/>
    <m/>
    <m/>
    <s v="Cheque al Día"/>
    <s v=""/>
    <m/>
    <m/>
    <m/>
    <m/>
    <m/>
    <m/>
  </r>
  <r>
    <s v="PVD-0034"/>
    <s v="Izquierdo y Picasso Ltda"/>
    <m/>
    <n v="153166"/>
    <x v="7"/>
    <n v="30000"/>
    <m/>
    <m/>
    <m/>
    <m/>
    <s v="TOTAL"/>
    <n v="0"/>
    <d v="2020-01-13T00:00:00"/>
    <s v="Estado"/>
    <m/>
    <m/>
    <s v="Cheque al Día"/>
    <s v=""/>
    <m/>
    <m/>
    <m/>
    <m/>
    <m/>
    <m/>
  </r>
  <r>
    <s v="PVD-0034"/>
    <s v="Izquierdo y Picasso Ltda"/>
    <m/>
    <n v="153974"/>
    <x v="0"/>
    <n v="44000"/>
    <m/>
    <m/>
    <m/>
    <m/>
    <s v="TOTAL"/>
    <n v="0"/>
    <d v="2020-01-21T00:00:00"/>
    <s v="Estado"/>
    <m/>
    <m/>
    <s v="Cheque al Día"/>
    <s v=""/>
    <m/>
    <m/>
    <m/>
    <m/>
    <m/>
    <m/>
  </r>
  <r>
    <s v="PVD-0034"/>
    <s v="Izquierdo y Picasso Ltda"/>
    <m/>
    <n v="154200"/>
    <x v="16"/>
    <n v="30000"/>
    <m/>
    <m/>
    <m/>
    <m/>
    <s v="TOTAL"/>
    <n v="0"/>
    <d v="2020-01-23T00:00:00"/>
    <s v="Estado"/>
    <m/>
    <m/>
    <s v="Cheque al Día"/>
    <s v=""/>
    <m/>
    <m/>
    <m/>
    <m/>
    <m/>
    <m/>
  </r>
  <r>
    <s v="PVD-0034"/>
    <s v="Izquierdo y Picasso Ltda"/>
    <m/>
    <n v="154510"/>
    <x v="15"/>
    <n v="20000"/>
    <m/>
    <m/>
    <m/>
    <m/>
    <s v="TOTAL"/>
    <n v="0"/>
    <d v="2020-01-27T00:00:00"/>
    <s v="Estado"/>
    <m/>
    <m/>
    <s v="Cheque al Día"/>
    <s v=""/>
    <m/>
    <m/>
    <m/>
    <m/>
    <m/>
    <m/>
  </r>
  <r>
    <s v="PVD-123"/>
    <s v="Maderas Valdes SA"/>
    <m/>
    <n v="712364"/>
    <x v="15"/>
    <n v="6430"/>
    <m/>
    <m/>
    <m/>
    <m/>
    <s v="TOTAL"/>
    <n v="0"/>
    <d v="2020-01-27T00:00:00"/>
    <s v="Estado"/>
    <m/>
    <m/>
    <s v="Cheque al Día"/>
    <s v=""/>
    <m/>
    <m/>
    <m/>
    <m/>
    <m/>
    <m/>
  </r>
  <r>
    <s v="PVD-0039"/>
    <s v="Nutricion Balanceada SA"/>
    <m/>
    <n v="17353"/>
    <x v="1"/>
    <n v="663737"/>
    <m/>
    <m/>
    <m/>
    <m/>
    <s v="TOTAL"/>
    <n v="30"/>
    <d v="2020-02-13T00:00:00"/>
    <s v="Estado"/>
    <m/>
    <m/>
    <s v="Cheque al Día"/>
    <s v=""/>
    <m/>
    <m/>
    <m/>
    <m/>
    <m/>
    <m/>
  </r>
  <r>
    <s v="PVD-0039"/>
    <s v="Nutricion Balanceada SA"/>
    <m/>
    <n v="17478"/>
    <x v="9"/>
    <n v="576900"/>
    <m/>
    <m/>
    <m/>
    <m/>
    <s v="TOTAL"/>
    <n v="30"/>
    <d v="2020-02-27T00:00:00"/>
    <s v="Estado"/>
    <m/>
    <m/>
    <s v="Cheque al Día"/>
    <s v=""/>
    <m/>
    <m/>
    <m/>
    <m/>
    <m/>
    <m/>
  </r>
  <r>
    <s v="PVD-148"/>
    <s v="Ruta del Maipo Soc. Cons S.A"/>
    <m/>
    <n v="3107405"/>
    <x v="17"/>
    <n v="2595"/>
    <m/>
    <m/>
    <m/>
    <m/>
    <s v="TOTAL"/>
    <n v="0"/>
    <d v="2020-01-05T00:00:00"/>
    <s v="Estado"/>
    <m/>
    <m/>
    <s v="Cheque al Día"/>
    <s v=""/>
    <m/>
    <m/>
    <m/>
    <m/>
    <m/>
    <m/>
  </r>
  <r>
    <s v=""/>
    <s v="salaman"/>
    <m/>
    <n v="164767"/>
    <x v="1"/>
    <n v="164767"/>
    <m/>
    <m/>
    <m/>
    <m/>
    <s v="TOTAL"/>
    <n v="0"/>
    <d v="2020-01-14T00:00:00"/>
    <s v="Estado"/>
    <m/>
    <m/>
    <s v="Cheque al Día"/>
    <s v=""/>
    <m/>
    <m/>
    <m/>
    <m/>
    <m/>
    <m/>
  </r>
  <r>
    <s v="PVD-0021"/>
    <s v="Salamanca Foods SA (Trujillo)"/>
    <m/>
    <n v="73740"/>
    <x v="6"/>
    <n v="289227"/>
    <m/>
    <m/>
    <m/>
    <m/>
    <s v="TOTAL"/>
    <n v="0"/>
    <d v="2019-01-06T00:00:00"/>
    <s v="Estado"/>
    <m/>
    <m/>
    <s v="Forma de pago"/>
    <s v="Tipo TBK"/>
    <m/>
    <m/>
    <m/>
    <m/>
    <m/>
    <m/>
  </r>
  <r>
    <s v="PVD-0021"/>
    <s v="Salamanca Foods SA (Trujillo)"/>
    <m/>
    <n v="73959"/>
    <x v="4"/>
    <n v="49921"/>
    <m/>
    <m/>
    <m/>
    <m/>
    <s v="TOTAL"/>
    <n v="0"/>
    <d v="2020-01-10T00:00:00"/>
    <s v="Estado"/>
    <d v="2020-01-10T00:00:00"/>
    <n v="49921"/>
    <s v="Cheque al Día"/>
    <s v=""/>
    <n v="6779012"/>
    <m/>
    <m/>
    <m/>
    <m/>
    <m/>
  </r>
  <r>
    <s v="PVD-0021"/>
    <s v="Salamanca Foods SA (Trujillo)"/>
    <m/>
    <n v="74011"/>
    <x v="1"/>
    <n v="164767"/>
    <m/>
    <m/>
    <m/>
    <m/>
    <s v="TOTAL"/>
    <n v="0"/>
    <d v="2020-01-14T00:00:00"/>
    <s v="Estado"/>
    <m/>
    <m/>
    <s v="Cheque al Día"/>
    <s v=""/>
    <m/>
    <m/>
    <m/>
    <m/>
    <m/>
    <m/>
  </r>
  <r>
    <s v="PVD-0021"/>
    <s v="Salamanca Foods SA (Trujillo)"/>
    <m/>
    <n v="74195"/>
    <x v="0"/>
    <n v="107913"/>
    <m/>
    <m/>
    <m/>
    <m/>
    <s v="TOTAL"/>
    <n v="0"/>
    <d v="2020-01-21T00:00:00"/>
    <s v="Estado"/>
    <m/>
    <m/>
    <s v="Cheque al Día"/>
    <s v=""/>
    <m/>
    <m/>
    <m/>
    <m/>
    <m/>
    <m/>
  </r>
  <r>
    <s v="PVD-117"/>
    <s v="Soc. Conc. Autopista Aconcagua S.A."/>
    <m/>
    <n v="1126695"/>
    <x v="15"/>
    <n v="5730"/>
    <m/>
    <m/>
    <m/>
    <m/>
    <s v="TOTAL"/>
    <n v="0"/>
    <d v="2020-01-27T00:00:00"/>
    <s v="Estado"/>
    <m/>
    <m/>
    <s v="Cheque al Día"/>
    <s v=""/>
    <m/>
    <m/>
    <m/>
    <m/>
    <m/>
    <m/>
  </r>
  <r>
    <s v="PVD-92"/>
    <s v="Soc. Conc. Autopista Central S.A."/>
    <m/>
    <n v="6675767"/>
    <x v="16"/>
    <n v="23552"/>
    <m/>
    <m/>
    <m/>
    <m/>
    <s v="TOTAL"/>
    <n v="0"/>
    <d v="2020-01-23T00:00:00"/>
    <s v="Estado"/>
    <m/>
    <m/>
    <s v="Cheque al Día"/>
    <s v=""/>
    <m/>
    <m/>
    <m/>
    <m/>
    <m/>
    <m/>
  </r>
  <r>
    <s v="PVD-94"/>
    <s v="Soc. Conc. Autopista Nueva Vespucio Sur S.A."/>
    <m/>
    <n v="7790893"/>
    <x v="18"/>
    <n v="5012"/>
    <m/>
    <m/>
    <m/>
    <m/>
    <s v="TOTAL"/>
    <n v="0"/>
    <d v="2020-01-09T00:00:00"/>
    <s v="Estado"/>
    <m/>
    <m/>
    <s v="Cheque al Día"/>
    <s v=""/>
    <m/>
    <m/>
    <m/>
    <m/>
    <m/>
    <m/>
  </r>
  <r>
    <s v="PVD-93"/>
    <s v="Soc. Conc. Costanera Norte S.A."/>
    <m/>
    <n v="3235206"/>
    <x v="19"/>
    <n v="4293"/>
    <m/>
    <m/>
    <m/>
    <m/>
    <s v="TOTAL"/>
    <n v="0"/>
    <d v="2020-01-02T00:00:00"/>
    <s v="Estado"/>
    <m/>
    <m/>
    <s v="Cheque al Día"/>
    <s v=""/>
    <m/>
    <m/>
    <m/>
    <m/>
    <m/>
    <m/>
  </r>
  <r>
    <s v="PVD-91"/>
    <s v="Soc. Conc. Vespucio Norte Express S.A."/>
    <m/>
    <n v="5144965"/>
    <x v="15"/>
    <n v="2970"/>
    <m/>
    <m/>
    <m/>
    <m/>
    <s v="TOTAL"/>
    <n v="0"/>
    <d v="2020-01-27T00:00:00"/>
    <s v="Estado"/>
    <m/>
    <m/>
    <s v="Cheque al Día"/>
    <s v=""/>
    <m/>
    <m/>
    <m/>
    <m/>
    <m/>
    <m/>
  </r>
  <r>
    <s v="PVD-0043"/>
    <s v="Soc. de Publicaciones Acval Ltda. (Todo Pirque)"/>
    <m/>
    <n v="788"/>
    <x v="10"/>
    <n v="256668"/>
    <m/>
    <m/>
    <m/>
    <m/>
    <s v="TOTAL"/>
    <n v="0"/>
    <d v="2020-01-31T00:00:00"/>
    <s v="Estado"/>
    <m/>
    <m/>
    <s v="Cheque al Día"/>
    <s v=""/>
    <m/>
    <m/>
    <m/>
    <m/>
    <m/>
    <m/>
  </r>
  <r>
    <s v=""/>
    <s v="Super"/>
    <m/>
    <n v="28895008"/>
    <x v="7"/>
    <n v="19020"/>
    <m/>
    <m/>
    <m/>
    <m/>
    <s v="TOTAL"/>
    <n v="0"/>
    <d v="2020-01-13T00:00:00"/>
    <s v="Estado"/>
    <m/>
    <m/>
    <s v="Cheque al Día"/>
    <s v=""/>
    <m/>
    <m/>
    <m/>
    <m/>
    <m/>
    <m/>
  </r>
  <r>
    <s v="PVD-0046"/>
    <s v="Transbank SA"/>
    <m/>
    <n v="31153199"/>
    <x v="3"/>
    <n v="13166"/>
    <m/>
    <m/>
    <m/>
    <m/>
    <s v="TOTAL"/>
    <n v="0"/>
    <d v="2020-01-30T00:00:00"/>
    <s v="Estado"/>
    <m/>
    <m/>
    <s v="Cheque al Día"/>
    <s v="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8">
  <r>
    <n v="4290"/>
    <s v="DE-1003"/>
    <x v="0"/>
    <x v="0"/>
    <x v="0"/>
    <s v="Factura"/>
    <m/>
    <s v="sn"/>
    <n v="4233"/>
    <s v="C406"/>
    <s v="Naitana y Kufeke SPA"/>
    <n v="2"/>
    <n v="8310"/>
    <s v="%"/>
    <n v="8310"/>
    <n v="9889"/>
    <n v="19778"/>
    <d v="2020-01-08T00:00:00"/>
    <s v="Cajon"/>
    <n v="126109"/>
    <x v="0"/>
    <n v="6000"/>
    <n v="2310"/>
    <n v="0.28000000000000003"/>
    <m/>
  </r>
  <r>
    <n v="4290"/>
    <s v="DE-550"/>
    <x v="1"/>
    <x v="1"/>
    <x v="0"/>
    <s v="Factura"/>
    <m/>
    <s v="sn"/>
    <n v="4233"/>
    <s v="C406"/>
    <s v="Naitana y Kufeke SPA"/>
    <n v="50"/>
    <n v="367"/>
    <s v="%"/>
    <n v="367"/>
    <n v="436"/>
    <n v="21800"/>
    <d v="2020-01-08T00:00:00"/>
    <s v="Cajon"/>
    <n v="126109"/>
    <x v="1"/>
    <n v="265"/>
    <n v="102"/>
    <n v="0.28000000000000003"/>
    <m/>
  </r>
  <r>
    <n v="4290"/>
    <s v="DE-987"/>
    <x v="2"/>
    <x v="2"/>
    <x v="0"/>
    <s v="Factura"/>
    <m/>
    <s v="sn"/>
    <n v="4233"/>
    <s v="C406"/>
    <s v="Naitana y Kufeke SPA"/>
    <n v="2"/>
    <n v="15475"/>
    <s v="%"/>
    <n v="15475"/>
    <n v="18415"/>
    <n v="36830"/>
    <d v="2020-01-08T00:00:00"/>
    <s v="Cajon"/>
    <n v="126109"/>
    <x v="2"/>
    <n v="11173"/>
    <n v="4302"/>
    <n v="0.28000000000000003"/>
    <m/>
  </r>
  <r>
    <n v="4290"/>
    <s v="DE-1158"/>
    <x v="3"/>
    <x v="3"/>
    <x v="0"/>
    <s v="Factura"/>
    <m/>
    <s v="sn"/>
    <n v="4233"/>
    <s v="C406"/>
    <s v="Naitana y Kufeke SPA"/>
    <n v="3"/>
    <n v="11385"/>
    <s v="%"/>
    <n v="11385"/>
    <n v="13549"/>
    <n v="40647"/>
    <d v="2020-01-08T00:00:00"/>
    <s v="Cajon"/>
    <n v="126109"/>
    <x v="3"/>
    <n v="7912"/>
    <n v="3473"/>
    <n v="0.31"/>
    <m/>
  </r>
  <r>
    <n v="4289"/>
    <s v="MA-136"/>
    <x v="4"/>
    <x v="4"/>
    <x v="0"/>
    <s v="Factura"/>
    <m/>
    <s v="sn"/>
    <n v="4232"/>
    <s v="C004"/>
    <s v="Rosa Gladys Vidal Mora"/>
    <n v="2"/>
    <n v="19446"/>
    <n v="0.1"/>
    <n v="17718"/>
    <n v="20885"/>
    <n v="41770"/>
    <d v="2020-01-02T00:00:00"/>
    <s v="Cajon"/>
    <n v="41769"/>
    <x v="4"/>
    <n v="14040"/>
    <n v="3678"/>
    <n v="0.21"/>
    <m/>
  </r>
  <r>
    <n v="4294"/>
    <s v="MA-166"/>
    <x v="5"/>
    <x v="5"/>
    <x v="1"/>
    <s v="Boleta"/>
    <m/>
    <n v="6345"/>
    <n v="4237"/>
    <s v="C349"/>
    <s v="Elaine Pratt"/>
    <n v="1"/>
    <n v="19076"/>
    <s v="%"/>
    <n v="19076"/>
    <n v="22700"/>
    <n v="22700"/>
    <d v="2020-01-03T00:00:00"/>
    <s v="Pirque"/>
    <n v="40400"/>
    <x v="5"/>
    <n v="14122"/>
    <n v="4954"/>
    <n v="0.26"/>
    <m/>
  </r>
  <r>
    <n v="4294"/>
    <s v="AS-0036"/>
    <x v="6"/>
    <x v="6"/>
    <x v="1"/>
    <s v="Boleta"/>
    <m/>
    <n v="6345"/>
    <n v="4237"/>
    <s v="C349"/>
    <s v="Elaine Pratt"/>
    <n v="4"/>
    <n v="3193"/>
    <s v="%"/>
    <n v="3193"/>
    <n v="3800"/>
    <n v="15200"/>
    <d v="2020-01-03T00:00:00"/>
    <s v="Pirque"/>
    <n v="40400"/>
    <x v="6"/>
    <n v="2085"/>
    <n v="1108"/>
    <n v="0.35"/>
    <m/>
  </r>
  <r>
    <n v="4294"/>
    <s v="AS-42"/>
    <x v="7"/>
    <x v="6"/>
    <x v="1"/>
    <s v="Boleta"/>
    <m/>
    <n v="6345"/>
    <n v="4237"/>
    <s v="C349"/>
    <s v="Elaine Pratt"/>
    <n v="1"/>
    <n v="2101"/>
    <s v="%"/>
    <n v="2101"/>
    <n v="2500"/>
    <n v="2500"/>
    <d v="2020-01-03T00:00:00"/>
    <s v="Pirque"/>
    <n v="40400"/>
    <x v="6"/>
    <n v="850"/>
    <n v="1251"/>
    <n v="0.6"/>
    <m/>
  </r>
  <r>
    <n v="4296"/>
    <s v="MA-0053"/>
    <x v="8"/>
    <x v="7"/>
    <x v="1"/>
    <s v="Boleta"/>
    <m/>
    <n v="6347"/>
    <n v="4239"/>
    <s v="C451"/>
    <s v="Enrique Montero"/>
    <n v="1"/>
    <n v="12437"/>
    <s v="%"/>
    <n v="12437"/>
    <n v="14800"/>
    <n v="14800"/>
    <d v="2020-01-03T00:00:00"/>
    <s v="Pirque"/>
    <n v="18600"/>
    <x v="5"/>
    <n v="9067"/>
    <n v="3370"/>
    <n v="0.27"/>
    <m/>
  </r>
  <r>
    <n v="4296"/>
    <s v="AS-0036"/>
    <x v="6"/>
    <x v="6"/>
    <x v="1"/>
    <s v="Boleta"/>
    <m/>
    <n v="6347"/>
    <n v="4239"/>
    <s v="C451"/>
    <s v="Enrique Montero"/>
    <n v="1"/>
    <n v="3193"/>
    <s v="%"/>
    <n v="3193"/>
    <n v="3800"/>
    <n v="3800"/>
    <d v="2020-01-03T00:00:00"/>
    <s v="Pirque"/>
    <n v="18600"/>
    <x v="6"/>
    <n v="2085"/>
    <n v="1108"/>
    <n v="0.35"/>
    <m/>
  </r>
  <r>
    <n v="4295"/>
    <s v="MA-0027"/>
    <x v="9"/>
    <x v="8"/>
    <x v="1"/>
    <s v="Boleta"/>
    <m/>
    <n v="6346"/>
    <n v="4238"/>
    <s v="C028"/>
    <s v="Luz María Velasquez"/>
    <n v="1"/>
    <n v="13866"/>
    <s v="%"/>
    <n v="13866"/>
    <n v="16500"/>
    <n v="16500"/>
    <d v="2020-01-03T00:00:00"/>
    <s v="Pirque"/>
    <n v="41000"/>
    <x v="7"/>
    <n v="9870"/>
    <n v="3996"/>
    <n v="0.28999999999999998"/>
    <m/>
  </r>
  <r>
    <n v="4295"/>
    <s v="DE-569"/>
    <x v="10"/>
    <x v="9"/>
    <x v="1"/>
    <s v="Boleta"/>
    <m/>
    <n v="6346"/>
    <n v="4238"/>
    <s v="C028"/>
    <s v="Luz María Velasquez"/>
    <n v="1"/>
    <n v="20588"/>
    <s v="%"/>
    <n v="20588"/>
    <n v="24500"/>
    <n v="24500"/>
    <d v="2020-01-03T00:00:00"/>
    <s v="Pirque"/>
    <n v="41000"/>
    <x v="8"/>
    <n v="16386"/>
    <n v="4202"/>
    <n v="0.2"/>
    <m/>
  </r>
  <r>
    <n v="4293"/>
    <s v="MA-0053"/>
    <x v="8"/>
    <x v="7"/>
    <x v="1"/>
    <s v="Boleta"/>
    <m/>
    <n v="6344"/>
    <n v="4236"/>
    <s v="C520"/>
    <s v="Pamela Perez"/>
    <n v="1"/>
    <n v="12437"/>
    <s v="%"/>
    <n v="12437"/>
    <n v="14800"/>
    <n v="14800"/>
    <d v="2020-01-03T00:00:00"/>
    <s v="Pirque"/>
    <n v="14800"/>
    <x v="5"/>
    <n v="9067"/>
    <n v="3370"/>
    <n v="0.27"/>
    <m/>
  </r>
  <r>
    <n v="4291"/>
    <s v="AS-0024"/>
    <x v="11"/>
    <x v="10"/>
    <x v="1"/>
    <s v="Factura"/>
    <m/>
    <s v="OC01"/>
    <n v="4234"/>
    <s v="C020"/>
    <s v="Sabores y Vinos Bernardita Munita EIRL"/>
    <n v="6"/>
    <n v="6151"/>
    <s v="%"/>
    <n v="6151"/>
    <n v="7320"/>
    <n v="43920"/>
    <d v="2020-01-03T00:00:00"/>
    <s v="Pirque"/>
    <n v="91718"/>
    <x v="9"/>
    <n v="4600"/>
    <n v="1551"/>
    <n v="0.25"/>
    <m/>
  </r>
  <r>
    <n v="4291"/>
    <s v="DE-569"/>
    <x v="10"/>
    <x v="9"/>
    <x v="1"/>
    <s v="Factura"/>
    <m/>
    <s v="OC01"/>
    <n v="4234"/>
    <s v="C020"/>
    <s v="Sabores y Vinos Bernardita Munita EIRL"/>
    <n v="2"/>
    <n v="20084"/>
    <s v="%"/>
    <n v="20084"/>
    <n v="23900"/>
    <n v="47800"/>
    <d v="2020-01-03T00:00:00"/>
    <s v="Pirque"/>
    <n v="91718"/>
    <x v="8"/>
    <n v="16386"/>
    <n v="3698"/>
    <n v="0.18"/>
    <m/>
  </r>
  <r>
    <n v="4292"/>
    <s v="DE-1003"/>
    <x v="0"/>
    <x v="0"/>
    <x v="1"/>
    <s v="Factura"/>
    <m/>
    <s v="OC02"/>
    <n v="4235"/>
    <s v="C020"/>
    <s v="Sabores y Vinos Bernardita Munita EIRL"/>
    <n v="10"/>
    <n v="7895"/>
    <s v="%"/>
    <n v="7895"/>
    <n v="9395"/>
    <n v="93950"/>
    <d v="2020-01-06T00:00:00"/>
    <s v="Pirque"/>
    <n v="228312"/>
    <x v="10"/>
    <n v="6000"/>
    <n v="1895"/>
    <n v="0.24"/>
    <m/>
  </r>
  <r>
    <n v="4292"/>
    <s v="DE-881"/>
    <x v="12"/>
    <x v="11"/>
    <x v="1"/>
    <s v="Factura"/>
    <m/>
    <s v="OC02"/>
    <n v="4235"/>
    <s v="C020"/>
    <s v="Sabores y Vinos Bernardita Munita EIRL"/>
    <n v="6"/>
    <n v="17642"/>
    <s v="%"/>
    <n v="17642"/>
    <n v="20994"/>
    <n v="125964"/>
    <d v="2020-01-06T00:00:00"/>
    <s v="Pirque"/>
    <n v="228312"/>
    <x v="10"/>
    <n v="13408"/>
    <n v="4234"/>
    <n v="0.24"/>
    <m/>
  </r>
  <r>
    <n v="2"/>
    <s v="MA-214"/>
    <x v="13"/>
    <x v="12"/>
    <x v="2"/>
    <s v="Boleta"/>
    <m/>
    <n v="6349"/>
    <n v="4240"/>
    <s v="C335"/>
    <s v="Alejandro Astorga"/>
    <n v="2"/>
    <n v="24238"/>
    <n v="0.06"/>
    <n v="22783"/>
    <n v="27000"/>
    <n v="54000"/>
    <d v="2020-01-05T00:00:00"/>
    <s v="Pirque"/>
    <n v="54000"/>
    <x v="11"/>
    <n v="19390"/>
    <n v="3393"/>
    <n v="0.15"/>
    <m/>
  </r>
  <r>
    <n v="4"/>
    <s v="AS-29"/>
    <x v="14"/>
    <x v="13"/>
    <x v="2"/>
    <s v="Factura"/>
    <m/>
    <n v="5293"/>
    <n v="4242"/>
    <s v="C006"/>
    <s v="Carolina del Pilar Contreras Gutierrez"/>
    <n v="40"/>
    <n v="3062"/>
    <n v="0.1"/>
    <n v="2790"/>
    <n v="3288"/>
    <n v="131520"/>
    <d v="2020-01-10T00:00:00"/>
    <s v="Chada"/>
    <n v="245516"/>
    <x v="6"/>
    <n v="2100"/>
    <n v="690"/>
    <n v="0.25"/>
    <m/>
  </r>
  <r>
    <n v="4"/>
    <s v="AS-45"/>
    <x v="15"/>
    <x v="6"/>
    <x v="2"/>
    <s v="Factura"/>
    <m/>
    <n v="5293"/>
    <n v="4242"/>
    <s v="C006"/>
    <s v="Carolina del Pilar Contreras Gutierrez"/>
    <n v="12"/>
    <n v="1677"/>
    <n v="0.1"/>
    <n v="1528"/>
    <n v="1801"/>
    <n v="21612"/>
    <d v="2020-01-10T00:00:00"/>
    <s v="Chada"/>
    <n v="245516"/>
    <x v="6"/>
    <n v="1150"/>
    <n v="378"/>
    <n v="0.25"/>
    <m/>
  </r>
  <r>
    <n v="4"/>
    <s v="AS-0031"/>
    <x v="16"/>
    <x v="13"/>
    <x v="2"/>
    <s v="Factura"/>
    <m/>
    <n v="5293"/>
    <n v="4242"/>
    <s v="C006"/>
    <s v="Carolina del Pilar Contreras Gutierrez"/>
    <n v="20"/>
    <n v="3062"/>
    <n v="0.1"/>
    <n v="2790"/>
    <n v="3288"/>
    <n v="65760"/>
    <d v="2020-01-10T00:00:00"/>
    <s v="Chada"/>
    <n v="245516"/>
    <x v="6"/>
    <n v="2100"/>
    <n v="690"/>
    <n v="0.25"/>
    <m/>
  </r>
  <r>
    <n v="4"/>
    <s v="AS-42"/>
    <x v="7"/>
    <x v="6"/>
    <x v="2"/>
    <s v="Factura"/>
    <m/>
    <n v="5293"/>
    <n v="4242"/>
    <s v="C006"/>
    <s v="Carolina del Pilar Contreras Gutierrez"/>
    <n v="20"/>
    <n v="1239"/>
    <n v="0.1"/>
    <n v="1129"/>
    <n v="1331"/>
    <n v="26620"/>
    <d v="2020-01-10T00:00:00"/>
    <s v="Chada"/>
    <n v="245516"/>
    <x v="6"/>
    <n v="850"/>
    <n v="279"/>
    <n v="0.25"/>
    <m/>
  </r>
  <r>
    <n v="5"/>
    <s v="DE-1171"/>
    <x v="17"/>
    <x v="3"/>
    <x v="2"/>
    <s v="Boleta"/>
    <m/>
    <n v="6353"/>
    <n v="4243"/>
    <s v="C639"/>
    <s v="Erika Navarro"/>
    <n v="1"/>
    <n v="12605"/>
    <s v="%"/>
    <n v="12605"/>
    <n v="15000"/>
    <n v="15000"/>
    <d v="2020-01-05T00:00:00"/>
    <s v="Pirque"/>
    <n v="44073"/>
    <x v="3"/>
    <n v="7912"/>
    <n v="4693"/>
    <n v="0.37"/>
    <m/>
  </r>
  <r>
    <n v="5"/>
    <s v="DE-1168"/>
    <x v="18"/>
    <x v="3"/>
    <x v="2"/>
    <s v="Boleta"/>
    <m/>
    <n v="6353"/>
    <n v="4243"/>
    <s v="C639"/>
    <s v="Erika Navarro"/>
    <n v="1"/>
    <n v="6807"/>
    <s v="%"/>
    <n v="6807"/>
    <n v="8100"/>
    <n v="8100"/>
    <d v="2020-01-05T00:00:00"/>
    <s v="Pirque"/>
    <n v="44073"/>
    <x v="3"/>
    <n v="4447"/>
    <n v="2360"/>
    <n v="0.35"/>
    <m/>
  </r>
  <r>
    <n v="5"/>
    <s v="DE-1167"/>
    <x v="19"/>
    <x v="3"/>
    <x v="2"/>
    <s v="Boleta"/>
    <m/>
    <n v="6353"/>
    <n v="4243"/>
    <s v="C639"/>
    <s v="Erika Navarro"/>
    <n v="0"/>
    <n v="13025"/>
    <s v="%"/>
    <n v="13025"/>
    <n v="15500"/>
    <s v="$"/>
    <d v="2020-01-05T00:00:00"/>
    <s v="Pirque"/>
    <n v="44073"/>
    <x v="3"/>
    <n v="7912"/>
    <n v="5113"/>
    <n v="0.39"/>
    <m/>
  </r>
  <r>
    <n v="5"/>
    <s v="DE-949"/>
    <x v="20"/>
    <x v="11"/>
    <x v="2"/>
    <s v="Boleta"/>
    <m/>
    <n v="6353"/>
    <n v="4243"/>
    <s v="C639"/>
    <s v="Erika Navarro"/>
    <n v="5"/>
    <n v="3529"/>
    <s v="%"/>
    <n v="3529"/>
    <n v="4200"/>
    <n v="21000"/>
    <d v="2020-01-05T00:00:00"/>
    <s v="Pirque"/>
    <n v="44073"/>
    <x v="0"/>
    <n v="2408"/>
    <n v="1121"/>
    <n v="0.32"/>
    <m/>
  </r>
  <r>
    <n v="3"/>
    <s v="AS-0036"/>
    <x v="6"/>
    <x v="6"/>
    <x v="2"/>
    <s v="Factura"/>
    <m/>
    <n v="5292"/>
    <n v="4241"/>
    <s v="C010"/>
    <s v="Supermercado El Valle Ltda"/>
    <n v="40"/>
    <n v="3040"/>
    <n v="0.05"/>
    <n v="2895"/>
    <n v="3436"/>
    <n v="137440"/>
    <d v="2020-01-10T00:00:00"/>
    <s v="Chada"/>
    <n v="273993"/>
    <x v="6"/>
    <n v="2085"/>
    <n v="810"/>
    <n v="0.28000000000000003"/>
    <m/>
  </r>
  <r>
    <n v="3"/>
    <s v="DE-556"/>
    <x v="21"/>
    <x v="14"/>
    <x v="2"/>
    <s v="Factura"/>
    <m/>
    <n v="5292"/>
    <n v="4241"/>
    <s v="C010"/>
    <s v="Supermercado El Valle Ltda"/>
    <n v="12"/>
    <n v="1796"/>
    <n v="0.05"/>
    <n v="1710"/>
    <n v="2031"/>
    <n v="24372"/>
    <d v="2020-01-10T00:00:00"/>
    <s v="Chada"/>
    <n v="273993"/>
    <x v="12"/>
    <n v="1297"/>
    <n v="413"/>
    <n v="0.24"/>
    <m/>
  </r>
  <r>
    <n v="3"/>
    <s v="BA-0004"/>
    <x v="22"/>
    <x v="15"/>
    <x v="2"/>
    <s v="Factura"/>
    <m/>
    <n v="5292"/>
    <n v="4241"/>
    <s v="C010"/>
    <s v="Supermercado El Valle Ltda"/>
    <n v="10"/>
    <n v="4119"/>
    <n v="0.27"/>
    <n v="3242"/>
    <n v="3576"/>
    <n v="35760"/>
    <d v="2020-01-10T00:00:00"/>
    <s v="Chada"/>
    <n v="273993"/>
    <x v="13"/>
    <n v="2974"/>
    <n v="268"/>
    <n v="0.08"/>
    <m/>
  </r>
  <r>
    <n v="3"/>
    <s v="BA-0006"/>
    <x v="23"/>
    <x v="15"/>
    <x v="2"/>
    <s v="Factura"/>
    <m/>
    <n v="5292"/>
    <n v="4241"/>
    <s v="C010"/>
    <s v="Supermercado El Valle Ltda"/>
    <n v="10"/>
    <n v="1857"/>
    <n v="0.19"/>
    <n v="1559"/>
    <n v="1788"/>
    <n v="17880"/>
    <d v="2020-01-10T00:00:00"/>
    <s v="Chada"/>
    <n v="273993"/>
    <x v="13"/>
    <n v="1341"/>
    <n v="218"/>
    <n v="0.14000000000000001"/>
    <m/>
  </r>
  <r>
    <n v="3"/>
    <s v="BA-0001"/>
    <x v="24"/>
    <x v="15"/>
    <x v="2"/>
    <s v="Factura"/>
    <m/>
    <n v="5292"/>
    <n v="4241"/>
    <s v="C010"/>
    <s v="Supermercado El Valle Ltda"/>
    <n v="32"/>
    <n v="1921"/>
    <n v="0.2"/>
    <n v="1601"/>
    <n v="1829"/>
    <n v="58528"/>
    <d v="2020-01-10T00:00:00"/>
    <s v="Chada"/>
    <n v="273993"/>
    <x v="13"/>
    <s v="$"/>
    <n v="1601"/>
    <n v="1"/>
    <m/>
  </r>
  <r>
    <n v="7"/>
    <s v="AS-0036"/>
    <x v="6"/>
    <x v="6"/>
    <x v="3"/>
    <s v="Boleta"/>
    <m/>
    <n v="6349"/>
    <n v="4245"/>
    <s v="C032"/>
    <s v="Carlos Jobbe-Duval"/>
    <n v="4"/>
    <n v="3193"/>
    <s v="%"/>
    <n v="3193"/>
    <n v="3800"/>
    <n v="15200"/>
    <d v="2020-01-04T00:00:00"/>
    <s v="Pirque"/>
    <n v="51400"/>
    <x v="6"/>
    <n v="2085"/>
    <n v="1108"/>
    <n v="0.35"/>
    <m/>
  </r>
  <r>
    <n v="7"/>
    <s v="AS-43"/>
    <x v="25"/>
    <x v="6"/>
    <x v="3"/>
    <s v="Boleta"/>
    <m/>
    <n v="6349"/>
    <n v="4245"/>
    <s v="C032"/>
    <s v="Carlos Jobbe-Duval"/>
    <n v="1"/>
    <n v="4958"/>
    <s v="%"/>
    <n v="4958"/>
    <n v="5900"/>
    <n v="5900"/>
    <d v="2020-01-04T00:00:00"/>
    <s v="Pirque"/>
    <n v="51400"/>
    <x v="6"/>
    <n v="3624"/>
    <n v="1334"/>
    <n v="0.27"/>
    <m/>
  </r>
  <r>
    <n v="7"/>
    <s v="AS-0034"/>
    <x v="26"/>
    <x v="13"/>
    <x v="3"/>
    <s v="Boleta"/>
    <m/>
    <n v="6349"/>
    <n v="4245"/>
    <s v="C032"/>
    <s v="Carlos Jobbe-Duval"/>
    <n v="1"/>
    <n v="4874"/>
    <s v="%"/>
    <n v="4874"/>
    <n v="5800"/>
    <n v="5800"/>
    <d v="2020-01-04T00:00:00"/>
    <s v="Pirque"/>
    <n v="51400"/>
    <x v="6"/>
    <n v="2400"/>
    <n v="2474"/>
    <n v="0.51"/>
    <m/>
  </r>
  <r>
    <n v="7"/>
    <s v="DE-593"/>
    <x v="27"/>
    <x v="9"/>
    <x v="3"/>
    <s v="Boleta"/>
    <m/>
    <n v="6349"/>
    <n v="4245"/>
    <s v="C032"/>
    <s v="Carlos Jobbe-Duval"/>
    <n v="1"/>
    <n v="20588"/>
    <s v="%"/>
    <n v="20588"/>
    <n v="24500"/>
    <n v="24500"/>
    <d v="2020-01-04T00:00:00"/>
    <s v="Pirque"/>
    <n v="51400"/>
    <x v="8"/>
    <n v="16387"/>
    <n v="4201"/>
    <n v="0.2"/>
    <m/>
  </r>
  <r>
    <n v="6"/>
    <s v="MA-0040"/>
    <x v="28"/>
    <x v="16"/>
    <x v="3"/>
    <s v="Boleta"/>
    <m/>
    <n v="6348"/>
    <n v="4244"/>
    <s v="C640"/>
    <s v="Carola Gonzalez"/>
    <n v="1"/>
    <n v="16723"/>
    <s v="%"/>
    <n v="16723"/>
    <n v="19900"/>
    <n v="19900"/>
    <d v="2020-01-04T00:00:00"/>
    <s v="Pirque"/>
    <n v="19900"/>
    <x v="7"/>
    <n v="11888"/>
    <n v="4835"/>
    <n v="0.28999999999999998"/>
    <m/>
  </r>
  <r>
    <n v="9"/>
    <s v="MA-0027"/>
    <x v="9"/>
    <x v="8"/>
    <x v="3"/>
    <s v="Boleta"/>
    <m/>
    <n v="6351"/>
    <n v="4247"/>
    <s v="C641"/>
    <s v="Cristian Alvarez"/>
    <n v="1"/>
    <n v="13866"/>
    <s v="%"/>
    <n v="13866"/>
    <n v="16500"/>
    <n v="16500"/>
    <d v="2020-01-04T00:00:00"/>
    <s v="Pirque"/>
    <n v="16500"/>
    <x v="7"/>
    <n v="9870"/>
    <n v="3996"/>
    <n v="0.28999999999999998"/>
    <m/>
  </r>
  <r>
    <n v="14"/>
    <s v="MA-0042"/>
    <x v="29"/>
    <x v="17"/>
    <x v="3"/>
    <s v="Boleta"/>
    <m/>
    <n v="6358"/>
    <n v="4252"/>
    <s v="C263"/>
    <s v="Jeanny Reyes"/>
    <n v="1"/>
    <n v="19748"/>
    <s v="%"/>
    <n v="19748"/>
    <n v="23500"/>
    <n v="23500"/>
    <d v="2020-01-06T00:00:00"/>
    <s v="Pirque"/>
    <n v="23500"/>
    <x v="7"/>
    <n v="14112"/>
    <n v="5636"/>
    <n v="0.28999999999999998"/>
    <m/>
  </r>
  <r>
    <n v="10"/>
    <s v="AS-43"/>
    <x v="25"/>
    <x v="6"/>
    <x v="3"/>
    <s v="Boleta"/>
    <m/>
    <n v="6354"/>
    <n v="4248"/>
    <s v="C642"/>
    <s v="Jose Luis Miranda"/>
    <n v="1"/>
    <n v="4958"/>
    <s v="%"/>
    <n v="4958"/>
    <n v="5900"/>
    <n v="5900"/>
    <d v="2020-01-05T00:00:00"/>
    <s v="Pirque"/>
    <n v="11700"/>
    <x v="6"/>
    <n v="3624"/>
    <n v="1334"/>
    <n v="0.27"/>
    <m/>
  </r>
  <r>
    <n v="10"/>
    <s v="AS-0034"/>
    <x v="26"/>
    <x v="13"/>
    <x v="3"/>
    <s v="Boleta"/>
    <m/>
    <n v="6354"/>
    <n v="4248"/>
    <s v="C642"/>
    <s v="Jose Luis Miranda"/>
    <n v="1"/>
    <n v="4874"/>
    <s v="%"/>
    <n v="4874"/>
    <n v="5800"/>
    <n v="5800"/>
    <d v="2020-01-05T00:00:00"/>
    <s v="Pirque"/>
    <n v="11700"/>
    <x v="6"/>
    <n v="2400"/>
    <n v="2474"/>
    <n v="0.51"/>
    <m/>
  </r>
  <r>
    <n v="12"/>
    <s v="GR-0054"/>
    <x v="30"/>
    <x v="18"/>
    <x v="3"/>
    <s v="Boleta"/>
    <m/>
    <n v="6356"/>
    <n v="4250"/>
    <s v="C026"/>
    <s v="Loreto Paola Moraga Guerrero"/>
    <n v="1"/>
    <n v="19328"/>
    <s v="%"/>
    <n v="19328"/>
    <n v="23000"/>
    <n v="23000"/>
    <d v="2020-01-06T00:00:00"/>
    <s v="Pirque"/>
    <n v="46000"/>
    <x v="5"/>
    <n v="14604"/>
    <n v="4724"/>
    <n v="0.24"/>
    <m/>
  </r>
  <r>
    <n v="12"/>
    <s v="GR-0055"/>
    <x v="31"/>
    <x v="18"/>
    <x v="3"/>
    <s v="Boleta"/>
    <m/>
    <n v="6356"/>
    <n v="4250"/>
    <s v="C026"/>
    <s v="Loreto Paola Moraga Guerrero"/>
    <n v="1"/>
    <n v="19328"/>
    <s v="%"/>
    <n v="19328"/>
    <n v="23000"/>
    <n v="23000"/>
    <d v="2020-01-06T00:00:00"/>
    <s v="Pirque"/>
    <n v="46000"/>
    <x v="5"/>
    <n v="14604"/>
    <n v="4724"/>
    <n v="0.24"/>
    <m/>
  </r>
  <r>
    <n v="11"/>
    <s v="MA-118"/>
    <x v="32"/>
    <x v="18"/>
    <x v="3"/>
    <s v="Factura"/>
    <m/>
    <n v="6355"/>
    <n v="4249"/>
    <s v="C370"/>
    <s v="Manuel Monteiro"/>
    <n v="3"/>
    <n v="9664"/>
    <s v="%"/>
    <n v="9664"/>
    <n v="11500"/>
    <n v="34500"/>
    <d v="2020-01-06T00:00:00"/>
    <s v="Pirque"/>
    <n v="34500"/>
    <x v="5"/>
    <n v="7956"/>
    <n v="1708"/>
    <n v="0.18"/>
    <m/>
  </r>
  <r>
    <n v="8"/>
    <s v="AS-0035"/>
    <x v="33"/>
    <x v="6"/>
    <x v="3"/>
    <s v="Boleta"/>
    <m/>
    <n v="6350"/>
    <n v="4246"/>
    <s v="C171"/>
    <s v="Milton Juica"/>
    <n v="2"/>
    <n v="3193"/>
    <s v="%"/>
    <n v="3193"/>
    <n v="3800"/>
    <n v="7600"/>
    <d v="2020-01-04T00:00:00"/>
    <s v="Pirque"/>
    <n v="22700"/>
    <x v="6"/>
    <n v="2195"/>
    <n v="998"/>
    <n v="0.31"/>
    <m/>
  </r>
  <r>
    <n v="8"/>
    <s v="AS-0036"/>
    <x v="6"/>
    <x v="6"/>
    <x v="3"/>
    <s v="Boleta"/>
    <m/>
    <n v="6350"/>
    <n v="4246"/>
    <s v="C171"/>
    <s v="Milton Juica"/>
    <n v="2"/>
    <n v="3193"/>
    <s v="%"/>
    <n v="3193"/>
    <n v="3800"/>
    <n v="7600"/>
    <d v="2020-01-04T00:00:00"/>
    <s v="Pirque"/>
    <n v="22700"/>
    <x v="6"/>
    <n v="2085"/>
    <n v="1108"/>
    <n v="0.35"/>
    <m/>
  </r>
  <r>
    <n v="8"/>
    <s v="AS-42"/>
    <x v="7"/>
    <x v="6"/>
    <x v="3"/>
    <s v="Boleta"/>
    <m/>
    <n v="6350"/>
    <n v="4246"/>
    <s v="C171"/>
    <s v="Milton Juica"/>
    <n v="3"/>
    <n v="2101"/>
    <s v="%"/>
    <n v="2101"/>
    <n v="2500"/>
    <n v="7500"/>
    <d v="2020-01-04T00:00:00"/>
    <s v="Pirque"/>
    <n v="22700"/>
    <x v="6"/>
    <n v="850"/>
    <n v="1251"/>
    <n v="0.6"/>
    <m/>
  </r>
  <r>
    <n v="15"/>
    <s v="MA-0053"/>
    <x v="8"/>
    <x v="7"/>
    <x v="3"/>
    <s v="Boleta"/>
    <m/>
    <n v="6359"/>
    <n v="4253"/>
    <s v="C556"/>
    <s v="Patricio Tapia"/>
    <n v="1"/>
    <n v="12437"/>
    <s v="%"/>
    <n v="12437"/>
    <n v="14800"/>
    <n v="14800"/>
    <d v="2020-01-06T00:00:00"/>
    <s v="Pirque"/>
    <n v="25700"/>
    <x v="5"/>
    <n v="9067"/>
    <n v="3370"/>
    <n v="0.27"/>
    <m/>
  </r>
  <r>
    <n v="15"/>
    <s v="MA-203"/>
    <x v="34"/>
    <x v="19"/>
    <x v="3"/>
    <s v="Boleta"/>
    <m/>
    <n v="6359"/>
    <n v="4253"/>
    <s v="C556"/>
    <s v="Patricio Tapia"/>
    <n v="1"/>
    <n v="9160"/>
    <s v="%"/>
    <n v="9160"/>
    <n v="10900"/>
    <n v="10900"/>
    <d v="2020-01-06T00:00:00"/>
    <s v="Pirque"/>
    <n v="25700"/>
    <x v="7"/>
    <n v="7188"/>
    <n v="1972"/>
    <n v="0.22"/>
    <m/>
  </r>
  <r>
    <n v="16"/>
    <s v="DE-837"/>
    <x v="35"/>
    <x v="11"/>
    <x v="3"/>
    <s v="Factura"/>
    <m/>
    <s v="OC03"/>
    <n v="4254"/>
    <s v="C020"/>
    <s v="Sabores y Vinos Bernardita Munita EIRL"/>
    <n v="5"/>
    <n v="2368"/>
    <s v="%"/>
    <n v="2368"/>
    <n v="2818"/>
    <n v="14090"/>
    <d v="2020-01-06T00:00:00"/>
    <s v="Pirque"/>
    <n v="53778"/>
    <x v="10"/>
    <n v="1787"/>
    <n v="581"/>
    <n v="0.25"/>
    <m/>
  </r>
  <r>
    <n v="16"/>
    <s v="DE-880"/>
    <x v="36"/>
    <x v="11"/>
    <x v="3"/>
    <s v="Factura"/>
    <m/>
    <s v="OC03"/>
    <n v="4254"/>
    <s v="C020"/>
    <s v="Sabores y Vinos Bernardita Munita EIRL"/>
    <n v="10"/>
    <n v="3335"/>
    <s v="%"/>
    <n v="3335"/>
    <n v="3969"/>
    <n v="39690"/>
    <d v="2020-01-06T00:00:00"/>
    <s v="Pirque"/>
    <n v="53778"/>
    <x v="10"/>
    <n v="2408"/>
    <n v="927"/>
    <n v="0.28000000000000003"/>
    <m/>
  </r>
  <r>
    <n v="17"/>
    <s v="MA-0035"/>
    <x v="37"/>
    <x v="16"/>
    <x v="3"/>
    <s v="Boleta"/>
    <m/>
    <n v="6360"/>
    <n v="4255"/>
    <s v="C608"/>
    <s v="Solange Villarroel"/>
    <n v="1"/>
    <n v="15727"/>
    <n v="-0.05"/>
    <n v="16600"/>
    <n v="19700"/>
    <n v="19700"/>
    <d v="2020-01-06T00:00:00"/>
    <s v="Pirque"/>
    <n v="19700"/>
    <x v="7"/>
    <n v="11808"/>
    <n v="4792"/>
    <n v="0.28999999999999998"/>
    <m/>
  </r>
  <r>
    <n v="13"/>
    <s v="GR-0054"/>
    <x v="30"/>
    <x v="18"/>
    <x v="3"/>
    <s v="Boleta"/>
    <m/>
    <n v="6357"/>
    <n v="4251"/>
    <s v="C643"/>
    <s v="Veronica Riveros"/>
    <n v="1"/>
    <n v="19328"/>
    <s v="%"/>
    <n v="19328"/>
    <n v="23000"/>
    <n v="23000"/>
    <d v="2020-01-06T00:00:00"/>
    <s v="Pirque"/>
    <n v="23000"/>
    <x v="5"/>
    <n v="14604"/>
    <n v="4724"/>
    <n v="0.24"/>
    <m/>
  </r>
  <r>
    <n v="23"/>
    <s v="MA-0035"/>
    <x v="37"/>
    <x v="16"/>
    <x v="4"/>
    <s v="Boleta"/>
    <m/>
    <n v="6364"/>
    <n v="4261"/>
    <s v="C445"/>
    <s v="Carmen Nuñez"/>
    <n v="1"/>
    <n v="16555"/>
    <s v="%"/>
    <n v="16555"/>
    <n v="19700"/>
    <n v="19700"/>
    <d v="2020-01-07T00:00:00"/>
    <s v="Pirque"/>
    <n v="19700"/>
    <x v="7"/>
    <n v="11808"/>
    <n v="4747"/>
    <n v="0.28999999999999998"/>
    <m/>
  </r>
  <r>
    <n v="21"/>
    <s v="MA-193"/>
    <x v="38"/>
    <x v="20"/>
    <x v="4"/>
    <s v="Boleta"/>
    <m/>
    <n v="6362"/>
    <n v="4259"/>
    <s v="C546"/>
    <s v="Martha Feres"/>
    <n v="1"/>
    <n v="29832"/>
    <s v="%"/>
    <n v="29832"/>
    <n v="35500"/>
    <n v="35500"/>
    <d v="2020-01-07T00:00:00"/>
    <s v="Pirque"/>
    <n v="35500"/>
    <x v="11"/>
    <n v="23940"/>
    <n v="5892"/>
    <n v="0.2"/>
    <m/>
  </r>
  <r>
    <n v="19"/>
    <s v="AS-0036"/>
    <x v="6"/>
    <x v="6"/>
    <x v="4"/>
    <s v="Factura"/>
    <m/>
    <s v="sn"/>
    <n v="4257"/>
    <s v="C002"/>
    <s v="Miguel Moreno Fernandez"/>
    <n v="20"/>
    <n v="3180"/>
    <n v="0.09"/>
    <n v="2917"/>
    <n v="3444"/>
    <n v="68880"/>
    <d v="2020-01-07T00:00:00"/>
    <s v="Pirque"/>
    <n v="341452"/>
    <x v="6"/>
    <n v="2085"/>
    <n v="832"/>
    <n v="0.28999999999999998"/>
    <m/>
  </r>
  <r>
    <n v="19"/>
    <s v="AS-0039"/>
    <x v="39"/>
    <x v="6"/>
    <x v="4"/>
    <s v="Factura"/>
    <m/>
    <s v="sn"/>
    <n v="4257"/>
    <s v="C002"/>
    <s v="Miguel Moreno Fernandez"/>
    <n v="20"/>
    <n v="3180"/>
    <n v="0.09"/>
    <n v="2917"/>
    <n v="3444"/>
    <n v="68880"/>
    <d v="2020-01-07T00:00:00"/>
    <s v="Pirque"/>
    <n v="341452"/>
    <x v="6"/>
    <n v="2119"/>
    <n v="798"/>
    <n v="0.27"/>
    <m/>
  </r>
  <r>
    <n v="19"/>
    <s v="AS-0035"/>
    <x v="33"/>
    <x v="6"/>
    <x v="4"/>
    <s v="Factura"/>
    <m/>
    <s v="sn"/>
    <n v="4257"/>
    <s v="C002"/>
    <s v="Miguel Moreno Fernandez"/>
    <n v="20"/>
    <n v="3280"/>
    <n v="0.09"/>
    <n v="3009"/>
    <n v="3552"/>
    <n v="71040"/>
    <d v="2020-01-07T00:00:00"/>
    <s v="Pirque"/>
    <n v="341452"/>
    <x v="6"/>
    <n v="2195"/>
    <n v="814"/>
    <n v="0.27"/>
    <m/>
  </r>
  <r>
    <n v="19"/>
    <s v="AS-42"/>
    <x v="7"/>
    <x v="6"/>
    <x v="4"/>
    <s v="Factura"/>
    <m/>
    <s v="sn"/>
    <n v="4257"/>
    <s v="C002"/>
    <s v="Miguel Moreno Fernandez"/>
    <n v="20"/>
    <n v="1239"/>
    <n v="0.09"/>
    <n v="1137"/>
    <n v="1342"/>
    <n v="26840"/>
    <d v="2020-01-07T00:00:00"/>
    <s v="Pirque"/>
    <n v="341452"/>
    <x v="6"/>
    <n v="850"/>
    <n v="287"/>
    <n v="0.25"/>
    <m/>
  </r>
  <r>
    <n v="19"/>
    <s v="AS-46"/>
    <x v="40"/>
    <x v="13"/>
    <x v="4"/>
    <s v="Factura"/>
    <m/>
    <s v="sn"/>
    <n v="4257"/>
    <s v="C002"/>
    <s v="Miguel Moreno Fernandez"/>
    <n v="12"/>
    <n v="3280"/>
    <n v="0.09"/>
    <n v="3009"/>
    <n v="3552"/>
    <n v="42624"/>
    <d v="2020-01-07T00:00:00"/>
    <s v="Pirque"/>
    <n v="341452"/>
    <x v="6"/>
    <n v="2250"/>
    <n v="759"/>
    <n v="0.25"/>
    <m/>
  </r>
  <r>
    <n v="19"/>
    <s v="AS-43"/>
    <x v="25"/>
    <x v="6"/>
    <x v="4"/>
    <s v="Factura"/>
    <m/>
    <s v="sn"/>
    <n v="4257"/>
    <s v="C002"/>
    <s v="Miguel Moreno Fernandez"/>
    <n v="12"/>
    <n v="5029"/>
    <n v="0.12"/>
    <n v="4490"/>
    <n v="5267"/>
    <n v="63204"/>
    <d v="2020-01-07T00:00:00"/>
    <s v="Pirque"/>
    <n v="341452"/>
    <x v="6"/>
    <n v="3624"/>
    <n v="866"/>
    <n v="0.19"/>
    <m/>
  </r>
  <r>
    <n v="22"/>
    <s v="MA-0027"/>
    <x v="9"/>
    <x v="8"/>
    <x v="4"/>
    <s v="Boleta"/>
    <m/>
    <n v="6363"/>
    <n v="4260"/>
    <s v="C512"/>
    <s v="Segundo Palma (abuelo Hugo Palma)"/>
    <n v="1"/>
    <n v="13866"/>
    <s v="%"/>
    <n v="13866"/>
    <n v="16500"/>
    <n v="16500"/>
    <d v="2020-01-07T00:00:00"/>
    <s v="Pirque"/>
    <n v="16500"/>
    <x v="7"/>
    <n v="9870"/>
    <n v="3996"/>
    <n v="0.28999999999999998"/>
    <m/>
  </r>
  <r>
    <n v="20"/>
    <s v="MA-0003"/>
    <x v="41"/>
    <x v="21"/>
    <x v="4"/>
    <s v="Boleta"/>
    <m/>
    <n v="6361"/>
    <n v="4258"/>
    <s v="C444"/>
    <s v="Solange Franjola"/>
    <n v="1"/>
    <n v="16723"/>
    <s v="%"/>
    <n v="16723"/>
    <n v="19900"/>
    <n v="19900"/>
    <d v="2020-01-07T00:00:00"/>
    <s v="Pirque"/>
    <n v="19900"/>
    <x v="5"/>
    <n v="14078"/>
    <n v="2645"/>
    <n v="0.16"/>
    <m/>
  </r>
  <r>
    <n v="18"/>
    <s v="DE-1150"/>
    <x v="42"/>
    <x v="22"/>
    <x v="4"/>
    <s v="Factura"/>
    <m/>
    <n v="1038480"/>
    <n v="4256"/>
    <s v="C001"/>
    <s v="Benito Campos y Cia Ltda."/>
    <n v="300"/>
    <n v="1385"/>
    <n v="0.04"/>
    <n v="1338"/>
    <n v="1590"/>
    <n v="477000"/>
    <d v="2020-01-08T00:00:00"/>
    <s v="Cajon"/>
    <n v="477000"/>
    <x v="14"/>
    <n v="1000"/>
    <n v="338"/>
    <n v="0.25"/>
    <m/>
  </r>
  <r>
    <n v="25"/>
    <s v="DE-727"/>
    <x v="43"/>
    <x v="23"/>
    <x v="5"/>
    <s v="Factura"/>
    <m/>
    <n v="1038478"/>
    <n v="4263"/>
    <s v="C001"/>
    <s v="Benito Campos y Cia Ltda."/>
    <n v="6"/>
    <n v="5030"/>
    <s v="%"/>
    <n v="5030"/>
    <n v="5986"/>
    <n v="35916"/>
    <d v="2020-01-08T00:00:00"/>
    <s v="Cajon"/>
    <n v="73475"/>
    <x v="15"/>
    <n v="3584"/>
    <n v="1446"/>
    <n v="0.28999999999999998"/>
    <m/>
  </r>
  <r>
    <n v="32"/>
    <s v="BA-34"/>
    <x v="44"/>
    <x v="24"/>
    <x v="5"/>
    <s v="Boleta"/>
    <m/>
    <n v="6368"/>
    <n v="4270"/>
    <s v="C263"/>
    <s v="Jeanny Reyes"/>
    <n v="24"/>
    <n v="462"/>
    <s v="%"/>
    <n v="462"/>
    <n v="550"/>
    <n v="13200"/>
    <d v="2020-01-08T00:00:00"/>
    <s v="Pirque"/>
    <n v="13200"/>
    <x v="16"/>
    <n v="244"/>
    <n v="218"/>
    <n v="0.47"/>
    <m/>
  </r>
  <r>
    <n v="28"/>
    <s v="MA-0035"/>
    <x v="37"/>
    <x v="16"/>
    <x v="5"/>
    <s v="Boleta"/>
    <m/>
    <n v="6365"/>
    <n v="4266"/>
    <s v="C595"/>
    <s v="Juan Neira"/>
    <n v="2"/>
    <n v="16555"/>
    <s v="%"/>
    <n v="16555"/>
    <n v="19700"/>
    <n v="39400"/>
    <d v="2020-01-07T00:00:00"/>
    <s v="Pirque"/>
    <n v="39400"/>
    <x v="7"/>
    <n v="11808"/>
    <n v="4747"/>
    <n v="0.28999999999999998"/>
    <m/>
  </r>
  <r>
    <n v="24"/>
    <s v="DE-0023"/>
    <x v="45"/>
    <x v="25"/>
    <x v="5"/>
    <s v="Factura"/>
    <m/>
    <s v="sn"/>
    <n v="4262"/>
    <s v="C005"/>
    <s v="Julia Ines Rebolledo Retamal"/>
    <n v="12"/>
    <n v="1648"/>
    <n v="0.05"/>
    <n v="1570"/>
    <n v="1863"/>
    <n v="22356"/>
    <d v="2020-01-08T00:00:00"/>
    <s v="Cajon"/>
    <n v="22359"/>
    <x v="17"/>
    <n v="1190"/>
    <n v="380"/>
    <n v="0.24"/>
    <m/>
  </r>
  <r>
    <n v="33"/>
    <s v="MA-0035"/>
    <x v="37"/>
    <x v="16"/>
    <x v="5"/>
    <s v="Boleta"/>
    <m/>
    <n v="6369"/>
    <n v="4271"/>
    <s v="C359"/>
    <s v="Manuel Perez"/>
    <n v="1"/>
    <n v="16555"/>
    <s v="%"/>
    <n v="16555"/>
    <n v="19700"/>
    <n v="19700"/>
    <d v="2020-01-09T00:00:00"/>
    <s v="Pirque"/>
    <n v="29900"/>
    <x v="7"/>
    <n v="11808"/>
    <n v="4747"/>
    <n v="0.28999999999999998"/>
    <m/>
  </r>
  <r>
    <n v="33"/>
    <s v="MA-0046"/>
    <x v="46"/>
    <x v="17"/>
    <x v="5"/>
    <s v="Boleta"/>
    <m/>
    <n v="6369"/>
    <n v="4271"/>
    <s v="C359"/>
    <s v="Manuel Perez"/>
    <n v="1"/>
    <n v="8571"/>
    <s v="%"/>
    <n v="8571"/>
    <n v="10200"/>
    <n v="10200"/>
    <d v="2020-01-09T00:00:00"/>
    <s v="Pirque"/>
    <n v="29900"/>
    <x v="7"/>
    <n v="5992"/>
    <n v="2579"/>
    <n v="0.3"/>
    <m/>
  </r>
  <r>
    <n v="27"/>
    <s v="MA-0042"/>
    <x v="29"/>
    <x v="17"/>
    <x v="5"/>
    <s v="Factura"/>
    <m/>
    <s v="sn"/>
    <n v="4265"/>
    <s v="C002"/>
    <s v="Miguel Moreno Fernandez"/>
    <n v="9"/>
    <n v="19546"/>
    <n v="0.09"/>
    <n v="17932"/>
    <n v="21166"/>
    <n v="190494"/>
    <d v="2020-01-08T00:00:00"/>
    <s v="Cajon"/>
    <n v="190494"/>
    <x v="7"/>
    <n v="14112"/>
    <n v="3820"/>
    <n v="0.21"/>
    <m/>
  </r>
  <r>
    <n v="29"/>
    <s v="MA-0053"/>
    <x v="8"/>
    <x v="7"/>
    <x v="5"/>
    <s v="Boleta"/>
    <m/>
    <n v="6366"/>
    <n v="4267"/>
    <s v="C510"/>
    <s v="Ricardo Edwards"/>
    <n v="4"/>
    <n v="12437"/>
    <s v="%"/>
    <n v="12437"/>
    <n v="14800"/>
    <n v="59200"/>
    <d v="2020-01-08T00:00:00"/>
    <s v="Pirque"/>
    <n v="70600"/>
    <x v="5"/>
    <n v="9067"/>
    <n v="3370"/>
    <n v="0.27"/>
    <m/>
  </r>
  <r>
    <n v="29"/>
    <s v="AS-0035"/>
    <x v="33"/>
    <x v="6"/>
    <x v="5"/>
    <s v="Boleta"/>
    <m/>
    <n v="6366"/>
    <n v="4267"/>
    <s v="C510"/>
    <s v="Ricardo Edwards"/>
    <n v="3"/>
    <n v="3193"/>
    <s v="%"/>
    <n v="3193"/>
    <n v="3800"/>
    <n v="11400"/>
    <d v="2020-01-08T00:00:00"/>
    <s v="Pirque"/>
    <n v="70600"/>
    <x v="6"/>
    <n v="2195"/>
    <n v="998"/>
    <n v="0.31"/>
    <m/>
  </r>
  <r>
    <n v="31"/>
    <s v="AS-73"/>
    <x v="47"/>
    <x v="26"/>
    <x v="5"/>
    <s v="Factura"/>
    <m/>
    <s v="OC 04"/>
    <n v="4269"/>
    <s v="C020"/>
    <s v="Sabores y Vinos Bernardita Munita EIRL"/>
    <n v="1"/>
    <n v="14244"/>
    <s v="%"/>
    <n v="14244"/>
    <n v="16950"/>
    <n v="16950"/>
    <d v="2020-01-08T00:00:00"/>
    <s v="Pirque"/>
    <n v="64750"/>
    <x v="18"/>
    <n v="930"/>
    <n v="13314"/>
    <n v="0.93"/>
    <m/>
  </r>
  <r>
    <n v="31"/>
    <s v="DE-569"/>
    <x v="10"/>
    <x v="9"/>
    <x v="5"/>
    <s v="Factura"/>
    <m/>
    <s v="OC 04"/>
    <n v="4269"/>
    <s v="C020"/>
    <s v="Sabores y Vinos Bernardita Munita EIRL"/>
    <n v="2"/>
    <n v="20084"/>
    <s v="%"/>
    <n v="20084"/>
    <n v="23900"/>
    <n v="47800"/>
    <d v="2020-01-08T00:00:00"/>
    <s v="Pirque"/>
    <n v="64750"/>
    <x v="8"/>
    <n v="16386"/>
    <n v="3698"/>
    <n v="0.18"/>
    <m/>
  </r>
  <r>
    <n v="30"/>
    <s v="MA-0027"/>
    <x v="9"/>
    <x v="8"/>
    <x v="5"/>
    <s v="Boleta"/>
    <m/>
    <n v="6367"/>
    <n v="4268"/>
    <s v="C635"/>
    <s v="Teresa Meza"/>
    <n v="1"/>
    <n v="13866"/>
    <s v="%"/>
    <n v="13866"/>
    <n v="16500"/>
    <n v="16500"/>
    <d v="2020-01-08T00:00:00"/>
    <s v="Pirque"/>
    <n v="16500"/>
    <x v="7"/>
    <n v="9870"/>
    <n v="3996"/>
    <n v="0.28999999999999998"/>
    <m/>
  </r>
  <r>
    <n v="26"/>
    <s v="DE-564"/>
    <x v="48"/>
    <x v="14"/>
    <x v="5"/>
    <s v="Factura"/>
    <m/>
    <n v="1038478"/>
    <n v="4264"/>
    <s v="C001"/>
    <s v="Benito Campos y Cia Ltda."/>
    <n v="80"/>
    <n v="453"/>
    <n v="0.05"/>
    <n v="431"/>
    <n v="512"/>
    <n v="40960"/>
    <d v="2020-01-08T00:00:00"/>
    <s v="Cajon"/>
    <n v="292085"/>
    <x v="12"/>
    <n v="327"/>
    <n v="104"/>
    <n v="0.24"/>
    <m/>
  </r>
  <r>
    <n v="26"/>
    <s v="DE-1065"/>
    <x v="49"/>
    <x v="27"/>
    <x v="5"/>
    <s v="Factura"/>
    <m/>
    <n v="1038478"/>
    <n v="4264"/>
    <s v="C001"/>
    <s v="Benito Campos y Cia Ltda."/>
    <n v="15"/>
    <n v="1046"/>
    <n v="0.01"/>
    <n v="1032"/>
    <n v="1227"/>
    <n v="18405"/>
    <d v="2020-01-08T00:00:00"/>
    <s v="Cajon"/>
    <n v="292085"/>
    <x v="19"/>
    <n v="755"/>
    <n v="277"/>
    <n v="0.27"/>
    <m/>
  </r>
  <r>
    <n v="26"/>
    <s v="MA-0102"/>
    <x v="50"/>
    <x v="4"/>
    <x v="5"/>
    <s v="Factura"/>
    <m/>
    <n v="1038478"/>
    <n v="4264"/>
    <s v="C001"/>
    <s v="Benito Campos y Cia Ltda."/>
    <n v="40"/>
    <n v="880"/>
    <n v="0.08"/>
    <n v="813"/>
    <n v="960"/>
    <n v="38400"/>
    <d v="2020-01-08T00:00:00"/>
    <s v="Cajon"/>
    <n v="292085"/>
    <x v="4"/>
    <n v="635"/>
    <n v="178"/>
    <n v="0.22"/>
    <m/>
  </r>
  <r>
    <n v="26"/>
    <s v="MA-0103"/>
    <x v="51"/>
    <x v="4"/>
    <x v="5"/>
    <s v="Factura"/>
    <m/>
    <n v="1038478"/>
    <n v="4264"/>
    <s v="C001"/>
    <s v="Benito Campos y Cia Ltda."/>
    <n v="24"/>
    <n v="1676"/>
    <n v="0.08"/>
    <n v="1553"/>
    <n v="1837"/>
    <n v="44088"/>
    <d v="2020-01-08T00:00:00"/>
    <s v="Cajon"/>
    <n v="292085"/>
    <x v="4"/>
    <n v="1210"/>
    <n v="343"/>
    <n v="0.22"/>
    <m/>
  </r>
  <r>
    <n v="26"/>
    <s v="AS-0022"/>
    <x v="52"/>
    <x v="28"/>
    <x v="5"/>
    <s v="Factura"/>
    <m/>
    <n v="1038478"/>
    <n v="4264"/>
    <s v="C001"/>
    <s v="Benito Campos y Cia Ltda."/>
    <n v="96"/>
    <n v="741"/>
    <n v="0.05"/>
    <n v="709"/>
    <n v="842"/>
    <n v="80832"/>
    <d v="2020-01-08T00:00:00"/>
    <s v="Cajon"/>
    <n v="292085"/>
    <x v="9"/>
    <n v="535"/>
    <n v="174"/>
    <n v="0.25"/>
    <m/>
  </r>
  <r>
    <n v="26"/>
    <s v="DE-0144"/>
    <x v="53"/>
    <x v="29"/>
    <x v="5"/>
    <s v="Factura"/>
    <m/>
    <n v="1038478"/>
    <n v="4264"/>
    <s v="C001"/>
    <s v="Benito Campos y Cia Ltda."/>
    <n v="24"/>
    <n v="463"/>
    <n v="0.05"/>
    <n v="441"/>
    <n v="523"/>
    <n v="12552"/>
    <d v="2020-01-08T00:00:00"/>
    <s v="Cajon"/>
    <n v="292085"/>
    <x v="20"/>
    <n v="334"/>
    <n v="107"/>
    <n v="0.24"/>
    <m/>
  </r>
  <r>
    <n v="26"/>
    <s v="DE-0145"/>
    <x v="54"/>
    <x v="29"/>
    <x v="5"/>
    <s v="Factura"/>
    <m/>
    <n v="1038478"/>
    <n v="4264"/>
    <s v="C001"/>
    <s v="Benito Campos y Cia Ltda."/>
    <n v="24"/>
    <n v="463"/>
    <n v="0.05"/>
    <n v="441"/>
    <n v="523"/>
    <n v="12552"/>
    <d v="2020-01-08T00:00:00"/>
    <s v="Cajon"/>
    <n v="292085"/>
    <x v="20"/>
    <n v="334"/>
    <n v="107"/>
    <n v="0.24"/>
    <m/>
  </r>
  <r>
    <n v="25"/>
    <s v="DE-575"/>
    <x v="55"/>
    <x v="30"/>
    <x v="5"/>
    <s v="Factura"/>
    <m/>
    <n v="1038478"/>
    <n v="4263"/>
    <s v="C001"/>
    <s v="Benito Campos y Cia Ltda."/>
    <n v="12"/>
    <n v="1654"/>
    <n v="-0.2"/>
    <n v="2076"/>
    <n v="2368"/>
    <n v="28416"/>
    <d v="2020-01-08T00:00:00"/>
    <s v="Cajon"/>
    <n v="73475"/>
    <x v="2"/>
    <n v="1194"/>
    <n v="882"/>
    <n v="0.42"/>
    <m/>
  </r>
  <r>
    <n v="26"/>
    <s v="AS-77"/>
    <x v="56"/>
    <x v="31"/>
    <x v="5"/>
    <s v="Factura"/>
    <m/>
    <n v="1038478"/>
    <n v="4264"/>
    <s v="C001"/>
    <s v="Benito Campos y Cia Ltda."/>
    <n v="45"/>
    <n v="817"/>
    <n v="-0.01"/>
    <n v="828"/>
    <n v="985"/>
    <n v="44325"/>
    <d v="2020-01-08T00:00:00"/>
    <s v="Cajon"/>
    <n v="292085"/>
    <x v="9"/>
    <n v="590"/>
    <n v="238"/>
    <n v="0.28999999999999998"/>
    <m/>
  </r>
  <r>
    <n v="34"/>
    <s v="MA-0027"/>
    <x v="9"/>
    <x v="8"/>
    <x v="6"/>
    <s v="Boleta"/>
    <m/>
    <n v="6370"/>
    <n v="4272"/>
    <s v="C063"/>
    <s v="Andrea Ramirez"/>
    <n v="1"/>
    <n v="13866"/>
    <s v="%"/>
    <n v="13866"/>
    <n v="16500"/>
    <n v="16500"/>
    <d v="2020-01-09T00:00:00"/>
    <s v="Pirque"/>
    <n v="26700"/>
    <x v="7"/>
    <n v="9870"/>
    <n v="3996"/>
    <n v="0.28999999999999998"/>
    <m/>
  </r>
  <r>
    <n v="34"/>
    <s v="MA-0046"/>
    <x v="46"/>
    <x v="17"/>
    <x v="6"/>
    <s v="Boleta"/>
    <m/>
    <n v="6370"/>
    <n v="4272"/>
    <s v="C063"/>
    <s v="Andrea Ramirez"/>
    <n v="1"/>
    <n v="8571"/>
    <s v="%"/>
    <n v="8571"/>
    <n v="10200"/>
    <n v="10200"/>
    <d v="2020-01-09T00:00:00"/>
    <s v="Pirque"/>
    <n v="26700"/>
    <x v="7"/>
    <n v="5992"/>
    <n v="2579"/>
    <n v="0.3"/>
    <m/>
  </r>
  <r>
    <n v="38"/>
    <s v="MA-0035"/>
    <x v="37"/>
    <x v="16"/>
    <x v="6"/>
    <s v="Boleta"/>
    <m/>
    <n v="6374"/>
    <n v="4276"/>
    <s v="C073"/>
    <s v="Celinda Varela"/>
    <n v="1"/>
    <n v="16555"/>
    <s v="%"/>
    <n v="16555"/>
    <n v="19700"/>
    <n v="19700"/>
    <d v="2020-01-09T00:00:00"/>
    <s v="Pirque"/>
    <n v="19700"/>
    <x v="7"/>
    <n v="11808"/>
    <n v="4747"/>
    <n v="0.28999999999999998"/>
    <m/>
  </r>
  <r>
    <n v="36"/>
    <s v="MA-0053"/>
    <x v="8"/>
    <x v="7"/>
    <x v="6"/>
    <s v="Boleta"/>
    <m/>
    <n v="6372"/>
    <n v="4274"/>
    <s v="C418"/>
    <s v="Claudia Ormazabal"/>
    <n v="1"/>
    <n v="12437"/>
    <s v="%"/>
    <n v="12437"/>
    <n v="14800"/>
    <n v="14800"/>
    <d v="2020-01-09T00:00:00"/>
    <s v="Pirque"/>
    <n v="14800"/>
    <x v="5"/>
    <n v="9067"/>
    <n v="3370"/>
    <n v="0.27"/>
    <m/>
  </r>
  <r>
    <n v="35"/>
    <s v="MA-191"/>
    <x v="57"/>
    <x v="12"/>
    <x v="6"/>
    <s v="Boleta"/>
    <m/>
    <n v="6371"/>
    <n v="4273"/>
    <s v="C535"/>
    <s v="Juan Pablo Garcia"/>
    <n v="1"/>
    <n v="23277"/>
    <s v="%"/>
    <n v="23277"/>
    <n v="27700"/>
    <n v="27700"/>
    <d v="2020-01-09T00:00:00"/>
    <s v="Pirque"/>
    <n v="50400"/>
    <x v="11"/>
    <n v="18650"/>
    <n v="4627"/>
    <n v="0.2"/>
    <m/>
  </r>
  <r>
    <n v="35"/>
    <s v="MA-166"/>
    <x v="5"/>
    <x v="5"/>
    <x v="6"/>
    <s v="Boleta"/>
    <m/>
    <n v="6371"/>
    <n v="4273"/>
    <s v="C535"/>
    <s v="Juan Pablo Garcia"/>
    <n v="1"/>
    <n v="19076"/>
    <s v="%"/>
    <n v="19076"/>
    <n v="22700"/>
    <n v="22700"/>
    <d v="2020-01-09T00:00:00"/>
    <s v="Pirque"/>
    <n v="50400"/>
    <x v="5"/>
    <n v="14122"/>
    <n v="4954"/>
    <n v="0.26"/>
    <m/>
  </r>
  <r>
    <n v="41"/>
    <s v="AS-0022"/>
    <x v="52"/>
    <x v="28"/>
    <x v="6"/>
    <s v="Factura"/>
    <m/>
    <s v="sn"/>
    <n v="4279"/>
    <s v="C016"/>
    <s v="Maria Magaly Diaz Espinoza"/>
    <n v="24"/>
    <n v="741"/>
    <n v="0.1"/>
    <n v="675"/>
    <n v="796"/>
    <n v="19104"/>
    <d v="2020-01-10T00:00:00"/>
    <s v="Chada"/>
    <n v="85554"/>
    <x v="9"/>
    <n v="535"/>
    <n v="140"/>
    <n v="0.21"/>
    <m/>
  </r>
  <r>
    <n v="41"/>
    <s v="AS-0023"/>
    <x v="58"/>
    <x v="32"/>
    <x v="6"/>
    <s v="Factura"/>
    <m/>
    <s v="sn"/>
    <n v="4279"/>
    <s v="C016"/>
    <s v="Maria Magaly Diaz Espinoza"/>
    <n v="12"/>
    <n v="551"/>
    <n v="0.1"/>
    <n v="502"/>
    <n v="592"/>
    <n v="7104"/>
    <d v="2020-01-10T00:00:00"/>
    <s v="Chada"/>
    <n v="85554"/>
    <x v="9"/>
    <n v="398"/>
    <n v="104"/>
    <n v="0.21"/>
    <m/>
  </r>
  <r>
    <n v="41"/>
    <s v="AS-0026"/>
    <x v="59"/>
    <x v="10"/>
    <x v="6"/>
    <s v="Factura"/>
    <m/>
    <s v="sn"/>
    <n v="4279"/>
    <s v="C016"/>
    <s v="Maria Magaly Diaz Espinoza"/>
    <n v="1"/>
    <n v="3248"/>
    <n v="0.1"/>
    <n v="2959"/>
    <n v="3488"/>
    <n v="3488"/>
    <d v="2020-01-10T00:00:00"/>
    <s v="Chada"/>
    <n v="85554"/>
    <x v="9"/>
    <n v="2345"/>
    <n v="614"/>
    <n v="0.21"/>
    <m/>
  </r>
  <r>
    <n v="41"/>
    <s v="AS-0036"/>
    <x v="6"/>
    <x v="6"/>
    <x v="6"/>
    <s v="Factura"/>
    <m/>
    <s v="sn"/>
    <n v="4279"/>
    <s v="C016"/>
    <s v="Maria Magaly Diaz Espinoza"/>
    <n v="6"/>
    <n v="3040"/>
    <n v="0.1"/>
    <n v="2770"/>
    <n v="3265"/>
    <n v="19590"/>
    <d v="2020-01-10T00:00:00"/>
    <s v="Chada"/>
    <n v="85554"/>
    <x v="6"/>
    <n v="2085"/>
    <n v="685"/>
    <n v="0.25"/>
    <m/>
  </r>
  <r>
    <n v="41"/>
    <s v="AS-42"/>
    <x v="7"/>
    <x v="6"/>
    <x v="6"/>
    <s v="Factura"/>
    <m/>
    <s v="sn"/>
    <n v="4279"/>
    <s v="C016"/>
    <s v="Maria Magaly Diaz Espinoza"/>
    <n v="2"/>
    <n v="1239"/>
    <n v="0.1"/>
    <n v="1129"/>
    <n v="1331"/>
    <n v="2662"/>
    <d v="2020-01-10T00:00:00"/>
    <s v="Chada"/>
    <n v="85554"/>
    <x v="6"/>
    <n v="850"/>
    <n v="279"/>
    <n v="0.25"/>
    <m/>
  </r>
  <r>
    <n v="41"/>
    <s v="BA-0010"/>
    <x v="60"/>
    <x v="33"/>
    <x v="6"/>
    <s v="Factura"/>
    <m/>
    <s v="sn"/>
    <n v="4279"/>
    <s v="C016"/>
    <s v="Maria Magaly Diaz Espinoza"/>
    <n v="1"/>
    <n v="2353"/>
    <s v="%"/>
    <n v="2353"/>
    <n v="2800"/>
    <n v="2800"/>
    <d v="2020-01-10T00:00:00"/>
    <s v="Chada"/>
    <n v="85554"/>
    <x v="13"/>
    <s v="$"/>
    <n v="2353"/>
    <n v="1"/>
    <m/>
  </r>
  <r>
    <n v="41"/>
    <s v="MA-0040"/>
    <x v="28"/>
    <x v="16"/>
    <x v="6"/>
    <s v="Factura"/>
    <m/>
    <s v="sn"/>
    <n v="4279"/>
    <s v="C016"/>
    <s v="Maria Magaly Diaz Espinoza"/>
    <n v="1"/>
    <n v="16465"/>
    <n v="0.05"/>
    <n v="15681"/>
    <n v="18614"/>
    <n v="18614"/>
    <d v="2020-01-10T00:00:00"/>
    <s v="Chada"/>
    <n v="85554"/>
    <x v="7"/>
    <n v="11888"/>
    <n v="3793"/>
    <n v="0.24"/>
    <m/>
  </r>
  <r>
    <n v="41"/>
    <s v="MA-0111"/>
    <x v="61"/>
    <x v="34"/>
    <x v="6"/>
    <s v="Factura"/>
    <m/>
    <s v="sn"/>
    <n v="4279"/>
    <s v="C016"/>
    <s v="Maria Magaly Diaz Espinoza"/>
    <n v="1"/>
    <n v="8393"/>
    <s v="%"/>
    <n v="8393"/>
    <n v="9988"/>
    <n v="9988"/>
    <d v="2020-01-10T00:00:00"/>
    <s v="Chada"/>
    <n v="85554"/>
    <x v="21"/>
    <n v="6060"/>
    <n v="2333"/>
    <n v="0.28000000000000003"/>
    <m/>
  </r>
  <r>
    <n v="41"/>
    <s v="BA-0006"/>
    <x v="23"/>
    <x v="15"/>
    <x v="6"/>
    <s v="Factura"/>
    <m/>
    <s v="sn"/>
    <n v="4279"/>
    <s v="C016"/>
    <s v="Maria Magaly Diaz Espinoza"/>
    <n v="1"/>
    <n v="1857"/>
    <s v="%"/>
    <n v="1857"/>
    <n v="2210"/>
    <n v="2210"/>
    <d v="2020-01-10T00:00:00"/>
    <s v="Chada"/>
    <n v="85554"/>
    <x v="13"/>
    <n v="1341"/>
    <n v="516"/>
    <n v="0.28000000000000003"/>
    <m/>
  </r>
  <r>
    <n v="44"/>
    <s v="GR-0055"/>
    <x v="31"/>
    <x v="18"/>
    <x v="6"/>
    <s v="Boleta"/>
    <m/>
    <n v="6376"/>
    <n v="4282"/>
    <s v="C644"/>
    <s v="Marta Bravo"/>
    <n v="1"/>
    <n v="19328"/>
    <s v="%"/>
    <n v="19328"/>
    <n v="23000"/>
    <n v="23000"/>
    <d v="2020-01-09T00:00:00"/>
    <s v="Pirque"/>
    <n v="23000"/>
    <x v="5"/>
    <n v="14604"/>
    <n v="4724"/>
    <n v="0.24"/>
    <m/>
  </r>
  <r>
    <n v="42"/>
    <s v="DE-1169"/>
    <x v="62"/>
    <x v="31"/>
    <x v="6"/>
    <s v="Factura"/>
    <m/>
    <s v="sn"/>
    <n v="4280"/>
    <s v="C554"/>
    <s v="Minimarket Doña Olga SPA"/>
    <n v="60"/>
    <n v="741"/>
    <n v="0.1"/>
    <n v="675"/>
    <n v="796"/>
    <n v="47760"/>
    <d v="2020-01-10T00:00:00"/>
    <s v="Chada"/>
    <n v="70775"/>
    <x v="9"/>
    <n v="535"/>
    <n v="140"/>
    <n v="0.21"/>
    <m/>
  </r>
  <r>
    <n v="42"/>
    <s v="MA-0107"/>
    <x v="63"/>
    <x v="4"/>
    <x v="6"/>
    <s v="Factura"/>
    <m/>
    <s v="sn"/>
    <n v="4280"/>
    <s v="C554"/>
    <s v="Minimarket Doña Olga SPA"/>
    <n v="12"/>
    <n v="1787"/>
    <n v="0.1"/>
    <n v="1628"/>
    <n v="1919"/>
    <n v="23028"/>
    <d v="2020-01-10T00:00:00"/>
    <s v="Chada"/>
    <n v="70775"/>
    <x v="4"/>
    <n v="1290"/>
    <n v="338"/>
    <n v="0.21"/>
    <m/>
  </r>
  <r>
    <n v="43"/>
    <s v="MA-0053"/>
    <x v="8"/>
    <x v="7"/>
    <x v="6"/>
    <s v="Boleta"/>
    <m/>
    <n v="6375"/>
    <n v="4281"/>
    <s v="C358"/>
    <s v="Patricia Lopez"/>
    <n v="1"/>
    <n v="12437"/>
    <s v="%"/>
    <n v="12437"/>
    <n v="14800"/>
    <n v="14800"/>
    <d v="2020-01-09T00:00:00"/>
    <s v="Pirque"/>
    <n v="14800"/>
    <x v="5"/>
    <n v="9067"/>
    <n v="3370"/>
    <n v="0.27"/>
    <m/>
  </r>
  <r>
    <n v="40"/>
    <s v="DE-0021"/>
    <x v="64"/>
    <x v="35"/>
    <x v="6"/>
    <s v="Factura"/>
    <m/>
    <s v="sn"/>
    <n v="4278"/>
    <s v="C105"/>
    <s v="Paulina Andrea Araneda Cancino"/>
    <n v="2"/>
    <n v="12185"/>
    <s v="%"/>
    <n v="12185"/>
    <n v="14500"/>
    <n v="29000"/>
    <d v="2020-01-10T00:00:00"/>
    <s v="Chada"/>
    <n v="29000"/>
    <x v="22"/>
    <n v="9360"/>
    <n v="2825"/>
    <n v="0.23"/>
    <m/>
  </r>
  <r>
    <n v="39"/>
    <s v="AS-0024"/>
    <x v="11"/>
    <x v="10"/>
    <x v="6"/>
    <s v="Factura"/>
    <m/>
    <s v="OC 05"/>
    <n v="4277"/>
    <s v="C020"/>
    <s v="Sabores y Vinos Bernardita Munita EIRL"/>
    <n v="6"/>
    <n v="6371"/>
    <s v="%"/>
    <n v="6371"/>
    <n v="7582"/>
    <n v="45492"/>
    <d v="2020-01-09T00:00:00"/>
    <s v="Pirque"/>
    <n v="61366"/>
    <x v="9"/>
    <n v="4600"/>
    <n v="1771"/>
    <n v="0.28000000000000003"/>
    <m/>
  </r>
  <r>
    <n v="39"/>
    <s v="DE-880"/>
    <x v="36"/>
    <x v="11"/>
    <x v="6"/>
    <s v="Factura"/>
    <m/>
    <s v="OC 05"/>
    <n v="4277"/>
    <s v="C020"/>
    <s v="Sabores y Vinos Bernardita Munita EIRL"/>
    <n v="4"/>
    <n v="3335"/>
    <s v="%"/>
    <n v="3335"/>
    <n v="3969"/>
    <n v="15876"/>
    <d v="2020-01-09T00:00:00"/>
    <s v="Pirque"/>
    <n v="61366"/>
    <x v="10"/>
    <n v="2408"/>
    <n v="927"/>
    <n v="0.28000000000000003"/>
    <m/>
  </r>
  <r>
    <n v="45"/>
    <s v="DE-1029"/>
    <x v="65"/>
    <x v="6"/>
    <x v="6"/>
    <s v="Factura"/>
    <m/>
    <s v="sn"/>
    <n v="4283"/>
    <s v="C088"/>
    <s v="Salvador Jesus Maulen Lizana e Hios Ltda"/>
    <n v="220"/>
    <n v="495"/>
    <n v="0.05"/>
    <n v="471"/>
    <n v="560"/>
    <n v="123200"/>
    <d v="2020-01-13T00:00:00"/>
    <s v="Cajon"/>
    <n v="295570"/>
    <x v="23"/>
    <n v="268"/>
    <n v="203"/>
    <n v="0.43"/>
    <m/>
  </r>
  <r>
    <n v="45"/>
    <s v="DE-1027"/>
    <x v="66"/>
    <x v="6"/>
    <x v="6"/>
    <s v="Factura"/>
    <m/>
    <s v="sn"/>
    <n v="4283"/>
    <s v="C088"/>
    <s v="Salvador Jesus Maulen Lizana e Hios Ltda"/>
    <n v="144"/>
    <n v="425"/>
    <n v="0.1"/>
    <n v="387"/>
    <n v="456"/>
    <n v="65664"/>
    <d v="2020-01-13T00:00:00"/>
    <s v="Cajon"/>
    <n v="295570"/>
    <x v="23"/>
    <n v="268"/>
    <n v="119"/>
    <n v="0.31"/>
    <m/>
  </r>
  <r>
    <n v="45"/>
    <s v="DE-1026"/>
    <x v="67"/>
    <x v="6"/>
    <x v="6"/>
    <s v="Factura"/>
    <m/>
    <s v="sn"/>
    <n v="4283"/>
    <s v="C088"/>
    <s v="Salvador Jesus Maulen Lizana e Hios Ltda"/>
    <n v="24"/>
    <n v="794"/>
    <n v="0.05"/>
    <n v="756"/>
    <n v="897"/>
    <n v="21528"/>
    <d v="2020-01-13T00:00:00"/>
    <s v="Cajon"/>
    <n v="295570"/>
    <x v="23"/>
    <n v="501"/>
    <n v="255"/>
    <n v="0.34"/>
    <m/>
  </r>
  <r>
    <n v="45"/>
    <s v="DE-1028"/>
    <x v="68"/>
    <x v="6"/>
    <x v="6"/>
    <s v="Factura"/>
    <m/>
    <s v="sn"/>
    <n v="4283"/>
    <s v="C088"/>
    <s v="Salvador Jesus Maulen Lizana e Hios Ltda"/>
    <n v="12"/>
    <n v="1294"/>
    <n v="0.05"/>
    <n v="1232"/>
    <n v="1463"/>
    <n v="17556"/>
    <d v="2020-01-13T00:00:00"/>
    <s v="Cajon"/>
    <n v="295570"/>
    <x v="23"/>
    <n v="818"/>
    <n v="415"/>
    <n v="0.34"/>
    <m/>
  </r>
  <r>
    <n v="45"/>
    <s v="DE-1150"/>
    <x v="42"/>
    <x v="22"/>
    <x v="6"/>
    <s v="Factura"/>
    <m/>
    <s v="sn"/>
    <n v="4283"/>
    <s v="C088"/>
    <s v="Salvador Jesus Maulen Lizana e Hios Ltda"/>
    <n v="24"/>
    <n v="1385"/>
    <n v="0.1"/>
    <n v="1262"/>
    <n v="1488"/>
    <n v="35712"/>
    <d v="2020-01-13T00:00:00"/>
    <s v="Cajon"/>
    <n v="295570"/>
    <x v="14"/>
    <n v="1000"/>
    <n v="262"/>
    <n v="0.21"/>
    <m/>
  </r>
  <r>
    <n v="45"/>
    <s v="DE-1030"/>
    <x v="69"/>
    <x v="6"/>
    <x v="6"/>
    <s v="Factura"/>
    <m/>
    <s v="sn"/>
    <n v="4283"/>
    <s v="C088"/>
    <s v="Salvador Jesus Maulen Lizana e Hios Ltda"/>
    <n v="364"/>
    <n v="62"/>
    <n v="0.05"/>
    <n v="59"/>
    <n v="70"/>
    <n v="25480"/>
    <d v="2020-01-13T00:00:00"/>
    <s v="Cajon"/>
    <n v="295570"/>
    <x v="23"/>
    <n v="45"/>
    <n v="14"/>
    <n v="0.24"/>
    <m/>
  </r>
  <r>
    <n v="45"/>
    <s v="DE-1031"/>
    <x v="70"/>
    <x v="6"/>
    <x v="6"/>
    <s v="Factura"/>
    <m/>
    <s v="sn"/>
    <n v="4283"/>
    <s v="C088"/>
    <s v="Salvador Jesus Maulen Lizana e Hios Ltda"/>
    <n v="35"/>
    <n v="160"/>
    <n v="0.05"/>
    <n v="152"/>
    <n v="180"/>
    <n v="6300"/>
    <d v="2020-01-13T00:00:00"/>
    <s v="Cajon"/>
    <n v="295570"/>
    <x v="23"/>
    <n v="115"/>
    <n v="37"/>
    <n v="0.24"/>
    <m/>
  </r>
  <r>
    <n v="37"/>
    <s v="MA-166"/>
    <x v="5"/>
    <x v="5"/>
    <x v="6"/>
    <s v="Boleta"/>
    <m/>
    <n v="6373"/>
    <n v="4275"/>
    <s v="C501"/>
    <s v="Victor Rodriguez"/>
    <n v="1"/>
    <n v="19076"/>
    <s v="%"/>
    <n v="19076"/>
    <n v="22700"/>
    <n v="22700"/>
    <d v="2020-01-09T00:00:00"/>
    <s v="Pirque"/>
    <n v="22700"/>
    <x v="5"/>
    <n v="14122"/>
    <n v="4954"/>
    <n v="0.26"/>
    <m/>
  </r>
  <r>
    <n v="46"/>
    <s v="MA-0053"/>
    <x v="8"/>
    <x v="7"/>
    <x v="7"/>
    <s v="Boleta"/>
    <m/>
    <n v="6377"/>
    <n v="4284"/>
    <s v="C394"/>
    <s v="Gabriela Ulloa"/>
    <n v="1"/>
    <n v="12437"/>
    <s v="%"/>
    <n v="12437"/>
    <n v="14800"/>
    <n v="14800"/>
    <d v="2020-01-10T00:00:00"/>
    <s v="Chada"/>
    <n v="14800"/>
    <x v="5"/>
    <n v="9067"/>
    <n v="3370"/>
    <n v="0.27"/>
    <m/>
  </r>
  <r>
    <n v="47"/>
    <s v="AS-0038"/>
    <x v="71"/>
    <x v="6"/>
    <x v="7"/>
    <s v="Boleta"/>
    <m/>
    <n v="6379"/>
    <n v="4285"/>
    <s v="C645"/>
    <s v="Hernan Valdovinos"/>
    <n v="1"/>
    <n v="4118"/>
    <s v="%"/>
    <n v="4118"/>
    <n v="4900"/>
    <n v="4900"/>
    <d v="2020-01-10T00:00:00"/>
    <s v="Chada"/>
    <n v="16300"/>
    <x v="6"/>
    <n v="2250"/>
    <n v="1868"/>
    <n v="0.45"/>
    <m/>
  </r>
  <r>
    <n v="47"/>
    <s v="AS-0035"/>
    <x v="33"/>
    <x v="6"/>
    <x v="7"/>
    <s v="Boleta"/>
    <m/>
    <n v="6379"/>
    <n v="4285"/>
    <s v="C645"/>
    <s v="Hernan Valdovinos"/>
    <n v="3"/>
    <n v="3193"/>
    <s v="%"/>
    <n v="3193"/>
    <n v="3800"/>
    <n v="11400"/>
    <d v="2020-01-10T00:00:00"/>
    <s v="Chada"/>
    <n v="16300"/>
    <x v="6"/>
    <n v="2195"/>
    <n v="998"/>
    <n v="0.31"/>
    <m/>
  </r>
  <r>
    <n v="48"/>
    <s v="MA-174"/>
    <x v="72"/>
    <x v="6"/>
    <x v="7"/>
    <s v="Boleta"/>
    <m/>
    <s v="sn"/>
    <n v="4286"/>
    <s v="C646"/>
    <s v="Patricio Capata"/>
    <n v="6"/>
    <n v="7143"/>
    <n v="0.28999999999999998"/>
    <n v="5520"/>
    <n v="6000"/>
    <n v="36000"/>
    <d v="2020-01-10T00:00:00"/>
    <s v="Pirque"/>
    <n v="36000"/>
    <x v="24"/>
    <n v="4622"/>
    <n v="898"/>
    <n v="0.16"/>
    <m/>
  </r>
  <r>
    <n v="50"/>
    <s v="AS-0035"/>
    <x v="33"/>
    <x v="6"/>
    <x v="8"/>
    <s v="Boleta"/>
    <m/>
    <n v="6382"/>
    <n v="4288"/>
    <s v="C288"/>
    <s v="Jorge Ramirez"/>
    <n v="10"/>
    <n v="3193"/>
    <s v="%"/>
    <n v="3193"/>
    <n v="3800"/>
    <n v="38000"/>
    <d v="2020-01-13T00:00:00"/>
    <s v="Pirque"/>
    <n v="66400"/>
    <x v="6"/>
    <n v="2195"/>
    <n v="998"/>
    <n v="0.31"/>
    <m/>
  </r>
  <r>
    <n v="50"/>
    <s v="AS-0036"/>
    <x v="6"/>
    <x v="6"/>
    <x v="8"/>
    <s v="Boleta"/>
    <m/>
    <n v="6382"/>
    <n v="4288"/>
    <s v="C288"/>
    <s v="Jorge Ramirez"/>
    <n v="5"/>
    <n v="3193"/>
    <s v="%"/>
    <n v="3193"/>
    <n v="3800"/>
    <n v="19000"/>
    <d v="2020-01-13T00:00:00"/>
    <s v="Pirque"/>
    <n v="66400"/>
    <x v="6"/>
    <n v="2085"/>
    <n v="1108"/>
    <n v="0.35"/>
    <m/>
  </r>
  <r>
    <n v="50"/>
    <s v="AS-0037"/>
    <x v="73"/>
    <x v="6"/>
    <x v="8"/>
    <s v="Boleta"/>
    <m/>
    <n v="6382"/>
    <n v="4288"/>
    <s v="C288"/>
    <s v="Jorge Ramirez"/>
    <n v="3"/>
    <n v="1261"/>
    <s v="%"/>
    <n v="1261"/>
    <n v="1500"/>
    <n v="4500"/>
    <d v="2020-01-13T00:00:00"/>
    <s v="Pirque"/>
    <n v="66400"/>
    <x v="6"/>
    <n v="545"/>
    <n v="716"/>
    <n v="0.56999999999999995"/>
    <m/>
  </r>
  <r>
    <n v="50"/>
    <s v="AS-0038"/>
    <x v="71"/>
    <x v="6"/>
    <x v="8"/>
    <s v="Boleta"/>
    <m/>
    <n v="6382"/>
    <n v="4288"/>
    <s v="C288"/>
    <s v="Jorge Ramirez"/>
    <n v="1"/>
    <n v="4118"/>
    <s v="%"/>
    <n v="4118"/>
    <n v="4900"/>
    <n v="4900"/>
    <d v="2020-01-13T00:00:00"/>
    <s v="Pirque"/>
    <n v="66400"/>
    <x v="6"/>
    <n v="2250"/>
    <n v="1868"/>
    <n v="0.45"/>
    <m/>
  </r>
  <r>
    <n v="49"/>
    <s v="MA-0027"/>
    <x v="9"/>
    <x v="8"/>
    <x v="8"/>
    <s v="Boleta"/>
    <m/>
    <n v="6381"/>
    <n v="4287"/>
    <s v="C079"/>
    <s v="Kim Cornely"/>
    <n v="1"/>
    <n v="13866"/>
    <s v="%"/>
    <n v="13866"/>
    <n v="16500"/>
    <n v="16500"/>
    <d v="2020-01-10T00:00:00"/>
    <s v="Pirque"/>
    <n v="16500"/>
    <x v="7"/>
    <n v="9870"/>
    <n v="3996"/>
    <n v="0.28999999999999998"/>
    <m/>
  </r>
  <r>
    <n v="51"/>
    <s v="MA-203"/>
    <x v="34"/>
    <x v="19"/>
    <x v="8"/>
    <s v="Boleta"/>
    <m/>
    <n v="6383"/>
    <n v="4289"/>
    <s v="C041"/>
    <s v="Yanet Arriagada"/>
    <n v="1"/>
    <n v="9160"/>
    <s v="%"/>
    <n v="9160"/>
    <n v="10900"/>
    <n v="10900"/>
    <d v="2020-01-13T00:00:00"/>
    <s v="Pirque"/>
    <n v="24600"/>
    <x v="7"/>
    <n v="7188"/>
    <n v="1972"/>
    <n v="0.22"/>
    <m/>
  </r>
  <r>
    <n v="51"/>
    <s v="MA-223"/>
    <x v="74"/>
    <x v="36"/>
    <x v="8"/>
    <s v="Boleta"/>
    <m/>
    <n v="6383"/>
    <n v="4289"/>
    <s v="C041"/>
    <s v="Yanet Arriagada"/>
    <n v="1"/>
    <n v="6723"/>
    <s v="%"/>
    <n v="6723"/>
    <n v="8000"/>
    <n v="8000"/>
    <d v="2020-01-13T00:00:00"/>
    <s v="Pirque"/>
    <n v="24600"/>
    <x v="24"/>
    <n v="5042"/>
    <n v="1681"/>
    <n v="0.25"/>
    <m/>
  </r>
  <r>
    <n v="51"/>
    <s v="DE-554"/>
    <x v="75"/>
    <x v="1"/>
    <x v="8"/>
    <s v="Boleta"/>
    <m/>
    <n v="6383"/>
    <n v="4289"/>
    <s v="C041"/>
    <s v="Yanet Arriagada"/>
    <n v="6"/>
    <n v="378"/>
    <s v="%"/>
    <n v="378"/>
    <n v="450"/>
    <n v="2700"/>
    <d v="2020-01-13T00:00:00"/>
    <s v="Pirque"/>
    <n v="24600"/>
    <x v="1"/>
    <s v="$"/>
    <n v="378"/>
    <n v="1"/>
    <m/>
  </r>
  <r>
    <n v="51"/>
    <s v="DE-555"/>
    <x v="76"/>
    <x v="1"/>
    <x v="8"/>
    <s v="Boleta"/>
    <m/>
    <n v="6383"/>
    <n v="4289"/>
    <s v="C041"/>
    <s v="Yanet Arriagada"/>
    <n v="10"/>
    <n v="252"/>
    <s v="%"/>
    <n v="252"/>
    <n v="300"/>
    <n v="3000"/>
    <d v="2020-01-13T00:00:00"/>
    <s v="Pirque"/>
    <n v="24600"/>
    <x v="1"/>
    <n v="176"/>
    <n v="76"/>
    <n v="0.3"/>
    <m/>
  </r>
  <r>
    <n v="54"/>
    <s v="MA-0035"/>
    <x v="37"/>
    <x v="16"/>
    <x v="9"/>
    <s v="Boleta"/>
    <m/>
    <n v="6386"/>
    <n v="4292"/>
    <s v="C396"/>
    <s v="Alejandro Ossandon"/>
    <n v="2"/>
    <n v="16555"/>
    <s v="%"/>
    <n v="16555"/>
    <n v="19700"/>
    <n v="39400"/>
    <d v="2020-01-13T00:00:00"/>
    <s v="Pirque"/>
    <n v="59300"/>
    <x v="7"/>
    <n v="11808"/>
    <n v="4747"/>
    <n v="0.28999999999999998"/>
    <m/>
  </r>
  <r>
    <n v="54"/>
    <s v="MA-0040"/>
    <x v="28"/>
    <x v="16"/>
    <x v="9"/>
    <s v="Boleta"/>
    <m/>
    <n v="6386"/>
    <n v="4292"/>
    <s v="C396"/>
    <s v="Alejandro Ossandon"/>
    <n v="1"/>
    <n v="16723"/>
    <s v="%"/>
    <n v="16723"/>
    <n v="19900"/>
    <n v="19900"/>
    <d v="2020-01-13T00:00:00"/>
    <s v="Pirque"/>
    <n v="59300"/>
    <x v="7"/>
    <n v="11888"/>
    <n v="4835"/>
    <n v="0.28999999999999998"/>
    <m/>
  </r>
  <r>
    <n v="59"/>
    <s v="GR-0054"/>
    <x v="30"/>
    <x v="18"/>
    <x v="9"/>
    <s v="Boleta"/>
    <m/>
    <n v="6391"/>
    <n v="4297"/>
    <s v="C158"/>
    <s v="Jose Miguel Osorio"/>
    <n v="1"/>
    <n v="19328"/>
    <s v="%"/>
    <n v="19328"/>
    <n v="23000"/>
    <n v="23000"/>
    <d v="2020-01-13T00:00:00"/>
    <s v="Pirque"/>
    <n v="45100"/>
    <x v="5"/>
    <n v="14604"/>
    <n v="4724"/>
    <n v="0.24"/>
    <m/>
  </r>
  <r>
    <n v="59"/>
    <s v="MA-118"/>
    <x v="32"/>
    <x v="18"/>
    <x v="9"/>
    <s v="Boleta"/>
    <m/>
    <n v="6391"/>
    <n v="4297"/>
    <s v="C158"/>
    <s v="Jose Miguel Osorio"/>
    <n v="1"/>
    <n v="10504"/>
    <s v="%"/>
    <n v="10504"/>
    <n v="12500"/>
    <n v="12500"/>
    <d v="2020-01-13T00:00:00"/>
    <s v="Pirque"/>
    <n v="45100"/>
    <x v="5"/>
    <n v="7956"/>
    <n v="2548"/>
    <n v="0.24"/>
    <m/>
  </r>
  <r>
    <n v="59"/>
    <s v="DE-1169"/>
    <x v="62"/>
    <x v="31"/>
    <x v="9"/>
    <s v="Boleta"/>
    <m/>
    <n v="6391"/>
    <n v="4297"/>
    <s v="C158"/>
    <s v="Jose Miguel Osorio"/>
    <n v="12"/>
    <n v="672"/>
    <s v="%"/>
    <n v="672"/>
    <n v="800"/>
    <n v="9600"/>
    <d v="2020-01-13T00:00:00"/>
    <s v="Pirque"/>
    <n v="45100"/>
    <x v="9"/>
    <n v="535"/>
    <n v="137"/>
    <n v="0.2"/>
    <m/>
  </r>
  <r>
    <n v="53"/>
    <s v="MA-0053"/>
    <x v="8"/>
    <x v="7"/>
    <x v="9"/>
    <s v="Boleta"/>
    <m/>
    <n v="6385"/>
    <n v="4291"/>
    <s v="C243"/>
    <s v="Loreto Rojas"/>
    <n v="1"/>
    <n v="12437"/>
    <s v="%"/>
    <n v="12437"/>
    <n v="14800"/>
    <n v="14800"/>
    <d v="2020-01-13T00:00:00"/>
    <s v="Pirque"/>
    <n v="14800"/>
    <x v="5"/>
    <n v="9067"/>
    <n v="3370"/>
    <n v="0.27"/>
    <m/>
  </r>
  <r>
    <n v="52"/>
    <s v="AS-0039"/>
    <x v="39"/>
    <x v="6"/>
    <x v="9"/>
    <s v="Boleta"/>
    <m/>
    <n v="6384"/>
    <n v="4290"/>
    <s v="C582"/>
    <s v="Luis Narvaes"/>
    <n v="4"/>
    <n v="2941"/>
    <s v="%"/>
    <n v="2941"/>
    <n v="3500"/>
    <n v="14000"/>
    <d v="2020-01-13T00:00:00"/>
    <s v="Pirque"/>
    <n v="34100"/>
    <x v="6"/>
    <n v="2119"/>
    <n v="822"/>
    <n v="0.28000000000000003"/>
    <m/>
  </r>
  <r>
    <n v="52"/>
    <s v="AS-0036"/>
    <x v="6"/>
    <x v="6"/>
    <x v="9"/>
    <s v="Boleta"/>
    <m/>
    <n v="6384"/>
    <n v="4290"/>
    <s v="C582"/>
    <s v="Luis Narvaes"/>
    <n v="4"/>
    <n v="3193"/>
    <s v="%"/>
    <n v="3193"/>
    <n v="3800"/>
    <n v="15200"/>
    <d v="2020-01-13T00:00:00"/>
    <s v="Pirque"/>
    <n v="34100"/>
    <x v="6"/>
    <n v="2085"/>
    <n v="1108"/>
    <n v="0.35"/>
    <m/>
  </r>
  <r>
    <n v="52"/>
    <s v="AS-0038"/>
    <x v="71"/>
    <x v="6"/>
    <x v="9"/>
    <s v="Boleta"/>
    <m/>
    <n v="6384"/>
    <n v="4290"/>
    <s v="C582"/>
    <s v="Luis Narvaes"/>
    <n v="1"/>
    <n v="4118"/>
    <s v="%"/>
    <n v="4118"/>
    <n v="4900"/>
    <n v="4900"/>
    <d v="2020-01-13T00:00:00"/>
    <s v="Pirque"/>
    <n v="34100"/>
    <x v="6"/>
    <n v="2250"/>
    <n v="1868"/>
    <n v="0.45"/>
    <m/>
  </r>
  <r>
    <n v="58"/>
    <s v="MA-0046"/>
    <x v="46"/>
    <x v="17"/>
    <x v="9"/>
    <s v="Boleta"/>
    <m/>
    <n v="6390"/>
    <n v="4296"/>
    <s v="C557"/>
    <s v="Manne Vergara"/>
    <n v="1"/>
    <n v="8571"/>
    <s v="%"/>
    <n v="8571"/>
    <n v="10200"/>
    <n v="10200"/>
    <d v="2020-01-13T00:00:00"/>
    <s v="Pirque"/>
    <n v="10200"/>
    <x v="7"/>
    <n v="5992"/>
    <n v="2579"/>
    <n v="0.3"/>
    <m/>
  </r>
  <r>
    <n v="55"/>
    <s v="DE-569"/>
    <x v="10"/>
    <x v="9"/>
    <x v="9"/>
    <s v="Boleta"/>
    <m/>
    <n v="6387"/>
    <n v="4293"/>
    <s v="C647"/>
    <s v="Patricia Salas"/>
    <n v="1"/>
    <n v="20588"/>
    <s v="%"/>
    <n v="20588"/>
    <n v="24500"/>
    <n v="24500"/>
    <d v="2020-01-14T00:00:00"/>
    <s v="Pirque"/>
    <n v="35900"/>
    <x v="8"/>
    <n v="16386"/>
    <n v="4202"/>
    <n v="0.2"/>
    <m/>
  </r>
  <r>
    <n v="55"/>
    <s v="AS-0035"/>
    <x v="33"/>
    <x v="6"/>
    <x v="9"/>
    <s v="Boleta"/>
    <m/>
    <n v="6387"/>
    <n v="4293"/>
    <s v="C647"/>
    <s v="Patricia Salas"/>
    <n v="3"/>
    <n v="3193"/>
    <s v="%"/>
    <n v="3193"/>
    <n v="3800"/>
    <n v="11400"/>
    <d v="2020-01-14T00:00:00"/>
    <s v="Pirque"/>
    <n v="35900"/>
    <x v="6"/>
    <n v="2195"/>
    <n v="998"/>
    <n v="0.31"/>
    <m/>
  </r>
  <r>
    <n v="57"/>
    <s v="MA-0053"/>
    <x v="8"/>
    <x v="7"/>
    <x v="9"/>
    <s v="Boleta"/>
    <m/>
    <n v="6389"/>
    <n v="4295"/>
    <s v="C648"/>
    <s v="Patricio Sandoval"/>
    <n v="1"/>
    <n v="12437"/>
    <s v="%"/>
    <n v="12437"/>
    <n v="14800"/>
    <n v="14800"/>
    <d v="2020-01-13T00:00:00"/>
    <s v="Pirque"/>
    <n v="14800"/>
    <x v="5"/>
    <n v="9975"/>
    <n v="2462"/>
    <n v="0.2"/>
    <m/>
  </r>
  <r>
    <n v="70"/>
    <s v="MA-0027"/>
    <x v="9"/>
    <x v="8"/>
    <x v="10"/>
    <s v="Boleta"/>
    <m/>
    <n v="6397"/>
    <n v="4308"/>
    <s v="C572"/>
    <s v="Aldo Tapia"/>
    <n v="1"/>
    <n v="13866"/>
    <s v="%"/>
    <n v="13866"/>
    <n v="16500"/>
    <n v="16500"/>
    <d v="2020-01-15T00:00:00"/>
    <s v="Cajon"/>
    <n v="16500"/>
    <x v="7"/>
    <n v="10390"/>
    <n v="3476"/>
    <n v="0.25"/>
    <m/>
  </r>
  <r>
    <n v="69"/>
    <s v="MA-166"/>
    <x v="5"/>
    <x v="5"/>
    <x v="10"/>
    <s v="Boleta"/>
    <m/>
    <n v="6396"/>
    <n v="4307"/>
    <s v="C584"/>
    <s v="Alejandra Hamame"/>
    <n v="1"/>
    <n v="19076"/>
    <s v="%"/>
    <n v="19076"/>
    <n v="22700"/>
    <n v="22700"/>
    <d v="2020-01-15T00:00:00"/>
    <s v="Pirque"/>
    <n v="35200"/>
    <x v="5"/>
    <n v="14122"/>
    <n v="4954"/>
    <n v="0.26"/>
    <m/>
  </r>
  <r>
    <n v="69"/>
    <s v="MA-118"/>
    <x v="32"/>
    <x v="18"/>
    <x v="10"/>
    <s v="Boleta"/>
    <m/>
    <n v="6396"/>
    <n v="4307"/>
    <s v="C584"/>
    <s v="Alejandra Hamame"/>
    <n v="1"/>
    <n v="10504"/>
    <s v="%"/>
    <n v="10504"/>
    <n v="12500"/>
    <n v="12500"/>
    <d v="2020-01-15T00:00:00"/>
    <s v="Pirque"/>
    <n v="35200"/>
    <x v="5"/>
    <n v="7956"/>
    <n v="2548"/>
    <n v="0.24"/>
    <m/>
  </r>
  <r>
    <n v="67"/>
    <s v="MA-0035"/>
    <x v="37"/>
    <x v="16"/>
    <x v="10"/>
    <s v="Boleta"/>
    <m/>
    <n v="6393"/>
    <n v="4305"/>
    <s v="C043"/>
    <s v="Consuelo Andrea Sanchez Bisbal"/>
    <n v="1"/>
    <n v="16555"/>
    <s v="%"/>
    <n v="16555"/>
    <n v="19700"/>
    <n v="19700"/>
    <d v="2020-01-15T00:00:00"/>
    <s v="Cajon"/>
    <n v="19700"/>
    <x v="7"/>
    <n v="11808"/>
    <n v="4747"/>
    <n v="0.28999999999999998"/>
    <m/>
  </r>
  <r>
    <n v="68"/>
    <s v="AS-0034"/>
    <x v="26"/>
    <x v="13"/>
    <x v="10"/>
    <s v="Boleta"/>
    <m/>
    <n v="6394"/>
    <n v="4306"/>
    <s v="C108"/>
    <s v="Denisse Marti"/>
    <n v="2"/>
    <n v="4874"/>
    <s v="%"/>
    <n v="4874"/>
    <n v="5800"/>
    <n v="11600"/>
    <d v="2020-01-15T00:00:00"/>
    <s v="Pirque"/>
    <n v="30600"/>
    <x v="6"/>
    <n v="2400"/>
    <n v="2474"/>
    <n v="0.51"/>
    <m/>
  </r>
  <r>
    <n v="68"/>
    <s v="AS-0036"/>
    <x v="6"/>
    <x v="6"/>
    <x v="10"/>
    <s v="Boleta"/>
    <m/>
    <n v="6394"/>
    <n v="4306"/>
    <s v="C108"/>
    <s v="Denisse Marti"/>
    <n v="3"/>
    <n v="3193"/>
    <s v="%"/>
    <n v="3193"/>
    <n v="3800"/>
    <n v="11400"/>
    <d v="2020-01-15T00:00:00"/>
    <s v="Pirque"/>
    <n v="30600"/>
    <x v="6"/>
    <n v="2085"/>
    <n v="1108"/>
    <n v="0.35"/>
    <m/>
  </r>
  <r>
    <n v="68"/>
    <s v="AS-0035"/>
    <x v="33"/>
    <x v="6"/>
    <x v="10"/>
    <s v="Boleta"/>
    <m/>
    <n v="6394"/>
    <n v="4306"/>
    <s v="C108"/>
    <s v="Denisse Marti"/>
    <n v="2"/>
    <n v="3193"/>
    <s v="%"/>
    <n v="3193"/>
    <n v="3800"/>
    <n v="7600"/>
    <d v="2020-01-15T00:00:00"/>
    <s v="Pirque"/>
    <n v="30600"/>
    <x v="6"/>
    <n v="2195"/>
    <n v="998"/>
    <n v="0.31"/>
    <m/>
  </r>
  <r>
    <n v="65"/>
    <s v="DE-0109"/>
    <x v="77"/>
    <x v="29"/>
    <x v="10"/>
    <s v="Factura"/>
    <m/>
    <s v="sn"/>
    <n v="4303"/>
    <s v="C003"/>
    <s v="Hector Felipe Ramos Osorio"/>
    <n v="24"/>
    <n v="717"/>
    <n v="0.05"/>
    <n v="683"/>
    <n v="811"/>
    <n v="19464"/>
    <d v="2020-01-15T00:00:00"/>
    <s v="Cajon"/>
    <n v="239186"/>
    <x v="20"/>
    <n v="518"/>
    <n v="165"/>
    <n v="0.24"/>
    <m/>
  </r>
  <r>
    <n v="65"/>
    <s v="AS-0026"/>
    <x v="59"/>
    <x v="10"/>
    <x v="10"/>
    <s v="Factura"/>
    <m/>
    <s v="sn"/>
    <n v="4303"/>
    <s v="C003"/>
    <s v="Hector Felipe Ramos Osorio"/>
    <n v="20"/>
    <n v="3248"/>
    <n v="0.13"/>
    <n v="2865"/>
    <n v="3348"/>
    <n v="66960"/>
    <d v="2020-01-15T00:00:00"/>
    <s v="Cajon"/>
    <n v="239186"/>
    <x v="9"/>
    <n v="2345"/>
    <n v="520"/>
    <n v="0.18"/>
    <m/>
  </r>
  <r>
    <n v="65"/>
    <s v="MA-0102"/>
    <x v="50"/>
    <x v="4"/>
    <x v="10"/>
    <s v="Factura"/>
    <m/>
    <s v="sn"/>
    <n v="4303"/>
    <s v="C003"/>
    <s v="Hector Felipe Ramos Osorio"/>
    <n v="18"/>
    <n v="880"/>
    <n v="0.1"/>
    <n v="802"/>
    <n v="945"/>
    <n v="17010"/>
    <d v="2020-01-15T00:00:00"/>
    <s v="Cajon"/>
    <n v="239186"/>
    <x v="4"/>
    <n v="635"/>
    <n v="167"/>
    <n v="0.21"/>
    <m/>
  </r>
  <r>
    <n v="65"/>
    <s v="MA-0039"/>
    <x v="78"/>
    <x v="16"/>
    <x v="10"/>
    <s v="Factura"/>
    <m/>
    <s v="sn"/>
    <n v="4303"/>
    <s v="C003"/>
    <s v="Hector Felipe Ramos Osorio"/>
    <n v="8"/>
    <n v="1914"/>
    <n v="0.1"/>
    <n v="1744"/>
    <n v="2056"/>
    <n v="16448"/>
    <d v="2020-01-15T00:00:00"/>
    <s v="Cajon"/>
    <n v="239186"/>
    <x v="7"/>
    <n v="1382"/>
    <n v="362"/>
    <n v="0.21"/>
    <m/>
  </r>
  <r>
    <n v="65"/>
    <s v="MA-114"/>
    <x v="79"/>
    <x v="17"/>
    <x v="10"/>
    <s v="Factura"/>
    <m/>
    <s v="sn"/>
    <n v="4303"/>
    <s v="C003"/>
    <s v="Hector Felipe Ramos Osorio"/>
    <n v="20"/>
    <n v="1078"/>
    <n v="0.1"/>
    <n v="982"/>
    <n v="1157"/>
    <n v="23140"/>
    <d v="2020-01-15T00:00:00"/>
    <s v="Cajon"/>
    <n v="239186"/>
    <x v="7"/>
    <s v="$"/>
    <n v="982"/>
    <n v="1"/>
    <m/>
  </r>
  <r>
    <n v="65"/>
    <s v="MA-0098"/>
    <x v="80"/>
    <x v="4"/>
    <x v="10"/>
    <s v="Factura"/>
    <m/>
    <s v="sn"/>
    <n v="4303"/>
    <s v="C003"/>
    <s v="Hector Felipe Ramos Osorio"/>
    <n v="12"/>
    <n v="2285"/>
    <n v="0.1"/>
    <n v="2082"/>
    <n v="2454"/>
    <n v="29448"/>
    <d v="2020-01-15T00:00:00"/>
    <s v="Cajon"/>
    <n v="239186"/>
    <x v="4"/>
    <n v="1650"/>
    <n v="432"/>
    <n v="0.21"/>
    <m/>
  </r>
  <r>
    <n v="65"/>
    <s v="MA-0107"/>
    <x v="63"/>
    <x v="4"/>
    <x v="10"/>
    <s v="Factura"/>
    <m/>
    <s v="sn"/>
    <n v="4303"/>
    <s v="C003"/>
    <s v="Hector Felipe Ramos Osorio"/>
    <n v="12"/>
    <n v="1787"/>
    <n v="0.1"/>
    <n v="1628"/>
    <n v="1919"/>
    <n v="23028"/>
    <d v="2020-01-15T00:00:00"/>
    <s v="Cajon"/>
    <n v="239186"/>
    <x v="4"/>
    <n v="1290"/>
    <n v="338"/>
    <n v="0.21"/>
    <m/>
  </r>
  <r>
    <n v="65"/>
    <s v="MA-0108"/>
    <x v="81"/>
    <x v="4"/>
    <x v="10"/>
    <s v="Factura"/>
    <m/>
    <s v="sn"/>
    <n v="4303"/>
    <s v="C003"/>
    <s v="Hector Felipe Ramos Osorio"/>
    <n v="6"/>
    <n v="3428"/>
    <n v="0.1"/>
    <n v="3123"/>
    <n v="3682"/>
    <n v="22092"/>
    <d v="2020-01-15T00:00:00"/>
    <s v="Cajon"/>
    <n v="239186"/>
    <x v="4"/>
    <n v="2475"/>
    <n v="648"/>
    <n v="0.21"/>
    <m/>
  </r>
  <r>
    <n v="65"/>
    <s v="MA-0103"/>
    <x v="51"/>
    <x v="4"/>
    <x v="10"/>
    <s v="Factura"/>
    <m/>
    <s v="sn"/>
    <n v="4303"/>
    <s v="C003"/>
    <s v="Hector Felipe Ramos Osorio"/>
    <n v="12"/>
    <n v="1676"/>
    <n v="0.1"/>
    <n v="1527"/>
    <n v="1800"/>
    <n v="21600"/>
    <d v="2020-01-15T00:00:00"/>
    <s v="Cajon"/>
    <n v="239186"/>
    <x v="4"/>
    <n v="1210"/>
    <n v="317"/>
    <n v="0.21"/>
    <m/>
  </r>
  <r>
    <n v="71"/>
    <s v="MA-115"/>
    <x v="82"/>
    <x v="16"/>
    <x v="10"/>
    <s v="Factura"/>
    <m/>
    <s v="sn"/>
    <n v="4309"/>
    <s v="C003"/>
    <s v="Hector Felipe Ramos Osorio"/>
    <n v="14"/>
    <n v="1393"/>
    <n v="0.1"/>
    <n v="1269"/>
    <n v="1496"/>
    <n v="20944"/>
    <d v="2020-01-15T00:00:00"/>
    <s v="Cajon"/>
    <n v="20950"/>
    <x v="7"/>
    <n v="1006"/>
    <n v="263"/>
    <n v="0.21"/>
    <m/>
  </r>
  <r>
    <n v="66"/>
    <s v="MA-193"/>
    <x v="38"/>
    <x v="20"/>
    <x v="10"/>
    <s v="Boleta"/>
    <m/>
    <n v="6392"/>
    <n v="4304"/>
    <s v="C534"/>
    <s v="Helga Nagilschmitz"/>
    <n v="2"/>
    <n v="29832"/>
    <s v="%"/>
    <n v="29832"/>
    <n v="35500"/>
    <n v="71000"/>
    <d v="2020-01-14T00:00:00"/>
    <s v="Pirque"/>
    <n v="71000"/>
    <x v="11"/>
    <n v="23940"/>
    <n v="5892"/>
    <n v="0.2"/>
    <m/>
  </r>
  <r>
    <n v="72"/>
    <s v="AS-0031"/>
    <x v="16"/>
    <x v="13"/>
    <x v="10"/>
    <s v="Boleta"/>
    <m/>
    <n v="6398"/>
    <n v="4310"/>
    <s v="C294"/>
    <s v="Jadra Aguad"/>
    <n v="8"/>
    <n v="3193"/>
    <s v="%"/>
    <n v="3193"/>
    <n v="3800"/>
    <n v="30400"/>
    <d v="2020-01-15T00:00:00"/>
    <s v="Pirque"/>
    <n v="58700"/>
    <x v="6"/>
    <n v="2200"/>
    <n v="993"/>
    <n v="0.31"/>
    <m/>
  </r>
  <r>
    <n v="72"/>
    <s v="AS-0039"/>
    <x v="39"/>
    <x v="6"/>
    <x v="10"/>
    <s v="Boleta"/>
    <m/>
    <n v="6398"/>
    <n v="4310"/>
    <s v="C294"/>
    <s v="Jadra Aguad"/>
    <n v="7"/>
    <n v="2941"/>
    <s v="%"/>
    <n v="2941"/>
    <n v="3500"/>
    <n v="24500"/>
    <d v="2020-01-15T00:00:00"/>
    <s v="Pirque"/>
    <n v="58700"/>
    <x v="6"/>
    <n v="2119"/>
    <n v="822"/>
    <n v="0.28000000000000003"/>
    <m/>
  </r>
  <r>
    <n v="72"/>
    <s v="AS-29"/>
    <x v="14"/>
    <x v="13"/>
    <x v="10"/>
    <s v="Boleta"/>
    <m/>
    <n v="6398"/>
    <n v="4310"/>
    <s v="C294"/>
    <s v="Jadra Aguad"/>
    <n v="1"/>
    <n v="3193"/>
    <s v="%"/>
    <n v="3193"/>
    <n v="3800"/>
    <n v="3800"/>
    <d v="2020-01-15T00:00:00"/>
    <s v="Pirque"/>
    <n v="58700"/>
    <x v="6"/>
    <n v="2100"/>
    <n v="1093"/>
    <n v="0.34"/>
    <m/>
  </r>
  <r>
    <n v="73"/>
    <s v="MA-0042"/>
    <x v="29"/>
    <x v="17"/>
    <x v="10"/>
    <s v="Boleta"/>
    <m/>
    <n v="6399"/>
    <n v="4311"/>
    <s v="C263"/>
    <s v="Jeanny Reyes"/>
    <n v="1"/>
    <n v="19748"/>
    <s v="%"/>
    <n v="19748"/>
    <n v="23500"/>
    <n v="23500"/>
    <d v="2020-01-15T00:00:00"/>
    <s v="Pirque"/>
    <n v="23500"/>
    <x v="7"/>
    <n v="14853"/>
    <n v="4895"/>
    <n v="0.25"/>
    <m/>
  </r>
  <r>
    <n v="60"/>
    <s v="DE-1210"/>
    <x v="83"/>
    <x v="37"/>
    <x v="10"/>
    <s v="Factura"/>
    <m/>
    <s v="sn"/>
    <n v="4298"/>
    <s v="C005"/>
    <s v="Julia Ines Rebolledo Retamal"/>
    <n v="12"/>
    <n v="3499"/>
    <n v="0.1"/>
    <n v="3188"/>
    <n v="3758"/>
    <n v="45096"/>
    <d v="2020-01-15T00:00:00"/>
    <s v="Cajon"/>
    <n v="123736"/>
    <x v="25"/>
    <n v="2400"/>
    <n v="788"/>
    <n v="0.25"/>
    <m/>
  </r>
  <r>
    <n v="60"/>
    <s v="DE-1098"/>
    <x v="84"/>
    <x v="38"/>
    <x v="10"/>
    <s v="Factura"/>
    <m/>
    <s v="sn"/>
    <n v="4298"/>
    <s v="C005"/>
    <s v="Julia Ines Rebolledo Retamal"/>
    <n v="80"/>
    <n v="191"/>
    <n v="0.2"/>
    <n v="159"/>
    <n v="182"/>
    <n v="14560"/>
    <d v="2020-01-15T00:00:00"/>
    <s v="Cajon"/>
    <n v="123736"/>
    <x v="26"/>
    <n v="138"/>
    <n v="21"/>
    <n v="0.13"/>
    <m/>
  </r>
  <r>
    <n v="60"/>
    <s v="DE-0231"/>
    <x v="85"/>
    <x v="29"/>
    <x v="10"/>
    <s v="Factura"/>
    <m/>
    <s v="sn"/>
    <n v="4298"/>
    <s v="C005"/>
    <s v="Julia Ines Rebolledo Retamal"/>
    <n v="24"/>
    <n v="273"/>
    <n v="0.05"/>
    <n v="260"/>
    <n v="308"/>
    <n v="7392"/>
    <d v="2020-01-15T00:00:00"/>
    <s v="Cajon"/>
    <n v="123736"/>
    <x v="20"/>
    <n v="197"/>
    <n v="63"/>
    <n v="0.24"/>
    <m/>
  </r>
  <r>
    <n v="60"/>
    <s v="DE-0232"/>
    <x v="86"/>
    <x v="29"/>
    <x v="10"/>
    <s v="Factura"/>
    <m/>
    <s v="sn"/>
    <n v="4298"/>
    <s v="C005"/>
    <s v="Julia Ines Rebolledo Retamal"/>
    <n v="24"/>
    <n v="273"/>
    <n v="0.05"/>
    <n v="260"/>
    <n v="308"/>
    <n v="7392"/>
    <d v="2020-01-15T00:00:00"/>
    <s v="Cajon"/>
    <n v="123736"/>
    <x v="20"/>
    <n v="197"/>
    <n v="63"/>
    <n v="0.24"/>
    <m/>
  </r>
  <r>
    <n v="60"/>
    <s v="DE-0233"/>
    <x v="87"/>
    <x v="29"/>
    <x v="10"/>
    <s v="Factura"/>
    <m/>
    <s v="sn"/>
    <n v="4298"/>
    <s v="C005"/>
    <s v="Julia Ines Rebolledo Retamal"/>
    <n v="24"/>
    <n v="314"/>
    <n v="0.05"/>
    <n v="299"/>
    <n v="355"/>
    <n v="8520"/>
    <d v="2020-01-15T00:00:00"/>
    <s v="Cajon"/>
    <n v="123736"/>
    <x v="20"/>
    <s v="$"/>
    <n v="299"/>
    <n v="1"/>
    <m/>
  </r>
  <r>
    <n v="60"/>
    <s v="DE-0248"/>
    <x v="88"/>
    <x v="29"/>
    <x v="10"/>
    <s v="Factura"/>
    <m/>
    <s v="sn"/>
    <n v="4298"/>
    <s v="C005"/>
    <s v="Julia Ines Rebolledo Retamal"/>
    <n v="20"/>
    <n v="360"/>
    <n v="0.05"/>
    <n v="343"/>
    <n v="407"/>
    <n v="8140"/>
    <d v="2020-01-15T00:00:00"/>
    <s v="Cajon"/>
    <n v="123736"/>
    <x v="20"/>
    <n v="260"/>
    <n v="83"/>
    <n v="0.24"/>
    <m/>
  </r>
  <r>
    <n v="60"/>
    <s v="DE-1058"/>
    <x v="89"/>
    <x v="39"/>
    <x v="10"/>
    <s v="Factura"/>
    <m/>
    <s v="sn"/>
    <n v="4298"/>
    <s v="C005"/>
    <s v="Julia Ines Rebolledo Retamal"/>
    <n v="20"/>
    <n v="1518"/>
    <n v="0.1"/>
    <n v="1383"/>
    <n v="1630"/>
    <n v="32600"/>
    <d v="2020-01-15T00:00:00"/>
    <s v="Cajon"/>
    <n v="123736"/>
    <x v="19"/>
    <n v="1096"/>
    <n v="287"/>
    <n v="0.21"/>
    <m/>
  </r>
  <r>
    <n v="64"/>
    <s v="DE-1167"/>
    <x v="19"/>
    <x v="3"/>
    <x v="10"/>
    <s v="Boleta"/>
    <m/>
    <n v="6395"/>
    <n v="4302"/>
    <s v="C028"/>
    <s v="Luz María Velasquez"/>
    <n v="0"/>
    <n v="15167"/>
    <s v="%"/>
    <n v="15167"/>
    <n v="18048"/>
    <s v="$"/>
    <d v="2020-01-14T00:00:00"/>
    <s v="Pirque"/>
    <n v="7713"/>
    <x v="3"/>
    <n v="9100"/>
    <n v="6067"/>
    <n v="0.4"/>
    <m/>
  </r>
  <r>
    <n v="64"/>
    <s v="DE-1168"/>
    <x v="18"/>
    <x v="3"/>
    <x v="10"/>
    <s v="Boleta"/>
    <m/>
    <n v="6395"/>
    <n v="4302"/>
    <s v="C028"/>
    <s v="Luz María Velasquez"/>
    <n v="0"/>
    <n v="5602"/>
    <s v="%"/>
    <n v="5602"/>
    <n v="6666"/>
    <s v="$"/>
    <d v="2020-01-14T00:00:00"/>
    <s v="Pirque"/>
    <n v="7713"/>
    <x v="3"/>
    <n v="3361"/>
    <n v="2241"/>
    <n v="0.4"/>
    <m/>
  </r>
  <r>
    <n v="62"/>
    <s v="DE-1165"/>
    <x v="90"/>
    <x v="31"/>
    <x v="10"/>
    <s v="Factura"/>
    <m/>
    <s v="sn"/>
    <n v="4300"/>
    <s v="C004"/>
    <s v="Rosa Gladys Vidal Mora"/>
    <n v="12"/>
    <n v="741"/>
    <n v="0.1"/>
    <n v="675"/>
    <n v="796"/>
    <n v="9552"/>
    <d v="2020-01-15T00:00:00"/>
    <s v="Cajon"/>
    <n v="22714"/>
    <x v="9"/>
    <n v="505"/>
    <n v="170"/>
    <n v="0.25"/>
    <m/>
  </r>
  <r>
    <n v="62"/>
    <s v="AS-77"/>
    <x v="56"/>
    <x v="31"/>
    <x v="10"/>
    <s v="Factura"/>
    <m/>
    <s v="sn"/>
    <n v="4300"/>
    <s v="C004"/>
    <s v="Rosa Gladys Vidal Mora"/>
    <n v="15"/>
    <n v="817"/>
    <n v="0.1"/>
    <n v="744"/>
    <n v="878"/>
    <n v="13170"/>
    <d v="2020-01-15T00:00:00"/>
    <s v="Cajon"/>
    <n v="22714"/>
    <x v="9"/>
    <n v="590"/>
    <n v="154"/>
    <n v="0.21"/>
    <m/>
  </r>
  <r>
    <n v="63"/>
    <s v="DE-881"/>
    <x v="12"/>
    <x v="11"/>
    <x v="10"/>
    <s v="Factura"/>
    <m/>
    <s v="OC 06"/>
    <n v="4301"/>
    <s v="C020"/>
    <s v="Sabores y Vinos Bernardita Munita EIRL"/>
    <n v="6"/>
    <n v="17642"/>
    <s v="%"/>
    <n v="17642"/>
    <n v="20994"/>
    <n v="125964"/>
    <d v="2020-01-15T00:00:00"/>
    <s v="Pirque"/>
    <n v="299946"/>
    <x v="10"/>
    <n v="13408"/>
    <n v="4234"/>
    <n v="0.24"/>
    <m/>
  </r>
  <r>
    <n v="63"/>
    <s v="AS-0024"/>
    <x v="11"/>
    <x v="10"/>
    <x v="10"/>
    <s v="Factura"/>
    <m/>
    <s v="OC 06"/>
    <n v="4301"/>
    <s v="C020"/>
    <s v="Sabores y Vinos Bernardita Munita EIRL"/>
    <n v="4"/>
    <n v="6151"/>
    <s v="%"/>
    <n v="6151"/>
    <n v="7320"/>
    <n v="29280"/>
    <d v="2020-01-15T00:00:00"/>
    <s v="Pirque"/>
    <n v="299946"/>
    <x v="9"/>
    <n v="4600"/>
    <n v="1551"/>
    <n v="0.25"/>
    <m/>
  </r>
  <r>
    <n v="63"/>
    <s v="DE-569"/>
    <x v="10"/>
    <x v="9"/>
    <x v="10"/>
    <s v="Factura"/>
    <m/>
    <s v="OC 06"/>
    <n v="4301"/>
    <s v="C020"/>
    <s v="Sabores y Vinos Bernardita Munita EIRL"/>
    <n v="2"/>
    <n v="20084"/>
    <s v="%"/>
    <n v="20084"/>
    <n v="23900"/>
    <n v="47800"/>
    <d v="2020-01-15T00:00:00"/>
    <s v="Pirque"/>
    <n v="299946"/>
    <x v="8"/>
    <n v="16386"/>
    <n v="3698"/>
    <n v="0.18"/>
    <m/>
  </r>
  <r>
    <n v="63"/>
    <s v="DE-837"/>
    <x v="35"/>
    <x v="11"/>
    <x v="10"/>
    <s v="Factura"/>
    <m/>
    <s v="OC 06"/>
    <n v="4301"/>
    <s v="C020"/>
    <s v="Sabores y Vinos Bernardita Munita EIRL"/>
    <n v="10"/>
    <n v="2368"/>
    <s v="%"/>
    <n v="2368"/>
    <n v="2818"/>
    <n v="28180"/>
    <d v="2020-01-15T00:00:00"/>
    <s v="Pirque"/>
    <n v="299946"/>
    <x v="10"/>
    <n v="1787"/>
    <n v="581"/>
    <n v="0.25"/>
    <m/>
  </r>
  <r>
    <n v="63"/>
    <s v="AS-60"/>
    <x v="91"/>
    <x v="28"/>
    <x v="10"/>
    <s v="Factura"/>
    <m/>
    <s v="OC 06"/>
    <n v="4301"/>
    <s v="C020"/>
    <s v="Sabores y Vinos Bernardita Munita EIRL"/>
    <n v="1"/>
    <n v="12437"/>
    <s v="%"/>
    <n v="12437"/>
    <n v="14800"/>
    <n v="14800"/>
    <d v="2020-01-15T00:00:00"/>
    <s v="Pirque"/>
    <n v="299946"/>
    <x v="9"/>
    <n v="8800"/>
    <n v="3637"/>
    <n v="0.28999999999999998"/>
    <m/>
  </r>
  <r>
    <n v="63"/>
    <s v="DE-880"/>
    <x v="36"/>
    <x v="11"/>
    <x v="10"/>
    <s v="Factura"/>
    <m/>
    <s v="OC 06"/>
    <n v="4301"/>
    <s v="C020"/>
    <s v="Sabores y Vinos Bernardita Munita EIRL"/>
    <n v="12"/>
    <n v="3335"/>
    <s v="%"/>
    <n v="3335"/>
    <n v="3969"/>
    <n v="47628"/>
    <d v="2020-01-15T00:00:00"/>
    <s v="Pirque"/>
    <n v="299946"/>
    <x v="10"/>
    <n v="2408"/>
    <n v="927"/>
    <n v="0.28000000000000003"/>
    <m/>
  </r>
  <r>
    <n v="61"/>
    <s v="AS-0022"/>
    <x v="52"/>
    <x v="28"/>
    <x v="10"/>
    <s v="Factura"/>
    <m/>
    <n v="103696"/>
    <n v="4299"/>
    <s v="C001"/>
    <s v="Benito Campos y Cia Ltda."/>
    <n v="96"/>
    <n v="741"/>
    <n v="0.05"/>
    <n v="709"/>
    <n v="842"/>
    <n v="80832"/>
    <d v="2020-01-15T00:00:00"/>
    <s v="Cajon"/>
    <n v="130060"/>
    <x v="9"/>
    <n v="535"/>
    <n v="174"/>
    <n v="0.25"/>
    <m/>
  </r>
  <r>
    <n v="61"/>
    <s v="DE-1117"/>
    <x v="92"/>
    <x v="40"/>
    <x v="10"/>
    <s v="Factura"/>
    <m/>
    <n v="103696"/>
    <n v="4299"/>
    <s v="C001"/>
    <s v="Benito Campos y Cia Ltda."/>
    <n v="12"/>
    <n v="987"/>
    <n v="0.13"/>
    <n v="875"/>
    <n v="1024"/>
    <n v="12288"/>
    <d v="2020-01-15T00:00:00"/>
    <s v="Cajon"/>
    <n v="130060"/>
    <x v="27"/>
    <n v="682"/>
    <n v="193"/>
    <n v="0.22"/>
    <m/>
  </r>
  <r>
    <n v="61"/>
    <s v="AS-0026"/>
    <x v="59"/>
    <x v="10"/>
    <x v="10"/>
    <s v="Factura"/>
    <m/>
    <n v="103696"/>
    <n v="4299"/>
    <s v="C001"/>
    <s v="Benito Campos y Cia Ltda."/>
    <n v="10"/>
    <n v="3248"/>
    <n v="0.04"/>
    <n v="3110"/>
    <n v="3694"/>
    <n v="36940"/>
    <d v="2020-01-15T00:00:00"/>
    <s v="Cajon"/>
    <n v="130060"/>
    <x v="9"/>
    <n v="2345"/>
    <n v="765"/>
    <n v="0.25"/>
    <m/>
  </r>
  <r>
    <n v="75"/>
    <s v="AS-29"/>
    <x v="14"/>
    <x v="13"/>
    <x v="11"/>
    <s v="Factura"/>
    <m/>
    <s v="sn"/>
    <n v="4313"/>
    <s v="C113"/>
    <s v="Alvaro del Carmen Ruiz Farias y Otro (Hornito)"/>
    <n v="20"/>
    <n v="3426"/>
    <n v="0.1"/>
    <n v="3122"/>
    <n v="3679"/>
    <n v="73580"/>
    <d v="2020-01-17T00:00:00"/>
    <s v="Chada"/>
    <n v="243763"/>
    <x v="6"/>
    <n v="2100"/>
    <n v="1022"/>
    <n v="0.33"/>
    <m/>
  </r>
  <r>
    <n v="75"/>
    <s v="AS-46"/>
    <x v="40"/>
    <x v="13"/>
    <x v="11"/>
    <s v="Factura"/>
    <m/>
    <s v="sn"/>
    <n v="4313"/>
    <s v="C113"/>
    <s v="Alvaro del Carmen Ruiz Farias y Otro (Hornito)"/>
    <n v="20"/>
    <n v="3152"/>
    <s v="%"/>
    <n v="3152"/>
    <n v="3751"/>
    <n v="75020"/>
    <d v="2020-01-17T00:00:00"/>
    <s v="Chada"/>
    <n v="243763"/>
    <x v="6"/>
    <n v="2250"/>
    <n v="902"/>
    <n v="0.28999999999999998"/>
    <m/>
  </r>
  <r>
    <n v="75"/>
    <s v="AS-0039"/>
    <x v="39"/>
    <x v="6"/>
    <x v="11"/>
    <s v="Factura"/>
    <m/>
    <s v="sn"/>
    <n v="4313"/>
    <s v="C113"/>
    <s v="Alvaro del Carmen Ruiz Farias y Otro (Hornito)"/>
    <n v="20"/>
    <n v="3089"/>
    <n v="0.1"/>
    <n v="2815"/>
    <n v="3318"/>
    <n v="66360"/>
    <d v="2020-01-17T00:00:00"/>
    <s v="Chada"/>
    <n v="243763"/>
    <x v="6"/>
    <n v="2119"/>
    <n v="696"/>
    <n v="0.25"/>
    <m/>
  </r>
  <r>
    <n v="75"/>
    <s v="AS-42"/>
    <x v="7"/>
    <x v="6"/>
    <x v="11"/>
    <s v="Factura"/>
    <m/>
    <s v="sn"/>
    <n v="4313"/>
    <s v="C113"/>
    <s v="Alvaro del Carmen Ruiz Farias y Otro (Hornito)"/>
    <n v="20"/>
    <n v="1210"/>
    <s v="%"/>
    <n v="1210"/>
    <n v="1440"/>
    <n v="28800"/>
    <d v="2020-01-17T00:00:00"/>
    <s v="Chada"/>
    <n v="243763"/>
    <x v="6"/>
    <n v="850"/>
    <n v="360"/>
    <n v="0.3"/>
    <m/>
  </r>
  <r>
    <n v="88"/>
    <s v="AS-0034"/>
    <x v="26"/>
    <x v="13"/>
    <x v="11"/>
    <s v="Boleta"/>
    <m/>
    <n v="6401"/>
    <n v="4326"/>
    <s v="C032"/>
    <s v="Carlos Jobbe-Duval"/>
    <n v="2"/>
    <n v="4874"/>
    <s v="%"/>
    <n v="4874"/>
    <n v="5800"/>
    <n v="11600"/>
    <d v="2020-01-17T00:00:00"/>
    <s v="Pirque"/>
    <n v="11600"/>
    <x v="6"/>
    <n v="2400"/>
    <n v="2474"/>
    <n v="0.51"/>
    <m/>
  </r>
  <r>
    <n v="80"/>
    <s v="MA-0035"/>
    <x v="37"/>
    <x v="16"/>
    <x v="11"/>
    <s v="Boleta"/>
    <m/>
    <n v="6406"/>
    <n v="4318"/>
    <s v="C558"/>
    <s v="Carola Pardo"/>
    <n v="1"/>
    <n v="16555"/>
    <s v="%"/>
    <n v="16555"/>
    <n v="19700"/>
    <n v="19700"/>
    <d v="2020-01-16T00:00:00"/>
    <s v="Pirque"/>
    <n v="19700"/>
    <x v="7"/>
    <n v="12429"/>
    <n v="4126"/>
    <n v="0.25"/>
    <m/>
  </r>
  <r>
    <n v="79"/>
    <s v="MA-0035"/>
    <x v="37"/>
    <x v="16"/>
    <x v="11"/>
    <s v="Boleta"/>
    <m/>
    <n v="6411"/>
    <n v="4317"/>
    <s v="C033"/>
    <s v="Catalina Daniela Peña Royo"/>
    <n v="1"/>
    <n v="16555"/>
    <s v="%"/>
    <n v="16555"/>
    <n v="19700"/>
    <n v="19700"/>
    <d v="2020-01-17T00:00:00"/>
    <s v="Chada"/>
    <n v="44900"/>
    <x v="7"/>
    <n v="12429"/>
    <n v="4126"/>
    <n v="0.25"/>
    <m/>
  </r>
  <r>
    <n v="79"/>
    <s v="MA-0110"/>
    <x v="93"/>
    <x v="4"/>
    <x v="11"/>
    <s v="Boleta"/>
    <m/>
    <n v="6411"/>
    <n v="4317"/>
    <s v="C033"/>
    <s v="Catalina Daniela Peña Royo"/>
    <n v="1"/>
    <n v="11933"/>
    <s v="%"/>
    <n v="11933"/>
    <n v="14200"/>
    <n v="14200"/>
    <d v="2020-01-17T00:00:00"/>
    <s v="Chada"/>
    <n v="44900"/>
    <x v="4"/>
    <n v="9850"/>
    <n v="2083"/>
    <n v="0.17"/>
    <m/>
  </r>
  <r>
    <n v="79"/>
    <s v="MA-172"/>
    <x v="94"/>
    <x v="41"/>
    <x v="11"/>
    <s v="Boleta"/>
    <m/>
    <n v="6411"/>
    <n v="4317"/>
    <s v="C033"/>
    <s v="Catalina Daniela Peña Royo"/>
    <n v="2"/>
    <n v="4622"/>
    <s v="%"/>
    <n v="4622"/>
    <n v="5500"/>
    <n v="11000"/>
    <d v="2020-01-17T00:00:00"/>
    <s v="Chada"/>
    <n v="44900"/>
    <x v="5"/>
    <n v="2695"/>
    <n v="1927"/>
    <n v="0.42"/>
    <m/>
  </r>
  <r>
    <n v="87"/>
    <s v="AS-29"/>
    <x v="14"/>
    <x v="13"/>
    <x v="11"/>
    <s v="Boleta"/>
    <m/>
    <n v="6414"/>
    <n v="4325"/>
    <s v="C633"/>
    <s v="Cintia Zuñiga"/>
    <n v="2"/>
    <n v="3193"/>
    <s v="%"/>
    <n v="3193"/>
    <n v="3800"/>
    <n v="7600"/>
    <d v="2020-01-17T00:00:00"/>
    <s v="Pirque"/>
    <n v="25000"/>
    <x v="6"/>
    <n v="2100"/>
    <n v="1093"/>
    <n v="0.34"/>
    <m/>
  </r>
  <r>
    <n v="87"/>
    <s v="AS-0038"/>
    <x v="71"/>
    <x v="6"/>
    <x v="11"/>
    <s v="Boleta"/>
    <m/>
    <n v="6414"/>
    <n v="4325"/>
    <s v="C633"/>
    <s v="Cintia Zuñiga"/>
    <n v="2"/>
    <n v="4118"/>
    <s v="%"/>
    <n v="4118"/>
    <n v="4900"/>
    <n v="9800"/>
    <d v="2020-01-17T00:00:00"/>
    <s v="Pirque"/>
    <n v="25000"/>
    <x v="6"/>
    <n v="2250"/>
    <n v="1868"/>
    <n v="0.45"/>
    <m/>
  </r>
  <r>
    <n v="87"/>
    <s v="AS-0031"/>
    <x v="16"/>
    <x v="13"/>
    <x v="11"/>
    <s v="Boleta"/>
    <m/>
    <n v="6414"/>
    <n v="4325"/>
    <s v="C633"/>
    <s v="Cintia Zuñiga"/>
    <n v="2"/>
    <n v="3193"/>
    <s v="%"/>
    <n v="3193"/>
    <n v="3800"/>
    <n v="7600"/>
    <d v="2020-01-17T00:00:00"/>
    <s v="Pirque"/>
    <n v="25000"/>
    <x v="6"/>
    <n v="2200"/>
    <n v="993"/>
    <n v="0.31"/>
    <m/>
  </r>
  <r>
    <n v="90"/>
    <s v="MA-0053"/>
    <x v="8"/>
    <x v="7"/>
    <x v="11"/>
    <s v="Boleta"/>
    <m/>
    <n v="6417"/>
    <n v="4328"/>
    <s v="C332"/>
    <s v="Gery Montenegro"/>
    <n v="1"/>
    <n v="12437"/>
    <s v="%"/>
    <n v="12437"/>
    <n v="14800"/>
    <n v="14800"/>
    <d v="2020-01-17T00:00:00"/>
    <s v="Pirque"/>
    <n v="14800"/>
    <x v="5"/>
    <n v="9975"/>
    <n v="2462"/>
    <n v="0.2"/>
    <m/>
  </r>
  <r>
    <n v="85"/>
    <s v="MA-0053"/>
    <x v="8"/>
    <x v="7"/>
    <x v="11"/>
    <s v="Boleta"/>
    <m/>
    <n v="6412"/>
    <n v="4323"/>
    <s v="C636"/>
    <s v="Jessica Cabello"/>
    <n v="1"/>
    <n v="12437"/>
    <s v="%"/>
    <n v="12437"/>
    <n v="14800"/>
    <n v="14800"/>
    <d v="2020-01-17T00:00:00"/>
    <s v="Pirque"/>
    <n v="14800"/>
    <x v="5"/>
    <n v="9975"/>
    <n v="2462"/>
    <n v="0.2"/>
    <m/>
  </r>
  <r>
    <n v="89"/>
    <s v="MA-0027"/>
    <x v="9"/>
    <x v="8"/>
    <x v="11"/>
    <s v="Boleta"/>
    <m/>
    <n v="6416"/>
    <n v="4327"/>
    <s v="C288"/>
    <s v="Jorge Ramirez"/>
    <n v="2"/>
    <n v="13866"/>
    <s v="%"/>
    <n v="13866"/>
    <n v="16500"/>
    <n v="33000"/>
    <d v="2020-01-17T00:00:00"/>
    <s v="Pirque"/>
    <n v="33000"/>
    <x v="7"/>
    <n v="10390"/>
    <n v="3476"/>
    <n v="0.25"/>
    <m/>
  </r>
  <r>
    <n v="81"/>
    <s v="AS-29"/>
    <x v="14"/>
    <x v="13"/>
    <x v="11"/>
    <s v="Boleta"/>
    <m/>
    <n v="6405"/>
    <n v="4319"/>
    <s v="C071"/>
    <s v="Jose Beck"/>
    <n v="2"/>
    <n v="3193"/>
    <s v="%"/>
    <n v="3193"/>
    <n v="3800"/>
    <n v="7600"/>
    <d v="2020-01-16T00:00:00"/>
    <s v="Pirque"/>
    <n v="19000"/>
    <x v="6"/>
    <n v="2100"/>
    <n v="1093"/>
    <n v="0.34"/>
    <m/>
  </r>
  <r>
    <n v="81"/>
    <s v="AS-0031"/>
    <x v="16"/>
    <x v="13"/>
    <x v="11"/>
    <s v="Boleta"/>
    <m/>
    <n v="6405"/>
    <n v="4319"/>
    <s v="C071"/>
    <s v="Jose Beck"/>
    <n v="3"/>
    <n v="3193"/>
    <s v="%"/>
    <n v="3193"/>
    <n v="3800"/>
    <n v="11400"/>
    <d v="2020-01-16T00:00:00"/>
    <s v="Pirque"/>
    <n v="19000"/>
    <x v="6"/>
    <n v="2200"/>
    <n v="993"/>
    <n v="0.31"/>
    <m/>
  </r>
  <r>
    <n v="82"/>
    <s v="MA-214"/>
    <x v="13"/>
    <x v="12"/>
    <x v="11"/>
    <s v="Boleta"/>
    <m/>
    <n v="6404"/>
    <n v="4320"/>
    <s v="C389"/>
    <s v="Juan Pinilla"/>
    <n v="1"/>
    <n v="24370"/>
    <s v="%"/>
    <n v="24370"/>
    <n v="29000"/>
    <n v="29000"/>
    <d v="2020-01-16T00:00:00"/>
    <s v="Pirque"/>
    <n v="29000"/>
    <x v="11"/>
    <n v="19390"/>
    <n v="4980"/>
    <n v="0.2"/>
    <m/>
  </r>
  <r>
    <n v="77"/>
    <s v="MA-0048"/>
    <x v="95"/>
    <x v="42"/>
    <x v="11"/>
    <s v="Boleta"/>
    <m/>
    <n v="6408"/>
    <n v="4315"/>
    <s v="C057"/>
    <s v="Laura Thernan "/>
    <n v="2"/>
    <n v="13025"/>
    <s v="%"/>
    <n v="13025"/>
    <n v="15500"/>
    <n v="31000"/>
    <d v="2020-01-17T00:00:00"/>
    <s v="Chada"/>
    <n v="31000"/>
    <x v="7"/>
    <n v="9641"/>
    <n v="3384"/>
    <n v="0.26"/>
    <m/>
  </r>
  <r>
    <n v="76"/>
    <s v="AS-0039"/>
    <x v="39"/>
    <x v="6"/>
    <x v="11"/>
    <s v="Boleta"/>
    <m/>
    <n v="6407"/>
    <n v="4314"/>
    <s v="C028"/>
    <s v="Luz María Velasquez"/>
    <n v="2"/>
    <n v="3260"/>
    <s v="%"/>
    <n v="3260"/>
    <n v="3879"/>
    <n v="7758"/>
    <d v="2020-01-17T00:00:00"/>
    <s v="Chada"/>
    <n v="7759"/>
    <x v="6"/>
    <n v="2119"/>
    <n v="1141"/>
    <n v="0.35"/>
    <m/>
  </r>
  <r>
    <n v="78"/>
    <s v="MA-0035"/>
    <x v="37"/>
    <x v="16"/>
    <x v="11"/>
    <s v="Boleta"/>
    <m/>
    <n v="6410"/>
    <n v="4316"/>
    <s v="C076"/>
    <s v="Macarena Garcia"/>
    <n v="1"/>
    <n v="16555"/>
    <s v="%"/>
    <n v="16555"/>
    <n v="19700"/>
    <n v="19700"/>
    <d v="2020-01-17T00:00:00"/>
    <s v="Chada"/>
    <n v="29900"/>
    <x v="7"/>
    <n v="12429"/>
    <n v="4126"/>
    <n v="0.25"/>
    <m/>
  </r>
  <r>
    <n v="78"/>
    <s v="MA-0046"/>
    <x v="46"/>
    <x v="17"/>
    <x v="11"/>
    <s v="Boleta"/>
    <m/>
    <n v="6410"/>
    <n v="4316"/>
    <s v="C076"/>
    <s v="Macarena Garcia"/>
    <n v="1"/>
    <n v="8571"/>
    <s v="%"/>
    <n v="8571"/>
    <n v="10200"/>
    <n v="10200"/>
    <d v="2020-01-17T00:00:00"/>
    <s v="Chada"/>
    <n v="29900"/>
    <x v="7"/>
    <n v="5992"/>
    <n v="2579"/>
    <n v="0.3"/>
    <m/>
  </r>
  <r>
    <n v="86"/>
    <s v="MA-0053"/>
    <x v="8"/>
    <x v="7"/>
    <x v="11"/>
    <s v="Boleta"/>
    <m/>
    <n v="6413"/>
    <n v="4324"/>
    <s v="C555"/>
    <s v="Patricio Olmedo"/>
    <n v="1"/>
    <n v="12437"/>
    <s v="%"/>
    <n v="12437"/>
    <n v="14800"/>
    <n v="14800"/>
    <d v="2020-01-17T00:00:00"/>
    <s v="Pirque"/>
    <n v="14800"/>
    <x v="5"/>
    <n v="9975"/>
    <n v="2462"/>
    <n v="0.2"/>
    <m/>
  </r>
  <r>
    <n v="91"/>
    <s v="AS-0031"/>
    <x v="16"/>
    <x v="13"/>
    <x v="11"/>
    <s v="Boleta"/>
    <m/>
    <n v="6418"/>
    <n v="4329"/>
    <s v="C337"/>
    <s v="Petrova Alonso"/>
    <n v="5"/>
    <n v="3193"/>
    <s v="%"/>
    <n v="3193"/>
    <n v="3800"/>
    <n v="19000"/>
    <d v="2020-01-17T00:00:00"/>
    <s v="Pirque"/>
    <n v="23900"/>
    <x v="6"/>
    <n v="2200"/>
    <n v="993"/>
    <n v="0.31"/>
    <m/>
  </r>
  <r>
    <n v="91"/>
    <s v="AS-0038"/>
    <x v="71"/>
    <x v="6"/>
    <x v="11"/>
    <s v="Boleta"/>
    <m/>
    <n v="6418"/>
    <n v="4329"/>
    <s v="C337"/>
    <s v="Petrova Alonso"/>
    <n v="1"/>
    <n v="4118"/>
    <s v="%"/>
    <n v="4118"/>
    <n v="4900"/>
    <n v="4900"/>
    <d v="2020-01-17T00:00:00"/>
    <s v="Pirque"/>
    <n v="23900"/>
    <x v="6"/>
    <n v="2250"/>
    <n v="1868"/>
    <n v="0.45"/>
    <m/>
  </r>
  <r>
    <n v="74"/>
    <s v="DE-0021"/>
    <x v="64"/>
    <x v="35"/>
    <x v="11"/>
    <s v="Factura"/>
    <m/>
    <s v="sn"/>
    <n v="4312"/>
    <s v="C009"/>
    <s v="Sociedad Comercial y Agricola Chada Ltda"/>
    <n v="4"/>
    <n v="12964"/>
    <n v="0.06"/>
    <n v="12229"/>
    <n v="14500"/>
    <n v="58000"/>
    <d v="2020-01-17T00:00:00"/>
    <s v="Chada"/>
    <n v="90695"/>
    <x v="22"/>
    <n v="9360"/>
    <n v="2869"/>
    <n v="0.23"/>
    <m/>
  </r>
  <r>
    <n v="74"/>
    <s v="MA-114"/>
    <x v="79"/>
    <x v="17"/>
    <x v="11"/>
    <s v="Factura"/>
    <m/>
    <s v="sn"/>
    <n v="4312"/>
    <s v="C009"/>
    <s v="Sociedad Comercial y Agricola Chada Ltda"/>
    <n v="20"/>
    <n v="1078"/>
    <n v="0.1"/>
    <n v="982"/>
    <n v="1157"/>
    <n v="23140"/>
    <d v="2020-01-17T00:00:00"/>
    <s v="Chada"/>
    <n v="90695"/>
    <x v="7"/>
    <n v="778"/>
    <n v="204"/>
    <n v="0.21"/>
    <m/>
  </r>
  <r>
    <n v="74"/>
    <s v="DE-1169"/>
    <x v="62"/>
    <x v="31"/>
    <x v="11"/>
    <s v="Factura"/>
    <m/>
    <s v="sn"/>
    <n v="4312"/>
    <s v="C009"/>
    <s v="Sociedad Comercial y Agricola Chada Ltda"/>
    <n v="12"/>
    <n v="741"/>
    <n v="0.1"/>
    <n v="675"/>
    <n v="796"/>
    <n v="9552"/>
    <d v="2020-01-17T00:00:00"/>
    <s v="Chada"/>
    <n v="90695"/>
    <x v="9"/>
    <n v="535"/>
    <n v="140"/>
    <n v="0.21"/>
    <m/>
  </r>
  <r>
    <n v="84"/>
    <s v="MA-0053"/>
    <x v="8"/>
    <x v="7"/>
    <x v="11"/>
    <s v="Boleta"/>
    <m/>
    <n v="6402"/>
    <n v="4322"/>
    <s v="C488"/>
    <s v="Trinidad Siviragol"/>
    <n v="2"/>
    <n v="12437"/>
    <s v="%"/>
    <n v="12437"/>
    <n v="14800"/>
    <n v="29600"/>
    <d v="2020-01-16T00:00:00"/>
    <s v="Pirque"/>
    <n v="29600"/>
    <x v="5"/>
    <n v="9975"/>
    <n v="2462"/>
    <n v="0.2"/>
    <m/>
  </r>
  <r>
    <n v="92"/>
    <s v="DE-0344"/>
    <x v="96"/>
    <x v="30"/>
    <x v="11"/>
    <s v="Boleta"/>
    <m/>
    <n v="6415"/>
    <n v="4330"/>
    <s v="C062"/>
    <s v="Verena Scholtbach"/>
    <n v="1"/>
    <n v="3529"/>
    <s v="%"/>
    <n v="3529"/>
    <n v="4200"/>
    <n v="4200"/>
    <d v="2020-01-17T00:00:00"/>
    <s v="Pirque"/>
    <n v="6104"/>
    <x v="2"/>
    <n v="2464"/>
    <n v="1065"/>
    <n v="0.3"/>
    <m/>
  </r>
  <r>
    <n v="92"/>
    <s v="AS-57"/>
    <x v="97"/>
    <x v="28"/>
    <x v="11"/>
    <s v="Boleta"/>
    <m/>
    <n v="6415"/>
    <n v="4330"/>
    <s v="C062"/>
    <s v="Verena Scholtbach"/>
    <n v="1"/>
    <n v="1600"/>
    <s v="%"/>
    <n v="1600"/>
    <n v="1904"/>
    <n v="1904"/>
    <d v="2020-01-17T00:00:00"/>
    <s v="Pirque"/>
    <n v="6104"/>
    <x v="9"/>
    <n v="1120"/>
    <n v="480"/>
    <n v="0.3"/>
    <m/>
  </r>
  <r>
    <n v="83"/>
    <s v="MA-0053"/>
    <x v="8"/>
    <x v="7"/>
    <x v="11"/>
    <s v="Boleta"/>
    <m/>
    <n v="6403"/>
    <n v="4321"/>
    <s v="C649"/>
    <s v="Victor Quiroz"/>
    <n v="3"/>
    <n v="12437"/>
    <s v="%"/>
    <n v="12437"/>
    <n v="14800"/>
    <n v="44400"/>
    <d v="2020-01-16T00:00:00"/>
    <s v="Pirque"/>
    <n v="44400"/>
    <x v="5"/>
    <n v="9975"/>
    <n v="2462"/>
    <n v="0.2"/>
    <m/>
  </r>
  <r>
    <n v="94"/>
    <s v="MA-0053"/>
    <x v="8"/>
    <x v="7"/>
    <x v="12"/>
    <s v="Boleta"/>
    <m/>
    <n v="6420"/>
    <n v="4332"/>
    <s v="C456"/>
    <s v="Carolina Muñoz"/>
    <n v="1"/>
    <n v="12437"/>
    <s v="%"/>
    <n v="12437"/>
    <n v="14800"/>
    <n v="14800"/>
    <d v="2020-01-18T00:00:00"/>
    <s v="Pirque"/>
    <n v="14800"/>
    <x v="5"/>
    <n v="9975"/>
    <n v="2462"/>
    <n v="0.2"/>
    <m/>
  </r>
  <r>
    <n v="95"/>
    <s v="MA-193"/>
    <x v="38"/>
    <x v="20"/>
    <x v="12"/>
    <s v="Boleta"/>
    <m/>
    <n v="6421"/>
    <n v="4333"/>
    <s v="C538"/>
    <s v="Katherine Torres"/>
    <n v="1"/>
    <n v="29832"/>
    <s v="%"/>
    <n v="29832"/>
    <n v="35500"/>
    <n v="35500"/>
    <d v="2020-01-18T00:00:00"/>
    <s v="Pirque"/>
    <n v="35500"/>
    <x v="11"/>
    <n v="26207"/>
    <n v="3625"/>
    <n v="0.12"/>
    <m/>
  </r>
  <r>
    <n v="96"/>
    <s v="AS-0036"/>
    <x v="6"/>
    <x v="6"/>
    <x v="12"/>
    <s v="Boleta"/>
    <m/>
    <n v="6422"/>
    <n v="4334"/>
    <s v="C650"/>
    <s v="Loreto Ramirez"/>
    <n v="2"/>
    <n v="3193"/>
    <s v="%"/>
    <n v="3193"/>
    <n v="3800"/>
    <n v="7600"/>
    <d v="2020-01-18T00:00:00"/>
    <s v="Pirque"/>
    <n v="12500"/>
    <x v="6"/>
    <n v="2085"/>
    <n v="1108"/>
    <n v="0.35"/>
    <m/>
  </r>
  <r>
    <n v="96"/>
    <s v="AS-0038"/>
    <x v="71"/>
    <x v="6"/>
    <x v="12"/>
    <s v="Boleta"/>
    <m/>
    <n v="6422"/>
    <n v="4334"/>
    <s v="C650"/>
    <s v="Loreto Ramirez"/>
    <n v="1"/>
    <n v="4118"/>
    <s v="%"/>
    <n v="4118"/>
    <n v="4900"/>
    <n v="4900"/>
    <d v="2020-01-18T00:00:00"/>
    <s v="Pirque"/>
    <n v="12500"/>
    <x v="6"/>
    <n v="2250"/>
    <n v="1868"/>
    <n v="0.45"/>
    <m/>
  </r>
  <r>
    <n v="93"/>
    <s v="MA-166"/>
    <x v="5"/>
    <x v="5"/>
    <x v="12"/>
    <s v="Boleta"/>
    <m/>
    <n v="6419"/>
    <n v="4331"/>
    <s v="C361"/>
    <s v="Marcela Biham"/>
    <n v="2"/>
    <n v="19076"/>
    <s v="%"/>
    <n v="19076"/>
    <n v="22700"/>
    <n v="45400"/>
    <d v="2020-01-17T00:00:00"/>
    <s v="Chada"/>
    <n v="45400"/>
    <x v="5"/>
    <n v="14122"/>
    <n v="4954"/>
    <n v="0.26"/>
    <m/>
  </r>
  <r>
    <n v="98"/>
    <s v="DE-1150"/>
    <x v="42"/>
    <x v="22"/>
    <x v="13"/>
    <s v="Factura"/>
    <m/>
    <n v="1038759"/>
    <n v="4336"/>
    <s v="C001"/>
    <s v="Benito Campos y Cia Ltda."/>
    <n v="300"/>
    <n v="1312"/>
    <n v="-0.02"/>
    <n v="1336"/>
    <n v="1590"/>
    <n v="477000"/>
    <d v="2020-01-20T00:00:00"/>
    <s v="Cajon"/>
    <n v="477000"/>
    <x v="14"/>
    <n v="900"/>
    <n v="436"/>
    <n v="0.33"/>
    <m/>
  </r>
  <r>
    <n v="97"/>
    <s v="MA-214"/>
    <x v="13"/>
    <x v="12"/>
    <x v="13"/>
    <s v="Boleta"/>
    <m/>
    <n v="6400"/>
    <n v="4335"/>
    <s v="C335"/>
    <s v="Alejandro Astorga"/>
    <n v="1"/>
    <n v="22689"/>
    <s v="%"/>
    <n v="22689"/>
    <n v="27000"/>
    <n v="27000"/>
    <d v="2020-01-15T00:00:00"/>
    <s v="Pirque"/>
    <n v="27000"/>
    <x v="11"/>
    <n v="21183"/>
    <n v="1506"/>
    <n v="7.0000000000000007E-2"/>
    <m/>
  </r>
  <r>
    <n v="100"/>
    <s v="MA-214"/>
    <x v="13"/>
    <x v="12"/>
    <x v="13"/>
    <s v="Boleta"/>
    <m/>
    <n v="6423"/>
    <n v="4338"/>
    <s v="C335"/>
    <s v="Alejandro Astorga"/>
    <n v="4"/>
    <n v="26471"/>
    <n v="0.14000000000000001"/>
    <n v="23162"/>
    <n v="27000"/>
    <n v="108000"/>
    <d v="2020-01-20T00:00:00"/>
    <s v="Pirque"/>
    <n v="108000"/>
    <x v="11"/>
    <n v="21183"/>
    <n v="1979"/>
    <n v="0.09"/>
    <m/>
  </r>
  <r>
    <n v="105"/>
    <s v="GR-0054"/>
    <x v="30"/>
    <x v="18"/>
    <x v="13"/>
    <s v="Boleta"/>
    <m/>
    <n v="6428"/>
    <n v="4343"/>
    <s v="C544"/>
    <s v="Carla Valencoa"/>
    <n v="1"/>
    <n v="19328"/>
    <s v="%"/>
    <n v="19328"/>
    <n v="23000"/>
    <n v="23000"/>
    <d v="2020-01-20T00:00:00"/>
    <s v="Pirque"/>
    <n v="23000"/>
    <x v="5"/>
    <n v="14604"/>
    <n v="4724"/>
    <n v="0.24"/>
    <m/>
  </r>
  <r>
    <n v="101"/>
    <s v="MA-209"/>
    <x v="98"/>
    <x v="43"/>
    <x v="13"/>
    <s v="Boleta"/>
    <m/>
    <n v="6424"/>
    <n v="4339"/>
    <s v="C519"/>
    <s v="Eduardo Contreras"/>
    <n v="1"/>
    <n v="8824"/>
    <s v="%"/>
    <n v="8824"/>
    <n v="10500"/>
    <n v="10500"/>
    <d v="2020-01-20T00:00:00"/>
    <s v="Pirque"/>
    <n v="10500"/>
    <x v="14"/>
    <n v="6000"/>
    <n v="2824"/>
    <n v="0.32"/>
    <m/>
  </r>
  <r>
    <n v="102"/>
    <s v="MA-136"/>
    <x v="4"/>
    <x v="4"/>
    <x v="13"/>
    <s v="Boleta"/>
    <m/>
    <n v="6425"/>
    <n v="4340"/>
    <s v="C038"/>
    <s v="Francisca Gonzalez"/>
    <n v="1"/>
    <n v="18739"/>
    <s v="%"/>
    <n v="18739"/>
    <n v="22300"/>
    <n v="22300"/>
    <d v="2020-01-20T00:00:00"/>
    <s v="Pirque"/>
    <n v="25900"/>
    <x v="4"/>
    <n v="14040"/>
    <n v="4699"/>
    <n v="0.25"/>
    <m/>
  </r>
  <r>
    <n v="102"/>
    <s v="DE-803"/>
    <x v="99"/>
    <x v="44"/>
    <x v="13"/>
    <s v="Boleta"/>
    <m/>
    <n v="6425"/>
    <n v="4340"/>
    <s v="C038"/>
    <s v="Francisca Gonzalez"/>
    <n v="2"/>
    <n v="1513"/>
    <s v="%"/>
    <n v="1513"/>
    <n v="1800"/>
    <n v="3600"/>
    <d v="2020-01-20T00:00:00"/>
    <s v="Pirque"/>
    <n v="25900"/>
    <x v="26"/>
    <n v="385"/>
    <n v="1128"/>
    <n v="0.75"/>
    <m/>
  </r>
  <r>
    <n v="103"/>
    <s v="GR-0054"/>
    <x v="30"/>
    <x v="18"/>
    <x v="13"/>
    <s v="Boleta"/>
    <m/>
    <n v="6426"/>
    <n v="4341"/>
    <s v="C087"/>
    <s v="Juan Pablo Valdes"/>
    <n v="3"/>
    <n v="19328"/>
    <s v="%"/>
    <n v="19328"/>
    <n v="23000"/>
    <n v="69000"/>
    <d v="2020-01-20T00:00:00"/>
    <s v="Pirque"/>
    <n v="69000"/>
    <x v="5"/>
    <n v="14604"/>
    <n v="4724"/>
    <n v="0.24"/>
    <m/>
  </r>
  <r>
    <n v="104"/>
    <s v="MA-0035"/>
    <x v="37"/>
    <x v="16"/>
    <x v="13"/>
    <s v="Boleta"/>
    <m/>
    <n v="6427"/>
    <n v="4342"/>
    <s v="C570"/>
    <s v="Miguel Diaz"/>
    <n v="1"/>
    <n v="16555"/>
    <s v="%"/>
    <n v="16555"/>
    <n v="19700"/>
    <n v="19700"/>
    <d v="2020-01-20T00:00:00"/>
    <s v="Pirque"/>
    <n v="19700"/>
    <x v="7"/>
    <n v="12429"/>
    <n v="4126"/>
    <n v="0.25"/>
    <m/>
  </r>
  <r>
    <n v="99"/>
    <s v="DE-1003"/>
    <x v="0"/>
    <x v="0"/>
    <x v="13"/>
    <s v="Factura"/>
    <m/>
    <s v="sn"/>
    <n v="4337"/>
    <s v="C406"/>
    <s v="Naitana y Kufeke SPA"/>
    <n v="4"/>
    <n v="8310"/>
    <s v="%"/>
    <n v="8310"/>
    <n v="9889"/>
    <n v="39556"/>
    <d v="2020-01-22T00:00:00"/>
    <s v="Cajon"/>
    <n v="39557"/>
    <x v="10"/>
    <n v="6000"/>
    <n v="2310"/>
    <n v="0.28000000000000003"/>
    <m/>
  </r>
  <r>
    <n v="107"/>
    <s v="MA-0053"/>
    <x v="8"/>
    <x v="7"/>
    <x v="14"/>
    <s v="Boleta"/>
    <m/>
    <n v="6429"/>
    <n v="4345"/>
    <s v="C255"/>
    <s v="Carlos Manzano"/>
    <n v="2"/>
    <n v="12437"/>
    <s v="%"/>
    <n v="12437"/>
    <n v="14800"/>
    <n v="29600"/>
    <d v="2020-01-21T00:00:00"/>
    <s v="Pirque"/>
    <n v="29600"/>
    <x v="5"/>
    <n v="9975"/>
    <n v="2462"/>
    <n v="0.2"/>
    <m/>
  </r>
  <r>
    <n v="111"/>
    <s v="GR-0054"/>
    <x v="30"/>
    <x v="18"/>
    <x v="14"/>
    <s v="Boleta"/>
    <m/>
    <n v="6433"/>
    <n v="4349"/>
    <s v="C638"/>
    <s v="Catherine Barra"/>
    <n v="1"/>
    <n v="19328"/>
    <s v="%"/>
    <n v="19328"/>
    <n v="23000"/>
    <n v="23000"/>
    <d v="2020-01-21T00:00:00"/>
    <s v="Pirque"/>
    <n v="23000"/>
    <x v="5"/>
    <n v="14604"/>
    <n v="4724"/>
    <n v="0.24"/>
    <m/>
  </r>
  <r>
    <n v="109"/>
    <s v="MA-0042"/>
    <x v="29"/>
    <x v="17"/>
    <x v="14"/>
    <s v="Boleta"/>
    <m/>
    <n v="6431"/>
    <n v="4347"/>
    <s v="C517"/>
    <s v="Jenny Reyes"/>
    <n v="1"/>
    <n v="19748"/>
    <s v="%"/>
    <n v="19748"/>
    <n v="23500"/>
    <n v="23500"/>
    <d v="2020-01-21T00:00:00"/>
    <s v="Pirque"/>
    <n v="23500"/>
    <x v="7"/>
    <n v="14853"/>
    <n v="4895"/>
    <n v="0.25"/>
    <m/>
  </r>
  <r>
    <n v="110"/>
    <s v="MA-166"/>
    <x v="5"/>
    <x v="5"/>
    <x v="14"/>
    <s v="Boleta"/>
    <m/>
    <n v="6432"/>
    <n v="4348"/>
    <s v="C517"/>
    <s v="Jenny Thomas"/>
    <n v="2"/>
    <n v="19076"/>
    <s v="%"/>
    <n v="19076"/>
    <n v="22700"/>
    <n v="45400"/>
    <d v="2020-01-21T00:00:00"/>
    <s v="Pirque"/>
    <n v="45400"/>
    <x v="5"/>
    <n v="14122"/>
    <n v="4954"/>
    <n v="0.26"/>
    <m/>
  </r>
  <r>
    <n v="108"/>
    <s v="AS-0036"/>
    <x v="6"/>
    <x v="6"/>
    <x v="14"/>
    <s v="Boleta"/>
    <m/>
    <n v="6430"/>
    <n v="4346"/>
    <s v="C055"/>
    <s v="Jorge Osorio"/>
    <n v="40"/>
    <n v="3193"/>
    <s v="%"/>
    <n v="3193"/>
    <n v="3800"/>
    <n v="152000"/>
    <d v="2020-01-21T00:00:00"/>
    <s v="Pirque"/>
    <n v="292000"/>
    <x v="6"/>
    <n v="2085"/>
    <n v="1108"/>
    <n v="0.35"/>
    <m/>
  </r>
  <r>
    <n v="108"/>
    <s v="AS-0039"/>
    <x v="39"/>
    <x v="6"/>
    <x v="14"/>
    <s v="Boleta"/>
    <m/>
    <n v="6430"/>
    <n v="4346"/>
    <s v="C055"/>
    <s v="Jorge Osorio"/>
    <n v="40"/>
    <n v="2941"/>
    <s v="%"/>
    <n v="2941"/>
    <n v="3500"/>
    <n v="140000"/>
    <d v="2020-01-21T00:00:00"/>
    <s v="Pirque"/>
    <n v="292000"/>
    <x v="6"/>
    <n v="2119"/>
    <n v="822"/>
    <n v="0.28000000000000003"/>
    <m/>
  </r>
  <r>
    <n v="106"/>
    <s v="DE-569"/>
    <x v="10"/>
    <x v="9"/>
    <x v="14"/>
    <s v="Factura"/>
    <m/>
    <s v="OC 07"/>
    <n v="4344"/>
    <s v="C020"/>
    <s v="Sabores y Vinos Bernardita Munita EIRL"/>
    <n v="2"/>
    <n v="20084"/>
    <s v="%"/>
    <n v="20084"/>
    <n v="23900"/>
    <n v="47800"/>
    <d v="2020-01-21T00:00:00"/>
    <s v="Pirque"/>
    <n v="181076"/>
    <x v="8"/>
    <n v="16386"/>
    <n v="3698"/>
    <n v="0.18"/>
    <m/>
  </r>
  <r>
    <n v="106"/>
    <s v="AS-0024"/>
    <x v="11"/>
    <x v="10"/>
    <x v="14"/>
    <s v="Factura"/>
    <m/>
    <s v="OC 07"/>
    <n v="4344"/>
    <s v="C020"/>
    <s v="Sabores y Vinos Bernardita Munita EIRL"/>
    <n v="4"/>
    <n v="6151"/>
    <s v="%"/>
    <n v="6151"/>
    <n v="7320"/>
    <n v="29280"/>
    <d v="2020-01-21T00:00:00"/>
    <s v="Pirque"/>
    <n v="181076"/>
    <x v="9"/>
    <n v="4600"/>
    <n v="1551"/>
    <n v="0.25"/>
    <m/>
  </r>
  <r>
    <n v="106"/>
    <s v="DE-880"/>
    <x v="36"/>
    <x v="11"/>
    <x v="14"/>
    <s v="Factura"/>
    <m/>
    <s v="OC 07"/>
    <n v="4344"/>
    <s v="C020"/>
    <s v="Sabores y Vinos Bernardita Munita EIRL"/>
    <n v="12"/>
    <n v="3335"/>
    <s v="%"/>
    <n v="3335"/>
    <n v="3969"/>
    <n v="47628"/>
    <d v="2020-01-21T00:00:00"/>
    <s v="Pirque"/>
    <n v="181076"/>
    <x v="10"/>
    <n v="2408"/>
    <n v="927"/>
    <n v="0.28000000000000003"/>
    <m/>
  </r>
  <r>
    <n v="106"/>
    <s v="DE-1003"/>
    <x v="0"/>
    <x v="0"/>
    <x v="14"/>
    <s v="Factura"/>
    <m/>
    <s v="OC 07"/>
    <n v="4344"/>
    <s v="C020"/>
    <s v="Sabores y Vinos Bernardita Munita EIRL"/>
    <n v="6"/>
    <n v="7895"/>
    <s v="%"/>
    <n v="7895"/>
    <n v="9395"/>
    <n v="56370"/>
    <d v="2020-01-21T00:00:00"/>
    <s v="Pirque"/>
    <n v="181076"/>
    <x v="10"/>
    <n v="6000"/>
    <n v="1895"/>
    <n v="0.24"/>
    <m/>
  </r>
  <r>
    <n v="113"/>
    <s v="MA-0035"/>
    <x v="37"/>
    <x v="16"/>
    <x v="15"/>
    <s v="Boleta"/>
    <m/>
    <n v="6434"/>
    <n v="4351"/>
    <s v="C037"/>
    <s v="Amelia Cortes"/>
    <n v="1"/>
    <n v="16555"/>
    <s v="%"/>
    <n v="16555"/>
    <n v="19700"/>
    <n v="19700"/>
    <d v="2020-01-22T00:00:00"/>
    <s v="Cajon"/>
    <n v="34500"/>
    <x v="7"/>
    <n v="12429"/>
    <n v="4126"/>
    <n v="0.25"/>
    <m/>
  </r>
  <r>
    <n v="113"/>
    <s v="MA-0053"/>
    <x v="8"/>
    <x v="7"/>
    <x v="15"/>
    <s v="Boleta"/>
    <m/>
    <n v="6434"/>
    <n v="4351"/>
    <s v="C037"/>
    <s v="Amelia Cortes"/>
    <n v="1"/>
    <n v="13277"/>
    <n v="0.06"/>
    <n v="12487"/>
    <n v="14800"/>
    <n v="14800"/>
    <d v="2020-01-22T00:00:00"/>
    <s v="Cajon"/>
    <n v="34500"/>
    <x v="5"/>
    <n v="9975"/>
    <n v="2512"/>
    <n v="0.2"/>
    <m/>
  </r>
  <r>
    <n v="115"/>
    <s v="DE-0247"/>
    <x v="100"/>
    <x v="29"/>
    <x v="15"/>
    <s v="Factura"/>
    <m/>
    <n v="1038757"/>
    <n v="4353"/>
    <s v="C001"/>
    <s v="Benito Campos y Cia Ltda."/>
    <n v="5"/>
    <n v="1233"/>
    <n v="-0.11"/>
    <n v="1390"/>
    <n v="1633"/>
    <n v="8165"/>
    <d v="2020-01-22T00:00:00"/>
    <s v="Cajon"/>
    <n v="143479"/>
    <x v="20"/>
    <n v="890"/>
    <n v="500"/>
    <n v="0.36"/>
    <m/>
  </r>
  <r>
    <n v="115"/>
    <s v="DE-0248"/>
    <x v="88"/>
    <x v="29"/>
    <x v="15"/>
    <s v="Factura"/>
    <m/>
    <n v="1038757"/>
    <n v="4353"/>
    <s v="C001"/>
    <s v="Benito Campos y Cia Ltda."/>
    <n v="20"/>
    <n v="360"/>
    <n v="-7.0000000000000007E-2"/>
    <n v="388"/>
    <n v="459"/>
    <n v="9180"/>
    <d v="2020-01-22T00:00:00"/>
    <s v="Cajon"/>
    <n v="143479"/>
    <x v="20"/>
    <n v="260"/>
    <n v="128"/>
    <n v="0.33"/>
    <m/>
  </r>
  <r>
    <n v="112"/>
    <s v="AS-77"/>
    <x v="56"/>
    <x v="31"/>
    <x v="15"/>
    <s v="Factura"/>
    <m/>
    <s v="sn"/>
    <n v="4350"/>
    <s v="C005"/>
    <s v="Julia Ines Rebolledo Retamal"/>
    <n v="45"/>
    <n v="817"/>
    <n v="0.1"/>
    <n v="744"/>
    <n v="878"/>
    <n v="39510"/>
    <d v="2020-01-22T00:00:00"/>
    <s v="Cajon"/>
    <n v="99412"/>
    <x v="9"/>
    <n v="590"/>
    <n v="154"/>
    <n v="0.21"/>
    <m/>
  </r>
  <r>
    <n v="112"/>
    <s v="DE-1165"/>
    <x v="90"/>
    <x v="31"/>
    <x v="15"/>
    <s v="Factura"/>
    <m/>
    <s v="sn"/>
    <n v="4350"/>
    <s v="C005"/>
    <s v="Julia Ines Rebolledo Retamal"/>
    <n v="60"/>
    <n v="699"/>
    <n v="0.08"/>
    <n v="650"/>
    <n v="769"/>
    <n v="46140"/>
    <d v="2020-01-22T00:00:00"/>
    <s v="Cajon"/>
    <n v="99412"/>
    <x v="9"/>
    <n v="505"/>
    <n v="145"/>
    <n v="0.22"/>
    <m/>
  </r>
  <r>
    <n v="112"/>
    <s v="AS-60"/>
    <x v="91"/>
    <x v="28"/>
    <x v="15"/>
    <s v="Factura"/>
    <m/>
    <s v="sn"/>
    <n v="4350"/>
    <s v="C005"/>
    <s v="Julia Ines Rebolledo Retamal"/>
    <n v="1"/>
    <n v="12188"/>
    <n v="0.05"/>
    <n v="11608"/>
    <n v="13779"/>
    <n v="13779"/>
    <d v="2020-01-22T00:00:00"/>
    <s v="Cajon"/>
    <n v="99412"/>
    <x v="9"/>
    <n v="8800"/>
    <n v="2808"/>
    <n v="0.24"/>
    <m/>
  </r>
  <r>
    <n v="116"/>
    <s v="MA-136"/>
    <x v="4"/>
    <x v="4"/>
    <x v="15"/>
    <s v="Factura"/>
    <m/>
    <s v="sn"/>
    <n v="4354"/>
    <s v="C004"/>
    <s v="Rosa Gladys Vidal Mora"/>
    <n v="1"/>
    <n v="19446"/>
    <n v="0.1"/>
    <n v="17718"/>
    <n v="20885"/>
    <n v="20885"/>
    <d v="2020-01-22T00:00:00"/>
    <s v="Cajon"/>
    <n v="138397"/>
    <x v="4"/>
    <n v="14040"/>
    <n v="3678"/>
    <n v="0.21"/>
    <m/>
  </r>
  <r>
    <n v="116"/>
    <s v="MA-0103"/>
    <x v="51"/>
    <x v="4"/>
    <x v="15"/>
    <s v="Factura"/>
    <m/>
    <s v="sn"/>
    <n v="4354"/>
    <s v="C004"/>
    <s v="Rosa Gladys Vidal Mora"/>
    <n v="16"/>
    <n v="1676"/>
    <n v="0.1"/>
    <n v="1527"/>
    <n v="1800"/>
    <n v="28800"/>
    <d v="2020-01-22T00:00:00"/>
    <s v="Cajon"/>
    <n v="138397"/>
    <x v="4"/>
    <n v="1210"/>
    <n v="317"/>
    <n v="0.21"/>
    <m/>
  </r>
  <r>
    <n v="116"/>
    <s v="GR-0055"/>
    <x v="31"/>
    <x v="18"/>
    <x v="15"/>
    <s v="Factura"/>
    <m/>
    <s v="sn"/>
    <n v="4354"/>
    <s v="C004"/>
    <s v="Rosa Gladys Vidal Mora"/>
    <n v="2"/>
    <n v="20227"/>
    <n v="0.12"/>
    <n v="18060"/>
    <n v="21182"/>
    <n v="42364"/>
    <d v="2020-01-22T00:00:00"/>
    <s v="Cajon"/>
    <n v="138397"/>
    <x v="5"/>
    <n v="14604"/>
    <n v="3456"/>
    <n v="0.19"/>
    <m/>
  </r>
  <r>
    <n v="116"/>
    <s v="MA-0001"/>
    <x v="101"/>
    <x v="18"/>
    <x v="15"/>
    <s v="Factura"/>
    <m/>
    <s v="sn"/>
    <n v="4354"/>
    <s v="C004"/>
    <s v="Rosa Gladys Vidal Mora"/>
    <n v="1"/>
    <n v="20227"/>
    <n v="0.12"/>
    <n v="18060"/>
    <n v="21182"/>
    <n v="21182"/>
    <d v="2020-01-22T00:00:00"/>
    <s v="Cajon"/>
    <n v="138397"/>
    <x v="5"/>
    <n v="14604"/>
    <n v="3456"/>
    <n v="0.19"/>
    <m/>
  </r>
  <r>
    <n v="116"/>
    <s v="AS-0022"/>
    <x v="52"/>
    <x v="28"/>
    <x v="15"/>
    <s v="Factura"/>
    <m/>
    <s v="sn"/>
    <n v="4354"/>
    <s v="C004"/>
    <s v="Rosa Gladys Vidal Mora"/>
    <n v="12"/>
    <n v="741"/>
    <n v="0.1"/>
    <n v="675"/>
    <n v="796"/>
    <n v="9552"/>
    <d v="2020-01-22T00:00:00"/>
    <s v="Cajon"/>
    <n v="138397"/>
    <x v="9"/>
    <n v="535"/>
    <n v="140"/>
    <n v="0.21"/>
    <m/>
  </r>
  <r>
    <n v="116"/>
    <s v="MA-0053"/>
    <x v="8"/>
    <x v="7"/>
    <x v="15"/>
    <s v="Factura"/>
    <m/>
    <s v="sn"/>
    <n v="4354"/>
    <s v="C004"/>
    <s v="Rosa Gladys Vidal Mora"/>
    <n v="1"/>
    <n v="13816"/>
    <n v="0.05"/>
    <n v="13158"/>
    <n v="15619"/>
    <n v="15619"/>
    <d v="2020-01-22T00:00:00"/>
    <s v="Cajon"/>
    <n v="138397"/>
    <x v="5"/>
    <n v="9975"/>
    <n v="3183"/>
    <n v="0.24"/>
    <m/>
  </r>
  <r>
    <n v="115"/>
    <s v="DE-0246"/>
    <x v="102"/>
    <x v="29"/>
    <x v="15"/>
    <s v="Factura"/>
    <m/>
    <n v="1038757"/>
    <n v="4353"/>
    <s v="C001"/>
    <s v="Benito Campos y Cia Ltda."/>
    <n v="10"/>
    <n v="657"/>
    <n v="-0.08"/>
    <n v="713"/>
    <n v="843"/>
    <n v="8430"/>
    <d v="2020-01-22T00:00:00"/>
    <s v="Cajon"/>
    <n v="143479"/>
    <x v="20"/>
    <n v="474"/>
    <n v="239"/>
    <n v="0.34"/>
    <m/>
  </r>
  <r>
    <n v="115"/>
    <s v="MA-0102"/>
    <x v="50"/>
    <x v="4"/>
    <x v="15"/>
    <s v="Factura"/>
    <m/>
    <n v="1038757"/>
    <n v="4353"/>
    <s v="C001"/>
    <s v="Benito Campos y Cia Ltda."/>
    <n v="36"/>
    <n v="880"/>
    <n v="0.08"/>
    <n v="813"/>
    <n v="960"/>
    <n v="34560"/>
    <d v="2020-01-22T00:00:00"/>
    <s v="Cajon"/>
    <n v="143479"/>
    <x v="4"/>
    <n v="635"/>
    <n v="178"/>
    <n v="0.22"/>
    <m/>
  </r>
  <r>
    <n v="115"/>
    <s v="MA-0103"/>
    <x v="51"/>
    <x v="4"/>
    <x v="15"/>
    <s v="Factura"/>
    <m/>
    <n v="1038757"/>
    <n v="4353"/>
    <s v="C001"/>
    <s v="Benito Campos y Cia Ltda."/>
    <n v="32"/>
    <n v="1676"/>
    <n v="0.08"/>
    <n v="1553"/>
    <n v="1837"/>
    <n v="58784"/>
    <d v="2020-01-22T00:00:00"/>
    <s v="Cajon"/>
    <n v="143479"/>
    <x v="4"/>
    <n v="1210"/>
    <n v="343"/>
    <n v="0.22"/>
    <m/>
  </r>
  <r>
    <n v="115"/>
    <s v="MA-114"/>
    <x v="79"/>
    <x v="17"/>
    <x v="15"/>
    <s v="Factura"/>
    <m/>
    <n v="1038757"/>
    <n v="4353"/>
    <s v="C001"/>
    <s v="Benito Campos y Cia Ltda."/>
    <n v="20"/>
    <n v="1078"/>
    <n v="0.05"/>
    <n v="1027"/>
    <n v="1218"/>
    <n v="24360"/>
    <d v="2020-01-22T00:00:00"/>
    <s v="Cajon"/>
    <n v="143479"/>
    <x v="7"/>
    <n v="778"/>
    <n v="249"/>
    <n v="0.24"/>
    <m/>
  </r>
  <r>
    <n v="114"/>
    <s v="DE-0231"/>
    <x v="85"/>
    <x v="29"/>
    <x v="15"/>
    <s v="Factura"/>
    <m/>
    <n v="1038758"/>
    <n v="4352"/>
    <s v="C001"/>
    <s v="Benito Campos y Cia Ltda."/>
    <n v="24"/>
    <n v="273"/>
    <n v="-0.06"/>
    <n v="291"/>
    <n v="345"/>
    <n v="8280"/>
    <d v="2020-01-22T00:00:00"/>
    <s v="Cajon"/>
    <n v="76572"/>
    <x v="20"/>
    <n v="197"/>
    <n v="94"/>
    <n v="0.32"/>
    <m/>
  </r>
  <r>
    <n v="114"/>
    <s v="DE-0232"/>
    <x v="86"/>
    <x v="29"/>
    <x v="15"/>
    <s v="Factura"/>
    <m/>
    <n v="1038758"/>
    <n v="4352"/>
    <s v="C001"/>
    <s v="Benito Campos y Cia Ltda."/>
    <n v="24"/>
    <n v="273"/>
    <n v="-0.06"/>
    <n v="291"/>
    <n v="345"/>
    <n v="8280"/>
    <d v="2020-01-22T00:00:00"/>
    <s v="Cajon"/>
    <n v="76572"/>
    <x v="20"/>
    <n v="197"/>
    <n v="94"/>
    <n v="0.32"/>
    <m/>
  </r>
  <r>
    <n v="114"/>
    <s v="DE-0233"/>
    <x v="87"/>
    <x v="29"/>
    <x v="15"/>
    <s v="Factura"/>
    <m/>
    <n v="1038758"/>
    <n v="4352"/>
    <s v="C001"/>
    <s v="Benito Campos y Cia Ltda."/>
    <n v="24"/>
    <n v="314"/>
    <n v="-0.06"/>
    <n v="333"/>
    <n v="396"/>
    <n v="9504"/>
    <d v="2020-01-22T00:00:00"/>
    <s v="Cajon"/>
    <n v="76572"/>
    <x v="20"/>
    <n v="227"/>
    <n v="106"/>
    <n v="0.32"/>
    <m/>
  </r>
  <r>
    <n v="114"/>
    <s v="AS-0022"/>
    <x v="52"/>
    <x v="28"/>
    <x v="15"/>
    <s v="Factura"/>
    <m/>
    <n v="1038758"/>
    <n v="4352"/>
    <s v="C001"/>
    <s v="Benito Campos y Cia Ltda."/>
    <n v="60"/>
    <n v="741"/>
    <n v="0.05"/>
    <n v="709"/>
    <n v="842"/>
    <n v="50520"/>
    <d v="2020-01-22T00:00:00"/>
    <s v="Cajon"/>
    <n v="76572"/>
    <x v="9"/>
    <n v="535"/>
    <n v="174"/>
    <n v="0.25"/>
    <m/>
  </r>
  <r>
    <n v="124"/>
    <s v="MA-0046"/>
    <x v="46"/>
    <x v="17"/>
    <x v="16"/>
    <s v="Boleta"/>
    <m/>
    <n v="6441"/>
    <n v="4362"/>
    <s v="C063"/>
    <s v="Andrea Ramirez"/>
    <n v="1"/>
    <n v="8571"/>
    <s v="%"/>
    <n v="8571"/>
    <n v="10200"/>
    <n v="10200"/>
    <d v="2020-01-23T00:00:00"/>
    <s v="Pirque"/>
    <n v="10200"/>
    <x v="7"/>
    <n v="5992"/>
    <n v="2579"/>
    <n v="0.3"/>
    <m/>
  </r>
  <r>
    <n v="123"/>
    <s v="MA-0046"/>
    <x v="46"/>
    <x v="17"/>
    <x v="16"/>
    <s v="Boleta"/>
    <m/>
    <n v="6440"/>
    <n v="4361"/>
    <s v="C073"/>
    <s v="Celinda Varela"/>
    <n v="1"/>
    <n v="8571"/>
    <s v="%"/>
    <n v="8571"/>
    <n v="10200"/>
    <n v="10200"/>
    <d v="2020-01-23T00:00:00"/>
    <s v="Pirque"/>
    <n v="19200"/>
    <x v="7"/>
    <n v="5992"/>
    <n v="2579"/>
    <n v="0.3"/>
    <m/>
  </r>
  <r>
    <n v="123"/>
    <s v="MA-208"/>
    <x v="103"/>
    <x v="43"/>
    <x v="16"/>
    <s v="Boleta"/>
    <m/>
    <n v="6440"/>
    <n v="4361"/>
    <s v="C073"/>
    <s v="Celinda Varela"/>
    <n v="1"/>
    <n v="7563"/>
    <s v="%"/>
    <n v="7563"/>
    <n v="9000"/>
    <n v="9000"/>
    <d v="2020-01-23T00:00:00"/>
    <s v="Pirque"/>
    <n v="19200"/>
    <x v="14"/>
    <n v="5300"/>
    <n v="2263"/>
    <n v="0.3"/>
    <m/>
  </r>
  <r>
    <n v="117"/>
    <s v="DE-1150"/>
    <x v="42"/>
    <x v="22"/>
    <x v="16"/>
    <s v="Factura"/>
    <m/>
    <s v="sn"/>
    <n v="4355"/>
    <s v="C577"/>
    <s v="Comercializadora de productos Agropecuarios Futrono SPA"/>
    <n v="42"/>
    <n v="1312"/>
    <n v="0.05"/>
    <n v="1255"/>
    <n v="1490"/>
    <n v="62580"/>
    <d v="2020-01-23T00:00:00"/>
    <s v="Pirque"/>
    <n v="62580"/>
    <x v="14"/>
    <n v="900"/>
    <n v="355"/>
    <n v="0.28000000000000003"/>
    <m/>
  </r>
  <r>
    <n v="126"/>
    <s v="MA-202"/>
    <x v="104"/>
    <x v="21"/>
    <x v="16"/>
    <s v="Boleta"/>
    <m/>
    <n v="6443"/>
    <n v="4364"/>
    <s v="C307"/>
    <s v="Franklin Winston Smart Guevara"/>
    <n v="1"/>
    <n v="17815"/>
    <s v="%"/>
    <n v="17815"/>
    <n v="21200"/>
    <n v="21200"/>
    <d v="2020-01-23T00:00:00"/>
    <s v="Pirque"/>
    <n v="28800"/>
    <x v="5"/>
    <n v="13279"/>
    <n v="4536"/>
    <n v="0.25"/>
    <m/>
  </r>
  <r>
    <n v="126"/>
    <s v="AS-0036"/>
    <x v="6"/>
    <x v="6"/>
    <x v="16"/>
    <s v="Boleta"/>
    <m/>
    <n v="6443"/>
    <n v="4364"/>
    <s v="C307"/>
    <s v="Franklin Winston Smart Guevara"/>
    <n v="2"/>
    <n v="3193"/>
    <s v="%"/>
    <n v="3193"/>
    <n v="3800"/>
    <n v="7600"/>
    <d v="2020-01-23T00:00:00"/>
    <s v="Pirque"/>
    <n v="28800"/>
    <x v="6"/>
    <n v="2085"/>
    <n v="1108"/>
    <n v="0.35"/>
    <m/>
  </r>
  <r>
    <n v="122"/>
    <s v="MA-0053"/>
    <x v="8"/>
    <x v="7"/>
    <x v="16"/>
    <s v="Boleta"/>
    <m/>
    <n v="6439"/>
    <n v="4360"/>
    <s v="C364"/>
    <s v="Herminda Arriagada"/>
    <n v="1"/>
    <n v="13277"/>
    <s v="%"/>
    <n v="13277"/>
    <n v="15800"/>
    <n v="15800"/>
    <d v="2020-01-23T00:00:00"/>
    <s v="Pirque"/>
    <n v="21300"/>
    <x v="5"/>
    <n v="9975"/>
    <n v="3302"/>
    <n v="0.25"/>
    <m/>
  </r>
  <r>
    <n v="122"/>
    <s v="MA-172"/>
    <x v="94"/>
    <x v="41"/>
    <x v="16"/>
    <s v="Boleta"/>
    <m/>
    <n v="6439"/>
    <n v="4360"/>
    <s v="C364"/>
    <s v="Herminda Arriagada"/>
    <n v="1"/>
    <n v="4622"/>
    <s v="%"/>
    <n v="4622"/>
    <n v="5500"/>
    <n v="5500"/>
    <d v="2020-01-23T00:00:00"/>
    <s v="Pirque"/>
    <n v="21300"/>
    <x v="5"/>
    <n v="2695"/>
    <n v="1927"/>
    <n v="0.42"/>
    <m/>
  </r>
  <r>
    <n v="119"/>
    <s v="MA-0003"/>
    <x v="41"/>
    <x v="21"/>
    <x v="16"/>
    <s v="Boleta"/>
    <m/>
    <n v="6436"/>
    <n v="4357"/>
    <s v="C634"/>
    <s v="Isabel Luco"/>
    <n v="4"/>
    <n v="17815"/>
    <s v="%"/>
    <n v="17815"/>
    <n v="21200"/>
    <n v="84800"/>
    <d v="2020-01-23T00:00:00"/>
    <s v="Pirque"/>
    <n v="84800"/>
    <x v="5"/>
    <n v="13279"/>
    <n v="4536"/>
    <n v="0.25"/>
    <m/>
  </r>
  <r>
    <n v="125"/>
    <s v="MA-0027"/>
    <x v="9"/>
    <x v="8"/>
    <x v="16"/>
    <s v="Boleta"/>
    <m/>
    <n v="6442"/>
    <n v="4363"/>
    <s v="C079"/>
    <s v="Kim Cornely"/>
    <n v="1"/>
    <n v="13866"/>
    <s v="%"/>
    <n v="13866"/>
    <n v="16500"/>
    <n v="16500"/>
    <d v="2020-01-23T00:00:00"/>
    <s v="Pirque"/>
    <n v="27300"/>
    <x v="7"/>
    <n v="10390"/>
    <n v="3476"/>
    <n v="0.25"/>
    <m/>
  </r>
  <r>
    <n v="125"/>
    <s v="DE-1169"/>
    <x v="62"/>
    <x v="31"/>
    <x v="16"/>
    <s v="Boleta"/>
    <m/>
    <n v="6442"/>
    <n v="4363"/>
    <s v="C079"/>
    <s v="Kim Cornely"/>
    <n v="12"/>
    <n v="756"/>
    <s v="%"/>
    <n v="756"/>
    <n v="900"/>
    <n v="10800"/>
    <d v="2020-01-23T00:00:00"/>
    <s v="Pirque"/>
    <n v="27300"/>
    <x v="9"/>
    <n v="535"/>
    <n v="221"/>
    <n v="0.28999999999999998"/>
    <m/>
  </r>
  <r>
    <n v="121"/>
    <s v="MA-166"/>
    <x v="5"/>
    <x v="5"/>
    <x v="16"/>
    <s v="Boleta"/>
    <m/>
    <n v="6438"/>
    <n v="4359"/>
    <s v="C537"/>
    <s v="Ma Jose Garcia"/>
    <n v="1"/>
    <n v="19076"/>
    <s v="%"/>
    <n v="19076"/>
    <n v="22700"/>
    <n v="22700"/>
    <d v="2020-01-23T00:00:00"/>
    <s v="Pirque"/>
    <n v="22700"/>
    <x v="5"/>
    <n v="14122"/>
    <n v="4954"/>
    <n v="0.26"/>
    <m/>
  </r>
  <r>
    <n v="120"/>
    <s v="MA-0053"/>
    <x v="8"/>
    <x v="7"/>
    <x v="16"/>
    <s v="Boleta"/>
    <m/>
    <n v="6437"/>
    <n v="4358"/>
    <s v="C599"/>
    <s v="Tamara Chavez"/>
    <n v="1"/>
    <n v="13277"/>
    <s v="%"/>
    <n v="13277"/>
    <n v="15800"/>
    <n v="15800"/>
    <d v="2020-01-23T00:00:00"/>
    <s v="Pirque"/>
    <n v="60400"/>
    <x v="5"/>
    <n v="9975"/>
    <n v="3302"/>
    <n v="0.25"/>
    <m/>
  </r>
  <r>
    <n v="120"/>
    <s v="MA-136"/>
    <x v="4"/>
    <x v="4"/>
    <x v="16"/>
    <s v="Boleta"/>
    <m/>
    <n v="6437"/>
    <n v="4358"/>
    <s v="C599"/>
    <s v="Tamara Chavez"/>
    <n v="2"/>
    <n v="18739"/>
    <s v="%"/>
    <n v="18739"/>
    <n v="22300"/>
    <n v="44600"/>
    <d v="2020-01-23T00:00:00"/>
    <s v="Pirque"/>
    <n v="60400"/>
    <x v="4"/>
    <n v="14040"/>
    <n v="4699"/>
    <n v="0.25"/>
    <m/>
  </r>
  <r>
    <n v="118"/>
    <s v="MA-0035"/>
    <x v="37"/>
    <x v="16"/>
    <x v="16"/>
    <s v="Boleta"/>
    <m/>
    <n v="6435"/>
    <n v="4356"/>
    <s v="C635"/>
    <s v="Teresa Meza"/>
    <n v="1"/>
    <n v="16555"/>
    <s v="%"/>
    <n v="16555"/>
    <n v="19700"/>
    <n v="19700"/>
    <d v="2020-01-23T00:00:00"/>
    <s v="Pirque"/>
    <n v="19700"/>
    <x v="7"/>
    <n v="12429"/>
    <n v="4126"/>
    <n v="0.25"/>
    <m/>
  </r>
  <r>
    <n v="127"/>
    <s v="DE-1161"/>
    <x v="105"/>
    <x v="45"/>
    <x v="17"/>
    <s v="Factura"/>
    <m/>
    <s v="sn"/>
    <n v="4365"/>
    <s v="C016"/>
    <s v="Maria Magaly Diaz Espinoza"/>
    <n v="12"/>
    <n v="1031"/>
    <n v="0.1"/>
    <n v="939"/>
    <n v="1107"/>
    <n v="13284"/>
    <d v="2020-01-24T00:00:00"/>
    <s v="Chada"/>
    <n v="71579"/>
    <x v="19"/>
    <n v="745"/>
    <n v="195"/>
    <n v="0.21"/>
    <m/>
  </r>
  <r>
    <n v="127"/>
    <s v="MA-0042"/>
    <x v="29"/>
    <x v="17"/>
    <x v="17"/>
    <s v="Factura"/>
    <m/>
    <s v="sn"/>
    <n v="4365"/>
    <s v="C016"/>
    <s v="Maria Magaly Diaz Espinoza"/>
    <n v="1"/>
    <n v="20572"/>
    <n v="0.05"/>
    <n v="19592"/>
    <n v="23257"/>
    <n v="23257"/>
    <d v="2020-01-24T00:00:00"/>
    <s v="Chada"/>
    <n v="71579"/>
    <x v="7"/>
    <n v="14853"/>
    <n v="4739"/>
    <n v="0.24"/>
    <m/>
  </r>
  <r>
    <n v="127"/>
    <s v="MA-0053"/>
    <x v="8"/>
    <x v="7"/>
    <x v="17"/>
    <s v="Factura"/>
    <m/>
    <s v="sn"/>
    <n v="4365"/>
    <s v="C016"/>
    <s v="Maria Magaly Diaz Espinoza"/>
    <n v="1"/>
    <n v="13816"/>
    <n v="0.05"/>
    <n v="13158"/>
    <n v="15619"/>
    <n v="15619"/>
    <d v="2020-01-24T00:00:00"/>
    <s v="Chada"/>
    <n v="71579"/>
    <x v="5"/>
    <n v="9975"/>
    <n v="3183"/>
    <n v="0.24"/>
    <m/>
  </r>
  <r>
    <n v="127"/>
    <s v="AS-29"/>
    <x v="14"/>
    <x v="13"/>
    <x v="17"/>
    <s v="Factura"/>
    <m/>
    <s v="sn"/>
    <n v="4365"/>
    <s v="C016"/>
    <s v="Maria Magaly Diaz Espinoza"/>
    <n v="3"/>
    <n v="3062"/>
    <n v="0.1"/>
    <n v="2790"/>
    <n v="3288"/>
    <n v="9864"/>
    <d v="2020-01-24T00:00:00"/>
    <s v="Chada"/>
    <n v="71579"/>
    <x v="6"/>
    <n v="2100"/>
    <n v="690"/>
    <n v="0.25"/>
    <m/>
  </r>
  <r>
    <n v="127"/>
    <s v="AS-0022"/>
    <x v="52"/>
    <x v="28"/>
    <x v="17"/>
    <s v="Factura"/>
    <m/>
    <s v="sn"/>
    <n v="4365"/>
    <s v="C016"/>
    <s v="Maria Magaly Diaz Espinoza"/>
    <n v="12"/>
    <n v="741"/>
    <n v="0.1"/>
    <n v="675"/>
    <n v="796"/>
    <n v="9552"/>
    <d v="2020-01-24T00:00:00"/>
    <s v="Chada"/>
    <n v="71579"/>
    <x v="9"/>
    <n v="535"/>
    <n v="140"/>
    <n v="0.21"/>
    <m/>
  </r>
  <r>
    <n v="129"/>
    <s v="MA-0027"/>
    <x v="9"/>
    <x v="8"/>
    <x v="17"/>
    <s v="Factura"/>
    <m/>
    <s v="sn"/>
    <n v="4367"/>
    <s v="C016"/>
    <s v="Maria Magaly Diaz Espinoza"/>
    <n v="1"/>
    <n v="14391"/>
    <n v="0.05"/>
    <n v="13706"/>
    <n v="16269"/>
    <n v="16269"/>
    <d v="2020-01-24T00:00:00"/>
    <s v="Chada"/>
    <n v="16269"/>
    <x v="7"/>
    <n v="10390"/>
    <n v="3316"/>
    <n v="0.24"/>
    <m/>
  </r>
  <r>
    <n v="128"/>
    <s v="DE-0021"/>
    <x v="64"/>
    <x v="35"/>
    <x v="17"/>
    <s v="Factura"/>
    <m/>
    <s v="sn"/>
    <n v="4366"/>
    <s v="C105"/>
    <s v="Paulina Andrea Araneda Cancino"/>
    <n v="1"/>
    <n v="12185"/>
    <s v="%"/>
    <n v="12185"/>
    <n v="14500"/>
    <n v="14500"/>
    <d v="2020-01-24T00:00:00"/>
    <s v="Chada"/>
    <n v="14500"/>
    <x v="22"/>
    <n v="9360"/>
    <n v="2825"/>
    <n v="0.23"/>
    <m/>
  </r>
  <r>
    <n v="130"/>
    <s v="MA-202"/>
    <x v="104"/>
    <x v="21"/>
    <x v="18"/>
    <s v="Boleta"/>
    <m/>
    <n v="6448"/>
    <n v="4368"/>
    <s v="C503"/>
    <s v="Alvaro Belmar"/>
    <n v="1"/>
    <n v="17815"/>
    <s v="%"/>
    <n v="17815"/>
    <n v="21200"/>
    <n v="21200"/>
    <d v="2020-01-25T00:00:00"/>
    <s v="Pirque"/>
    <n v="57500"/>
    <x v="5"/>
    <n v="13279"/>
    <n v="4536"/>
    <n v="0.25"/>
    <m/>
  </r>
  <r>
    <n v="130"/>
    <s v="DE-924"/>
    <x v="106"/>
    <x v="0"/>
    <x v="18"/>
    <s v="Boleta"/>
    <m/>
    <n v="6448"/>
    <n v="4368"/>
    <s v="C503"/>
    <s v="Alvaro Belmar"/>
    <n v="2"/>
    <n v="8571"/>
    <s v="%"/>
    <n v="8571"/>
    <n v="10200"/>
    <n v="20400"/>
    <d v="2020-01-25T00:00:00"/>
    <s v="Pirque"/>
    <n v="57500"/>
    <x v="10"/>
    <n v="6000"/>
    <n v="2571"/>
    <n v="0.3"/>
    <m/>
  </r>
  <r>
    <n v="130"/>
    <s v="DE-880"/>
    <x v="36"/>
    <x v="11"/>
    <x v="18"/>
    <s v="Boleta"/>
    <m/>
    <n v="6448"/>
    <n v="4368"/>
    <s v="C503"/>
    <s v="Alvaro Belmar"/>
    <n v="2"/>
    <n v="3529"/>
    <s v="%"/>
    <n v="3529"/>
    <n v="4200"/>
    <n v="8400"/>
    <d v="2020-01-25T00:00:00"/>
    <s v="Pirque"/>
    <n v="57500"/>
    <x v="10"/>
    <n v="2408"/>
    <n v="1121"/>
    <n v="0.32"/>
    <m/>
  </r>
  <r>
    <n v="130"/>
    <s v="DE-0509"/>
    <x v="107"/>
    <x v="9"/>
    <x v="18"/>
    <s v="Boleta"/>
    <m/>
    <n v="6448"/>
    <n v="4368"/>
    <s v="C503"/>
    <s v="Alvaro Belmar"/>
    <n v="1"/>
    <n v="6303"/>
    <s v="%"/>
    <n v="6303"/>
    <n v="7500"/>
    <n v="7500"/>
    <d v="2020-01-25T00:00:00"/>
    <s v="Pirque"/>
    <n v="57500"/>
    <x v="8"/>
    <n v="5042"/>
    <n v="1261"/>
    <n v="0.2"/>
    <m/>
  </r>
  <r>
    <n v="131"/>
    <s v="DE-0027"/>
    <x v="108"/>
    <x v="46"/>
    <x v="18"/>
    <s v="Boleta"/>
    <m/>
    <n v="6448"/>
    <n v="4369"/>
    <s v="C503"/>
    <s v="Alvaro Belmar"/>
    <n v="2"/>
    <n v="3639"/>
    <s v="%"/>
    <n v="3639"/>
    <n v="4330"/>
    <n v="8660"/>
    <d v="2020-01-25T00:00:00"/>
    <s v="Pirque"/>
    <n v="8660"/>
    <x v="28"/>
    <n v="2547"/>
    <n v="1092"/>
    <n v="0.3"/>
    <m/>
  </r>
  <r>
    <n v="134"/>
    <s v="MA-0035"/>
    <x v="37"/>
    <x v="16"/>
    <x v="18"/>
    <s v="Boleta"/>
    <m/>
    <n v="6447"/>
    <n v="4372"/>
    <s v="C390"/>
    <s v="Auria Villanueva"/>
    <n v="1"/>
    <n v="16555"/>
    <s v="%"/>
    <n v="16555"/>
    <n v="19700"/>
    <n v="19700"/>
    <d v="2020-01-25T00:00:00"/>
    <s v="Pirque"/>
    <n v="19700"/>
    <x v="7"/>
    <n v="12429"/>
    <n v="4126"/>
    <n v="0.25"/>
    <m/>
  </r>
  <r>
    <n v="132"/>
    <s v="MA-193"/>
    <x v="38"/>
    <x v="20"/>
    <x v="18"/>
    <s v="Boleta"/>
    <m/>
    <n v="6451"/>
    <n v="4370"/>
    <s v="C518"/>
    <s v="Fernando Reyes"/>
    <n v="2"/>
    <n v="29832"/>
    <s v="%"/>
    <n v="29832"/>
    <n v="35500"/>
    <n v="71000"/>
    <d v="2020-01-27T00:00:00"/>
    <s v="Pirque"/>
    <n v="71000"/>
    <x v="11"/>
    <n v="26207"/>
    <n v="3625"/>
    <n v="0.12"/>
    <m/>
  </r>
  <r>
    <n v="139"/>
    <s v="MA-183"/>
    <x v="109"/>
    <x v="47"/>
    <x v="18"/>
    <s v="Boleta"/>
    <m/>
    <n v="6451"/>
    <n v="4377"/>
    <s v="C518"/>
    <s v="Fernando Reyes"/>
    <n v="1"/>
    <n v="21429"/>
    <s v="%"/>
    <n v="21429"/>
    <n v="25500"/>
    <n v="25500"/>
    <d v="2020-01-27T00:00:00"/>
    <s v="Pirque"/>
    <n v="25500"/>
    <x v="11"/>
    <n v="18726"/>
    <n v="2703"/>
    <n v="0.13"/>
    <m/>
  </r>
  <r>
    <n v="137"/>
    <s v="AS-29"/>
    <x v="14"/>
    <x v="13"/>
    <x v="18"/>
    <s v="Boleta"/>
    <m/>
    <n v="6444"/>
    <n v="4375"/>
    <s v="C455"/>
    <s v="Grace Moore"/>
    <n v="6"/>
    <n v="3193"/>
    <s v="%"/>
    <n v="3193"/>
    <n v="3800"/>
    <n v="22800"/>
    <d v="2020-01-25T00:00:00"/>
    <s v="Pirque"/>
    <n v="22800"/>
    <x v="6"/>
    <n v="2100"/>
    <n v="1093"/>
    <n v="0.34"/>
    <m/>
  </r>
  <r>
    <n v="138"/>
    <s v="MA-193"/>
    <x v="38"/>
    <x v="20"/>
    <x v="18"/>
    <s v="Boleta"/>
    <m/>
    <n v="6450"/>
    <n v="4376"/>
    <s v="C534"/>
    <s v="Helga Nagilschmitz"/>
    <n v="2"/>
    <n v="29832"/>
    <s v="%"/>
    <n v="29832"/>
    <n v="35500"/>
    <n v="71000"/>
    <d v="2020-01-29T00:00:00"/>
    <s v="Pirque"/>
    <n v="71000"/>
    <x v="11"/>
    <n v="26207"/>
    <n v="3625"/>
    <n v="0.12"/>
    <m/>
  </r>
  <r>
    <n v="136"/>
    <s v="MA-0027"/>
    <x v="9"/>
    <x v="8"/>
    <x v="18"/>
    <s v="Boleta"/>
    <m/>
    <n v="6445"/>
    <n v="4374"/>
    <s v="C342"/>
    <s v="Julio Cesar Contreras"/>
    <n v="1"/>
    <n v="13866"/>
    <s v="%"/>
    <n v="13866"/>
    <n v="16500"/>
    <n v="16500"/>
    <d v="2020-01-25T00:00:00"/>
    <s v="Pirque"/>
    <n v="26700"/>
    <x v="7"/>
    <n v="10390"/>
    <n v="3476"/>
    <n v="0.25"/>
    <m/>
  </r>
  <r>
    <n v="136"/>
    <s v="MA-0046"/>
    <x v="46"/>
    <x v="17"/>
    <x v="18"/>
    <s v="Boleta"/>
    <m/>
    <n v="6445"/>
    <n v="4374"/>
    <s v="C342"/>
    <s v="Julio Cesar Contreras"/>
    <n v="1"/>
    <n v="8571"/>
    <s v="%"/>
    <n v="8571"/>
    <n v="10200"/>
    <n v="10200"/>
    <d v="2020-01-25T00:00:00"/>
    <s v="Pirque"/>
    <n v="26700"/>
    <x v="7"/>
    <n v="5992"/>
    <n v="2579"/>
    <n v="0.3"/>
    <m/>
  </r>
  <r>
    <n v="135"/>
    <s v="GR-0055"/>
    <x v="31"/>
    <x v="18"/>
    <x v="18"/>
    <s v="Boleta"/>
    <m/>
    <n v="6446"/>
    <n v="4373"/>
    <s v="C644"/>
    <s v="Marta Bravo"/>
    <n v="1"/>
    <n v="19328"/>
    <s v="%"/>
    <n v="19328"/>
    <n v="23000"/>
    <n v="23000"/>
    <d v="2020-01-25T00:00:00"/>
    <s v="Pirque"/>
    <n v="23000"/>
    <x v="5"/>
    <n v="14604"/>
    <n v="4724"/>
    <n v="0.24"/>
    <m/>
  </r>
  <r>
    <n v="133"/>
    <s v="MA-0035"/>
    <x v="37"/>
    <x v="16"/>
    <x v="18"/>
    <s v="Boleta"/>
    <m/>
    <n v="6449"/>
    <n v="4371"/>
    <s v="C106"/>
    <s v="Pilar Luan"/>
    <n v="1"/>
    <n v="16555"/>
    <s v="%"/>
    <n v="16555"/>
    <n v="19700"/>
    <n v="19700"/>
    <d v="2020-01-25T00:00:00"/>
    <s v="Pirque"/>
    <n v="19700"/>
    <x v="7"/>
    <n v="12429"/>
    <n v="4126"/>
    <n v="0.25"/>
    <m/>
  </r>
  <r>
    <n v="143"/>
    <s v="MA-162"/>
    <x v="110"/>
    <x v="48"/>
    <x v="19"/>
    <s v="Boleta"/>
    <m/>
    <n v="6455"/>
    <n v="4381"/>
    <s v="C434"/>
    <s v="Betty Ravillot"/>
    <n v="1"/>
    <n v="28151"/>
    <s v="%"/>
    <n v="28151"/>
    <n v="33500"/>
    <n v="33500"/>
    <d v="2020-01-27T00:00:00"/>
    <s v="Pirque"/>
    <n v="33500"/>
    <x v="5"/>
    <n v="21094"/>
    <n v="7057"/>
    <n v="0.25"/>
    <m/>
  </r>
  <r>
    <n v="140"/>
    <s v="DE-593"/>
    <x v="27"/>
    <x v="9"/>
    <x v="19"/>
    <s v="Boleta"/>
    <m/>
    <n v="6452"/>
    <n v="4378"/>
    <s v="C032"/>
    <s v="Carlos Jobbe-Duval"/>
    <n v="2"/>
    <n v="20588"/>
    <s v="%"/>
    <n v="20588"/>
    <n v="24500"/>
    <n v="49000"/>
    <d v="2020-01-25T00:00:00"/>
    <s v="Pirque"/>
    <n v="49000"/>
    <x v="8"/>
    <n v="16387"/>
    <n v="4201"/>
    <n v="0.2"/>
    <m/>
  </r>
  <r>
    <n v="142"/>
    <s v="MA-191"/>
    <x v="57"/>
    <x v="12"/>
    <x v="19"/>
    <s v="Boleta"/>
    <m/>
    <n v="6454"/>
    <n v="4380"/>
    <s v="C344"/>
    <s v="Monica Aedo"/>
    <n v="1"/>
    <n v="25546"/>
    <s v="%"/>
    <n v="26471"/>
    <n v="31500"/>
    <n v="31500"/>
    <d v="2020-01-27T00:00:00"/>
    <s v="Pirque"/>
    <n v="31500"/>
    <x v="11"/>
    <n v="20442"/>
    <n v="5104"/>
    <n v="0.2"/>
    <m/>
  </r>
  <r>
    <n v="141"/>
    <s v="MA-121"/>
    <x v="111"/>
    <x v="4"/>
    <x v="19"/>
    <s v="Boleta"/>
    <m/>
    <n v="6453"/>
    <n v="4379"/>
    <s v="C065"/>
    <s v="Peter De Lamare"/>
    <n v="1"/>
    <n v="19496"/>
    <s v="%"/>
    <n v="19496"/>
    <n v="23200"/>
    <n v="23200"/>
    <d v="2020-01-27T00:00:00"/>
    <s v="Pirque"/>
    <n v="35950"/>
    <x v="4"/>
    <n v="14700"/>
    <n v="4796"/>
    <n v="0.25"/>
    <m/>
  </r>
  <r>
    <n v="141"/>
    <s v="MA-164"/>
    <x v="112"/>
    <x v="4"/>
    <x v="19"/>
    <s v="Boleta"/>
    <m/>
    <n v="6453"/>
    <n v="4379"/>
    <s v="C065"/>
    <s v="Peter De Lamare"/>
    <n v="2"/>
    <n v="4790"/>
    <s v="%"/>
    <n v="4790"/>
    <n v="5700"/>
    <n v="11400"/>
    <d v="2020-01-27T00:00:00"/>
    <s v="Pirque"/>
    <n v="35950"/>
    <x v="4"/>
    <n v="3360"/>
    <n v="1430"/>
    <n v="0.3"/>
    <m/>
  </r>
  <r>
    <n v="141"/>
    <s v="DE-550"/>
    <x v="1"/>
    <x v="1"/>
    <x v="19"/>
    <s v="Boleta"/>
    <m/>
    <n v="6453"/>
    <n v="4379"/>
    <s v="C065"/>
    <s v="Peter De Lamare"/>
    <n v="3"/>
    <n v="378"/>
    <s v="%"/>
    <n v="378"/>
    <n v="450"/>
    <n v="1350"/>
    <d v="2020-01-27T00:00:00"/>
    <s v="Pirque"/>
    <n v="35950"/>
    <x v="1"/>
    <n v="265"/>
    <n v="113"/>
    <n v="0.3"/>
    <m/>
  </r>
  <r>
    <n v="147"/>
    <s v="MA-0027"/>
    <x v="9"/>
    <x v="8"/>
    <x v="20"/>
    <s v="Boleta"/>
    <m/>
    <n v="6457"/>
    <n v="4385"/>
    <s v="C572"/>
    <s v="Aldo Tapia"/>
    <n v="1"/>
    <n v="13866"/>
    <s v="%"/>
    <n v="13866"/>
    <n v="16500"/>
    <n v="16500"/>
    <d v="2020-01-28T00:00:00"/>
    <s v="Pirque"/>
    <n v="16500"/>
    <x v="7"/>
    <n v="10390"/>
    <n v="3476"/>
    <n v="0.25"/>
    <m/>
  </r>
  <r>
    <n v="151"/>
    <s v="MA-0035"/>
    <x v="37"/>
    <x v="16"/>
    <x v="20"/>
    <s v="Boleta"/>
    <m/>
    <n v="6461"/>
    <n v="4389"/>
    <s v="C558"/>
    <s v="Carola Pardo"/>
    <n v="1"/>
    <n v="16555"/>
    <s v="%"/>
    <n v="16555"/>
    <n v="19700"/>
    <n v="19700"/>
    <d v="2020-01-28T00:00:00"/>
    <s v="Pirque"/>
    <n v="19700"/>
    <x v="7"/>
    <n v="12429"/>
    <n v="4126"/>
    <n v="0.25"/>
    <m/>
  </r>
  <r>
    <n v="148"/>
    <s v="AS-29"/>
    <x v="14"/>
    <x v="13"/>
    <x v="20"/>
    <s v="Boleta"/>
    <m/>
    <n v="6458"/>
    <n v="4386"/>
    <s v="C086"/>
    <s v="Cristian Guillermo Ortiz Gonzalez"/>
    <n v="3"/>
    <n v="3193"/>
    <s v="%"/>
    <n v="3193"/>
    <n v="3800"/>
    <n v="11400"/>
    <d v="2020-01-28T00:00:00"/>
    <s v="Pirque"/>
    <n v="11400"/>
    <x v="6"/>
    <n v="2100"/>
    <n v="1093"/>
    <n v="0.34"/>
    <m/>
  </r>
  <r>
    <n v="149"/>
    <s v="MA-0001"/>
    <x v="101"/>
    <x v="18"/>
    <x v="20"/>
    <s v="Boleta"/>
    <m/>
    <n v="6459"/>
    <n v="4387"/>
    <s v="C045"/>
    <s v="Jeanny Andrea Arranz Cordero"/>
    <n v="2"/>
    <n v="20084"/>
    <s v="%"/>
    <n v="20084"/>
    <n v="23900"/>
    <n v="47800"/>
    <d v="2020-01-28T00:00:00"/>
    <s v="Pirque"/>
    <n v="47800"/>
    <x v="5"/>
    <n v="14604"/>
    <n v="5480"/>
    <n v="0.27"/>
    <m/>
  </r>
  <r>
    <n v="144"/>
    <s v="AS-0026"/>
    <x v="59"/>
    <x v="10"/>
    <x v="20"/>
    <s v="Factura"/>
    <m/>
    <s v="sn"/>
    <n v="4382"/>
    <s v="C035"/>
    <s v="Jimena Isabel Alfaro Navarro"/>
    <n v="6"/>
    <n v="3248"/>
    <n v="0.09"/>
    <n v="2980"/>
    <n v="3517"/>
    <n v="21102"/>
    <d v="2020-01-31T00:00:00"/>
    <s v="Chada"/>
    <n v="21103"/>
    <x v="9"/>
    <n v="2345"/>
    <n v="635"/>
    <n v="0.21"/>
    <m/>
  </r>
  <r>
    <n v="146"/>
    <s v="AS-29"/>
    <x v="14"/>
    <x v="13"/>
    <x v="20"/>
    <s v="Boleta"/>
    <m/>
    <n v="6456"/>
    <n v="4384"/>
    <s v="C496"/>
    <s v="Juan Jose Torres"/>
    <n v="1"/>
    <n v="3193"/>
    <s v="%"/>
    <n v="3193"/>
    <n v="3800"/>
    <n v="3800"/>
    <d v="2020-01-28T00:00:00"/>
    <s v="Pirque"/>
    <n v="3800"/>
    <x v="6"/>
    <n v="2100"/>
    <n v="1093"/>
    <n v="0.34"/>
    <m/>
  </r>
  <r>
    <n v="150"/>
    <s v="MA-0027"/>
    <x v="9"/>
    <x v="8"/>
    <x v="20"/>
    <s v="Boleta"/>
    <m/>
    <n v="6460"/>
    <n v="4388"/>
    <s v="C612"/>
    <s v="Manuel Ponce"/>
    <n v="1"/>
    <n v="13866"/>
    <s v="%"/>
    <n v="13866"/>
    <n v="16500"/>
    <n v="16500"/>
    <d v="2020-01-28T00:00:00"/>
    <s v="Pirque"/>
    <n v="53100"/>
    <x v="7"/>
    <n v="10390"/>
    <n v="3476"/>
    <n v="0.25"/>
    <m/>
  </r>
  <r>
    <n v="150"/>
    <s v="AS-0035"/>
    <x v="33"/>
    <x v="6"/>
    <x v="20"/>
    <s v="Boleta"/>
    <m/>
    <n v="6460"/>
    <n v="4388"/>
    <s v="C612"/>
    <s v="Manuel Ponce"/>
    <n v="2"/>
    <n v="3193"/>
    <s v="%"/>
    <n v="3193"/>
    <n v="3800"/>
    <n v="7600"/>
    <d v="2020-01-28T00:00:00"/>
    <s v="Pirque"/>
    <n v="53100"/>
    <x v="6"/>
    <n v="2195"/>
    <n v="998"/>
    <n v="0.31"/>
    <m/>
  </r>
  <r>
    <n v="150"/>
    <s v="AS-29"/>
    <x v="14"/>
    <x v="13"/>
    <x v="20"/>
    <s v="Boleta"/>
    <m/>
    <n v="6460"/>
    <n v="4388"/>
    <s v="C612"/>
    <s v="Manuel Ponce"/>
    <n v="2"/>
    <n v="3193"/>
    <s v="%"/>
    <n v="3193"/>
    <n v="3800"/>
    <n v="7600"/>
    <d v="2020-01-28T00:00:00"/>
    <s v="Pirque"/>
    <n v="53100"/>
    <x v="6"/>
    <n v="2100"/>
    <n v="1093"/>
    <n v="0.34"/>
    <m/>
  </r>
  <r>
    <n v="150"/>
    <s v="AS-42"/>
    <x v="7"/>
    <x v="6"/>
    <x v="20"/>
    <s v="Boleta"/>
    <m/>
    <n v="6460"/>
    <n v="4388"/>
    <s v="C612"/>
    <s v="Manuel Ponce"/>
    <n v="2"/>
    <n v="2101"/>
    <s v="%"/>
    <n v="2101"/>
    <n v="2500"/>
    <n v="5000"/>
    <d v="2020-01-28T00:00:00"/>
    <s v="Pirque"/>
    <n v="53100"/>
    <x v="6"/>
    <n v="850"/>
    <n v="1251"/>
    <n v="0.6"/>
    <m/>
  </r>
  <r>
    <n v="150"/>
    <s v="AS-45"/>
    <x v="15"/>
    <x v="6"/>
    <x v="20"/>
    <s v="Boleta"/>
    <m/>
    <n v="6460"/>
    <n v="4388"/>
    <s v="C612"/>
    <s v="Manuel Ponce"/>
    <n v="2"/>
    <n v="2017"/>
    <s v="%"/>
    <n v="2017"/>
    <n v="2400"/>
    <n v="4800"/>
    <d v="2020-01-28T00:00:00"/>
    <s v="Pirque"/>
    <n v="53100"/>
    <x v="6"/>
    <n v="1150"/>
    <n v="867"/>
    <n v="0.43"/>
    <m/>
  </r>
  <r>
    <n v="150"/>
    <s v="AS-0034"/>
    <x v="26"/>
    <x v="13"/>
    <x v="20"/>
    <s v="Boleta"/>
    <m/>
    <n v="6460"/>
    <n v="4388"/>
    <s v="C612"/>
    <s v="Manuel Ponce"/>
    <n v="2"/>
    <n v="4874"/>
    <s v="%"/>
    <n v="4874"/>
    <n v="5800"/>
    <n v="11600"/>
    <d v="2020-01-28T00:00:00"/>
    <s v="Pirque"/>
    <n v="53100"/>
    <x v="6"/>
    <n v="2400"/>
    <n v="2474"/>
    <n v="0.51"/>
    <m/>
  </r>
  <r>
    <n v="145"/>
    <s v="DE-1165"/>
    <x v="90"/>
    <x v="31"/>
    <x v="20"/>
    <s v="Factura"/>
    <m/>
    <s v="sn"/>
    <n v="4383"/>
    <s v="C554"/>
    <s v="Minimarket Doña Olga SPA"/>
    <n v="60"/>
    <n v="741"/>
    <n v="0.09"/>
    <n v="680"/>
    <n v="802"/>
    <n v="48120"/>
    <d v="2020-01-31T00:00:00"/>
    <s v="Chada"/>
    <n v="65289"/>
    <x v="9"/>
    <n v="535"/>
    <n v="145"/>
    <n v="0.21"/>
    <m/>
  </r>
  <r>
    <n v="145"/>
    <s v="MA-0102"/>
    <x v="50"/>
    <x v="4"/>
    <x v="20"/>
    <s v="Factura"/>
    <m/>
    <s v="sn"/>
    <n v="4383"/>
    <s v="C554"/>
    <s v="Minimarket Doña Olga SPA"/>
    <n v="18"/>
    <n v="880"/>
    <n v="0.09"/>
    <n v="807"/>
    <n v="952"/>
    <n v="17136"/>
    <d v="2020-01-31T00:00:00"/>
    <s v="Chada"/>
    <n v="65289"/>
    <x v="4"/>
    <n v="635"/>
    <n v="172"/>
    <n v="0.21"/>
    <m/>
  </r>
  <r>
    <n v="157"/>
    <s v="MA-0053"/>
    <x v="8"/>
    <x v="7"/>
    <x v="21"/>
    <s v="Boleta"/>
    <m/>
    <n v="6465"/>
    <n v="4395"/>
    <s v="C445"/>
    <s v="Carmen Nuñez"/>
    <n v="1"/>
    <n v="13277"/>
    <s v="%"/>
    <n v="13277"/>
    <n v="15800"/>
    <n v="15800"/>
    <d v="2020-01-29T00:00:00"/>
    <s v="Pirque"/>
    <n v="15800"/>
    <x v="5"/>
    <n v="9975"/>
    <n v="3302"/>
    <n v="0.25"/>
    <m/>
  </r>
  <r>
    <n v="153"/>
    <s v="MA-0027"/>
    <x v="9"/>
    <x v="8"/>
    <x v="21"/>
    <s v="Boleta"/>
    <m/>
    <n v="6462"/>
    <n v="4391"/>
    <s v="C641"/>
    <s v="Cristian Alvarez"/>
    <n v="1"/>
    <n v="13866"/>
    <s v="%"/>
    <n v="13866"/>
    <n v="16500"/>
    <n v="16500"/>
    <d v="2020-01-29T00:00:00"/>
    <s v="Cajon"/>
    <n v="16500"/>
    <x v="7"/>
    <n v="10390"/>
    <n v="3476"/>
    <n v="0.25"/>
    <m/>
  </r>
  <r>
    <n v="155"/>
    <s v="MA-0001"/>
    <x v="101"/>
    <x v="18"/>
    <x v="21"/>
    <s v="Boleta"/>
    <m/>
    <n v="6464"/>
    <n v="4393"/>
    <s v="C651"/>
    <s v="Javier Santander"/>
    <n v="1"/>
    <n v="20084"/>
    <s v="%"/>
    <n v="20084"/>
    <n v="23900"/>
    <n v="23900"/>
    <d v="2020-01-29T00:00:00"/>
    <s v="Pirque"/>
    <n v="23900"/>
    <x v="5"/>
    <n v="14604"/>
    <n v="5480"/>
    <n v="0.27"/>
    <m/>
  </r>
  <r>
    <n v="158"/>
    <s v="MA-214"/>
    <x v="13"/>
    <x v="12"/>
    <x v="21"/>
    <s v="Boleta"/>
    <m/>
    <n v="6466"/>
    <n v="4396"/>
    <s v="C536"/>
    <s v="Katherine Gonzalez"/>
    <n v="4"/>
    <n v="26471"/>
    <n v="0.05"/>
    <n v="25191"/>
    <n v="29900"/>
    <n v="119600"/>
    <d v="2020-01-29T00:00:00"/>
    <s v="Pirque"/>
    <n v="119600"/>
    <x v="11"/>
    <n v="21183"/>
    <n v="4008"/>
    <n v="0.16"/>
    <m/>
  </r>
  <r>
    <n v="154"/>
    <s v="MA-0027"/>
    <x v="9"/>
    <x v="8"/>
    <x v="21"/>
    <s v="Boleta"/>
    <m/>
    <n v="6463"/>
    <n v="4392"/>
    <s v="C619"/>
    <s v="Luz Maria Streeter"/>
    <n v="2"/>
    <n v="13866"/>
    <s v="%"/>
    <n v="13866"/>
    <n v="16500"/>
    <n v="33000"/>
    <d v="2020-01-29T00:00:00"/>
    <s v="Cajon"/>
    <n v="33000"/>
    <x v="7"/>
    <n v="10390"/>
    <n v="3476"/>
    <n v="0.25"/>
    <m/>
  </r>
  <r>
    <n v="152"/>
    <s v="MA-0046"/>
    <x v="46"/>
    <x v="17"/>
    <x v="21"/>
    <s v="Factura"/>
    <m/>
    <s v="sn"/>
    <n v="4390"/>
    <s v="C085"/>
    <s v="Sandra Paola Rojas Orellana"/>
    <n v="5"/>
    <n v="8914"/>
    <n v="0.09"/>
    <n v="8178"/>
    <n v="9653"/>
    <n v="48265"/>
    <d v="2020-01-31T00:00:00"/>
    <s v="Chada"/>
    <n v="48266"/>
    <x v="7"/>
    <n v="6436"/>
    <n v="1742"/>
    <n v="0.21"/>
    <m/>
  </r>
  <r>
    <n v="156"/>
    <s v="DE-1054"/>
    <x v="113"/>
    <x v="45"/>
    <x v="21"/>
    <s v="Boleta"/>
    <m/>
    <s v="snj"/>
    <n v="4394"/>
    <s v="C652"/>
    <s v="Verito Don Rafa"/>
    <n v="10"/>
    <n v="893"/>
    <n v="7.0000000000000007E-2"/>
    <n v="835"/>
    <n v="988"/>
    <n v="9880"/>
    <d v="2020-01-29T00:00:00"/>
    <s v="Cajon"/>
    <n v="9881"/>
    <x v="19"/>
    <n v="625"/>
    <n v="210"/>
    <n v="0.25"/>
    <m/>
  </r>
  <r>
    <n v="163"/>
    <s v="GR-0055"/>
    <x v="31"/>
    <x v="18"/>
    <x v="22"/>
    <s v="Boleta"/>
    <m/>
    <n v="6470"/>
    <n v="4401"/>
    <s v="C584"/>
    <s v="Alejandra Hamame"/>
    <n v="1"/>
    <n v="19328"/>
    <s v="%"/>
    <n v="19328"/>
    <n v="23000"/>
    <n v="23000"/>
    <d v="2020-01-30T00:00:00"/>
    <s v="Pirque"/>
    <n v="35500"/>
    <x v="5"/>
    <n v="14604"/>
    <n v="4724"/>
    <n v="0.24"/>
    <m/>
  </r>
  <r>
    <n v="163"/>
    <s v="MA-118"/>
    <x v="32"/>
    <x v="18"/>
    <x v="22"/>
    <s v="Boleta"/>
    <m/>
    <n v="6470"/>
    <n v="4401"/>
    <s v="C584"/>
    <s v="Alejandra Hamame"/>
    <n v="1"/>
    <n v="10504"/>
    <s v="%"/>
    <n v="10504"/>
    <n v="12500"/>
    <n v="12500"/>
    <d v="2020-01-30T00:00:00"/>
    <s v="Pirque"/>
    <n v="35500"/>
    <x v="5"/>
    <n v="7956"/>
    <n v="2548"/>
    <n v="0.24"/>
    <m/>
  </r>
  <r>
    <n v="161"/>
    <s v="MA-0053"/>
    <x v="8"/>
    <x v="7"/>
    <x v="22"/>
    <s v="Boleta"/>
    <m/>
    <n v="6468"/>
    <n v="4399"/>
    <s v="C116"/>
    <s v="Angelica Bravo"/>
    <n v="1"/>
    <n v="13277"/>
    <s v="%"/>
    <n v="13277"/>
    <n v="15800"/>
    <n v="15800"/>
    <d v="2020-01-30T00:00:00"/>
    <s v="Pirque"/>
    <n v="15800"/>
    <x v="5"/>
    <n v="9975"/>
    <n v="3302"/>
    <n v="0.25"/>
    <m/>
  </r>
  <r>
    <n v="160"/>
    <s v="MA-0027"/>
    <x v="9"/>
    <x v="8"/>
    <x v="22"/>
    <s v="Boleta"/>
    <m/>
    <n v="6467"/>
    <n v="4398"/>
    <s v="C509"/>
    <s v="Herman Mayenberger"/>
    <n v="3"/>
    <n v="13866"/>
    <s v="%"/>
    <n v="13866"/>
    <n v="16500"/>
    <n v="49500"/>
    <d v="2020-01-30T00:00:00"/>
    <s v="Pirque"/>
    <n v="49500"/>
    <x v="7"/>
    <n v="10390"/>
    <n v="3476"/>
    <n v="0.25"/>
    <m/>
  </r>
  <r>
    <n v="162"/>
    <s v="MA-0053"/>
    <x v="8"/>
    <x v="7"/>
    <x v="22"/>
    <s v="Boleta"/>
    <m/>
    <n v="6469"/>
    <n v="4400"/>
    <s v="C136"/>
    <s v="Lily Caballero"/>
    <n v="2"/>
    <n v="13277"/>
    <s v="%"/>
    <n v="13277"/>
    <n v="15800"/>
    <n v="31600"/>
    <d v="2020-01-30T00:00:00"/>
    <s v="Pirque"/>
    <n v="31600"/>
    <x v="5"/>
    <n v="9975"/>
    <n v="3302"/>
    <n v="0.25"/>
    <m/>
  </r>
  <r>
    <n v="164"/>
    <s v="MA-0040"/>
    <x v="28"/>
    <x v="16"/>
    <x v="22"/>
    <s v="Boleta"/>
    <m/>
    <n v="6471"/>
    <n v="4402"/>
    <s v="C620"/>
    <s v="Luz Maria Ossandon"/>
    <n v="1"/>
    <n v="16723"/>
    <s v="%"/>
    <n v="16723"/>
    <n v="19900"/>
    <n v="19900"/>
    <d v="2020-01-30T00:00:00"/>
    <s v="Pirque"/>
    <n v="19900"/>
    <x v="7"/>
    <n v="11888"/>
    <n v="4835"/>
    <n v="0.28999999999999998"/>
    <m/>
  </r>
  <r>
    <n v="167"/>
    <s v="AS-0039"/>
    <x v="39"/>
    <x v="6"/>
    <x v="22"/>
    <s v="Boleta"/>
    <m/>
    <n v="6474"/>
    <n v="4405"/>
    <s v="C490"/>
    <s v="Matias Moreno"/>
    <n v="20"/>
    <n v="2941"/>
    <s v="%"/>
    <n v="2941"/>
    <n v="3500"/>
    <n v="70000"/>
    <d v="2020-01-31T00:00:00"/>
    <s v="Chada"/>
    <n v="284000"/>
    <x v="6"/>
    <n v="2119"/>
    <n v="822"/>
    <n v="0.28000000000000003"/>
    <m/>
  </r>
  <r>
    <n v="167"/>
    <s v="AS-42"/>
    <x v="7"/>
    <x v="6"/>
    <x v="22"/>
    <s v="Boleta"/>
    <m/>
    <n v="6474"/>
    <n v="4405"/>
    <s v="C490"/>
    <s v="Matias Moreno"/>
    <n v="20"/>
    <n v="2101"/>
    <s v="%"/>
    <n v="2101"/>
    <n v="2500"/>
    <n v="50000"/>
    <d v="2020-01-31T00:00:00"/>
    <s v="Chada"/>
    <n v="284000"/>
    <x v="6"/>
    <n v="850"/>
    <n v="1251"/>
    <n v="0.6"/>
    <m/>
  </r>
  <r>
    <n v="167"/>
    <s v="AS-45"/>
    <x v="15"/>
    <x v="6"/>
    <x v="22"/>
    <s v="Boleta"/>
    <m/>
    <n v="6474"/>
    <n v="4405"/>
    <s v="C490"/>
    <s v="Matias Moreno"/>
    <n v="20"/>
    <n v="2017"/>
    <s v="%"/>
    <n v="2017"/>
    <n v="2400"/>
    <n v="48000"/>
    <d v="2020-01-31T00:00:00"/>
    <s v="Chada"/>
    <n v="284000"/>
    <x v="6"/>
    <n v="1150"/>
    <n v="867"/>
    <n v="0.43"/>
    <m/>
  </r>
  <r>
    <n v="167"/>
    <s v="AS-0034"/>
    <x v="26"/>
    <x v="13"/>
    <x v="22"/>
    <s v="Boleta"/>
    <m/>
    <n v="6474"/>
    <n v="4405"/>
    <s v="C490"/>
    <s v="Matias Moreno"/>
    <n v="20"/>
    <n v="4874"/>
    <s v="%"/>
    <n v="4874"/>
    <n v="5800"/>
    <n v="116000"/>
    <d v="2020-01-31T00:00:00"/>
    <s v="Chada"/>
    <n v="284000"/>
    <x v="6"/>
    <n v="2400"/>
    <n v="2474"/>
    <n v="0.51"/>
    <m/>
  </r>
  <r>
    <n v="159"/>
    <s v="MA-0035"/>
    <x v="37"/>
    <x v="16"/>
    <x v="22"/>
    <s v="Factura"/>
    <m/>
    <s v="sn"/>
    <n v="4397"/>
    <s v="C068"/>
    <s v="Riddellco"/>
    <n v="1"/>
    <n v="17215"/>
    <n v="0.05"/>
    <n v="16395"/>
    <n v="19461"/>
    <n v="19461"/>
    <d v="2020-01-30T00:00:00"/>
    <s v="Pirque"/>
    <n v="19461"/>
    <x v="7"/>
    <n v="12429"/>
    <n v="3966"/>
    <n v="0.24"/>
    <m/>
  </r>
  <r>
    <n v="165"/>
    <s v="DE-1003"/>
    <x v="0"/>
    <x v="0"/>
    <x v="22"/>
    <s v="Factura"/>
    <m/>
    <s v="OC 08"/>
    <n v="4403"/>
    <s v="C020"/>
    <s v="Sabores y Vinos Bernardita Munita EIRL"/>
    <n v="6"/>
    <n v="7895"/>
    <s v="%"/>
    <n v="7895"/>
    <n v="9395"/>
    <n v="56370"/>
    <d v="2020-01-30T00:00:00"/>
    <s v="Pirque"/>
    <n v="181076"/>
    <x v="10"/>
    <n v="6000"/>
    <n v="1895"/>
    <n v="0.24"/>
    <m/>
  </r>
  <r>
    <n v="165"/>
    <s v="DE-880"/>
    <x v="36"/>
    <x v="11"/>
    <x v="22"/>
    <s v="Factura"/>
    <m/>
    <s v="OC 08"/>
    <n v="4403"/>
    <s v="C020"/>
    <s v="Sabores y Vinos Bernardita Munita EIRL"/>
    <n v="12"/>
    <n v="3335"/>
    <s v="%"/>
    <n v="3335"/>
    <n v="3969"/>
    <n v="47628"/>
    <d v="2020-01-30T00:00:00"/>
    <s v="Pirque"/>
    <n v="181076"/>
    <x v="10"/>
    <n v="2408"/>
    <n v="927"/>
    <n v="0.28000000000000003"/>
    <m/>
  </r>
  <r>
    <n v="165"/>
    <s v="DE-569"/>
    <x v="10"/>
    <x v="9"/>
    <x v="22"/>
    <s v="Factura"/>
    <m/>
    <s v="OC 08"/>
    <n v="4403"/>
    <s v="C020"/>
    <s v="Sabores y Vinos Bernardita Munita EIRL"/>
    <n v="2"/>
    <n v="20084"/>
    <s v="%"/>
    <n v="20084"/>
    <n v="23900"/>
    <n v="47800"/>
    <d v="2020-01-30T00:00:00"/>
    <s v="Pirque"/>
    <n v="181076"/>
    <x v="8"/>
    <n v="16386"/>
    <n v="3698"/>
    <n v="0.18"/>
    <m/>
  </r>
  <r>
    <n v="165"/>
    <s v="AS-0024"/>
    <x v="11"/>
    <x v="10"/>
    <x v="22"/>
    <s v="Factura"/>
    <m/>
    <s v="OC 08"/>
    <n v="4403"/>
    <s v="C020"/>
    <s v="Sabores y Vinos Bernardita Munita EIRL"/>
    <n v="4"/>
    <n v="6151"/>
    <s v="%"/>
    <n v="6151"/>
    <n v="7320"/>
    <n v="29280"/>
    <d v="2020-01-30T00:00:00"/>
    <s v="Pirque"/>
    <n v="181076"/>
    <x v="9"/>
    <n v="4922"/>
    <n v="1229"/>
    <n v="0.2"/>
    <m/>
  </r>
  <r>
    <n v="166"/>
    <s v="DE-1029"/>
    <x v="65"/>
    <x v="6"/>
    <x v="22"/>
    <s v="Factura"/>
    <m/>
    <s v="sn"/>
    <n v="4404"/>
    <s v="C085"/>
    <s v="Sandra Paola Rojas Orellana"/>
    <n v="22"/>
    <n v="495"/>
    <s v="%"/>
    <n v="495"/>
    <n v="589"/>
    <n v="12958"/>
    <d v="2020-01-31T00:00:00"/>
    <s v="Chada"/>
    <n v="14599"/>
    <x v="23"/>
    <n v="264"/>
    <n v="231"/>
    <n v="0.47"/>
    <m/>
  </r>
  <r>
    <n v="166"/>
    <s v="DE-1030"/>
    <x v="69"/>
    <x v="6"/>
    <x v="22"/>
    <s v="Factura"/>
    <m/>
    <s v="sn"/>
    <n v="4404"/>
    <s v="C085"/>
    <s v="Sandra Paola Rojas Orellana"/>
    <n v="22"/>
    <n v="62"/>
    <s v="%"/>
    <n v="62"/>
    <n v="74"/>
    <n v="1628"/>
    <d v="2020-01-31T00:00:00"/>
    <s v="Chada"/>
    <n v="14599"/>
    <x v="23"/>
    <n v="45"/>
    <n v="17"/>
    <n v="0.27"/>
    <m/>
  </r>
  <r>
    <n v="169"/>
    <s v="MA-0053"/>
    <x v="8"/>
    <x v="7"/>
    <x v="23"/>
    <s v="Factura"/>
    <m/>
    <s v="sn"/>
    <n v="4407"/>
    <s v="C021"/>
    <s v="Adelita del Carmen Leon Pizarro"/>
    <n v="3"/>
    <n v="13816"/>
    <n v="0.05"/>
    <n v="13158"/>
    <n v="15619"/>
    <n v="46857"/>
    <d v="2020-01-31T00:00:00"/>
    <s v="Chada"/>
    <n v="99565"/>
    <x v="5"/>
    <n v="9975"/>
    <n v="3183"/>
    <n v="0.24"/>
    <m/>
  </r>
  <r>
    <n v="169"/>
    <s v="MA-0042"/>
    <x v="29"/>
    <x v="17"/>
    <x v="23"/>
    <s v="Factura"/>
    <m/>
    <s v="sn"/>
    <n v="4407"/>
    <s v="C021"/>
    <s v="Adelita del Carmen Leon Pizarro"/>
    <n v="1"/>
    <n v="20572"/>
    <n v="0.05"/>
    <n v="19592"/>
    <n v="23257"/>
    <n v="23257"/>
    <d v="2020-01-31T00:00:00"/>
    <s v="Chada"/>
    <n v="99565"/>
    <x v="7"/>
    <n v="14853"/>
    <n v="4739"/>
    <n v="0.24"/>
    <m/>
  </r>
  <r>
    <n v="169"/>
    <s v="MA-0098"/>
    <x v="80"/>
    <x v="4"/>
    <x v="23"/>
    <s v="Factura"/>
    <m/>
    <s v="sn"/>
    <n v="4407"/>
    <s v="C021"/>
    <s v="Adelita del Carmen Leon Pizarro"/>
    <n v="12"/>
    <n v="2285"/>
    <n v="0.1"/>
    <n v="2082"/>
    <n v="2454"/>
    <n v="29448"/>
    <d v="2020-01-31T00:00:00"/>
    <s v="Chada"/>
    <n v="99565"/>
    <x v="4"/>
    <n v="1650"/>
    <n v="432"/>
    <n v="0.21"/>
    <m/>
  </r>
  <r>
    <n v="170"/>
    <s v="MA-115"/>
    <x v="82"/>
    <x v="16"/>
    <x v="23"/>
    <s v="Factura"/>
    <m/>
    <s v="sn"/>
    <n v="4408"/>
    <s v="C021"/>
    <s v="Adelita del Carmen Leon Pizarro"/>
    <n v="14"/>
    <n v="1515"/>
    <n v="0.05"/>
    <n v="1443"/>
    <n v="1713"/>
    <n v="23982"/>
    <d v="2020-01-31T00:00:00"/>
    <s v="Chada"/>
    <n v="23982"/>
    <x v="7"/>
    <n v="1094"/>
    <n v="349"/>
    <n v="0.24"/>
    <m/>
  </r>
  <r>
    <n v="172"/>
    <s v="GR-0054"/>
    <x v="30"/>
    <x v="18"/>
    <x v="23"/>
    <s v="Boleta"/>
    <m/>
    <n v="6473"/>
    <n v="4410"/>
    <s v="C158"/>
    <s v="Jose Miguel Osorio"/>
    <n v="1"/>
    <n v="19328"/>
    <s v="%"/>
    <n v="19328"/>
    <n v="23000"/>
    <n v="23000"/>
    <d v="2020-01-30T00:00:00"/>
    <s v="Pirque"/>
    <n v="35500"/>
    <x v="5"/>
    <n v="14604"/>
    <n v="4724"/>
    <n v="0.24"/>
    <m/>
  </r>
  <r>
    <n v="172"/>
    <s v="MA-118"/>
    <x v="32"/>
    <x v="18"/>
    <x v="23"/>
    <s v="Boleta"/>
    <m/>
    <n v="6473"/>
    <n v="4410"/>
    <s v="C158"/>
    <s v="Jose Miguel Osorio"/>
    <n v="1"/>
    <n v="10504"/>
    <s v="%"/>
    <n v="10504"/>
    <n v="12500"/>
    <n v="12500"/>
    <d v="2020-01-30T00:00:00"/>
    <s v="Pirque"/>
    <n v="35500"/>
    <x v="5"/>
    <n v="7956"/>
    <n v="2548"/>
    <n v="0.24"/>
    <m/>
  </r>
  <r>
    <n v="173"/>
    <s v="MA-0035"/>
    <x v="37"/>
    <x v="16"/>
    <x v="23"/>
    <s v="Boleta"/>
    <m/>
    <n v="6475"/>
    <n v="4411"/>
    <s v="C595"/>
    <s v="Juan Neira"/>
    <n v="1"/>
    <n v="16555"/>
    <s v="%"/>
    <n v="16555"/>
    <n v="19700"/>
    <n v="19700"/>
    <d v="2020-01-31T00:00:00"/>
    <s v="Pirque"/>
    <n v="19700"/>
    <x v="7"/>
    <n v="12429"/>
    <n v="4126"/>
    <n v="0.25"/>
    <m/>
  </r>
  <r>
    <n v="171"/>
    <s v="MA-0046"/>
    <x v="46"/>
    <x v="17"/>
    <x v="23"/>
    <s v="Boleta"/>
    <m/>
    <n v="6472"/>
    <n v="4409"/>
    <s v="C243"/>
    <s v="Loreto Rojas"/>
    <n v="1"/>
    <n v="8571"/>
    <s v="%"/>
    <n v="8571"/>
    <n v="10200"/>
    <n v="10200"/>
    <d v="2020-01-30T00:00:00"/>
    <s v="Pirque"/>
    <n v="10200"/>
    <x v="7"/>
    <n v="6436"/>
    <n v="2135"/>
    <n v="0.25"/>
    <m/>
  </r>
  <r>
    <n v="174"/>
    <s v="MA-0053"/>
    <x v="8"/>
    <x v="7"/>
    <x v="23"/>
    <s v="Boleta"/>
    <m/>
    <n v="6476"/>
    <n v="4412"/>
    <s v="C395"/>
    <s v="Monica Meza"/>
    <n v="1"/>
    <n v="13277"/>
    <s v="%"/>
    <n v="13277"/>
    <n v="15800"/>
    <n v="15800"/>
    <d v="2020-01-31T00:00:00"/>
    <s v="Pirque"/>
    <n v="15800"/>
    <x v="5"/>
    <n v="9975"/>
    <n v="3302"/>
    <n v="0.25"/>
    <m/>
  </r>
  <r>
    <n v="175"/>
    <s v="MA-0053"/>
    <x v="8"/>
    <x v="7"/>
    <x v="23"/>
    <s v="Boleta"/>
    <m/>
    <n v="6477"/>
    <n v="4413"/>
    <s v="C556"/>
    <s v="Patricio Tapia"/>
    <n v="1"/>
    <n v="13277"/>
    <s v="%"/>
    <n v="13277"/>
    <n v="15800"/>
    <n v="15800"/>
    <d v="2020-01-31T00:00:00"/>
    <s v="Pirque"/>
    <n v="15800"/>
    <x v="5"/>
    <n v="9975"/>
    <n v="3302"/>
    <n v="0.25"/>
    <m/>
  </r>
  <r>
    <n v="168"/>
    <s v="DE-0021"/>
    <x v="64"/>
    <x v="35"/>
    <x v="23"/>
    <s v="Factura"/>
    <m/>
    <s v="sn"/>
    <n v="4406"/>
    <s v="C105"/>
    <s v="Paulina Andrea Araneda Cancino"/>
    <n v="2"/>
    <n v="12964"/>
    <n v="0.06"/>
    <n v="12229"/>
    <n v="14500"/>
    <n v="29000"/>
    <d v="2020-01-31T00:00:00"/>
    <s v="Chada"/>
    <n v="29000"/>
    <x v="22"/>
    <n v="9360"/>
    <n v="2869"/>
    <n v="0.23"/>
    <m/>
  </r>
  <r>
    <n v="177"/>
    <s v="DE-1169"/>
    <x v="62"/>
    <x v="31"/>
    <x v="23"/>
    <s v="Boleta"/>
    <m/>
    <n v="6478"/>
    <n v="4415"/>
    <s v="C082"/>
    <s v="Ximena Uribe"/>
    <n v="12"/>
    <n v="756"/>
    <s v="%"/>
    <n v="756"/>
    <n v="900"/>
    <n v="10800"/>
    <d v="2020-01-31T00:00:00"/>
    <s v="Pirque"/>
    <n v="10800"/>
    <x v="9"/>
    <n v="535"/>
    <n v="221"/>
    <n v="0.28999999999999998"/>
    <m/>
  </r>
  <r>
    <n v="176"/>
    <s v="MA-223"/>
    <x v="74"/>
    <x v="36"/>
    <x v="23"/>
    <s v="Boleta"/>
    <m/>
    <n v="6479"/>
    <n v="4414"/>
    <s v="C041"/>
    <s v="Yanet Arriagada"/>
    <n v="1"/>
    <n v="7143"/>
    <s v="%"/>
    <n v="7143"/>
    <n v="8500"/>
    <n v="8500"/>
    <d v="2020-01-31T00:00:00"/>
    <s v="Pirque"/>
    <n v="31800"/>
    <x v="24"/>
    <n v="754"/>
    <n v="6389"/>
    <n v="0.89"/>
    <m/>
  </r>
  <r>
    <n v="176"/>
    <s v="MA-116"/>
    <x v="114"/>
    <x v="49"/>
    <x v="23"/>
    <s v="Boleta"/>
    <m/>
    <n v="6479"/>
    <n v="4414"/>
    <s v="C041"/>
    <s v="Yanet Arriagada"/>
    <n v="1"/>
    <n v="10504"/>
    <s v="%"/>
    <n v="10504"/>
    <n v="12500"/>
    <n v="12500"/>
    <d v="2020-01-31T00:00:00"/>
    <s v="Pirque"/>
    <n v="31800"/>
    <x v="7"/>
    <n v="7409"/>
    <n v="3095"/>
    <n v="0.28999999999999998"/>
    <m/>
  </r>
  <r>
    <n v="176"/>
    <s v="DE-1169"/>
    <x v="62"/>
    <x v="31"/>
    <x v="23"/>
    <s v="Boleta"/>
    <m/>
    <n v="6479"/>
    <n v="4414"/>
    <s v="C041"/>
    <s v="Yanet Arriagada"/>
    <n v="12"/>
    <n v="756"/>
    <s v="%"/>
    <n v="756"/>
    <n v="900"/>
    <n v="10800"/>
    <d v="2020-01-31T00:00:00"/>
    <s v="Pirque"/>
    <n v="31800"/>
    <x v="9"/>
    <n v="535"/>
    <n v="221"/>
    <n v="0.28999999999999998"/>
    <m/>
  </r>
  <r>
    <n v="180"/>
    <s v="MA-0046"/>
    <x v="46"/>
    <x v="17"/>
    <x v="24"/>
    <s v="Boleta"/>
    <m/>
    <n v="6482"/>
    <n v="4418"/>
    <s v="C390"/>
    <s v="Auria Villanueva"/>
    <n v="1"/>
    <n v="8571"/>
    <s v="%"/>
    <n v="8571"/>
    <n v="10200"/>
    <n v="10200"/>
    <d v="2020-02-03T00:00:00"/>
    <s v="Pirque"/>
    <n v="10200"/>
    <x v="7"/>
    <n v="6436"/>
    <n v="2135"/>
    <n v="0.25"/>
    <m/>
  </r>
  <r>
    <n v="178"/>
    <s v="AS-29"/>
    <x v="14"/>
    <x v="13"/>
    <x v="24"/>
    <s v="Boleta"/>
    <m/>
    <n v="6480"/>
    <n v="4416"/>
    <s v="C127"/>
    <s v="Carmen Gloria Venegas"/>
    <n v="4"/>
    <n v="3193"/>
    <s v="%"/>
    <n v="3193"/>
    <n v="3800"/>
    <n v="15200"/>
    <d v="2020-02-03T00:00:00"/>
    <s v="Pirque"/>
    <n v="43500"/>
    <x v="6"/>
    <n v="2100"/>
    <n v="1093"/>
    <n v="0.34"/>
    <m/>
  </r>
  <r>
    <n v="178"/>
    <s v="AS-0035"/>
    <x v="33"/>
    <x v="6"/>
    <x v="24"/>
    <s v="Boleta"/>
    <m/>
    <n v="6480"/>
    <n v="4416"/>
    <s v="C127"/>
    <s v="Carmen Gloria Venegas"/>
    <n v="2"/>
    <n v="3193"/>
    <s v="%"/>
    <n v="3193"/>
    <n v="3800"/>
    <n v="7600"/>
    <d v="2020-02-03T00:00:00"/>
    <s v="Pirque"/>
    <n v="43500"/>
    <x v="6"/>
    <n v="2195"/>
    <n v="998"/>
    <n v="0.31"/>
    <m/>
  </r>
  <r>
    <n v="178"/>
    <s v="AS-42"/>
    <x v="7"/>
    <x v="6"/>
    <x v="24"/>
    <s v="Boleta"/>
    <m/>
    <n v="6480"/>
    <n v="4416"/>
    <s v="C127"/>
    <s v="Carmen Gloria Venegas"/>
    <n v="1"/>
    <n v="2101"/>
    <s v="%"/>
    <n v="2101"/>
    <n v="2500"/>
    <n v="2500"/>
    <d v="2020-02-03T00:00:00"/>
    <s v="Pirque"/>
    <n v="43500"/>
    <x v="6"/>
    <n v="850"/>
    <n v="1251"/>
    <n v="0.6"/>
    <m/>
  </r>
  <r>
    <n v="178"/>
    <s v="AS-0026"/>
    <x v="59"/>
    <x v="10"/>
    <x v="24"/>
    <s v="Boleta"/>
    <m/>
    <n v="6480"/>
    <n v="4416"/>
    <s v="C127"/>
    <s v="Carmen Gloria Venegas"/>
    <n v="2"/>
    <n v="3109"/>
    <s v="%"/>
    <n v="3109"/>
    <n v="3700"/>
    <n v="7400"/>
    <d v="2020-02-03T00:00:00"/>
    <s v="Pirque"/>
    <n v="43500"/>
    <x v="9"/>
    <n v="2345"/>
    <n v="764"/>
    <n v="0.25"/>
    <m/>
  </r>
  <r>
    <n v="178"/>
    <s v="DE-1169"/>
    <x v="62"/>
    <x v="31"/>
    <x v="24"/>
    <s v="Boleta"/>
    <m/>
    <n v="6480"/>
    <n v="4416"/>
    <s v="C127"/>
    <s v="Carmen Gloria Venegas"/>
    <n v="12"/>
    <n v="756"/>
    <s v="%"/>
    <n v="756"/>
    <n v="900"/>
    <n v="10800"/>
    <d v="2020-02-03T00:00:00"/>
    <s v="Pirque"/>
    <n v="43500"/>
    <x v="9"/>
    <n v="535"/>
    <n v="221"/>
    <n v="0.28999999999999998"/>
    <m/>
  </r>
  <r>
    <n v="179"/>
    <s v="MA-0053"/>
    <x v="8"/>
    <x v="7"/>
    <x v="24"/>
    <s v="Boleta"/>
    <m/>
    <n v="6481"/>
    <n v="4417"/>
    <s v="C418"/>
    <s v="Claudia Ormazabal"/>
    <n v="1"/>
    <n v="13277"/>
    <s v="%"/>
    <n v="13277"/>
    <n v="15800"/>
    <n v="15800"/>
    <d v="2020-02-03T00:00:00"/>
    <s v="Pirque"/>
    <n v="28500"/>
    <x v="5"/>
    <n v="9975"/>
    <n v="3302"/>
    <n v="0.25"/>
    <m/>
  </r>
  <r>
    <n v="179"/>
    <s v="MA-0046"/>
    <x v="46"/>
    <x v="17"/>
    <x v="24"/>
    <s v="Boleta"/>
    <m/>
    <n v="6481"/>
    <n v="4417"/>
    <s v="C418"/>
    <s v="Claudia Ormazabal"/>
    <n v="1"/>
    <n v="8571"/>
    <s v="%"/>
    <n v="8571"/>
    <n v="10200"/>
    <n v="10200"/>
    <d v="2020-02-03T00:00:00"/>
    <s v="Pirque"/>
    <n v="28500"/>
    <x v="7"/>
    <n v="6436"/>
    <n v="2135"/>
    <n v="0.25"/>
    <m/>
  </r>
  <r>
    <n v="179"/>
    <s v="AS-42"/>
    <x v="7"/>
    <x v="6"/>
    <x v="24"/>
    <s v="Boleta"/>
    <m/>
    <n v="6481"/>
    <n v="4417"/>
    <s v="C418"/>
    <s v="Claudia Ormazabal"/>
    <n v="1"/>
    <n v="2101"/>
    <s v="%"/>
    <n v="2101"/>
    <n v="2500"/>
    <n v="2500"/>
    <d v="2020-02-03T00:00:00"/>
    <s v="Pirque"/>
    <n v="28500"/>
    <x v="6"/>
    <n v="850"/>
    <n v="1251"/>
    <n v="0.6"/>
    <m/>
  </r>
  <r>
    <n v="184"/>
    <s v="AS-43"/>
    <x v="25"/>
    <x v="6"/>
    <x v="25"/>
    <s v="Boleta"/>
    <m/>
    <n v="6483"/>
    <n v="4422"/>
    <s v="C032"/>
    <s v="Carlos Jobbe-Duval"/>
    <n v="2"/>
    <n v="4958"/>
    <s v="%"/>
    <n v="4958"/>
    <n v="5900"/>
    <n v="11800"/>
    <d v="2020-02-03T00:00:00"/>
    <s v="Pirque"/>
    <n v="38600"/>
    <x v="6"/>
    <n v="3624"/>
    <n v="1334"/>
    <n v="0.27"/>
    <m/>
  </r>
  <r>
    <n v="184"/>
    <s v="AS-29"/>
    <x v="14"/>
    <x v="13"/>
    <x v="25"/>
    <s v="Boleta"/>
    <m/>
    <n v="6483"/>
    <n v="4422"/>
    <s v="C032"/>
    <s v="Carlos Jobbe-Duval"/>
    <n v="4"/>
    <n v="3193"/>
    <s v="%"/>
    <n v="3193"/>
    <n v="3800"/>
    <n v="15200"/>
    <d v="2020-02-03T00:00:00"/>
    <s v="Pirque"/>
    <n v="38600"/>
    <x v="6"/>
    <n v="2100"/>
    <n v="1093"/>
    <n v="0.34"/>
    <m/>
  </r>
  <r>
    <n v="184"/>
    <s v="AS-0034"/>
    <x v="26"/>
    <x v="13"/>
    <x v="25"/>
    <s v="Boleta"/>
    <m/>
    <n v="6483"/>
    <n v="4422"/>
    <s v="C032"/>
    <s v="Carlos Jobbe-Duval"/>
    <n v="2"/>
    <n v="4874"/>
    <s v="%"/>
    <n v="4874"/>
    <n v="5800"/>
    <n v="11600"/>
    <d v="2020-02-03T00:00:00"/>
    <s v="Pirque"/>
    <n v="38600"/>
    <x v="6"/>
    <n v="2400"/>
    <n v="2474"/>
    <n v="0.51"/>
    <m/>
  </r>
  <r>
    <n v="185"/>
    <s v="MA-0035"/>
    <x v="37"/>
    <x v="16"/>
    <x v="25"/>
    <s v="Boleta"/>
    <m/>
    <n v="6488"/>
    <n v="4423"/>
    <s v="C160"/>
    <s v="Christian Ortiz Hurtado"/>
    <n v="1"/>
    <n v="16555"/>
    <s v="%"/>
    <n v="16555"/>
    <n v="19700"/>
    <n v="19700"/>
    <d v="2020-02-03T00:00:00"/>
    <s v="Pirque"/>
    <n v="19700"/>
    <x v="7"/>
    <n v="12429"/>
    <n v="4126"/>
    <n v="0.25"/>
    <m/>
  </r>
  <r>
    <n v="183"/>
    <s v="GR-0054"/>
    <x v="30"/>
    <x v="18"/>
    <x v="25"/>
    <s v="Boleta"/>
    <m/>
    <n v="6485"/>
    <n v="4421"/>
    <s v="C349"/>
    <s v="Elaine Pratt"/>
    <n v="1"/>
    <n v="19328"/>
    <s v="%"/>
    <n v="19328"/>
    <n v="23000"/>
    <n v="23000"/>
    <d v="2020-02-03T00:00:00"/>
    <s v="Pirque"/>
    <n v="23000"/>
    <x v="5"/>
    <n v="14604"/>
    <n v="4724"/>
    <n v="0.24"/>
    <m/>
  </r>
  <r>
    <n v="186"/>
    <s v="MA-0053"/>
    <x v="8"/>
    <x v="7"/>
    <x v="25"/>
    <s v="Boleta"/>
    <m/>
    <n v="6484"/>
    <n v="4424"/>
    <s v="C636"/>
    <s v="Jessica Cabello"/>
    <n v="1"/>
    <n v="13277"/>
    <s v="%"/>
    <n v="13277"/>
    <n v="15800"/>
    <n v="15800"/>
    <d v="2020-02-03T00:00:00"/>
    <s v="Pirque"/>
    <n v="24800"/>
    <x v="5"/>
    <n v="9975"/>
    <n v="3302"/>
    <n v="0.25"/>
    <m/>
  </r>
  <r>
    <n v="186"/>
    <s v="MA-208"/>
    <x v="103"/>
    <x v="43"/>
    <x v="25"/>
    <s v="Boleta"/>
    <m/>
    <n v="6484"/>
    <n v="4424"/>
    <s v="C636"/>
    <s v="Jessica Cabello"/>
    <n v="1"/>
    <n v="7563"/>
    <s v="%"/>
    <n v="7563"/>
    <n v="9000"/>
    <n v="9000"/>
    <d v="2020-02-03T00:00:00"/>
    <s v="Pirque"/>
    <n v="24800"/>
    <x v="14"/>
    <n v="5300"/>
    <n v="2263"/>
    <n v="0.3"/>
    <m/>
  </r>
  <r>
    <n v="182"/>
    <s v="AS-29"/>
    <x v="14"/>
    <x v="13"/>
    <x v="25"/>
    <s v="Boleta"/>
    <m/>
    <n v="6486"/>
    <n v="4420"/>
    <s v="C476"/>
    <s v="Jose Gonzalez Salinas"/>
    <n v="6"/>
    <n v="3193"/>
    <s v="%"/>
    <n v="3193"/>
    <n v="3800"/>
    <n v="22800"/>
    <d v="2020-02-03T00:00:00"/>
    <s v="Pirque"/>
    <n v="30400"/>
    <x v="6"/>
    <n v="2100"/>
    <n v="1093"/>
    <n v="0.34"/>
    <m/>
  </r>
  <r>
    <n v="182"/>
    <s v="AS-0035"/>
    <x v="33"/>
    <x v="6"/>
    <x v="25"/>
    <s v="Boleta"/>
    <m/>
    <n v="6486"/>
    <n v="4420"/>
    <s v="C476"/>
    <s v="Jose Gonzalez Salinas"/>
    <n v="2"/>
    <n v="3193"/>
    <s v="%"/>
    <n v="3193"/>
    <n v="3800"/>
    <n v="7600"/>
    <d v="2020-02-03T00:00:00"/>
    <s v="Pirque"/>
    <n v="30400"/>
    <x v="6"/>
    <n v="2195"/>
    <n v="998"/>
    <n v="0.31"/>
    <m/>
  </r>
  <r>
    <n v="181"/>
    <s v="MA-0035"/>
    <x v="37"/>
    <x v="16"/>
    <x v="25"/>
    <s v="Boleta"/>
    <m/>
    <n v="6487"/>
    <n v="4419"/>
    <s v="C359"/>
    <s v="Manuel Perez"/>
    <n v="1"/>
    <n v="16555"/>
    <s v="%"/>
    <n v="16555"/>
    <n v="19700"/>
    <n v="19700"/>
    <d v="2020-02-03T00:00:00"/>
    <s v="Pirque"/>
    <n v="29900"/>
    <x v="7"/>
    <n v="12429"/>
    <n v="4126"/>
    <n v="0.25"/>
    <m/>
  </r>
  <r>
    <n v="181"/>
    <s v="MA-0046"/>
    <x v="46"/>
    <x v="17"/>
    <x v="25"/>
    <s v="Boleta"/>
    <m/>
    <n v="6487"/>
    <n v="4419"/>
    <s v="C359"/>
    <s v="Manuel Perez"/>
    <n v="1"/>
    <n v="8571"/>
    <s v="%"/>
    <n v="8571"/>
    <n v="10200"/>
    <n v="10200"/>
    <d v="2020-02-03T00:00:00"/>
    <s v="Pirque"/>
    <n v="29900"/>
    <x v="7"/>
    <n v="6436"/>
    <n v="2135"/>
    <n v="0.25"/>
    <m/>
  </r>
  <r>
    <n v="190"/>
    <s v="MA-214"/>
    <x v="13"/>
    <x v="12"/>
    <x v="26"/>
    <s v="Boleta"/>
    <m/>
    <n v="6489"/>
    <n v="4428"/>
    <s v="C335"/>
    <s v="Alejandro Astorga"/>
    <n v="3"/>
    <n v="22689"/>
    <s v="%"/>
    <n v="22689"/>
    <n v="27000"/>
    <n v="81000"/>
    <d v="2020-02-04T00:00:00"/>
    <s v="Pirque"/>
    <n v="81000"/>
    <x v="11"/>
    <n v="21183"/>
    <n v="1506"/>
    <n v="7.0000000000000007E-2"/>
    <m/>
  </r>
  <r>
    <n v="187"/>
    <s v="MA-0053"/>
    <x v="8"/>
    <x v="7"/>
    <x v="26"/>
    <s v="Boleta"/>
    <m/>
    <s v="sn"/>
    <n v="4425"/>
    <s v="C116"/>
    <s v="Angelica Bravo"/>
    <n v="1"/>
    <n v="12437"/>
    <s v="%"/>
    <n v="12437"/>
    <n v="14800"/>
    <n v="14800"/>
    <d v="2020-01-06T00:00:00"/>
    <s v="Pirque"/>
    <n v="14800"/>
    <x v="5"/>
    <n v="9975"/>
    <n v="2462"/>
    <n v="0.2"/>
    <m/>
  </r>
  <r>
    <n v="191"/>
    <s v="AS-29"/>
    <x v="14"/>
    <x v="13"/>
    <x v="26"/>
    <s v="Boleta"/>
    <m/>
    <n v="6490"/>
    <n v="4429"/>
    <s v="C086"/>
    <s v="Cristian Guillermo Ortiz Gonzalez"/>
    <n v="3"/>
    <n v="3193"/>
    <s v="%"/>
    <n v="3193"/>
    <n v="3800"/>
    <n v="11400"/>
    <d v="2020-02-04T00:00:00"/>
    <s v="Pirque"/>
    <n v="16300"/>
    <x v="6"/>
    <n v="2100"/>
    <n v="1093"/>
    <n v="0.34"/>
    <m/>
  </r>
  <r>
    <n v="191"/>
    <s v="AS-0038"/>
    <x v="71"/>
    <x v="6"/>
    <x v="26"/>
    <s v="Boleta"/>
    <m/>
    <n v="6490"/>
    <n v="4429"/>
    <s v="C086"/>
    <s v="Cristian Guillermo Ortiz Gonzalez"/>
    <n v="1"/>
    <n v="4118"/>
    <s v="%"/>
    <n v="4118"/>
    <n v="4900"/>
    <n v="4900"/>
    <d v="2020-02-04T00:00:00"/>
    <s v="Pirque"/>
    <n v="16300"/>
    <x v="6"/>
    <n v="2250"/>
    <n v="1868"/>
    <n v="0.45"/>
    <m/>
  </r>
  <r>
    <n v="189"/>
    <s v="MA-0027"/>
    <x v="9"/>
    <x v="8"/>
    <x v="26"/>
    <s v="Boleta"/>
    <m/>
    <s v="sn"/>
    <n v="4427"/>
    <s v="C495"/>
    <s v="Felipe Saint Jean Metzen"/>
    <n v="1"/>
    <n v="13866"/>
    <s v="%"/>
    <n v="13866"/>
    <n v="16500"/>
    <n v="16500"/>
    <d v="2020-01-21T00:00:00"/>
    <s v="Pirque"/>
    <n v="16500"/>
    <x v="7"/>
    <n v="10390"/>
    <n v="3476"/>
    <n v="0.25"/>
    <m/>
  </r>
  <r>
    <n v="192"/>
    <s v="AS-0039"/>
    <x v="39"/>
    <x v="6"/>
    <x v="26"/>
    <s v="Boleta"/>
    <m/>
    <n v="6491"/>
    <n v="4430"/>
    <s v="C498"/>
    <s v="Javier Nuñez"/>
    <n v="5"/>
    <n v="2941"/>
    <s v="%"/>
    <n v="2941"/>
    <n v="3500"/>
    <n v="17500"/>
    <d v="2020-02-04T00:00:00"/>
    <s v="Pirque"/>
    <n v="36500"/>
    <x v="6"/>
    <n v="2119"/>
    <n v="822"/>
    <n v="0.28000000000000003"/>
    <m/>
  </r>
  <r>
    <n v="192"/>
    <s v="AS-0035"/>
    <x v="33"/>
    <x v="6"/>
    <x v="26"/>
    <s v="Boleta"/>
    <m/>
    <n v="6491"/>
    <n v="4430"/>
    <s v="C498"/>
    <s v="Javier Nuñez"/>
    <n v="5"/>
    <n v="3193"/>
    <s v="%"/>
    <n v="3193"/>
    <n v="3800"/>
    <n v="19000"/>
    <d v="2020-02-04T00:00:00"/>
    <s v="Pirque"/>
    <n v="36500"/>
    <x v="6"/>
    <n v="2195"/>
    <n v="998"/>
    <n v="0.31"/>
    <m/>
  </r>
  <r>
    <n v="188"/>
    <s v="MA-0001"/>
    <x v="101"/>
    <x v="18"/>
    <x v="26"/>
    <s v="Boleta"/>
    <m/>
    <s v="sn"/>
    <n v="4426"/>
    <s v="C045"/>
    <s v="Jeanny Andrea Arranz Cordero"/>
    <n v="2"/>
    <n v="20084"/>
    <s v="%"/>
    <n v="20084"/>
    <n v="23900"/>
    <n v="47800"/>
    <d v="2020-01-10T00:00:00"/>
    <s v="Pirque"/>
    <n v="47800"/>
    <x v="5"/>
    <n v="14604"/>
    <n v="5480"/>
    <n v="0.27"/>
    <m/>
  </r>
  <r>
    <n v="193"/>
    <s v="MA-0042"/>
    <x v="29"/>
    <x v="17"/>
    <x v="26"/>
    <s v="Boleta"/>
    <m/>
    <n v="6492"/>
    <n v="4431"/>
    <s v="C263"/>
    <s v="Jeanny Reyes"/>
    <n v="1"/>
    <n v="19748"/>
    <s v="%"/>
    <n v="19748"/>
    <n v="23500"/>
    <n v="23500"/>
    <d v="2020-02-04T00:00:00"/>
    <s v="Pirque"/>
    <n v="23500"/>
    <x v="7"/>
    <n v="14853"/>
    <n v="4895"/>
    <n v="0.25"/>
    <m/>
  </r>
  <r>
    <n v="195"/>
    <s v="MA-113"/>
    <x v="115"/>
    <x v="49"/>
    <x v="27"/>
    <s v="Factura"/>
    <m/>
    <n v="1039080"/>
    <n v="4433"/>
    <s v="C001"/>
    <s v="Benito Campos y Cia Ltda."/>
    <n v="3"/>
    <n v="4366"/>
    <n v="0.05"/>
    <n v="4158"/>
    <n v="4935"/>
    <n v="14805"/>
    <d v="2020-02-05T00:00:00"/>
    <s v="Cajon"/>
    <n v="211217"/>
    <x v="7"/>
    <n v="3152"/>
    <n v="1006"/>
    <n v="0.24"/>
    <m/>
  </r>
  <r>
    <n v="195"/>
    <s v="MA-0102"/>
    <x v="50"/>
    <x v="4"/>
    <x v="27"/>
    <s v="Factura"/>
    <m/>
    <n v="1039080"/>
    <n v="4433"/>
    <s v="C001"/>
    <s v="Benito Campos y Cia Ltda."/>
    <n v="18"/>
    <n v="880"/>
    <n v="0.05"/>
    <n v="838"/>
    <n v="994"/>
    <n v="17892"/>
    <d v="2020-02-05T00:00:00"/>
    <s v="Cajon"/>
    <n v="211217"/>
    <x v="4"/>
    <n v="635"/>
    <n v="203"/>
    <n v="0.24"/>
    <m/>
  </r>
  <r>
    <n v="195"/>
    <s v="MA-0103"/>
    <x v="51"/>
    <x v="4"/>
    <x v="27"/>
    <s v="Factura"/>
    <m/>
    <n v="1039080"/>
    <n v="4433"/>
    <s v="C001"/>
    <s v="Benito Campos y Cia Ltda."/>
    <n v="16"/>
    <n v="1676"/>
    <n v="0.05"/>
    <n v="1596"/>
    <n v="1895"/>
    <n v="30320"/>
    <d v="2020-02-05T00:00:00"/>
    <s v="Cajon"/>
    <n v="211217"/>
    <x v="4"/>
    <n v="1210"/>
    <n v="386"/>
    <n v="0.24"/>
    <m/>
  </r>
  <r>
    <n v="195"/>
    <s v="MA-0104"/>
    <x v="116"/>
    <x v="4"/>
    <x v="27"/>
    <s v="Factura"/>
    <m/>
    <n v="1039080"/>
    <n v="4433"/>
    <s v="C001"/>
    <s v="Benito Campos y Cia Ltda."/>
    <n v="2"/>
    <n v="13643"/>
    <n v="0.1"/>
    <n v="12431"/>
    <n v="14652"/>
    <n v="29304"/>
    <d v="2020-02-05T00:00:00"/>
    <s v="Cajon"/>
    <n v="211217"/>
    <x v="4"/>
    <n v="9850"/>
    <n v="2581"/>
    <n v="0.21"/>
    <m/>
  </r>
  <r>
    <n v="194"/>
    <s v="MA-0035"/>
    <x v="37"/>
    <x v="16"/>
    <x v="27"/>
    <s v="Boleta"/>
    <m/>
    <n v="6493"/>
    <n v="4432"/>
    <s v="C043"/>
    <s v="Consuelo Andrea Sanchez Bisbal"/>
    <n v="1"/>
    <n v="16555"/>
    <s v="%"/>
    <n v="16555"/>
    <n v="19700"/>
    <n v="19700"/>
    <d v="2020-02-05T00:00:00"/>
    <s v="Cajon"/>
    <n v="19700"/>
    <x v="7"/>
    <n v="12429"/>
    <n v="4126"/>
    <n v="0.25"/>
    <m/>
  </r>
  <r>
    <n v="199"/>
    <s v="MA-0053"/>
    <x v="8"/>
    <x v="7"/>
    <x v="27"/>
    <s v="Boleta"/>
    <m/>
    <n v="6494"/>
    <n v="4437"/>
    <s v="C394"/>
    <s v="Gabriela Ulloa"/>
    <n v="1"/>
    <n v="13277"/>
    <s v="%"/>
    <n v="13277"/>
    <n v="15800"/>
    <n v="15800"/>
    <d v="2020-02-06T00:00:00"/>
    <s v="Pirque"/>
    <n v="15800"/>
    <x v="5"/>
    <n v="9975"/>
    <n v="3302"/>
    <n v="0.25"/>
    <m/>
  </r>
  <r>
    <n v="200"/>
    <s v="AS-0026"/>
    <x v="59"/>
    <x v="10"/>
    <x v="27"/>
    <s v="Factura"/>
    <m/>
    <s v="sn"/>
    <n v="4438"/>
    <s v="C005"/>
    <s v="Julia Ines Rebolledo Retamal"/>
    <n v="6"/>
    <n v="3248"/>
    <n v="0.09"/>
    <n v="2980"/>
    <n v="3517"/>
    <n v="21102"/>
    <d v="2020-02-05T00:00:00"/>
    <s v="Cajon"/>
    <n v="21103"/>
    <x v="9"/>
    <n v="2345"/>
    <n v="635"/>
    <n v="0.21"/>
    <m/>
  </r>
  <r>
    <n v="198"/>
    <s v="DE-0207"/>
    <x v="117"/>
    <x v="50"/>
    <x v="27"/>
    <s v="Factura"/>
    <m/>
    <s v="sn"/>
    <n v="4436"/>
    <s v="C004"/>
    <s v="Rosa Gladys Vidal Mora"/>
    <n v="12"/>
    <n v="1219"/>
    <n v="0.1"/>
    <n v="1111"/>
    <n v="1309"/>
    <n v="15708"/>
    <d v="2020-02-05T00:00:00"/>
    <s v="Cajon"/>
    <n v="51583"/>
    <x v="28"/>
    <n v="816"/>
    <n v="295"/>
    <n v="0.27"/>
    <m/>
  </r>
  <r>
    <n v="198"/>
    <s v="DE-1141"/>
    <x v="118"/>
    <x v="31"/>
    <x v="27"/>
    <s v="Factura"/>
    <m/>
    <s v="sn"/>
    <n v="4436"/>
    <s v="C004"/>
    <s v="Rosa Gladys Vidal Mora"/>
    <n v="30"/>
    <n v="817"/>
    <n v="0.1"/>
    <n v="744"/>
    <n v="877"/>
    <n v="26310"/>
    <d v="2020-02-05T00:00:00"/>
    <s v="Cajon"/>
    <n v="51583"/>
    <x v="9"/>
    <n v="510"/>
    <n v="234"/>
    <n v="0.31"/>
    <m/>
  </r>
  <r>
    <n v="198"/>
    <s v="AS-0022"/>
    <x v="52"/>
    <x v="28"/>
    <x v="27"/>
    <s v="Factura"/>
    <m/>
    <s v="sn"/>
    <n v="4436"/>
    <s v="C004"/>
    <s v="Rosa Gladys Vidal Mora"/>
    <n v="12"/>
    <n v="741"/>
    <n v="0.1"/>
    <n v="675"/>
    <n v="796"/>
    <n v="9552"/>
    <d v="2020-02-05T00:00:00"/>
    <s v="Cajon"/>
    <n v="51583"/>
    <x v="9"/>
    <n v="535"/>
    <n v="140"/>
    <n v="0.21"/>
    <m/>
  </r>
  <r>
    <n v="197"/>
    <s v="DE-0497"/>
    <x v="119"/>
    <x v="51"/>
    <x v="27"/>
    <s v="Factura"/>
    <m/>
    <n v="1039082"/>
    <n v="4435"/>
    <s v="C001"/>
    <s v="Benito Campos y Cia Ltda."/>
    <n v="24"/>
    <n v="748"/>
    <s v="%"/>
    <n v="748"/>
    <n v="890"/>
    <n v="21360"/>
    <d v="2020-02-05T00:00:00"/>
    <s v="Cajon"/>
    <n v="340475"/>
    <x v="29"/>
    <n v="540"/>
    <n v="208"/>
    <n v="0.28000000000000003"/>
    <m/>
  </r>
  <r>
    <n v="195"/>
    <s v="MA-0038"/>
    <x v="120"/>
    <x v="16"/>
    <x v="27"/>
    <s v="Factura"/>
    <m/>
    <n v="1039080"/>
    <n v="4433"/>
    <s v="C001"/>
    <s v="Benito Campos y Cia Ltda."/>
    <n v="3"/>
    <n v="7540"/>
    <n v="0.05"/>
    <n v="7181"/>
    <n v="8524"/>
    <n v="25572"/>
    <d v="2020-02-05T00:00:00"/>
    <s v="Cajon"/>
    <n v="211217"/>
    <x v="7"/>
    <n v="5444"/>
    <n v="1737"/>
    <n v="0.24"/>
    <m/>
  </r>
  <r>
    <n v="195"/>
    <s v="MA-114"/>
    <x v="79"/>
    <x v="17"/>
    <x v="27"/>
    <s v="Factura"/>
    <m/>
    <n v="1039080"/>
    <n v="4433"/>
    <s v="C001"/>
    <s v="Benito Campos y Cia Ltda."/>
    <n v="20"/>
    <n v="1078"/>
    <n v="0.05"/>
    <n v="1027"/>
    <n v="1218"/>
    <n v="24360"/>
    <d v="2020-02-05T00:00:00"/>
    <s v="Cajon"/>
    <n v="211217"/>
    <x v="7"/>
    <n v="778"/>
    <n v="249"/>
    <n v="0.24"/>
    <m/>
  </r>
  <r>
    <n v="195"/>
    <s v="MA-0046"/>
    <x v="46"/>
    <x v="17"/>
    <x v="27"/>
    <s v="Factura"/>
    <m/>
    <n v="1039080"/>
    <n v="4433"/>
    <s v="C001"/>
    <s v="Benito Campos y Cia Ltda."/>
    <n v="2"/>
    <n v="8914"/>
    <n v="0.05"/>
    <n v="8490"/>
    <n v="10077"/>
    <n v="20154"/>
    <d v="2020-02-05T00:00:00"/>
    <s v="Cajon"/>
    <n v="211217"/>
    <x v="7"/>
    <n v="6436"/>
    <n v="2054"/>
    <n v="0.24"/>
    <m/>
  </r>
  <r>
    <n v="197"/>
    <s v="DE-0231"/>
    <x v="85"/>
    <x v="29"/>
    <x v="27"/>
    <s v="Factura"/>
    <m/>
    <n v="1039082"/>
    <n v="4435"/>
    <s v="C001"/>
    <s v="Benito Campos y Cia Ltda."/>
    <n v="24"/>
    <n v="273"/>
    <n v="-0.06"/>
    <n v="291"/>
    <n v="345"/>
    <n v="8280"/>
    <d v="2020-02-05T00:00:00"/>
    <s v="Cajon"/>
    <n v="340475"/>
    <x v="20"/>
    <n v="197"/>
    <n v="94"/>
    <n v="0.32"/>
    <m/>
  </r>
  <r>
    <n v="197"/>
    <s v="DE-0234"/>
    <x v="121"/>
    <x v="29"/>
    <x v="27"/>
    <s v="Factura"/>
    <m/>
    <n v="1039082"/>
    <n v="4435"/>
    <s v="C001"/>
    <s v="Benito Campos y Cia Ltda."/>
    <n v="24"/>
    <n v="314"/>
    <n v="-0.06"/>
    <n v="334"/>
    <n v="396"/>
    <n v="9504"/>
    <d v="2020-02-05T00:00:00"/>
    <s v="Cajon"/>
    <n v="340475"/>
    <x v="20"/>
    <n v="227"/>
    <n v="107"/>
    <n v="0.32"/>
    <m/>
  </r>
  <r>
    <n v="197"/>
    <s v="DE-0236"/>
    <x v="122"/>
    <x v="29"/>
    <x v="27"/>
    <s v="Factura"/>
    <m/>
    <n v="1039082"/>
    <n v="4435"/>
    <s v="C001"/>
    <s v="Benito Campos y Cia Ltda."/>
    <n v="24"/>
    <n v="314"/>
    <n v="-0.06"/>
    <n v="334"/>
    <n v="397"/>
    <n v="9528"/>
    <d v="2020-02-05T00:00:00"/>
    <s v="Cajon"/>
    <n v="340475"/>
    <x v="20"/>
    <n v="227"/>
    <n v="107"/>
    <n v="0.32"/>
    <m/>
  </r>
  <r>
    <n v="197"/>
    <s v="DE-0233"/>
    <x v="87"/>
    <x v="29"/>
    <x v="27"/>
    <s v="Factura"/>
    <m/>
    <n v="1039082"/>
    <n v="4435"/>
    <s v="C001"/>
    <s v="Benito Campos y Cia Ltda."/>
    <n v="24"/>
    <n v="314"/>
    <n v="-0.06"/>
    <n v="334"/>
    <n v="396"/>
    <n v="9504"/>
    <d v="2020-02-05T00:00:00"/>
    <s v="Cajon"/>
    <n v="340475"/>
    <x v="20"/>
    <n v="227"/>
    <n v="107"/>
    <n v="0.32"/>
    <m/>
  </r>
  <r>
    <n v="197"/>
    <s v="BA-48"/>
    <x v="123"/>
    <x v="45"/>
    <x v="27"/>
    <s v="Factura"/>
    <m/>
    <n v="1039082"/>
    <n v="4435"/>
    <s v="C001"/>
    <s v="Benito Campos y Cia Ltda."/>
    <n v="20"/>
    <n v="4212"/>
    <n v="0.05"/>
    <n v="4007"/>
    <n v="4756"/>
    <n v="95120"/>
    <d v="2020-02-05T00:00:00"/>
    <s v="Cajon"/>
    <n v="340475"/>
    <x v="19"/>
    <n v="2889"/>
    <n v="1118"/>
    <n v="0.28000000000000003"/>
    <m/>
  </r>
  <r>
    <n v="197"/>
    <s v="DE-1160"/>
    <x v="124"/>
    <x v="45"/>
    <x v="27"/>
    <s v="Factura"/>
    <m/>
    <n v="1039082"/>
    <n v="4435"/>
    <s v="C001"/>
    <s v="Benito Campos y Cia Ltda."/>
    <n v="20"/>
    <n v="2688"/>
    <n v="0.05"/>
    <n v="2557"/>
    <n v="3035"/>
    <n v="60700"/>
    <d v="2020-02-05T00:00:00"/>
    <s v="Cajon"/>
    <n v="340475"/>
    <x v="19"/>
    <n v="1844"/>
    <n v="713"/>
    <n v="0.28000000000000003"/>
    <m/>
  </r>
  <r>
    <n v="195"/>
    <s v="MA-0027"/>
    <x v="9"/>
    <x v="8"/>
    <x v="27"/>
    <s v="Factura"/>
    <m/>
    <n v="1039080"/>
    <n v="4433"/>
    <s v="C001"/>
    <s v="Benito Campos y Cia Ltda."/>
    <n v="3"/>
    <n v="14391"/>
    <n v="0.05"/>
    <n v="13706"/>
    <n v="16269"/>
    <n v="48807"/>
    <d v="2020-02-05T00:00:00"/>
    <s v="Cajon"/>
    <n v="211217"/>
    <x v="7"/>
    <n v="10390"/>
    <n v="3316"/>
    <n v="0.24"/>
    <m/>
  </r>
  <r>
    <n v="197"/>
    <s v="DE-0141"/>
    <x v="125"/>
    <x v="52"/>
    <x v="27"/>
    <s v="Factura"/>
    <m/>
    <n v="1039082"/>
    <n v="4435"/>
    <s v="C001"/>
    <s v="Benito Campos y Cia Ltda."/>
    <n v="12"/>
    <n v="3601"/>
    <n v="0.03"/>
    <n v="3511"/>
    <n v="4175"/>
    <n v="50100"/>
    <d v="2020-02-05T00:00:00"/>
    <s v="Cajon"/>
    <n v="340475"/>
    <x v="30"/>
    <n v="2600"/>
    <n v="911"/>
    <n v="0.26"/>
    <m/>
  </r>
  <r>
    <n v="197"/>
    <s v="AS-0022"/>
    <x v="52"/>
    <x v="28"/>
    <x v="27"/>
    <s v="Factura"/>
    <m/>
    <n v="1039082"/>
    <n v="4435"/>
    <s v="C001"/>
    <s v="Benito Campos y Cia Ltda."/>
    <n v="60"/>
    <n v="741"/>
    <n v="0.05"/>
    <n v="709"/>
    <n v="842"/>
    <n v="50520"/>
    <d v="2020-02-05T00:00:00"/>
    <s v="Cajon"/>
    <n v="340475"/>
    <x v="9"/>
    <n v="535"/>
    <n v="174"/>
    <n v="0.25"/>
    <m/>
  </r>
  <r>
    <n v="196"/>
    <s v="DE-0486"/>
    <x v="126"/>
    <x v="51"/>
    <x v="27"/>
    <s v="Factura"/>
    <m/>
    <n v="1039083"/>
    <n v="4434"/>
    <s v="C001"/>
    <s v="Benito Campos y Cia Ltda."/>
    <n v="12"/>
    <n v="1234"/>
    <n v="-0.08"/>
    <n v="1345"/>
    <n v="1590"/>
    <n v="19080"/>
    <d v="2020-02-05T00:00:00"/>
    <s v="Cajon"/>
    <n v="175277"/>
    <x v="29"/>
    <n v="891"/>
    <n v="454"/>
    <n v="0.34"/>
    <m/>
  </r>
  <r>
    <n v="196"/>
    <s v="DE-930"/>
    <x v="127"/>
    <x v="53"/>
    <x v="27"/>
    <s v="Factura"/>
    <m/>
    <n v="1039083"/>
    <n v="4434"/>
    <s v="C001"/>
    <s v="Benito Campos y Cia Ltda."/>
    <n v="12"/>
    <n v="1801"/>
    <n v="0.06"/>
    <n v="1704"/>
    <n v="2021"/>
    <n v="24252"/>
    <d v="2020-02-05T00:00:00"/>
    <s v="Cajon"/>
    <n v="175277"/>
    <x v="29"/>
    <n v="1300"/>
    <n v="404"/>
    <n v="0.24"/>
    <m/>
  </r>
  <r>
    <n v="196"/>
    <s v="DE-936"/>
    <x v="128"/>
    <x v="53"/>
    <x v="27"/>
    <s v="Factura"/>
    <m/>
    <n v="1039083"/>
    <n v="4434"/>
    <s v="C001"/>
    <s v="Benito Campos y Cia Ltda."/>
    <n v="12"/>
    <n v="1773"/>
    <n v="-0.01"/>
    <n v="1797"/>
    <n v="2138"/>
    <n v="25656"/>
    <d v="2020-02-05T00:00:00"/>
    <s v="Cajon"/>
    <n v="175277"/>
    <x v="29"/>
    <n v="1280"/>
    <n v="517"/>
    <n v="0.28999999999999998"/>
    <m/>
  </r>
  <r>
    <n v="197"/>
    <s v="DE-931"/>
    <x v="129"/>
    <x v="53"/>
    <x v="27"/>
    <s v="Factura"/>
    <m/>
    <n v="1039082"/>
    <n v="4435"/>
    <s v="C001"/>
    <s v="Benito Campos y Cia Ltda."/>
    <n v="12"/>
    <n v="1787"/>
    <n v="-0.01"/>
    <n v="1811"/>
    <n v="2155"/>
    <n v="25860"/>
    <d v="2020-02-05T00:00:00"/>
    <s v="Cajon"/>
    <n v="340475"/>
    <x v="29"/>
    <n v="1290"/>
    <n v="521"/>
    <n v="0.28999999999999998"/>
    <m/>
  </r>
  <r>
    <n v="196"/>
    <s v="DE-1198"/>
    <x v="130"/>
    <x v="54"/>
    <x v="27"/>
    <s v="Factura"/>
    <m/>
    <n v="1039083"/>
    <n v="4434"/>
    <s v="C001"/>
    <s v="Benito Campos y Cia Ltda."/>
    <n v="12"/>
    <n v="1274"/>
    <n v="-0.41"/>
    <n v="2159"/>
    <n v="2138"/>
    <n v="25656"/>
    <d v="2020-02-05T00:00:00"/>
    <s v="Cajon"/>
    <n v="175277"/>
    <x v="31"/>
    <n v="920"/>
    <n v="1239"/>
    <n v="0.56999999999999995"/>
    <m/>
  </r>
  <r>
    <n v="196"/>
    <s v="DE-1064"/>
    <x v="131"/>
    <x v="45"/>
    <x v="27"/>
    <s v="Factura"/>
    <m/>
    <n v="1039083"/>
    <n v="4434"/>
    <s v="C001"/>
    <s v="Benito Campos y Cia Ltda."/>
    <n v="6"/>
    <n v="4625"/>
    <n v="0.1"/>
    <n v="4214"/>
    <n v="4967"/>
    <n v="29802"/>
    <d v="2020-02-05T00:00:00"/>
    <s v="Cajon"/>
    <n v="175277"/>
    <x v="19"/>
    <n v="3306"/>
    <n v="908"/>
    <n v="0.22"/>
    <m/>
  </r>
  <r>
    <n v="196"/>
    <s v="DE-1084"/>
    <x v="132"/>
    <x v="45"/>
    <x v="27"/>
    <s v="Factura"/>
    <m/>
    <n v="1039083"/>
    <n v="4434"/>
    <s v="C001"/>
    <s v="Benito Campos y Cia Ltda."/>
    <n v="6"/>
    <n v="4832"/>
    <n v="0.14000000000000001"/>
    <n v="4239"/>
    <n v="4945"/>
    <n v="29670"/>
    <d v="2020-02-05T00:00:00"/>
    <s v="Cajon"/>
    <n v="175277"/>
    <x v="19"/>
    <n v="3489"/>
    <n v="750"/>
    <n v="0.18"/>
    <m/>
  </r>
  <r>
    <n v="196"/>
    <s v="DE-1122"/>
    <x v="133"/>
    <x v="40"/>
    <x v="27"/>
    <s v="Factura"/>
    <m/>
    <n v="1039083"/>
    <n v="4434"/>
    <s v="C001"/>
    <s v="Benito Campos y Cia Ltda."/>
    <n v="12"/>
    <n v="741"/>
    <n v="0.05"/>
    <n v="706"/>
    <n v="837"/>
    <n v="10044"/>
    <d v="2020-02-05T00:00:00"/>
    <s v="Cajon"/>
    <n v="175277"/>
    <x v="27"/>
    <n v="512"/>
    <n v="194"/>
    <n v="0.27"/>
    <m/>
  </r>
  <r>
    <n v="196"/>
    <s v="DE-1120"/>
    <x v="134"/>
    <x v="40"/>
    <x v="27"/>
    <s v="Factura"/>
    <m/>
    <n v="1039083"/>
    <n v="4434"/>
    <s v="C001"/>
    <s v="Benito Campos y Cia Ltda."/>
    <n v="24"/>
    <n v="385"/>
    <n v="-0.01"/>
    <n v="389"/>
    <n v="463"/>
    <n v="11112"/>
    <d v="2020-02-05T00:00:00"/>
    <s v="Cajon"/>
    <n v="175277"/>
    <x v="27"/>
    <n v="266"/>
    <n v="123"/>
    <n v="0.32"/>
    <m/>
  </r>
  <r>
    <n v="202"/>
    <s v="GR-0054"/>
    <x v="30"/>
    <x v="18"/>
    <x v="28"/>
    <s v="Boleta"/>
    <m/>
    <n v="6498"/>
    <n v="4440"/>
    <s v="C638"/>
    <s v="Catherine Barra"/>
    <n v="1"/>
    <n v="19328"/>
    <s v="%"/>
    <n v="19328"/>
    <n v="23000"/>
    <n v="23000"/>
    <d v="2020-02-06T00:00:00"/>
    <s v="Pirque"/>
    <n v="23000"/>
    <x v="5"/>
    <n v="14604"/>
    <n v="4724"/>
    <n v="0.24"/>
    <m/>
  </r>
  <r>
    <n v="205"/>
    <s v="MA-166"/>
    <x v="5"/>
    <x v="5"/>
    <x v="28"/>
    <s v="Boleta"/>
    <m/>
    <n v="6495"/>
    <n v="4443"/>
    <s v="C535"/>
    <s v="Juan Pablo Garcia"/>
    <n v="2"/>
    <n v="19076"/>
    <s v="%"/>
    <n v="19076"/>
    <n v="22700"/>
    <n v="45400"/>
    <d v="2020-02-06T00:00:00"/>
    <s v="Pirque"/>
    <n v="45400"/>
    <x v="5"/>
    <n v="14122"/>
    <n v="4954"/>
    <n v="0.26"/>
    <m/>
  </r>
  <r>
    <n v="201"/>
    <s v="AS-45"/>
    <x v="15"/>
    <x v="6"/>
    <x v="28"/>
    <s v="Boleta"/>
    <m/>
    <n v="6499"/>
    <n v="4439"/>
    <s v="C064"/>
    <s v="Maria Estela Matte"/>
    <n v="2"/>
    <n v="2017"/>
    <s v="%"/>
    <n v="2017"/>
    <n v="2400"/>
    <n v="4800"/>
    <d v="2020-02-08T00:00:00"/>
    <s v="Pirque"/>
    <n v="4800"/>
    <x v="6"/>
    <n v="1150"/>
    <n v="867"/>
    <n v="0.43"/>
    <m/>
  </r>
  <r>
    <n v="206"/>
    <s v="MA-0053"/>
    <x v="8"/>
    <x v="7"/>
    <x v="28"/>
    <s v="Boleta"/>
    <m/>
    <n v="6500"/>
    <n v="4444"/>
    <s v="C510"/>
    <s v="Ricardo Edwards"/>
    <n v="4"/>
    <n v="13277"/>
    <s v="%"/>
    <n v="13277"/>
    <n v="15800"/>
    <n v="63200"/>
    <d v="2020-02-06T00:00:00"/>
    <s v="Pirque"/>
    <n v="78400"/>
    <x v="5"/>
    <n v="9975"/>
    <n v="3302"/>
    <n v="0.25"/>
    <m/>
  </r>
  <r>
    <n v="206"/>
    <s v="AS-0035"/>
    <x v="33"/>
    <x v="6"/>
    <x v="28"/>
    <s v="Boleta"/>
    <m/>
    <n v="6500"/>
    <n v="4444"/>
    <s v="C510"/>
    <s v="Ricardo Edwards"/>
    <n v="4"/>
    <n v="3193"/>
    <s v="%"/>
    <n v="3193"/>
    <n v="3800"/>
    <n v="15200"/>
    <d v="2020-02-06T00:00:00"/>
    <s v="Pirque"/>
    <n v="78400"/>
    <x v="6"/>
    <n v="2195"/>
    <n v="998"/>
    <n v="0.31"/>
    <m/>
  </r>
  <r>
    <n v="203"/>
    <s v="MA-0001"/>
    <x v="101"/>
    <x v="18"/>
    <x v="28"/>
    <s v="Boleta"/>
    <m/>
    <n v="6497"/>
    <n v="4441"/>
    <s v="C447"/>
    <s v="Silvia Berrios"/>
    <n v="1"/>
    <n v="20084"/>
    <s v="%"/>
    <n v="20084"/>
    <n v="23900"/>
    <n v="23900"/>
    <d v="2020-02-06T00:00:00"/>
    <s v="Pirque"/>
    <n v="23900"/>
    <x v="5"/>
    <n v="14604"/>
    <n v="5480"/>
    <n v="0.27"/>
    <m/>
  </r>
  <r>
    <n v="204"/>
    <s v="MA-0053"/>
    <x v="8"/>
    <x v="7"/>
    <x v="28"/>
    <s v="Boleta"/>
    <m/>
    <n v="6496"/>
    <n v="4442"/>
    <s v="C488"/>
    <s v="Trinidad Siviragol"/>
    <n v="3"/>
    <n v="13277"/>
    <s v="%"/>
    <n v="13277"/>
    <n v="15800"/>
    <n v="47400"/>
    <d v="2020-02-06T00:00:00"/>
    <s v="Pirque"/>
    <n v="51419"/>
    <x v="5"/>
    <n v="9975"/>
    <n v="3302"/>
    <n v="0.25"/>
    <m/>
  </r>
  <r>
    <n v="204"/>
    <s v="AS-0035"/>
    <x v="33"/>
    <x v="6"/>
    <x v="28"/>
    <s v="Boleta"/>
    <m/>
    <n v="6496"/>
    <n v="4442"/>
    <s v="C488"/>
    <s v="Trinidad Siviragol"/>
    <n v="1"/>
    <n v="3377"/>
    <s v="%"/>
    <n v="3377"/>
    <n v="4019"/>
    <n v="4019"/>
    <d v="2020-02-06T00:00:00"/>
    <s v="Pirque"/>
    <n v="51419"/>
    <x v="6"/>
    <n v="2195"/>
    <n v="1182"/>
    <n v="0.35"/>
    <m/>
  </r>
  <r>
    <n v="207"/>
    <s v="AS-42"/>
    <x v="7"/>
    <x v="6"/>
    <x v="29"/>
    <s v="Factura"/>
    <m/>
    <s v="sn"/>
    <n v="4445"/>
    <s v="C113"/>
    <s v="Alvaro del Carmen Ruiz Farias y Otro (Hornito)"/>
    <n v="20"/>
    <n v="1210"/>
    <s v="%"/>
    <n v="1210"/>
    <n v="1440"/>
    <n v="28800"/>
    <d v="2020-02-07T00:00:00"/>
    <s v="Chada"/>
    <n v="217977"/>
    <x v="6"/>
    <n v="850"/>
    <n v="360"/>
    <n v="0.3"/>
    <m/>
  </r>
  <r>
    <n v="207"/>
    <s v="AS-46"/>
    <x v="40"/>
    <x v="13"/>
    <x v="29"/>
    <s v="Factura"/>
    <m/>
    <s v="sn"/>
    <n v="4445"/>
    <s v="C113"/>
    <s v="Alvaro del Carmen Ruiz Farias y Otro (Hornito)"/>
    <n v="20"/>
    <n v="3152"/>
    <s v="%"/>
    <n v="3152"/>
    <n v="3751"/>
    <n v="75020"/>
    <d v="2020-02-07T00:00:00"/>
    <s v="Chada"/>
    <n v="217977"/>
    <x v="6"/>
    <n v="2250"/>
    <n v="902"/>
    <n v="0.28999999999999998"/>
    <m/>
  </r>
  <r>
    <n v="207"/>
    <s v="DE-1029"/>
    <x v="65"/>
    <x v="6"/>
    <x v="29"/>
    <s v="Factura"/>
    <m/>
    <s v="sn"/>
    <n v="4445"/>
    <s v="C113"/>
    <s v="Alvaro del Carmen Ruiz Farias y Otro (Hornito)"/>
    <n v="22"/>
    <n v="418"/>
    <n v="0.05"/>
    <n v="398"/>
    <n v="472"/>
    <n v="10384"/>
    <d v="2020-02-07T00:00:00"/>
    <s v="Chada"/>
    <n v="217977"/>
    <x v="23"/>
    <n v="264"/>
    <n v="134"/>
    <n v="0.34"/>
    <m/>
  </r>
  <r>
    <n v="207"/>
    <s v="DE-1028"/>
    <x v="68"/>
    <x v="6"/>
    <x v="29"/>
    <s v="Factura"/>
    <m/>
    <s v="sn"/>
    <n v="4445"/>
    <s v="C113"/>
    <s v="Alvaro del Carmen Ruiz Farias y Otro (Hornito)"/>
    <n v="6"/>
    <n v="1314"/>
    <n v="0.05"/>
    <n v="1251"/>
    <n v="1485"/>
    <n v="8910"/>
    <d v="2020-02-07T00:00:00"/>
    <s v="Chada"/>
    <n v="217977"/>
    <x v="23"/>
    <n v="830"/>
    <n v="421"/>
    <n v="0.34"/>
    <m/>
  </r>
  <r>
    <n v="207"/>
    <s v="MA-0107"/>
    <x v="63"/>
    <x v="4"/>
    <x v="29"/>
    <s v="Factura"/>
    <m/>
    <s v="sn"/>
    <n v="4445"/>
    <s v="C113"/>
    <s v="Alvaro del Carmen Ruiz Farias y Otro (Hornito)"/>
    <n v="12"/>
    <n v="1787"/>
    <n v="0.1"/>
    <n v="1628"/>
    <n v="1919"/>
    <n v="23028"/>
    <d v="2020-02-07T00:00:00"/>
    <s v="Chada"/>
    <n v="217977"/>
    <x v="4"/>
    <n v="1290"/>
    <n v="338"/>
    <n v="0.21"/>
    <m/>
  </r>
  <r>
    <n v="207"/>
    <s v="MA-0108"/>
    <x v="81"/>
    <x v="4"/>
    <x v="29"/>
    <s v="Factura"/>
    <m/>
    <s v="sn"/>
    <n v="4445"/>
    <s v="C113"/>
    <s v="Alvaro del Carmen Ruiz Farias y Otro (Hornito)"/>
    <n v="6"/>
    <n v="3428"/>
    <n v="0.1"/>
    <n v="3123"/>
    <n v="3682"/>
    <n v="22092"/>
    <d v="2020-02-07T00:00:00"/>
    <s v="Chada"/>
    <n v="217977"/>
    <x v="4"/>
    <n v="2475"/>
    <n v="648"/>
    <n v="0.21"/>
    <m/>
  </r>
  <r>
    <n v="207"/>
    <s v="MA-114"/>
    <x v="79"/>
    <x v="17"/>
    <x v="29"/>
    <s v="Factura"/>
    <m/>
    <s v="sn"/>
    <n v="4445"/>
    <s v="C113"/>
    <s v="Alvaro del Carmen Ruiz Farias y Otro (Hornito)"/>
    <n v="20"/>
    <n v="1078"/>
    <n v="0.1"/>
    <n v="982"/>
    <n v="1157"/>
    <n v="23140"/>
    <d v="2020-02-07T00:00:00"/>
    <s v="Chada"/>
    <n v="217977"/>
    <x v="7"/>
    <n v="778"/>
    <n v="204"/>
    <n v="0.21"/>
    <m/>
  </r>
  <r>
    <n v="207"/>
    <s v="MA-113"/>
    <x v="115"/>
    <x v="49"/>
    <x v="29"/>
    <s v="Factura"/>
    <m/>
    <s v="sn"/>
    <n v="4445"/>
    <s v="C113"/>
    <s v="Alvaro del Carmen Ruiz Farias y Otro (Hornito)"/>
    <n v="5"/>
    <n v="4366"/>
    <n v="0.1"/>
    <n v="3978"/>
    <n v="4689"/>
    <n v="23445"/>
    <d v="2020-02-07T00:00:00"/>
    <s v="Chada"/>
    <n v="217977"/>
    <x v="7"/>
    <n v="3152"/>
    <n v="826"/>
    <n v="0.21"/>
    <m/>
  </r>
  <r>
    <n v="207"/>
    <s v="AS-77"/>
    <x v="56"/>
    <x v="31"/>
    <x v="29"/>
    <s v="Factura"/>
    <m/>
    <s v="sn"/>
    <n v="4445"/>
    <s v="C113"/>
    <s v="Alvaro del Carmen Ruiz Farias y Otro (Hornito)"/>
    <n v="2"/>
    <n v="817"/>
    <n v="0.17"/>
    <n v="698"/>
    <n v="807"/>
    <n v="1614"/>
    <d v="2020-02-07T00:00:00"/>
    <s v="Chada"/>
    <n v="217977"/>
    <x v="9"/>
    <n v="590"/>
    <n v="108"/>
    <n v="0.15"/>
    <m/>
  </r>
  <r>
    <n v="207"/>
    <s v="DE-1165"/>
    <x v="90"/>
    <x v="31"/>
    <x v="29"/>
    <s v="Factura"/>
    <m/>
    <s v="sn"/>
    <n v="4445"/>
    <s v="C113"/>
    <s v="Alvaro del Carmen Ruiz Farias y Otro (Hornito)"/>
    <n v="2"/>
    <n v="741"/>
    <n v="0.13"/>
    <n v="657"/>
    <n v="769"/>
    <n v="1538"/>
    <d v="2020-02-07T00:00:00"/>
    <s v="Chada"/>
    <n v="217977"/>
    <x v="9"/>
    <n v="535"/>
    <n v="122"/>
    <n v="0.19"/>
    <m/>
  </r>
  <r>
    <n v="208"/>
    <s v="AS-29"/>
    <x v="14"/>
    <x v="13"/>
    <x v="29"/>
    <s v="Factura"/>
    <m/>
    <s v="snm"/>
    <n v="4446"/>
    <s v="C113"/>
    <s v="Alvaro del Carmen Ruiz Farias y Otro (Hornito)"/>
    <n v="20"/>
    <n v="3062"/>
    <n v="0.1"/>
    <n v="2790"/>
    <n v="3288"/>
    <n v="65760"/>
    <d v="2020-02-07T00:00:00"/>
    <s v="Chada"/>
    <n v="65763"/>
    <x v="6"/>
    <n v="2100"/>
    <n v="690"/>
    <n v="0.25"/>
    <m/>
  </r>
  <r>
    <n v="215"/>
    <s v="MA-208"/>
    <x v="103"/>
    <x v="43"/>
    <x v="29"/>
    <s v="Boleta"/>
    <m/>
    <n v="6505"/>
    <n v="4453"/>
    <s v="C063"/>
    <s v="Andrea Ramirez"/>
    <n v="1"/>
    <n v="7563"/>
    <s v="%"/>
    <n v="7563"/>
    <n v="9000"/>
    <n v="9000"/>
    <d v="2020-02-08T00:00:00"/>
    <s v="Pirque"/>
    <n v="9000"/>
    <x v="14"/>
    <n v="5300"/>
    <n v="2263"/>
    <n v="0.3"/>
    <m/>
  </r>
  <r>
    <n v="213"/>
    <s v="DE-1214"/>
    <x v="135"/>
    <x v="55"/>
    <x v="29"/>
    <s v="Boleta"/>
    <m/>
    <n v="6503"/>
    <n v="4451"/>
    <s v="C033"/>
    <s v="Catalina Daniela Peña Royo"/>
    <n v="1"/>
    <n v="14286"/>
    <s v="%"/>
    <n v="14286"/>
    <n v="17000"/>
    <n v="17000"/>
    <d v="2020-02-07T00:00:00"/>
    <s v="Chada"/>
    <n v="17000"/>
    <x v="32"/>
    <n v="10000"/>
    <n v="4286"/>
    <n v="0.3"/>
    <m/>
  </r>
  <r>
    <n v="209"/>
    <s v="DE-1101"/>
    <x v="136"/>
    <x v="45"/>
    <x v="29"/>
    <s v="Factura"/>
    <m/>
    <s v="sn"/>
    <n v="4447"/>
    <s v="C035"/>
    <s v="Jimena Isabel Alfaro Navarro"/>
    <n v="1"/>
    <n v="35561"/>
    <n v="0.06"/>
    <n v="33474"/>
    <n v="39679"/>
    <n v="39679"/>
    <d v="2020-02-07T00:00:00"/>
    <s v="Chada"/>
    <n v="39679"/>
    <x v="19"/>
    <n v="25675"/>
    <n v="7799"/>
    <n v="0.23"/>
    <m/>
  </r>
  <r>
    <n v="211"/>
    <s v="AS-0031"/>
    <x v="16"/>
    <x v="13"/>
    <x v="29"/>
    <s v="Boleta"/>
    <m/>
    <n v="6501"/>
    <n v="4449"/>
    <s v="C656"/>
    <s v="Lorena Ahumada"/>
    <n v="1"/>
    <n v="3193"/>
    <s v="%"/>
    <n v="3193"/>
    <n v="3800"/>
    <n v="3800"/>
    <d v="2020-02-06T00:00:00"/>
    <s v="Pirque"/>
    <n v="19700"/>
    <x v="6"/>
    <n v="2200"/>
    <n v="993"/>
    <n v="0.31"/>
    <m/>
  </r>
  <r>
    <n v="211"/>
    <s v="AS-29"/>
    <x v="14"/>
    <x v="13"/>
    <x v="29"/>
    <s v="Boleta"/>
    <m/>
    <n v="6501"/>
    <n v="4449"/>
    <s v="C656"/>
    <s v="Lorena Ahumada"/>
    <n v="2"/>
    <n v="3193"/>
    <s v="%"/>
    <n v="3193"/>
    <n v="3800"/>
    <n v="7600"/>
    <d v="2020-02-06T00:00:00"/>
    <s v="Pirque"/>
    <n v="19700"/>
    <x v="6"/>
    <n v="2100"/>
    <n v="1093"/>
    <n v="0.34"/>
    <m/>
  </r>
  <r>
    <n v="211"/>
    <s v="AS-42"/>
    <x v="7"/>
    <x v="6"/>
    <x v="29"/>
    <s v="Boleta"/>
    <m/>
    <n v="6501"/>
    <n v="4449"/>
    <s v="C656"/>
    <s v="Lorena Ahumada"/>
    <n v="1"/>
    <n v="2101"/>
    <s v="%"/>
    <n v="2101"/>
    <n v="2500"/>
    <n v="2500"/>
    <d v="2020-02-06T00:00:00"/>
    <s v="Pirque"/>
    <n v="19700"/>
    <x v="6"/>
    <n v="850"/>
    <n v="1251"/>
    <n v="0.6"/>
    <m/>
  </r>
  <r>
    <n v="211"/>
    <s v="AS-0034"/>
    <x v="26"/>
    <x v="13"/>
    <x v="29"/>
    <s v="Boleta"/>
    <m/>
    <n v="6501"/>
    <n v="4449"/>
    <s v="C656"/>
    <s v="Lorena Ahumada"/>
    <n v="1"/>
    <n v="4874"/>
    <s v="%"/>
    <n v="4874"/>
    <n v="5800"/>
    <n v="5800"/>
    <d v="2020-02-06T00:00:00"/>
    <s v="Pirque"/>
    <n v="19700"/>
    <x v="6"/>
    <n v="2400"/>
    <n v="2474"/>
    <n v="0.51"/>
    <m/>
  </r>
  <r>
    <n v="212"/>
    <s v="MA-0035"/>
    <x v="37"/>
    <x v="16"/>
    <x v="29"/>
    <s v="Boleta"/>
    <m/>
    <n v="6502"/>
    <n v="4450"/>
    <s v="C620"/>
    <s v="Luz Maria Ossandon"/>
    <n v="1"/>
    <n v="16555"/>
    <s v="%"/>
    <n v="16555"/>
    <n v="19700"/>
    <n v="19700"/>
    <d v="2020-02-06T00:00:00"/>
    <s v="Pirque"/>
    <n v="39600"/>
    <x v="7"/>
    <n v="12429"/>
    <n v="4126"/>
    <n v="0.25"/>
    <m/>
  </r>
  <r>
    <n v="212"/>
    <s v="MA-0040"/>
    <x v="28"/>
    <x v="16"/>
    <x v="29"/>
    <s v="Boleta"/>
    <m/>
    <n v="6502"/>
    <n v="4450"/>
    <s v="C620"/>
    <s v="Luz Maria Ossandon"/>
    <n v="1"/>
    <n v="16723"/>
    <s v="%"/>
    <n v="16723"/>
    <n v="19900"/>
    <n v="19900"/>
    <d v="2020-02-06T00:00:00"/>
    <s v="Pirque"/>
    <n v="39600"/>
    <x v="7"/>
    <n v="11888"/>
    <n v="4835"/>
    <n v="0.28999999999999998"/>
    <m/>
  </r>
  <r>
    <n v="214"/>
    <s v="MA-0027"/>
    <x v="9"/>
    <x v="8"/>
    <x v="29"/>
    <s v="Boleta"/>
    <m/>
    <n v="6504"/>
    <n v="4452"/>
    <s v="C028"/>
    <s v="Luz María Velasquez"/>
    <n v="1"/>
    <n v="13866"/>
    <s v="%"/>
    <n v="13866"/>
    <n v="16500"/>
    <n v="16500"/>
    <d v="2020-02-07T00:00:00"/>
    <s v="Chada"/>
    <n v="45200"/>
    <x v="7"/>
    <n v="10390"/>
    <n v="3476"/>
    <n v="0.25"/>
    <m/>
  </r>
  <r>
    <n v="214"/>
    <s v="MA-0104"/>
    <x v="116"/>
    <x v="4"/>
    <x v="29"/>
    <s v="Boleta"/>
    <m/>
    <n v="6504"/>
    <n v="4452"/>
    <s v="C028"/>
    <s v="Luz María Velasquez"/>
    <n v="1"/>
    <n v="13109"/>
    <s v="%"/>
    <n v="13109"/>
    <n v="15600"/>
    <n v="15600"/>
    <d v="2020-02-07T00:00:00"/>
    <s v="Chada"/>
    <n v="45200"/>
    <x v="4"/>
    <n v="9850"/>
    <n v="3259"/>
    <n v="0.25"/>
    <m/>
  </r>
  <r>
    <n v="214"/>
    <s v="AS-0035"/>
    <x v="33"/>
    <x v="6"/>
    <x v="29"/>
    <s v="Boleta"/>
    <m/>
    <n v="6504"/>
    <n v="4452"/>
    <s v="C028"/>
    <s v="Luz María Velasquez"/>
    <n v="2"/>
    <n v="3193"/>
    <s v="%"/>
    <n v="3193"/>
    <n v="3800"/>
    <n v="7600"/>
    <d v="2020-02-07T00:00:00"/>
    <s v="Chada"/>
    <n v="45200"/>
    <x v="6"/>
    <n v="2195"/>
    <n v="998"/>
    <n v="0.31"/>
    <m/>
  </r>
  <r>
    <n v="214"/>
    <s v="MA-172"/>
    <x v="94"/>
    <x v="41"/>
    <x v="29"/>
    <s v="Boleta"/>
    <m/>
    <n v="6504"/>
    <n v="4452"/>
    <s v="C028"/>
    <s v="Luz María Velasquez"/>
    <n v="1"/>
    <n v="4622"/>
    <s v="%"/>
    <n v="4622"/>
    <n v="5500"/>
    <n v="5500"/>
    <d v="2020-02-07T00:00:00"/>
    <s v="Chada"/>
    <n v="45200"/>
    <x v="5"/>
    <n v="2695"/>
    <n v="1927"/>
    <n v="0.42"/>
    <m/>
  </r>
  <r>
    <n v="216"/>
    <s v="MA-121"/>
    <x v="111"/>
    <x v="4"/>
    <x v="29"/>
    <s v="Boleta"/>
    <m/>
    <n v="6506"/>
    <n v="4454"/>
    <s v="C246"/>
    <s v="Rosa Paz (Municipalidad Pirque)"/>
    <n v="1"/>
    <n v="19496"/>
    <s v="%"/>
    <n v="19496"/>
    <n v="23200"/>
    <n v="23200"/>
    <d v="2020-02-08T00:00:00"/>
    <s v="Pirque"/>
    <n v="23200"/>
    <x v="4"/>
    <n v="14700"/>
    <n v="4796"/>
    <n v="0.25"/>
    <m/>
  </r>
  <r>
    <n v="210"/>
    <s v="DE-1202"/>
    <x v="137"/>
    <x v="56"/>
    <x v="29"/>
    <s v="Factura"/>
    <m/>
    <s v="sn"/>
    <n v="4448"/>
    <s v="C009"/>
    <s v="Sociedad Comercial y Agricola Chada Ltda"/>
    <n v="4"/>
    <n v="12185"/>
    <s v="%"/>
    <n v="12185"/>
    <n v="14500"/>
    <n v="58000"/>
    <d v="2020-02-07T00:00:00"/>
    <s v="Chada"/>
    <n v="107780"/>
    <x v="17"/>
    <n v="4703"/>
    <n v="7482"/>
    <n v="0.61"/>
    <m/>
  </r>
  <r>
    <n v="210"/>
    <s v="MA-0053"/>
    <x v="8"/>
    <x v="7"/>
    <x v="29"/>
    <s v="Factura"/>
    <m/>
    <s v="sn"/>
    <n v="4448"/>
    <s v="C009"/>
    <s v="Sociedad Comercial y Agricola Chada Ltda"/>
    <n v="2"/>
    <n v="13816"/>
    <n v="0.19"/>
    <n v="11610"/>
    <n v="13317"/>
    <n v="26634"/>
    <d v="2020-02-07T00:00:00"/>
    <s v="Chada"/>
    <n v="107780"/>
    <x v="5"/>
    <n v="9975"/>
    <n v="1635"/>
    <n v="0.14000000000000001"/>
    <m/>
  </r>
  <r>
    <n v="210"/>
    <s v="MA-114"/>
    <x v="79"/>
    <x v="17"/>
    <x v="29"/>
    <s v="Factura"/>
    <m/>
    <s v="sn"/>
    <n v="4448"/>
    <s v="C009"/>
    <s v="Sociedad Comercial y Agricola Chada Ltda"/>
    <n v="20"/>
    <n v="1078"/>
    <n v="0.1"/>
    <n v="982"/>
    <n v="1157"/>
    <n v="23140"/>
    <d v="2020-02-07T00:00:00"/>
    <s v="Chada"/>
    <n v="107780"/>
    <x v="7"/>
    <n v="778"/>
    <n v="204"/>
    <n v="0.21"/>
    <m/>
  </r>
  <r>
    <n v="217"/>
    <s v="DE-1150"/>
    <x v="42"/>
    <x v="22"/>
    <x v="30"/>
    <s v="Factura"/>
    <m/>
    <s v="sn"/>
    <n v="4455"/>
    <s v="C001"/>
    <s v="Benito Campos y Cia Ltda."/>
    <n v="300"/>
    <n v="1312"/>
    <n v="-0.02"/>
    <n v="1336"/>
    <n v="1590"/>
    <n v="477000"/>
    <d v="2020-02-10T00:00:00"/>
    <s v="Pirque"/>
    <n v="477000"/>
    <x v="14"/>
    <n v="900"/>
    <n v="436"/>
    <n v="0.33"/>
    <m/>
  </r>
  <r>
    <n v="226"/>
    <s v="MA-0027"/>
    <x v="9"/>
    <x v="8"/>
    <x v="30"/>
    <s v="Boleta"/>
    <m/>
    <n v="6514"/>
    <n v="4464"/>
    <s v="C063"/>
    <s v="Andrea Ramirez"/>
    <n v="1"/>
    <n v="13866"/>
    <s v="%"/>
    <n v="13866"/>
    <n v="16500"/>
    <n v="16500"/>
    <d v="2020-02-10T00:00:00"/>
    <s v="Pirque"/>
    <n v="16500"/>
    <x v="7"/>
    <n v="10390"/>
    <n v="3476"/>
    <n v="0.25"/>
    <m/>
  </r>
  <r>
    <n v="228"/>
    <s v="MA-183"/>
    <x v="109"/>
    <x v="47"/>
    <x v="30"/>
    <s v="Boleta"/>
    <m/>
    <n v="6517"/>
    <n v="4466"/>
    <s v="C390"/>
    <s v="Auria Villanueva"/>
    <n v="1"/>
    <n v="21429"/>
    <s v="%"/>
    <n v="21429"/>
    <n v="25500"/>
    <n v="25500"/>
    <d v="2020-02-10T00:00:00"/>
    <s v="Pirque"/>
    <n v="25500"/>
    <x v="11"/>
    <n v="18726"/>
    <n v="2703"/>
    <n v="0.13"/>
    <m/>
  </r>
  <r>
    <n v="221"/>
    <s v="MA-207"/>
    <x v="138"/>
    <x v="43"/>
    <x v="30"/>
    <s v="Boleta"/>
    <m/>
    <n v="6509"/>
    <n v="4459"/>
    <s v="C418"/>
    <s v="Claudia Ormazabal"/>
    <n v="1"/>
    <n v="13866"/>
    <s v="%"/>
    <n v="13866"/>
    <n v="16500"/>
    <n v="16500"/>
    <d v="2020-02-08T00:00:00"/>
    <s v="Pirque"/>
    <n v="22300"/>
    <x v="14"/>
    <n v="9778"/>
    <n v="4088"/>
    <n v="0.28999999999999998"/>
    <m/>
  </r>
  <r>
    <n v="221"/>
    <s v="AS-0034"/>
    <x v="26"/>
    <x v="13"/>
    <x v="30"/>
    <s v="Boleta"/>
    <m/>
    <n v="6509"/>
    <n v="4459"/>
    <s v="C418"/>
    <s v="Claudia Ormazabal"/>
    <n v="1"/>
    <n v="4874"/>
    <s v="%"/>
    <n v="4874"/>
    <n v="5800"/>
    <n v="5800"/>
    <d v="2020-02-08T00:00:00"/>
    <s v="Pirque"/>
    <n v="22300"/>
    <x v="6"/>
    <n v="2400"/>
    <n v="2474"/>
    <n v="0.51"/>
    <m/>
  </r>
  <r>
    <n v="224"/>
    <s v="MA-0053"/>
    <x v="8"/>
    <x v="7"/>
    <x v="30"/>
    <s v="Boleta"/>
    <m/>
    <n v="6512"/>
    <n v="4462"/>
    <s v="C364"/>
    <s v="Herminda Arriagada"/>
    <n v="1"/>
    <n v="13277"/>
    <s v="%"/>
    <n v="13277"/>
    <n v="15800"/>
    <n v="15800"/>
    <d v="2020-02-08T00:00:00"/>
    <s v="Pirque"/>
    <n v="39300"/>
    <x v="5"/>
    <n v="9975"/>
    <n v="3302"/>
    <n v="0.25"/>
    <m/>
  </r>
  <r>
    <n v="224"/>
    <s v="MA-0004"/>
    <x v="139"/>
    <x v="21"/>
    <x v="30"/>
    <s v="Boleta"/>
    <m/>
    <n v="6512"/>
    <n v="4462"/>
    <s v="C364"/>
    <s v="Herminda Arriagada"/>
    <n v="1"/>
    <n v="19748"/>
    <s v="%"/>
    <n v="19748"/>
    <n v="23500"/>
    <n v="23500"/>
    <d v="2020-02-08T00:00:00"/>
    <s v="Pirque"/>
    <n v="39300"/>
    <x v="5"/>
    <n v="14894"/>
    <n v="4854"/>
    <n v="0.25"/>
    <m/>
  </r>
  <r>
    <n v="223"/>
    <s v="MA-0035"/>
    <x v="37"/>
    <x v="16"/>
    <x v="30"/>
    <s v="Boleta"/>
    <m/>
    <n v="43869"/>
    <n v="4461"/>
    <s v="C595"/>
    <s v="Juan Neira"/>
    <n v="1"/>
    <n v="16555"/>
    <s v="%"/>
    <n v="16555"/>
    <n v="19700"/>
    <n v="19700"/>
    <d v="2020-02-08T00:00:00"/>
    <s v="Pirque"/>
    <n v="19700"/>
    <x v="7"/>
    <n v="12429"/>
    <n v="4126"/>
    <n v="0.25"/>
    <m/>
  </r>
  <r>
    <n v="219"/>
    <s v="AS-29"/>
    <x v="14"/>
    <x v="13"/>
    <x v="30"/>
    <s v="Boleta"/>
    <m/>
    <n v="6507"/>
    <n v="4457"/>
    <s v="C583"/>
    <s v="Karina Ormeño"/>
    <n v="4"/>
    <n v="3193"/>
    <s v="%"/>
    <n v="3193"/>
    <n v="3800"/>
    <n v="15200"/>
    <d v="2020-02-10T00:00:00"/>
    <s v="Pirque"/>
    <n v="30400"/>
    <x v="6"/>
    <n v="2100"/>
    <n v="1093"/>
    <n v="0.34"/>
    <m/>
  </r>
  <r>
    <n v="219"/>
    <s v="AS-0035"/>
    <x v="33"/>
    <x v="6"/>
    <x v="30"/>
    <s v="Boleta"/>
    <m/>
    <n v="6507"/>
    <n v="4457"/>
    <s v="C583"/>
    <s v="Karina Ormeño"/>
    <n v="4"/>
    <n v="3193"/>
    <s v="%"/>
    <n v="3193"/>
    <n v="3800"/>
    <n v="15200"/>
    <d v="2020-02-10T00:00:00"/>
    <s v="Pirque"/>
    <n v="30400"/>
    <x v="6"/>
    <n v="2195"/>
    <n v="998"/>
    <n v="0.31"/>
    <m/>
  </r>
  <r>
    <n v="227"/>
    <s v="MA-193"/>
    <x v="38"/>
    <x v="20"/>
    <x v="30"/>
    <s v="Boleta"/>
    <m/>
    <n v="6515"/>
    <n v="4465"/>
    <s v="C538"/>
    <s v="Katherine Torres"/>
    <n v="1"/>
    <n v="32689"/>
    <s v="%"/>
    <n v="32689"/>
    <n v="38900"/>
    <n v="38900"/>
    <d v="2020-02-10T00:00:00"/>
    <s v="Pirque"/>
    <n v="46400"/>
    <x v="11"/>
    <n v="26207"/>
    <n v="6482"/>
    <n v="0.2"/>
    <m/>
  </r>
  <r>
    <n v="227"/>
    <s v="DE-0511"/>
    <x v="140"/>
    <x v="9"/>
    <x v="30"/>
    <s v="Boleta"/>
    <m/>
    <n v="6515"/>
    <n v="4465"/>
    <s v="C538"/>
    <s v="Katherine Torres"/>
    <n v="1"/>
    <n v="6303"/>
    <s v="%"/>
    <n v="6303"/>
    <n v="7500"/>
    <n v="7500"/>
    <d v="2020-02-10T00:00:00"/>
    <s v="Pirque"/>
    <n v="46400"/>
    <x v="8"/>
    <n v="5042"/>
    <n v="1261"/>
    <n v="0.2"/>
    <m/>
  </r>
  <r>
    <n v="225"/>
    <s v="MA-193"/>
    <x v="38"/>
    <x v="20"/>
    <x v="30"/>
    <s v="Boleta"/>
    <m/>
    <n v="6513"/>
    <n v="4463"/>
    <s v="C546"/>
    <s v="Martha Feres"/>
    <n v="1"/>
    <n v="29832"/>
    <s v="%"/>
    <n v="29832"/>
    <n v="35500"/>
    <n v="35500"/>
    <d v="2020-02-10T00:00:00"/>
    <s v="Pirque"/>
    <n v="35500"/>
    <x v="11"/>
    <n v="26207"/>
    <n v="3625"/>
    <n v="0.12"/>
    <m/>
  </r>
  <r>
    <n v="220"/>
    <s v="MA-0035"/>
    <x v="37"/>
    <x v="16"/>
    <x v="30"/>
    <s v="Boleta"/>
    <m/>
    <n v="6508"/>
    <n v="4458"/>
    <s v="C657"/>
    <s v="Patricio La Escuela"/>
    <n v="1"/>
    <n v="16555"/>
    <s v="%"/>
    <n v="16555"/>
    <n v="19700"/>
    <n v="19700"/>
    <d v="2020-02-08T00:00:00"/>
    <s v="Pirque"/>
    <n v="19700"/>
    <x v="7"/>
    <n v="12429"/>
    <n v="4126"/>
    <n v="0.25"/>
    <m/>
  </r>
  <r>
    <n v="218"/>
    <s v="DE-1165"/>
    <x v="90"/>
    <x v="31"/>
    <x v="30"/>
    <s v="Boleta"/>
    <m/>
    <n v="6516"/>
    <n v="4456"/>
    <s v="C065"/>
    <s v="Peter De Lamare"/>
    <n v="6"/>
    <n v="764"/>
    <s v="%"/>
    <n v="764"/>
    <n v="910"/>
    <n v="5460"/>
    <d v="2020-02-10T00:00:00"/>
    <s v="Pirque"/>
    <n v="5457"/>
    <x v="9"/>
    <n v="535"/>
    <n v="229"/>
    <n v="0.3"/>
    <m/>
  </r>
  <r>
    <n v="218"/>
    <s v="AS-0026"/>
    <x v="59"/>
    <x v="10"/>
    <x v="30"/>
    <s v="Boleta"/>
    <m/>
    <n v="6516"/>
    <n v="4456"/>
    <s v="C065"/>
    <s v="Peter De Lamare"/>
    <n v="0"/>
    <n v="3135"/>
    <n v="-0.05"/>
    <n v="3284"/>
    <n v="3900"/>
    <s v="$"/>
    <d v="2020-02-10T00:00:00"/>
    <s v="Pirque"/>
    <n v="5457"/>
    <x v="9"/>
    <n v="2345"/>
    <n v="939"/>
    <n v="0.28999999999999998"/>
    <m/>
  </r>
  <r>
    <n v="222"/>
    <s v="MA-0035"/>
    <x v="37"/>
    <x v="16"/>
    <x v="30"/>
    <s v="Boleta"/>
    <m/>
    <n v="6510"/>
    <n v="4460"/>
    <s v="C608"/>
    <s v="Solange Villarroel"/>
    <n v="1"/>
    <n v="16555"/>
    <s v="%"/>
    <n v="16555"/>
    <n v="19700"/>
    <n v="19700"/>
    <d v="2020-02-08T00:00:00"/>
    <s v="Pirque"/>
    <n v="19700"/>
    <x v="7"/>
    <n v="12429"/>
    <n v="4126"/>
    <n v="0.25"/>
    <m/>
  </r>
  <r>
    <n v="231"/>
    <s v="GR-0054"/>
    <x v="30"/>
    <x v="18"/>
    <x v="31"/>
    <s v="Boleta"/>
    <m/>
    <n v="6520"/>
    <n v="4469"/>
    <s v="C584"/>
    <s v="Alejandra Hamame"/>
    <n v="1"/>
    <n v="19328"/>
    <s v="%"/>
    <n v="19328"/>
    <n v="23000"/>
    <n v="23000"/>
    <d v="2020-02-11T00:00:00"/>
    <s v="Pirque"/>
    <n v="35500"/>
    <x v="5"/>
    <n v="14604"/>
    <n v="4724"/>
    <n v="0.24"/>
    <m/>
  </r>
  <r>
    <n v="231"/>
    <s v="MA-118"/>
    <x v="32"/>
    <x v="18"/>
    <x v="31"/>
    <s v="Boleta"/>
    <m/>
    <n v="6520"/>
    <n v="4469"/>
    <s v="C584"/>
    <s v="Alejandra Hamame"/>
    <n v="1"/>
    <n v="10504"/>
    <s v="%"/>
    <n v="10504"/>
    <n v="12500"/>
    <n v="12500"/>
    <d v="2020-02-11T00:00:00"/>
    <s v="Pirque"/>
    <n v="35500"/>
    <x v="5"/>
    <n v="7956"/>
    <n v="2548"/>
    <n v="0.24"/>
    <m/>
  </r>
  <r>
    <n v="235"/>
    <s v="MA-0027"/>
    <x v="9"/>
    <x v="8"/>
    <x v="31"/>
    <s v="Boleta"/>
    <m/>
    <n v="6524"/>
    <n v="4473"/>
    <s v="C659"/>
    <s v="Carola Huerta"/>
    <n v="1"/>
    <n v="13866"/>
    <s v="%"/>
    <n v="13866"/>
    <n v="16500"/>
    <n v="16500"/>
    <d v="2020-02-11T00:00:00"/>
    <s v="Pirque"/>
    <n v="16500"/>
    <x v="7"/>
    <n v="10390"/>
    <n v="3476"/>
    <n v="0.25"/>
    <m/>
  </r>
  <r>
    <n v="234"/>
    <s v="MA-0027"/>
    <x v="9"/>
    <x v="8"/>
    <x v="31"/>
    <s v="Boleta"/>
    <m/>
    <n v="6523"/>
    <n v="4472"/>
    <s v="C660"/>
    <s v="Carolina Lama "/>
    <n v="2"/>
    <n v="13866"/>
    <s v="%"/>
    <n v="13866"/>
    <n v="16500"/>
    <n v="33000"/>
    <d v="2020-02-11T00:00:00"/>
    <s v="Pirque"/>
    <n v="33000"/>
    <x v="7"/>
    <n v="10390"/>
    <n v="3476"/>
    <n v="0.25"/>
    <m/>
  </r>
  <r>
    <n v="229"/>
    <s v="MA-0027"/>
    <x v="9"/>
    <x v="8"/>
    <x v="31"/>
    <s v="Boleta"/>
    <m/>
    <n v="6518"/>
    <n v="4467"/>
    <s v="C658"/>
    <s v="Isabel Valdes (Revista Todo Pirque)"/>
    <n v="1"/>
    <n v="13866"/>
    <s v="%"/>
    <n v="13866"/>
    <n v="16500"/>
    <n v="16500"/>
    <d v="2020-02-10T00:00:00"/>
    <s v="Pirque"/>
    <n v="37700"/>
    <x v="7"/>
    <n v="10390"/>
    <n v="3476"/>
    <n v="0.25"/>
    <m/>
  </r>
  <r>
    <n v="229"/>
    <s v="MA-202"/>
    <x v="104"/>
    <x v="21"/>
    <x v="31"/>
    <s v="Boleta"/>
    <m/>
    <n v="6518"/>
    <n v="4467"/>
    <s v="C658"/>
    <s v="Isabel Valdes (Revista Todo Pirque)"/>
    <n v="1"/>
    <n v="17815"/>
    <s v="%"/>
    <n v="17815"/>
    <n v="21200"/>
    <n v="21200"/>
    <d v="2020-02-10T00:00:00"/>
    <s v="Pirque"/>
    <n v="37700"/>
    <x v="5"/>
    <n v="13279"/>
    <n v="4536"/>
    <n v="0.25"/>
    <m/>
  </r>
  <r>
    <n v="232"/>
    <s v="AS-0034"/>
    <x v="26"/>
    <x v="13"/>
    <x v="31"/>
    <s v="Boleta"/>
    <m/>
    <n v="6521"/>
    <n v="4470"/>
    <s v="C496"/>
    <s v="Juan Jose Torres"/>
    <n v="1"/>
    <n v="4874"/>
    <s v="%"/>
    <n v="4874"/>
    <n v="5800"/>
    <n v="5800"/>
    <d v="2020-02-11T00:00:00"/>
    <s v="Pirque"/>
    <n v="9600"/>
    <x v="6"/>
    <n v="2400"/>
    <n v="2474"/>
    <n v="0.51"/>
    <m/>
  </r>
  <r>
    <n v="232"/>
    <s v="AS-29"/>
    <x v="14"/>
    <x v="13"/>
    <x v="31"/>
    <s v="Boleta"/>
    <m/>
    <n v="6521"/>
    <n v="4470"/>
    <s v="C496"/>
    <s v="Juan Jose Torres"/>
    <n v="1"/>
    <n v="3193"/>
    <s v="%"/>
    <n v="3193"/>
    <n v="3800"/>
    <n v="3800"/>
    <d v="2020-02-11T00:00:00"/>
    <s v="Pirque"/>
    <n v="9600"/>
    <x v="6"/>
    <n v="2100"/>
    <n v="1093"/>
    <n v="0.34"/>
    <m/>
  </r>
  <r>
    <n v="236"/>
    <s v="MA-214"/>
    <x v="13"/>
    <x v="12"/>
    <x v="31"/>
    <s v="Boleta"/>
    <m/>
    <n v="6522"/>
    <n v="4474"/>
    <s v="C389"/>
    <s v="Juan Pinilla"/>
    <n v="1"/>
    <n v="26471"/>
    <s v="%"/>
    <n v="26471"/>
    <n v="31500"/>
    <n v="31500"/>
    <d v="2020-02-11T00:00:00"/>
    <s v="Pirque"/>
    <n v="31500"/>
    <x v="11"/>
    <n v="21183"/>
    <n v="5288"/>
    <n v="0.2"/>
    <m/>
  </r>
  <r>
    <n v="237"/>
    <s v="MA-0111"/>
    <x v="61"/>
    <x v="34"/>
    <x v="31"/>
    <s v="Boleta"/>
    <m/>
    <n v="6525"/>
    <n v="4475"/>
    <s v="C292"/>
    <s v="Juan Salvo"/>
    <n v="1"/>
    <n v="10504"/>
    <s v="%"/>
    <n v="10504"/>
    <n v="12500"/>
    <n v="12500"/>
    <d v="2020-02-11T00:00:00"/>
    <s v="Pirque"/>
    <n v="33900"/>
    <x v="21"/>
    <n v="8190"/>
    <n v="2314"/>
    <n v="0.22"/>
    <m/>
  </r>
  <r>
    <n v="237"/>
    <s v="MA-112"/>
    <x v="141"/>
    <x v="34"/>
    <x v="31"/>
    <s v="Boleta"/>
    <m/>
    <n v="6525"/>
    <n v="4475"/>
    <s v="C292"/>
    <s v="Juan Salvo"/>
    <n v="1"/>
    <n v="8319"/>
    <s v="%"/>
    <n v="8319"/>
    <n v="9900"/>
    <n v="9900"/>
    <d v="2020-02-11T00:00:00"/>
    <s v="Pirque"/>
    <n v="33900"/>
    <x v="21"/>
    <n v="6700"/>
    <n v="1619"/>
    <n v="0.19"/>
    <m/>
  </r>
  <r>
    <n v="237"/>
    <s v="MA-165"/>
    <x v="142"/>
    <x v="34"/>
    <x v="31"/>
    <s v="Boleta"/>
    <m/>
    <n v="6525"/>
    <n v="4475"/>
    <s v="C292"/>
    <s v="Juan Salvo"/>
    <n v="1"/>
    <n v="9664"/>
    <s v="%"/>
    <n v="9664"/>
    <n v="11500"/>
    <n v="11500"/>
    <d v="2020-02-11T00:00:00"/>
    <s v="Pirque"/>
    <n v="33900"/>
    <x v="21"/>
    <n v="7350"/>
    <n v="2314"/>
    <n v="0.24"/>
    <m/>
  </r>
  <r>
    <n v="230"/>
    <s v="AS-29"/>
    <x v="14"/>
    <x v="13"/>
    <x v="31"/>
    <s v="Boleta"/>
    <m/>
    <n v="6519"/>
    <n v="4468"/>
    <s v="C064"/>
    <s v="Maria Estela Matte"/>
    <n v="1"/>
    <n v="3193"/>
    <s v="%"/>
    <n v="3193"/>
    <n v="3800"/>
    <n v="3800"/>
    <d v="2020-02-10T00:00:00"/>
    <s v="Pirque"/>
    <n v="7300"/>
    <x v="6"/>
    <n v="2100"/>
    <n v="1093"/>
    <n v="0.34"/>
    <m/>
  </r>
  <r>
    <n v="230"/>
    <s v="AS-0039"/>
    <x v="39"/>
    <x v="6"/>
    <x v="31"/>
    <s v="Boleta"/>
    <m/>
    <n v="6519"/>
    <n v="4468"/>
    <s v="C064"/>
    <s v="Maria Estela Matte"/>
    <n v="1"/>
    <n v="2941"/>
    <s v="%"/>
    <n v="2941"/>
    <n v="3500"/>
    <n v="3500"/>
    <d v="2020-02-10T00:00:00"/>
    <s v="Pirque"/>
    <n v="7300"/>
    <x v="6"/>
    <n v="2119"/>
    <n v="822"/>
    <n v="0.28000000000000003"/>
    <m/>
  </r>
  <r>
    <n v="238"/>
    <s v="AS-0035"/>
    <x v="33"/>
    <x v="6"/>
    <x v="31"/>
    <s v="Boleta"/>
    <m/>
    <n v="6526"/>
    <n v="4476"/>
    <s v="C337"/>
    <s v="Petrova Alonso"/>
    <n v="3"/>
    <n v="3377"/>
    <n v="0.05"/>
    <n v="3203"/>
    <n v="3800"/>
    <n v="11400"/>
    <d v="2020-02-11T00:00:00"/>
    <s v="Pirque"/>
    <n v="11400"/>
    <x v="6"/>
    <n v="2195"/>
    <n v="1008"/>
    <n v="0.31"/>
    <m/>
  </r>
  <r>
    <n v="233"/>
    <s v="DE-569"/>
    <x v="10"/>
    <x v="9"/>
    <x v="31"/>
    <s v="Factura"/>
    <m/>
    <s v="OC01"/>
    <n v="4471"/>
    <s v="C020"/>
    <s v="Sabores y Vinos Bernardita Munita EIRL"/>
    <n v="2"/>
    <n v="22695"/>
    <n v="0.12"/>
    <n v="20353"/>
    <n v="23900"/>
    <n v="47800"/>
    <d v="2020-02-11T00:00:00"/>
    <s v="Pirque"/>
    <n v="365560"/>
    <x v="8"/>
    <n v="16386"/>
    <n v="3967"/>
    <n v="0.19"/>
    <m/>
  </r>
  <r>
    <n v="233"/>
    <s v="DE-881"/>
    <x v="12"/>
    <x v="11"/>
    <x v="31"/>
    <s v="Factura"/>
    <m/>
    <s v="OC01"/>
    <n v="4471"/>
    <s v="C020"/>
    <s v="Sabores y Vinos Bernardita Munita EIRL"/>
    <n v="6"/>
    <n v="18571"/>
    <n v="0.05"/>
    <n v="17687"/>
    <n v="20994"/>
    <n v="125964"/>
    <d v="2020-02-11T00:00:00"/>
    <s v="Pirque"/>
    <n v="365560"/>
    <x v="10"/>
    <n v="13408"/>
    <n v="4279"/>
    <n v="0.24"/>
    <m/>
  </r>
  <r>
    <n v="233"/>
    <s v="DE-880"/>
    <x v="36"/>
    <x v="11"/>
    <x v="31"/>
    <s v="Factura"/>
    <m/>
    <s v="OC01"/>
    <n v="4471"/>
    <s v="C020"/>
    <s v="Sabores y Vinos Bernardita Munita EIRL"/>
    <n v="12"/>
    <n v="3335"/>
    <s v="%"/>
    <n v="3335"/>
    <n v="3969"/>
    <n v="47628"/>
    <d v="2020-02-11T00:00:00"/>
    <s v="Pirque"/>
    <n v="365560"/>
    <x v="10"/>
    <n v="2408"/>
    <n v="927"/>
    <n v="0.28000000000000003"/>
    <m/>
  </r>
  <r>
    <n v="233"/>
    <s v="AS-0024"/>
    <x v="11"/>
    <x v="10"/>
    <x v="31"/>
    <s v="Factura"/>
    <m/>
    <s v="OC01"/>
    <n v="4471"/>
    <s v="C020"/>
    <s v="Sabores y Vinos Bernardita Munita EIRL"/>
    <n v="6"/>
    <n v="6817"/>
    <n v="0.1"/>
    <n v="6210"/>
    <n v="7320"/>
    <n v="43920"/>
    <d v="2020-02-11T00:00:00"/>
    <s v="Pirque"/>
    <n v="365560"/>
    <x v="9"/>
    <n v="4922"/>
    <n v="1288"/>
    <n v="0.21"/>
    <m/>
  </r>
  <r>
    <n v="233"/>
    <s v="DE-1003"/>
    <x v="0"/>
    <x v="0"/>
    <x v="31"/>
    <s v="Factura"/>
    <m/>
    <s v="OC01"/>
    <n v="4471"/>
    <s v="C020"/>
    <s v="Sabores y Vinos Bernardita Munita EIRL"/>
    <n v="10"/>
    <n v="8310"/>
    <n v="0.05"/>
    <n v="7914"/>
    <n v="9395"/>
    <n v="93950"/>
    <d v="2020-02-11T00:00:00"/>
    <s v="Pirque"/>
    <n v="365560"/>
    <x v="10"/>
    <n v="6000"/>
    <n v="1914"/>
    <n v="0.24"/>
    <m/>
  </r>
  <r>
    <n v="241"/>
    <s v="DE-564"/>
    <x v="48"/>
    <x v="14"/>
    <x v="32"/>
    <s v="Factura"/>
    <m/>
    <n v="1039081"/>
    <n v="4479"/>
    <s v="C001"/>
    <s v="Benito Campos y Cia Ltda."/>
    <n v="80"/>
    <n v="453"/>
    <n v="0.05"/>
    <n v="431"/>
    <n v="512"/>
    <n v="40960"/>
    <d v="2020-02-12T00:00:00"/>
    <s v="Cajon"/>
    <n v="57820"/>
    <x v="12"/>
    <n v="327"/>
    <n v="104"/>
    <n v="0.24"/>
    <m/>
  </r>
  <r>
    <n v="242"/>
    <s v="DE-1065"/>
    <x v="49"/>
    <x v="27"/>
    <x v="32"/>
    <s v="Factura"/>
    <m/>
    <s v="sn"/>
    <n v="4480"/>
    <s v="C001"/>
    <s v="Benito Campos y Cia Ltda."/>
    <n v="12"/>
    <n v="1252"/>
    <n v="0.05"/>
    <n v="1192"/>
    <n v="1415"/>
    <n v="16980"/>
    <d v="2020-02-12T00:00:00"/>
    <s v="Cajon"/>
    <n v="174761"/>
    <x v="19"/>
    <n v="904"/>
    <n v="288"/>
    <n v="0.24"/>
    <m/>
  </r>
  <r>
    <n v="241"/>
    <s v="DE-0246"/>
    <x v="102"/>
    <x v="29"/>
    <x v="32"/>
    <s v="Factura"/>
    <m/>
    <n v="1039081"/>
    <n v="4479"/>
    <s v="C001"/>
    <s v="Benito Campos y Cia Ltda."/>
    <n v="20"/>
    <n v="657"/>
    <n v="-0.08"/>
    <n v="713"/>
    <n v="843"/>
    <n v="16860"/>
    <d v="2020-02-12T00:00:00"/>
    <s v="Cajon"/>
    <n v="57820"/>
    <x v="20"/>
    <n v="474"/>
    <n v="239"/>
    <n v="0.34"/>
    <m/>
  </r>
  <r>
    <n v="242"/>
    <s v="DE-0525"/>
    <x v="143"/>
    <x v="50"/>
    <x v="32"/>
    <s v="Factura"/>
    <m/>
    <s v="sn"/>
    <n v="4480"/>
    <s v="C001"/>
    <s v="Benito Campos y Cia Ltda."/>
    <n v="12"/>
    <n v="1130"/>
    <n v="0.02"/>
    <n v="1111"/>
    <n v="1322"/>
    <n v="15864"/>
    <d v="2020-02-12T00:00:00"/>
    <s v="Cajon"/>
    <n v="174761"/>
    <x v="28"/>
    <n v="816"/>
    <n v="295"/>
    <n v="0.27"/>
    <m/>
  </r>
  <r>
    <n v="242"/>
    <s v="DE-0209"/>
    <x v="144"/>
    <x v="50"/>
    <x v="32"/>
    <s v="Factura"/>
    <m/>
    <s v="sn"/>
    <n v="4480"/>
    <s v="C001"/>
    <s v="Benito Campos y Cia Ltda."/>
    <n v="12"/>
    <n v="1130"/>
    <n v="0.03"/>
    <n v="1101"/>
    <n v="1309"/>
    <n v="15708"/>
    <d v="2020-02-12T00:00:00"/>
    <s v="Cajon"/>
    <n v="174761"/>
    <x v="28"/>
    <n v="816"/>
    <n v="285"/>
    <n v="0.26"/>
    <m/>
  </r>
  <r>
    <n v="242"/>
    <s v="DE-0207"/>
    <x v="117"/>
    <x v="50"/>
    <x v="32"/>
    <s v="Factura"/>
    <m/>
    <s v="sn"/>
    <n v="4480"/>
    <s v="C001"/>
    <s v="Benito Campos y Cia Ltda."/>
    <n v="12"/>
    <n v="1130"/>
    <n v="0.03"/>
    <n v="1101"/>
    <n v="1309"/>
    <n v="15708"/>
    <d v="2020-02-12T00:00:00"/>
    <s v="Cajon"/>
    <n v="174761"/>
    <x v="28"/>
    <n v="816"/>
    <n v="285"/>
    <n v="0.26"/>
    <m/>
  </r>
  <r>
    <n v="242"/>
    <s v="DE-0208"/>
    <x v="145"/>
    <x v="50"/>
    <x v="32"/>
    <s v="Factura"/>
    <m/>
    <s v="sn"/>
    <n v="4480"/>
    <s v="C001"/>
    <s v="Benito Campos y Cia Ltda."/>
    <n v="12"/>
    <n v="1130"/>
    <n v="0.03"/>
    <n v="1101"/>
    <n v="1309"/>
    <n v="15708"/>
    <d v="2020-02-12T00:00:00"/>
    <s v="Cajon"/>
    <n v="174761"/>
    <x v="28"/>
    <n v="816"/>
    <n v="285"/>
    <n v="0.26"/>
    <m/>
  </r>
  <r>
    <n v="242"/>
    <s v="DE-0211"/>
    <x v="146"/>
    <x v="50"/>
    <x v="32"/>
    <s v="Factura"/>
    <m/>
    <s v="sn"/>
    <n v="4480"/>
    <s v="C001"/>
    <s v="Benito Campos y Cia Ltda."/>
    <n v="12"/>
    <n v="1130"/>
    <n v="0.03"/>
    <n v="1101"/>
    <n v="1309"/>
    <n v="15708"/>
    <d v="2020-02-12T00:00:00"/>
    <s v="Cajon"/>
    <n v="174761"/>
    <x v="28"/>
    <n v="816"/>
    <n v="285"/>
    <n v="0.26"/>
    <m/>
  </r>
  <r>
    <n v="242"/>
    <s v="DE-1060"/>
    <x v="147"/>
    <x v="57"/>
    <x v="32"/>
    <s v="Factura"/>
    <m/>
    <s v="sn"/>
    <n v="4480"/>
    <s v="C001"/>
    <s v="Benito Campos y Cia Ltda."/>
    <n v="12"/>
    <n v="1090"/>
    <n v="-0.06"/>
    <n v="1162"/>
    <n v="1378"/>
    <n v="16536"/>
    <d v="2020-02-12T00:00:00"/>
    <s v="Cajon"/>
    <n v="174761"/>
    <x v="19"/>
    <n v="787"/>
    <n v="375"/>
    <n v="0.32"/>
    <m/>
  </r>
  <r>
    <n v="242"/>
    <s v="DE-1058"/>
    <x v="89"/>
    <x v="39"/>
    <x v="32"/>
    <s v="Factura"/>
    <m/>
    <s v="sn"/>
    <n v="4480"/>
    <s v="C001"/>
    <s v="Benito Campos y Cia Ltda."/>
    <n v="20"/>
    <n v="1518"/>
    <n v="0.05"/>
    <n v="1446"/>
    <n v="1716"/>
    <n v="34320"/>
    <d v="2020-02-12T00:00:00"/>
    <s v="Cajon"/>
    <n v="174761"/>
    <x v="19"/>
    <n v="1096"/>
    <n v="350"/>
    <n v="0.24"/>
    <m/>
  </r>
  <r>
    <n v="243"/>
    <s v="MA-0027"/>
    <x v="9"/>
    <x v="8"/>
    <x v="32"/>
    <s v="Boleta"/>
    <m/>
    <n v="6527"/>
    <n v="4481"/>
    <s v="C572"/>
    <s v="Aldo Tapia"/>
    <n v="1"/>
    <n v="13866"/>
    <s v="%"/>
    <n v="13866"/>
    <n v="16500"/>
    <n v="16500"/>
    <d v="2020-02-12T00:00:00"/>
    <s v="Cajon"/>
    <n v="16500"/>
    <x v="7"/>
    <n v="10390"/>
    <n v="3476"/>
    <n v="0.25"/>
    <m/>
  </r>
  <r>
    <n v="246"/>
    <s v="MA-0035"/>
    <x v="37"/>
    <x v="16"/>
    <x v="32"/>
    <s v="Boleta"/>
    <m/>
    <n v="6530"/>
    <n v="4484"/>
    <s v="C037"/>
    <s v="Amelia Cortes"/>
    <n v="1"/>
    <n v="16555"/>
    <s v="%"/>
    <n v="16555"/>
    <n v="19700"/>
    <n v="19700"/>
    <d v="2020-02-12T00:00:00"/>
    <s v="Cajon"/>
    <n v="35500"/>
    <x v="7"/>
    <n v="12429"/>
    <n v="4126"/>
    <n v="0.25"/>
    <m/>
  </r>
  <r>
    <n v="246"/>
    <s v="MA-0053"/>
    <x v="8"/>
    <x v="7"/>
    <x v="32"/>
    <s v="Boleta"/>
    <m/>
    <n v="6530"/>
    <n v="4484"/>
    <s v="C037"/>
    <s v="Amelia Cortes"/>
    <n v="1"/>
    <n v="13277"/>
    <s v="%"/>
    <n v="13277"/>
    <n v="15800"/>
    <n v="15800"/>
    <d v="2020-02-12T00:00:00"/>
    <s v="Cajon"/>
    <n v="35500"/>
    <x v="5"/>
    <n v="9975"/>
    <n v="3302"/>
    <n v="0.25"/>
    <m/>
  </r>
  <r>
    <n v="242"/>
    <s v="DE-948"/>
    <x v="148"/>
    <x v="58"/>
    <x v="32"/>
    <s v="Factura"/>
    <m/>
    <s v="sn"/>
    <n v="4480"/>
    <s v="C001"/>
    <s v="Benito Campos y Cia Ltda."/>
    <n v="12"/>
    <n v="2080"/>
    <n v="0.05"/>
    <n v="1981"/>
    <n v="2352"/>
    <n v="28224"/>
    <d v="2020-02-12T00:00:00"/>
    <s v="Cajon"/>
    <n v="174761"/>
    <x v="28"/>
    <n v="1502"/>
    <n v="479"/>
    <n v="0.24"/>
    <m/>
  </r>
  <r>
    <n v="244"/>
    <s v="MA-0035"/>
    <x v="37"/>
    <x v="16"/>
    <x v="32"/>
    <s v="Boleta"/>
    <m/>
    <n v="6528"/>
    <n v="4482"/>
    <s v="C558"/>
    <s v="Carola Pardo"/>
    <n v="1"/>
    <n v="16555"/>
    <s v="%"/>
    <n v="16555"/>
    <n v="19700"/>
    <n v="19700"/>
    <d v="2020-02-12T00:00:00"/>
    <s v="Cajon"/>
    <n v="19700"/>
    <x v="7"/>
    <n v="12429"/>
    <n v="4126"/>
    <n v="0.25"/>
    <m/>
  </r>
  <r>
    <n v="245"/>
    <s v="AS-29"/>
    <x v="14"/>
    <x v="13"/>
    <x v="32"/>
    <s v="Boleta"/>
    <m/>
    <n v="6529"/>
    <n v="4483"/>
    <s v="C209"/>
    <s v="David Le May"/>
    <n v="6"/>
    <n v="3193"/>
    <s v="%"/>
    <n v="3193"/>
    <n v="3800"/>
    <n v="22800"/>
    <d v="2020-02-12T00:00:00"/>
    <s v="Pirque"/>
    <n v="22800"/>
    <x v="6"/>
    <n v="2100"/>
    <n v="1093"/>
    <n v="0.34"/>
    <m/>
  </r>
  <r>
    <n v="239"/>
    <s v="DE-1169"/>
    <x v="62"/>
    <x v="31"/>
    <x v="32"/>
    <s v="Factura"/>
    <m/>
    <s v="sn"/>
    <n v="4477"/>
    <s v="C005"/>
    <s v="Julia Ines Rebolledo Retamal"/>
    <n v="60"/>
    <n v="699"/>
    <n v="0.08"/>
    <n v="647"/>
    <n v="765"/>
    <n v="45900"/>
    <d v="2020-02-12T00:00:00"/>
    <s v="Cajon"/>
    <n v="110551"/>
    <x v="9"/>
    <n v="535"/>
    <n v="112"/>
    <n v="0.17"/>
    <m/>
  </r>
  <r>
    <n v="239"/>
    <s v="DE-0207"/>
    <x v="117"/>
    <x v="50"/>
    <x v="32"/>
    <s v="Factura"/>
    <m/>
    <s v="sn"/>
    <n v="4477"/>
    <s v="C005"/>
    <s v="Julia Ines Rebolledo Retamal"/>
    <n v="12"/>
    <n v="1328"/>
    <n v="0.1"/>
    <n v="1210"/>
    <n v="1426"/>
    <n v="17112"/>
    <d v="2020-02-12T00:00:00"/>
    <s v="Cajon"/>
    <n v="110551"/>
    <x v="28"/>
    <n v="816"/>
    <n v="394"/>
    <n v="0.33"/>
    <m/>
  </r>
  <r>
    <n v="239"/>
    <s v="DE-1215"/>
    <x v="149"/>
    <x v="59"/>
    <x v="32"/>
    <s v="Factura"/>
    <m/>
    <s v="sn"/>
    <n v="4477"/>
    <s v="C005"/>
    <s v="Julia Ines Rebolledo Retamal"/>
    <n v="48"/>
    <n v="882"/>
    <n v="0.06"/>
    <n v="834"/>
    <n v="990"/>
    <n v="47520"/>
    <d v="2020-02-12T00:00:00"/>
    <s v="Cajon"/>
    <n v="110551"/>
    <x v="19"/>
    <n v="637"/>
    <n v="197"/>
    <n v="0.24"/>
    <m/>
  </r>
  <r>
    <n v="250"/>
    <s v="MA-0027"/>
    <x v="9"/>
    <x v="8"/>
    <x v="32"/>
    <s v="Boleta"/>
    <m/>
    <n v="6532"/>
    <n v="4488"/>
    <s v="C079"/>
    <s v="Kim Cornely"/>
    <n v="1"/>
    <n v="13866"/>
    <s v="%"/>
    <n v="13866"/>
    <n v="16500"/>
    <n v="16500"/>
    <d v="2020-02-12T00:00:00"/>
    <s v="Pirque"/>
    <n v="16500"/>
    <x v="7"/>
    <n v="10390"/>
    <n v="3476"/>
    <n v="0.25"/>
    <m/>
  </r>
  <r>
    <n v="247"/>
    <s v="AS-0038"/>
    <x v="71"/>
    <x v="6"/>
    <x v="32"/>
    <s v="Boleta"/>
    <m/>
    <n v="6531"/>
    <n v="4485"/>
    <s v="C582"/>
    <s v="Luis Narvaes"/>
    <n v="1"/>
    <n v="4118"/>
    <s v="%"/>
    <n v="4118"/>
    <n v="4900"/>
    <n v="4900"/>
    <d v="2020-02-12T00:00:00"/>
    <s v="Pirque"/>
    <n v="39900"/>
    <x v="6"/>
    <n v="2250"/>
    <n v="1868"/>
    <n v="0.45"/>
    <m/>
  </r>
  <r>
    <n v="247"/>
    <s v="AS-0034"/>
    <x v="26"/>
    <x v="13"/>
    <x v="32"/>
    <s v="Boleta"/>
    <m/>
    <n v="6531"/>
    <n v="4485"/>
    <s v="C582"/>
    <s v="Luis Narvaes"/>
    <n v="1"/>
    <n v="4874"/>
    <s v="%"/>
    <n v="4874"/>
    <n v="5800"/>
    <n v="5800"/>
    <d v="2020-02-12T00:00:00"/>
    <s v="Pirque"/>
    <n v="39900"/>
    <x v="6"/>
    <n v="2400"/>
    <n v="2474"/>
    <n v="0.51"/>
    <m/>
  </r>
  <r>
    <n v="247"/>
    <s v="AS-29"/>
    <x v="14"/>
    <x v="13"/>
    <x v="32"/>
    <s v="Boleta"/>
    <m/>
    <n v="6531"/>
    <n v="4485"/>
    <s v="C582"/>
    <s v="Luis Narvaes"/>
    <n v="4"/>
    <n v="3193"/>
    <s v="%"/>
    <n v="3193"/>
    <n v="3800"/>
    <n v="15200"/>
    <d v="2020-02-12T00:00:00"/>
    <s v="Pirque"/>
    <n v="39900"/>
    <x v="6"/>
    <n v="2100"/>
    <n v="1093"/>
    <n v="0.34"/>
    <m/>
  </r>
  <r>
    <n v="247"/>
    <s v="AS-0039"/>
    <x v="39"/>
    <x v="6"/>
    <x v="32"/>
    <s v="Boleta"/>
    <m/>
    <n v="6531"/>
    <n v="4485"/>
    <s v="C582"/>
    <s v="Luis Narvaes"/>
    <n v="4"/>
    <n v="2941"/>
    <s v="%"/>
    <n v="2941"/>
    <n v="3500"/>
    <n v="14000"/>
    <d v="2020-02-12T00:00:00"/>
    <s v="Pirque"/>
    <n v="39900"/>
    <x v="6"/>
    <n v="2119"/>
    <n v="822"/>
    <n v="0.28000000000000003"/>
    <m/>
  </r>
  <r>
    <n v="248"/>
    <s v="DE-1158"/>
    <x v="3"/>
    <x v="3"/>
    <x v="32"/>
    <s v="Factura"/>
    <m/>
    <s v="sn"/>
    <n v="4486"/>
    <s v="C406"/>
    <s v="Naitana y Kufeke SPA"/>
    <n v="2"/>
    <n v="13095"/>
    <n v="0.13"/>
    <n v="11583"/>
    <n v="13549"/>
    <n v="27098"/>
    <d v="2020-02-12T00:00:00"/>
    <s v="Pirque"/>
    <n v="69365"/>
    <x v="3"/>
    <n v="9100"/>
    <n v="2483"/>
    <n v="0.21"/>
    <m/>
  </r>
  <r>
    <n v="248"/>
    <s v="DE-1003"/>
    <x v="0"/>
    <x v="0"/>
    <x v="32"/>
    <s v="Factura"/>
    <m/>
    <s v="sn"/>
    <n v="4486"/>
    <s v="C406"/>
    <s v="Naitana y Kufeke SPA"/>
    <n v="4"/>
    <n v="8310"/>
    <s v="%"/>
    <n v="8310"/>
    <n v="9889"/>
    <n v="39556"/>
    <d v="2020-02-12T00:00:00"/>
    <s v="Pirque"/>
    <n v="69365"/>
    <x v="10"/>
    <n v="6000"/>
    <n v="2310"/>
    <n v="0.28000000000000003"/>
    <m/>
  </r>
  <r>
    <n v="249"/>
    <s v="DE-987"/>
    <x v="2"/>
    <x v="2"/>
    <x v="32"/>
    <s v="Factura"/>
    <m/>
    <s v="sn"/>
    <n v="4487"/>
    <s v="C406"/>
    <s v="Naitana y Kufeke SPA"/>
    <n v="2"/>
    <n v="15475"/>
    <s v="%"/>
    <n v="15475"/>
    <n v="18415"/>
    <n v="36830"/>
    <d v="2020-02-12T00:00:00"/>
    <s v="Pirque"/>
    <n v="46270"/>
    <x v="2"/>
    <n v="11173"/>
    <n v="4302"/>
    <n v="0.28000000000000003"/>
    <m/>
  </r>
  <r>
    <n v="240"/>
    <s v="DE-0207"/>
    <x v="117"/>
    <x v="50"/>
    <x v="32"/>
    <s v="Factura"/>
    <m/>
    <s v="sn"/>
    <n v="4478"/>
    <s v="C004"/>
    <s v="Rosa Gladys Vidal Mora"/>
    <n v="12"/>
    <n v="1219"/>
    <n v="0.1"/>
    <n v="1111"/>
    <n v="1309"/>
    <n v="15708"/>
    <d v="2020-02-12T00:00:00"/>
    <s v="Cajon"/>
    <n v="36595"/>
    <x v="28"/>
    <n v="816"/>
    <n v="295"/>
    <n v="0.27"/>
    <m/>
  </r>
  <r>
    <n v="240"/>
    <s v="MA-136"/>
    <x v="4"/>
    <x v="4"/>
    <x v="32"/>
    <s v="Factura"/>
    <m/>
    <s v="sn"/>
    <n v="4478"/>
    <s v="C004"/>
    <s v="Rosa Gladys Vidal Mora"/>
    <n v="1"/>
    <n v="19446"/>
    <n v="0.1"/>
    <n v="17718"/>
    <n v="20885"/>
    <n v="20885"/>
    <d v="2020-02-12T00:00:00"/>
    <s v="Cajon"/>
    <n v="36595"/>
    <x v="4"/>
    <n v="14040"/>
    <n v="3678"/>
    <n v="0.21"/>
    <m/>
  </r>
  <r>
    <n v="254"/>
    <s v="MA-116"/>
    <x v="114"/>
    <x v="49"/>
    <x v="33"/>
    <s v="Boleta"/>
    <m/>
    <n v="6536"/>
    <n v="4492"/>
    <s v="C452"/>
    <s v="Camila Zamorano"/>
    <n v="1"/>
    <n v="10504"/>
    <s v="%"/>
    <n v="10504"/>
    <n v="12500"/>
    <n v="12500"/>
    <d v="2020-02-13T00:00:00"/>
    <s v="Pirque"/>
    <n v="12500"/>
    <x v="7"/>
    <n v="7409"/>
    <n v="3095"/>
    <n v="0.28999999999999998"/>
    <m/>
  </r>
  <r>
    <n v="257"/>
    <s v="MA-116"/>
    <x v="114"/>
    <x v="49"/>
    <x v="33"/>
    <s v="Boleta"/>
    <m/>
    <n v="6539"/>
    <n v="4495"/>
    <s v="C661"/>
    <s v="Cecilia Figueroa"/>
    <n v="1"/>
    <n v="10504"/>
    <s v="%"/>
    <n v="10504"/>
    <n v="12500"/>
    <n v="12500"/>
    <d v="2020-02-13T00:00:00"/>
    <s v="Pirque"/>
    <n v="12500"/>
    <x v="7"/>
    <n v="7409"/>
    <n v="3095"/>
    <n v="0.28999999999999998"/>
    <m/>
  </r>
  <r>
    <n v="252"/>
    <s v="AS-29"/>
    <x v="14"/>
    <x v="13"/>
    <x v="33"/>
    <s v="Boleta"/>
    <m/>
    <n v="6534"/>
    <n v="4490"/>
    <s v="C108"/>
    <s v="Denisse Marti"/>
    <n v="3"/>
    <n v="3193"/>
    <s v="%"/>
    <n v="3193"/>
    <n v="3800"/>
    <n v="11400"/>
    <d v="2020-02-13T00:00:00"/>
    <s v="Pirque"/>
    <n v="33100"/>
    <x v="6"/>
    <n v="2100"/>
    <n v="1093"/>
    <n v="0.34"/>
    <m/>
  </r>
  <r>
    <n v="252"/>
    <s v="AS-0031"/>
    <x v="16"/>
    <x v="13"/>
    <x v="33"/>
    <s v="Boleta"/>
    <m/>
    <n v="6534"/>
    <n v="4490"/>
    <s v="C108"/>
    <s v="Denisse Marti"/>
    <n v="2"/>
    <n v="3193"/>
    <s v="%"/>
    <n v="3193"/>
    <n v="3800"/>
    <n v="7600"/>
    <d v="2020-02-13T00:00:00"/>
    <s v="Pirque"/>
    <n v="33100"/>
    <x v="6"/>
    <n v="2200"/>
    <n v="993"/>
    <n v="0.31"/>
    <m/>
  </r>
  <r>
    <n v="252"/>
    <s v="AS-0034"/>
    <x v="26"/>
    <x v="13"/>
    <x v="33"/>
    <s v="Boleta"/>
    <m/>
    <n v="6534"/>
    <n v="4490"/>
    <s v="C108"/>
    <s v="Denisse Marti"/>
    <n v="2"/>
    <n v="4874"/>
    <s v="%"/>
    <n v="4874"/>
    <n v="5800"/>
    <n v="11600"/>
    <d v="2020-02-13T00:00:00"/>
    <s v="Pirque"/>
    <n v="33100"/>
    <x v="6"/>
    <n v="2400"/>
    <n v="2474"/>
    <n v="0.51"/>
    <m/>
  </r>
  <r>
    <n v="252"/>
    <s v="AS-42"/>
    <x v="7"/>
    <x v="6"/>
    <x v="33"/>
    <s v="Boleta"/>
    <m/>
    <n v="6534"/>
    <n v="4490"/>
    <s v="C108"/>
    <s v="Denisse Marti"/>
    <n v="1"/>
    <n v="2101"/>
    <s v="%"/>
    <n v="2101"/>
    <n v="2500"/>
    <n v="2500"/>
    <d v="2020-02-13T00:00:00"/>
    <s v="Pirque"/>
    <n v="33100"/>
    <x v="6"/>
    <n v="850"/>
    <n v="1251"/>
    <n v="0.6"/>
    <m/>
  </r>
  <r>
    <n v="253"/>
    <s v="GR-0054"/>
    <x v="30"/>
    <x v="18"/>
    <x v="33"/>
    <s v="Boleta"/>
    <m/>
    <n v="6535"/>
    <n v="4491"/>
    <s v="C349"/>
    <s v="Elaine Pratt"/>
    <n v="1"/>
    <n v="19328"/>
    <s v="%"/>
    <n v="19328"/>
    <n v="23000"/>
    <n v="23000"/>
    <d v="2020-02-13T00:00:00"/>
    <s v="Pirque"/>
    <n v="23000"/>
    <x v="5"/>
    <n v="14604"/>
    <n v="4724"/>
    <n v="0.24"/>
    <m/>
  </r>
  <r>
    <n v="256"/>
    <s v="AS-0034"/>
    <x v="26"/>
    <x v="13"/>
    <x v="33"/>
    <s v="Boleta"/>
    <m/>
    <n v="6538"/>
    <n v="4494"/>
    <s v="C079"/>
    <s v="Kim Cornely"/>
    <n v="2"/>
    <n v="4874"/>
    <s v="%"/>
    <n v="4874"/>
    <n v="5800"/>
    <n v="11600"/>
    <d v="2020-02-13T00:00:00"/>
    <s v="Pirque"/>
    <n v="11600"/>
    <x v="6"/>
    <n v="2400"/>
    <n v="2474"/>
    <n v="0.51"/>
    <m/>
  </r>
  <r>
    <n v="255"/>
    <s v="MA-0053"/>
    <x v="8"/>
    <x v="7"/>
    <x v="33"/>
    <s v="Boleta"/>
    <m/>
    <n v="6537"/>
    <n v="4493"/>
    <s v="C556"/>
    <s v="Patricio Tapia"/>
    <n v="1"/>
    <n v="13277"/>
    <s v="%"/>
    <n v="13277"/>
    <n v="15800"/>
    <n v="15800"/>
    <d v="2020-02-13T00:00:00"/>
    <s v="Pirque"/>
    <n v="15800"/>
    <x v="5"/>
    <n v="9975"/>
    <n v="3302"/>
    <n v="0.25"/>
    <m/>
  </r>
  <r>
    <n v="251"/>
    <s v="MA-166"/>
    <x v="5"/>
    <x v="5"/>
    <x v="33"/>
    <s v="Boleta"/>
    <m/>
    <n v="6533"/>
    <n v="4489"/>
    <s v="C501"/>
    <s v="Victor Rodriguez"/>
    <n v="1"/>
    <n v="19076"/>
    <s v="%"/>
    <n v="19076"/>
    <n v="22700"/>
    <n v="22700"/>
    <d v="2020-02-13T00:00:00"/>
    <s v="Pirque"/>
    <n v="22700"/>
    <x v="5"/>
    <n v="14122"/>
    <n v="4954"/>
    <n v="0.26"/>
    <m/>
  </r>
  <r>
    <n v="262"/>
    <s v="MA-0035"/>
    <x v="37"/>
    <x v="16"/>
    <x v="34"/>
    <s v="Boleta"/>
    <m/>
    <n v="6544"/>
    <n v="4499"/>
    <s v="C396"/>
    <s v="Alejandro Ossandon"/>
    <n v="3"/>
    <n v="16555"/>
    <s v="%"/>
    <n v="16555"/>
    <n v="19700"/>
    <n v="59100"/>
    <d v="2020-02-14T00:00:00"/>
    <s v="Pirque"/>
    <n v="59100"/>
    <x v="7"/>
    <n v="12429"/>
    <n v="4126"/>
    <n v="0.25"/>
    <m/>
  </r>
  <r>
    <n v="261"/>
    <s v="MA-0035"/>
    <x v="37"/>
    <x v="16"/>
    <x v="34"/>
    <s v="Boleta"/>
    <m/>
    <n v="6543"/>
    <n v="4498"/>
    <s v="C590"/>
    <s v="Lorena Sanzana"/>
    <n v="2"/>
    <n v="16555"/>
    <s v="%"/>
    <n v="16555"/>
    <n v="19700"/>
    <n v="39400"/>
    <d v="2020-02-14T00:00:00"/>
    <s v="Pirque"/>
    <n v="39400"/>
    <x v="7"/>
    <n v="12429"/>
    <n v="4126"/>
    <n v="0.25"/>
    <m/>
  </r>
  <r>
    <n v="259"/>
    <s v="AS-29"/>
    <x v="14"/>
    <x v="13"/>
    <x v="34"/>
    <s v="Boleta"/>
    <m/>
    <n v="6542"/>
    <n v="4497"/>
    <s v="C627"/>
    <s v="Luis  Elola"/>
    <n v="6"/>
    <n v="3193"/>
    <s v="%"/>
    <n v="3193"/>
    <n v="3800"/>
    <n v="22800"/>
    <d v="2020-02-14T00:00:00"/>
    <s v="Pirque"/>
    <n v="45600"/>
    <x v="6"/>
    <n v="2100"/>
    <n v="1093"/>
    <n v="0.34"/>
    <m/>
  </r>
  <r>
    <n v="259"/>
    <s v="AS-0031"/>
    <x v="16"/>
    <x v="13"/>
    <x v="34"/>
    <s v="Boleta"/>
    <m/>
    <n v="6542"/>
    <n v="4497"/>
    <s v="C627"/>
    <s v="Luis  Elola"/>
    <n v="6"/>
    <n v="3193"/>
    <s v="%"/>
    <n v="3193"/>
    <n v="3800"/>
    <n v="22800"/>
    <d v="2020-02-14T00:00:00"/>
    <s v="Pirque"/>
    <n v="45600"/>
    <x v="6"/>
    <n v="2200"/>
    <n v="993"/>
    <n v="0.31"/>
    <m/>
  </r>
  <r>
    <n v="263"/>
    <s v="MA-0053"/>
    <x v="8"/>
    <x v="7"/>
    <x v="34"/>
    <s v="Boleta"/>
    <m/>
    <n v="6545"/>
    <n v="4500"/>
    <s v="C625"/>
    <s v="Patricia Zapata"/>
    <n v="2"/>
    <n v="13277"/>
    <s v="%"/>
    <n v="13277"/>
    <n v="15800"/>
    <n v="31600"/>
    <d v="2020-02-13T00:00:00"/>
    <s v="Pirque"/>
    <n v="31600"/>
    <x v="5"/>
    <n v="9975"/>
    <n v="3302"/>
    <n v="0.25"/>
    <m/>
  </r>
  <r>
    <n v="264"/>
    <s v="MA-116"/>
    <x v="114"/>
    <x v="49"/>
    <x v="34"/>
    <s v="Boleta"/>
    <m/>
    <n v="6546"/>
    <n v="4501"/>
    <s v="C555"/>
    <s v="Patricio Olmedo"/>
    <n v="1"/>
    <n v="10504"/>
    <s v="%"/>
    <n v="10504"/>
    <n v="12500"/>
    <n v="12500"/>
    <d v="2020-02-14T00:00:00"/>
    <s v="Pirque"/>
    <n v="12500"/>
    <x v="7"/>
    <n v="7409"/>
    <n v="3095"/>
    <n v="0.28999999999999998"/>
    <m/>
  </r>
  <r>
    <n v="258"/>
    <s v="MA-136"/>
    <x v="4"/>
    <x v="4"/>
    <x v="34"/>
    <s v="Boleta"/>
    <m/>
    <n v="6541"/>
    <n v="4496"/>
    <s v="C062"/>
    <s v="Verena Scholtbach"/>
    <n v="1"/>
    <n v="18739"/>
    <s v="%"/>
    <n v="18739"/>
    <n v="22300"/>
    <n v="22300"/>
    <d v="2020-02-14T00:00:00"/>
    <s v="Pirque"/>
    <n v="33100"/>
    <x v="4"/>
    <n v="14040"/>
    <n v="4699"/>
    <n v="0.25"/>
    <m/>
  </r>
  <r>
    <n v="258"/>
    <s v="AS-0022"/>
    <x v="52"/>
    <x v="28"/>
    <x v="34"/>
    <s v="Boleta"/>
    <m/>
    <n v="6541"/>
    <n v="4496"/>
    <s v="C062"/>
    <s v="Verena Scholtbach"/>
    <n v="12"/>
    <n v="756"/>
    <s v="%"/>
    <n v="756"/>
    <n v="900"/>
    <n v="10800"/>
    <d v="2020-02-14T00:00:00"/>
    <s v="Pirque"/>
    <n v="33100"/>
    <x v="9"/>
    <n v="535"/>
    <n v="221"/>
    <n v="0.28999999999999998"/>
    <m/>
  </r>
  <r>
    <n v="271"/>
    <s v="MA-214"/>
    <x v="13"/>
    <x v="12"/>
    <x v="35"/>
    <s v="Boleta"/>
    <m/>
    <n v="6603"/>
    <n v="4508"/>
    <s v="C335"/>
    <s v="Alejandro Astorga"/>
    <n v="4"/>
    <n v="22689"/>
    <s v="%"/>
    <n v="22689"/>
    <n v="27000"/>
    <n v="108000"/>
    <d v="2020-02-17T00:00:00"/>
    <s v="Pirque"/>
    <n v="108000"/>
    <x v="11"/>
    <n v="21183"/>
    <n v="1506"/>
    <n v="7.0000000000000007E-2"/>
    <m/>
  </r>
  <r>
    <n v="270"/>
    <s v="MA-214"/>
    <x v="13"/>
    <x v="12"/>
    <x v="35"/>
    <s v="Boleta"/>
    <m/>
    <n v="6602"/>
    <n v="4507"/>
    <s v="C544"/>
    <s v="Carla Valencoa"/>
    <n v="1"/>
    <n v="26471"/>
    <s v="%"/>
    <n v="26471"/>
    <n v="31500"/>
    <n v="31500"/>
    <d v="2020-02-17T00:00:00"/>
    <s v="Pirque"/>
    <n v="31500"/>
    <x v="11"/>
    <n v="21183"/>
    <n v="5288"/>
    <n v="0.2"/>
    <m/>
  </r>
  <r>
    <n v="268"/>
    <s v="MA-0104"/>
    <x v="116"/>
    <x v="4"/>
    <x v="35"/>
    <s v="Boleta"/>
    <m/>
    <n v="6550"/>
    <n v="4505"/>
    <s v="C073"/>
    <s v="Celinda Varela"/>
    <n v="1"/>
    <n v="13109"/>
    <s v="%"/>
    <n v="13109"/>
    <n v="15600"/>
    <n v="15600"/>
    <d v="2020-02-17T00:00:00"/>
    <s v="Pirque"/>
    <n v="15600"/>
    <x v="4"/>
    <n v="9850"/>
    <n v="3259"/>
    <n v="0.25"/>
    <m/>
  </r>
  <r>
    <n v="266"/>
    <s v="MA-0003"/>
    <x v="41"/>
    <x v="21"/>
    <x v="35"/>
    <s v="Boleta"/>
    <m/>
    <n v="6548"/>
    <n v="4503"/>
    <s v="C662"/>
    <s v="Flavia Lopez"/>
    <n v="2"/>
    <n v="17815"/>
    <s v="%"/>
    <n v="17815"/>
    <n v="21200"/>
    <n v="42400"/>
    <d v="2020-02-17T00:00:00"/>
    <s v="Pirque"/>
    <n v="88800"/>
    <x v="5"/>
    <n v="13279"/>
    <n v="4536"/>
    <n v="0.25"/>
    <m/>
  </r>
  <r>
    <n v="266"/>
    <s v="MA-191"/>
    <x v="57"/>
    <x v="12"/>
    <x v="35"/>
    <s v="Boleta"/>
    <m/>
    <n v="6548"/>
    <n v="4503"/>
    <s v="C662"/>
    <s v="Flavia Lopez"/>
    <n v="1"/>
    <n v="25546"/>
    <s v="%"/>
    <n v="25546"/>
    <n v="30400"/>
    <n v="30400"/>
    <d v="2020-02-17T00:00:00"/>
    <s v="Pirque"/>
    <n v="88800"/>
    <x v="11"/>
    <n v="20442"/>
    <n v="5104"/>
    <n v="0.2"/>
    <m/>
  </r>
  <r>
    <n v="266"/>
    <s v="MA-223"/>
    <x v="74"/>
    <x v="36"/>
    <x v="35"/>
    <s v="Boleta"/>
    <m/>
    <n v="6548"/>
    <n v="4503"/>
    <s v="C662"/>
    <s v="Flavia Lopez"/>
    <n v="2"/>
    <n v="6723"/>
    <s v="%"/>
    <n v="6723"/>
    <n v="8000"/>
    <n v="16000"/>
    <d v="2020-02-17T00:00:00"/>
    <s v="Pirque"/>
    <n v="88800"/>
    <x v="24"/>
    <n v="754"/>
    <n v="5969"/>
    <n v="0.89"/>
    <m/>
  </r>
  <r>
    <n v="269"/>
    <s v="DE-1169"/>
    <x v="62"/>
    <x v="31"/>
    <x v="35"/>
    <s v="Boleta"/>
    <m/>
    <n v="6601"/>
    <n v="4506"/>
    <s v="C371"/>
    <s v="Isabel Serrano"/>
    <n v="12"/>
    <n v="756"/>
    <s v="%"/>
    <n v="756"/>
    <n v="900"/>
    <n v="10800"/>
    <d v="2020-02-17T00:00:00"/>
    <s v="Pirque"/>
    <n v="10800"/>
    <x v="9"/>
    <n v="535"/>
    <n v="221"/>
    <n v="0.28999999999999998"/>
    <m/>
  </r>
  <r>
    <n v="265"/>
    <s v="MA-0040"/>
    <x v="28"/>
    <x v="16"/>
    <x v="35"/>
    <s v="Boleta"/>
    <m/>
    <n v="6547"/>
    <n v="4502"/>
    <s v="C620"/>
    <s v="Luz Maria Ossandon"/>
    <n v="1"/>
    <n v="16723"/>
    <s v="%"/>
    <n v="16723"/>
    <n v="19900"/>
    <n v="19900"/>
    <d v="2020-02-17T00:00:00"/>
    <s v="Pirque"/>
    <n v="19900"/>
    <x v="7"/>
    <n v="11888"/>
    <n v="4835"/>
    <n v="0.28999999999999998"/>
    <m/>
  </r>
  <r>
    <n v="267"/>
    <s v="AS-29"/>
    <x v="14"/>
    <x v="13"/>
    <x v="35"/>
    <s v="Boleta"/>
    <m/>
    <n v="6549"/>
    <n v="4504"/>
    <s v="C612"/>
    <s v="Manuel Ponce"/>
    <n v="3"/>
    <n v="3193"/>
    <s v="%"/>
    <n v="3193"/>
    <n v="3800"/>
    <n v="11400"/>
    <d v="2020-02-17T00:00:00"/>
    <s v="Pirque"/>
    <n v="15200"/>
    <x v="6"/>
    <n v="2100"/>
    <n v="1093"/>
    <n v="0.34"/>
    <m/>
  </r>
  <r>
    <n v="267"/>
    <s v="AS-0031"/>
    <x v="16"/>
    <x v="13"/>
    <x v="35"/>
    <s v="Boleta"/>
    <m/>
    <n v="6549"/>
    <n v="4504"/>
    <s v="C612"/>
    <s v="Manuel Ponce"/>
    <n v="1"/>
    <n v="3193"/>
    <s v="%"/>
    <n v="3193"/>
    <n v="3800"/>
    <n v="3800"/>
    <d v="2020-02-17T00:00:00"/>
    <s v="Pirque"/>
    <n v="15200"/>
    <x v="6"/>
    <n v="2200"/>
    <n v="993"/>
    <n v="0.31"/>
    <m/>
  </r>
  <r>
    <n v="272"/>
    <s v="DE-880"/>
    <x v="36"/>
    <x v="11"/>
    <x v="35"/>
    <s v="Factura"/>
    <m/>
    <s v="OC02"/>
    <n v="4509"/>
    <s v="C020"/>
    <s v="Sabores y Vinos Bernardita Munita EIRL"/>
    <n v="12"/>
    <n v="3335"/>
    <s v="%"/>
    <n v="3335"/>
    <n v="3969"/>
    <n v="47628"/>
    <d v="2020-02-17T00:00:00"/>
    <s v="Pirque"/>
    <n v="135978"/>
    <x v="10"/>
    <n v="2408"/>
    <n v="927"/>
    <n v="0.28000000000000003"/>
    <m/>
  </r>
  <r>
    <n v="272"/>
    <s v="DE-569"/>
    <x v="10"/>
    <x v="9"/>
    <x v="35"/>
    <s v="Factura"/>
    <m/>
    <s v="OC02"/>
    <n v="4509"/>
    <s v="C020"/>
    <s v="Sabores y Vinos Bernardita Munita EIRL"/>
    <n v="2"/>
    <n v="20084"/>
    <s v="%"/>
    <n v="20084"/>
    <n v="23900"/>
    <n v="47800"/>
    <d v="2020-02-17T00:00:00"/>
    <s v="Pirque"/>
    <n v="135978"/>
    <x v="8"/>
    <n v="16386"/>
    <n v="3698"/>
    <n v="0.18"/>
    <m/>
  </r>
  <r>
    <n v="272"/>
    <s v="AS-0024"/>
    <x v="11"/>
    <x v="10"/>
    <x v="35"/>
    <s v="Factura"/>
    <m/>
    <s v="OC02"/>
    <n v="4509"/>
    <s v="C020"/>
    <s v="Sabores y Vinos Bernardita Munita EIRL"/>
    <n v="4"/>
    <n v="6151"/>
    <s v="%"/>
    <n v="6151"/>
    <n v="7320"/>
    <n v="29280"/>
    <d v="2020-02-17T00:00:00"/>
    <s v="Pirque"/>
    <n v="135978"/>
    <x v="9"/>
    <n v="4922"/>
    <n v="1229"/>
    <n v="0.2"/>
    <m/>
  </r>
  <r>
    <n v="272"/>
    <s v="DE-837"/>
    <x v="35"/>
    <x v="11"/>
    <x v="35"/>
    <s v="Factura"/>
    <m/>
    <s v="OC02"/>
    <n v="4509"/>
    <s v="C020"/>
    <s v="Sabores y Vinos Bernardita Munita EIRL"/>
    <n v="4"/>
    <n v="2368"/>
    <s v="%"/>
    <n v="2368"/>
    <n v="2818"/>
    <n v="11272"/>
    <d v="2020-02-17T00:00:00"/>
    <s v="Pirque"/>
    <n v="135978"/>
    <x v="10"/>
    <n v="1787"/>
    <n v="581"/>
    <n v="0.25"/>
    <m/>
  </r>
  <r>
    <n v="273"/>
    <s v="MA-0053"/>
    <x v="8"/>
    <x v="7"/>
    <x v="36"/>
    <s v="Boleta"/>
    <m/>
    <n v="6604"/>
    <n v="4510"/>
    <s v="C456"/>
    <s v="Carolina Muñoz"/>
    <n v="1"/>
    <n v="13277"/>
    <s v="%"/>
    <n v="13277"/>
    <n v="15800"/>
    <n v="15800"/>
    <d v="2020-02-18T00:00:00"/>
    <s v="Pirque"/>
    <n v="15800"/>
    <x v="5"/>
    <n v="9975"/>
    <n v="3302"/>
    <n v="0.25"/>
    <m/>
  </r>
  <r>
    <n v="274"/>
    <s v="MA-0035"/>
    <x v="37"/>
    <x v="16"/>
    <x v="36"/>
    <s v="Boleta"/>
    <m/>
    <n v="6605"/>
    <n v="4511"/>
    <s v="C663"/>
    <s v="Graciela Lobos"/>
    <n v="1"/>
    <n v="16555"/>
    <s v="%"/>
    <n v="16555"/>
    <n v="19700"/>
    <n v="19700"/>
    <d v="2020-02-18T00:00:00"/>
    <s v="Pirque"/>
    <n v="58600"/>
    <x v="7"/>
    <n v="12429"/>
    <n v="4126"/>
    <n v="0.25"/>
    <m/>
  </r>
  <r>
    <n v="274"/>
    <s v="MA-193"/>
    <x v="38"/>
    <x v="20"/>
    <x v="36"/>
    <s v="Boleta"/>
    <m/>
    <n v="6605"/>
    <n v="4511"/>
    <s v="C663"/>
    <s v="Graciela Lobos"/>
    <n v="1"/>
    <n v="32689"/>
    <s v="%"/>
    <n v="32689"/>
    <n v="38900"/>
    <n v="38900"/>
    <d v="2020-02-18T00:00:00"/>
    <s v="Pirque"/>
    <n v="58600"/>
    <x v="11"/>
    <n v="26207"/>
    <n v="6482"/>
    <n v="0.2"/>
    <m/>
  </r>
  <r>
    <n v="277"/>
    <s v="MA-118"/>
    <x v="32"/>
    <x v="18"/>
    <x v="36"/>
    <s v="Boleta"/>
    <m/>
    <n v="6608"/>
    <n v="4514"/>
    <s v="C370"/>
    <s v="Manuel Monteiro"/>
    <n v="3"/>
    <n v="10504"/>
    <s v="%"/>
    <n v="10504"/>
    <n v="12500"/>
    <n v="37500"/>
    <d v="2020-02-18T00:00:00"/>
    <s v="Pirque"/>
    <n v="37500"/>
    <x v="5"/>
    <n v="7956"/>
    <n v="2548"/>
    <n v="0.24"/>
    <m/>
  </r>
  <r>
    <n v="276"/>
    <s v="GR-0054"/>
    <x v="30"/>
    <x v="18"/>
    <x v="36"/>
    <s v="Boleta"/>
    <m/>
    <n v="6607"/>
    <n v="4513"/>
    <s v="C278"/>
    <s v="Ricardo Muñoz"/>
    <n v="1"/>
    <n v="19328"/>
    <s v="%"/>
    <n v="19328"/>
    <n v="23000"/>
    <n v="23000"/>
    <d v="2020-02-18T00:00:00"/>
    <s v="Pirque"/>
    <n v="23000"/>
    <x v="5"/>
    <n v="14604"/>
    <n v="4724"/>
    <n v="0.24"/>
    <m/>
  </r>
  <r>
    <n v="275"/>
    <s v="MA-0040"/>
    <x v="28"/>
    <x v="16"/>
    <x v="36"/>
    <s v="Boleta"/>
    <m/>
    <n v="6606"/>
    <n v="4512"/>
    <s v="C664"/>
    <s v="Sandra Simunovic"/>
    <n v="2"/>
    <n v="16723"/>
    <s v="%"/>
    <n v="16723"/>
    <n v="19900"/>
    <n v="39800"/>
    <d v="2020-02-18T00:00:00"/>
    <s v="Pirque"/>
    <n v="39800"/>
    <x v="7"/>
    <n v="11888"/>
    <n v="4835"/>
    <n v="0.28999999999999998"/>
    <m/>
  </r>
  <r>
    <n v="280"/>
    <s v="MA-0027"/>
    <x v="9"/>
    <x v="8"/>
    <x v="37"/>
    <s v="Boleta"/>
    <m/>
    <n v="6610"/>
    <n v="4517"/>
    <s v="C641"/>
    <s v="Cristian Alvarez"/>
    <n v="1"/>
    <n v="13866"/>
    <s v="%"/>
    <n v="13866"/>
    <n v="16500"/>
    <n v="16500"/>
    <d v="2020-02-19T00:00:00"/>
    <s v="Cajon"/>
    <n v="16500"/>
    <x v="7"/>
    <n v="10390"/>
    <n v="3476"/>
    <n v="0.25"/>
    <m/>
  </r>
  <r>
    <n v="282"/>
    <s v="MA-0001"/>
    <x v="101"/>
    <x v="18"/>
    <x v="37"/>
    <s v="Boleta"/>
    <m/>
    <n v="6609"/>
    <n v="4519"/>
    <s v="C045"/>
    <s v="Jeanny Andrea Arranz Cordero"/>
    <n v="2"/>
    <n v="20084"/>
    <s v="%"/>
    <n v="20084"/>
    <n v="23900"/>
    <n v="47800"/>
    <d v="2020-02-19T00:00:00"/>
    <s v="Pirque"/>
    <n v="47800"/>
    <x v="5"/>
    <n v="14604"/>
    <n v="5480"/>
    <n v="0.27"/>
    <m/>
  </r>
  <r>
    <n v="285"/>
    <s v="GR-0054"/>
    <x v="30"/>
    <x v="18"/>
    <x v="37"/>
    <s v="Boleta"/>
    <m/>
    <n v="6613"/>
    <n v="4522"/>
    <s v="C158"/>
    <s v="Jose Miguel Osorio"/>
    <n v="1"/>
    <n v="19328"/>
    <s v="%"/>
    <n v="19328"/>
    <n v="23000"/>
    <n v="23000"/>
    <d v="2020-02-19T00:00:00"/>
    <s v="Cajon"/>
    <n v="46300"/>
    <x v="5"/>
    <n v="14604"/>
    <n v="4724"/>
    <n v="0.24"/>
    <m/>
  </r>
  <r>
    <n v="285"/>
    <s v="MA-118"/>
    <x v="32"/>
    <x v="18"/>
    <x v="37"/>
    <s v="Boleta"/>
    <m/>
    <n v="6613"/>
    <n v="4522"/>
    <s v="C158"/>
    <s v="Jose Miguel Osorio"/>
    <n v="1"/>
    <n v="10504"/>
    <s v="%"/>
    <n v="10504"/>
    <n v="12500"/>
    <n v="12500"/>
    <d v="2020-02-19T00:00:00"/>
    <s v="Cajon"/>
    <n v="46300"/>
    <x v="5"/>
    <n v="7956"/>
    <n v="2548"/>
    <n v="0.24"/>
    <m/>
  </r>
  <r>
    <n v="285"/>
    <s v="AS-0022"/>
    <x v="52"/>
    <x v="28"/>
    <x v="37"/>
    <s v="Boleta"/>
    <m/>
    <n v="6613"/>
    <n v="4522"/>
    <s v="C158"/>
    <s v="Jose Miguel Osorio"/>
    <n v="12"/>
    <n v="756"/>
    <s v="%"/>
    <n v="756"/>
    <n v="900"/>
    <n v="10800"/>
    <d v="2020-02-19T00:00:00"/>
    <s v="Cajon"/>
    <n v="46300"/>
    <x v="9"/>
    <n v="535"/>
    <n v="221"/>
    <n v="0.28999999999999998"/>
    <m/>
  </r>
  <r>
    <n v="288"/>
    <s v="GR-0054"/>
    <x v="30"/>
    <x v="18"/>
    <x v="37"/>
    <s v="Boleta"/>
    <m/>
    <n v="6616"/>
    <n v="4525"/>
    <s v="C087"/>
    <s v="Juan Pablo Valdes"/>
    <n v="3"/>
    <n v="19328"/>
    <s v="%"/>
    <n v="19328"/>
    <n v="23000"/>
    <n v="69000"/>
    <d v="2020-02-19T00:00:00"/>
    <s v="Pirque"/>
    <n v="69000"/>
    <x v="5"/>
    <n v="14604"/>
    <n v="4724"/>
    <n v="0.24"/>
    <m/>
  </r>
  <r>
    <n v="279"/>
    <s v="AS-0022"/>
    <x v="52"/>
    <x v="28"/>
    <x v="37"/>
    <s v="Factura"/>
    <m/>
    <s v="sn"/>
    <n v="4516"/>
    <s v="C005"/>
    <s v="Julia Ines Rebolledo Retamal"/>
    <n v="72"/>
    <n v="741"/>
    <s v="%"/>
    <n v="741"/>
    <n v="882"/>
    <n v="63504"/>
    <d v="2020-02-19T00:00:00"/>
    <s v="Cajon"/>
    <n v="136135"/>
    <x v="9"/>
    <n v="535"/>
    <n v="206"/>
    <n v="0.28000000000000003"/>
    <m/>
  </r>
  <r>
    <n v="279"/>
    <s v="DE-1217"/>
    <x v="150"/>
    <x v="59"/>
    <x v="37"/>
    <s v="Factura"/>
    <m/>
    <s v="sn"/>
    <n v="4516"/>
    <s v="C005"/>
    <s v="Julia Ines Rebolledo Retamal"/>
    <n v="48"/>
    <n v="882"/>
    <s v="%"/>
    <n v="882"/>
    <n v="1050"/>
    <n v="50400"/>
    <d v="2020-02-19T00:00:00"/>
    <s v="Cajon"/>
    <n v="136135"/>
    <x v="19"/>
    <n v="637"/>
    <n v="245"/>
    <n v="0.28000000000000003"/>
    <m/>
  </r>
  <r>
    <n v="279"/>
    <s v="DE-933"/>
    <x v="151"/>
    <x v="53"/>
    <x v="37"/>
    <s v="Factura"/>
    <m/>
    <s v="sn"/>
    <n v="4516"/>
    <s v="C005"/>
    <s v="Julia Ines Rebolledo Retamal"/>
    <n v="12"/>
    <n v="1558"/>
    <s v="%"/>
    <n v="1558"/>
    <n v="1854"/>
    <n v="22248"/>
    <d v="2020-02-19T00:00:00"/>
    <s v="Cajon"/>
    <n v="136135"/>
    <x v="29"/>
    <n v="1125"/>
    <n v="433"/>
    <n v="0.28000000000000003"/>
    <m/>
  </r>
  <r>
    <n v="287"/>
    <s v="MA-0004"/>
    <x v="139"/>
    <x v="21"/>
    <x v="37"/>
    <s v="Boleta"/>
    <m/>
    <n v="6615"/>
    <n v="4524"/>
    <s v="C665"/>
    <s v="Marisol Pimentel"/>
    <n v="1"/>
    <n v="19748"/>
    <s v="%"/>
    <n v="19748"/>
    <n v="23500"/>
    <n v="23500"/>
    <d v="2020-02-19T00:00:00"/>
    <s v="Pirque"/>
    <n v="43200"/>
    <x v="5"/>
    <n v="14894"/>
    <n v="4854"/>
    <n v="0.25"/>
    <m/>
  </r>
  <r>
    <n v="287"/>
    <s v="MA-0035"/>
    <x v="37"/>
    <x v="16"/>
    <x v="37"/>
    <s v="Boleta"/>
    <m/>
    <n v="6615"/>
    <n v="4524"/>
    <s v="C665"/>
    <s v="Marisol Pimentel"/>
    <n v="1"/>
    <n v="16555"/>
    <s v="%"/>
    <n v="16555"/>
    <n v="19700"/>
    <n v="19700"/>
    <d v="2020-02-19T00:00:00"/>
    <s v="Pirque"/>
    <n v="43200"/>
    <x v="7"/>
    <n v="12429"/>
    <n v="4126"/>
    <n v="0.25"/>
    <m/>
  </r>
  <r>
    <n v="286"/>
    <s v="GR-0055"/>
    <x v="31"/>
    <x v="18"/>
    <x v="37"/>
    <s v="Boleta"/>
    <m/>
    <n v="6614"/>
    <n v="4523"/>
    <s v="C644"/>
    <s v="Marta Bravo"/>
    <n v="1"/>
    <n v="19328"/>
    <s v="%"/>
    <n v="19328"/>
    <n v="23000"/>
    <n v="23000"/>
    <d v="2020-02-19T00:00:00"/>
    <s v="Pirque"/>
    <n v="23000"/>
    <x v="5"/>
    <n v="14604"/>
    <n v="4724"/>
    <n v="0.24"/>
    <m/>
  </r>
  <r>
    <n v="284"/>
    <s v="MA-0035"/>
    <x v="37"/>
    <x v="16"/>
    <x v="37"/>
    <s v="Boleta"/>
    <m/>
    <n v="6612"/>
    <n v="4521"/>
    <s v="C570"/>
    <s v="Miguel Diaz"/>
    <n v="2"/>
    <n v="16555"/>
    <s v="%"/>
    <n v="16555"/>
    <n v="19700"/>
    <n v="39400"/>
    <d v="2020-02-19T00:00:00"/>
    <s v="Pirque"/>
    <n v="39400"/>
    <x v="7"/>
    <n v="12429"/>
    <n v="4126"/>
    <n v="0.25"/>
    <m/>
  </r>
  <r>
    <n v="278"/>
    <s v="DE-1216"/>
    <x v="152"/>
    <x v="60"/>
    <x v="37"/>
    <s v="Factura"/>
    <m/>
    <s v="sn"/>
    <n v="4515"/>
    <s v="C406"/>
    <s v="Naitana y Kufeke SPA"/>
    <n v="3"/>
    <n v="8296"/>
    <s v="%"/>
    <n v="8296"/>
    <n v="9873"/>
    <n v="29619"/>
    <d v="2020-02-19T00:00:00"/>
    <s v="Cajon"/>
    <n v="29618"/>
    <x v="25"/>
    <n v="5990"/>
    <n v="2306"/>
    <n v="0.28000000000000003"/>
    <m/>
  </r>
  <r>
    <n v="283"/>
    <s v="MA-116"/>
    <x v="114"/>
    <x v="49"/>
    <x v="37"/>
    <s v="Boleta"/>
    <m/>
    <n v="6611"/>
    <n v="4520"/>
    <s v="C616"/>
    <s v="Patricia Sandoval"/>
    <n v="1"/>
    <n v="10504"/>
    <s v="%"/>
    <n v="10504"/>
    <n v="12500"/>
    <n v="12500"/>
    <d v="2020-02-19T00:00:00"/>
    <s v="Pirque"/>
    <n v="12500"/>
    <x v="7"/>
    <n v="7409"/>
    <n v="3095"/>
    <n v="0.28999999999999998"/>
    <m/>
  </r>
  <r>
    <n v="281"/>
    <s v="MA-0103"/>
    <x v="51"/>
    <x v="4"/>
    <x v="37"/>
    <s v="Factura"/>
    <m/>
    <s v="sn"/>
    <n v="4518"/>
    <s v="C004"/>
    <s v="Rosa Gladys Vidal Mora"/>
    <n v="16"/>
    <n v="1676"/>
    <n v="0.05"/>
    <n v="1596"/>
    <n v="1895"/>
    <n v="30320"/>
    <d v="2020-02-19T00:00:00"/>
    <s v="Cajon"/>
    <n v="30314"/>
    <x v="4"/>
    <n v="1210"/>
    <n v="386"/>
    <n v="0.24"/>
    <m/>
  </r>
  <r>
    <n v="295"/>
    <s v="MA-121"/>
    <x v="111"/>
    <x v="4"/>
    <x v="38"/>
    <s v="Boleta"/>
    <m/>
    <n v="6623"/>
    <n v="4532"/>
    <s v="C666"/>
    <s v="Bernardo Carrasco"/>
    <n v="1"/>
    <n v="19496"/>
    <s v="%"/>
    <n v="19496"/>
    <n v="23200"/>
    <n v="23200"/>
    <d v="2020-02-21T00:00:00"/>
    <s v="Pirque"/>
    <n v="23200"/>
    <x v="4"/>
    <n v="14700"/>
    <n v="4796"/>
    <n v="0.25"/>
    <m/>
  </r>
  <r>
    <n v="289"/>
    <s v="MA-116"/>
    <x v="114"/>
    <x v="49"/>
    <x v="38"/>
    <s v="Boleta"/>
    <m/>
    <n v="6617"/>
    <n v="4526"/>
    <s v="C255"/>
    <s v="Carlos Manzano"/>
    <n v="2"/>
    <n v="10504"/>
    <s v="%"/>
    <n v="10504"/>
    <n v="12500"/>
    <n v="25000"/>
    <d v="2020-02-21T00:00:00"/>
    <s v="Pirque"/>
    <n v="25000"/>
    <x v="7"/>
    <n v="7409"/>
    <n v="3095"/>
    <n v="0.28999999999999998"/>
    <m/>
  </r>
  <r>
    <n v="303"/>
    <s v="MA-172"/>
    <x v="94"/>
    <x v="41"/>
    <x v="38"/>
    <s v="Boleta"/>
    <m/>
    <n v="6626"/>
    <n v="4540"/>
    <s v="C033"/>
    <s v="Catalina Daniela Peña Royo"/>
    <n v="1"/>
    <n v="4622"/>
    <s v="%"/>
    <n v="4622"/>
    <n v="5500"/>
    <n v="5500"/>
    <d v="2020-02-21T00:00:00"/>
    <s v="Chada"/>
    <n v="5500"/>
    <x v="5"/>
    <n v="2695"/>
    <n v="1927"/>
    <n v="0.42"/>
    <m/>
  </r>
  <r>
    <n v="302"/>
    <s v="AS-0031"/>
    <x v="16"/>
    <x v="13"/>
    <x v="38"/>
    <s v="Boleta"/>
    <m/>
    <n v="6625"/>
    <n v="4539"/>
    <s v="C662"/>
    <s v="Flavia Lopez"/>
    <n v="20"/>
    <n v="3193"/>
    <s v="%"/>
    <n v="3193"/>
    <n v="3800"/>
    <n v="76000"/>
    <d v="2020-02-21T00:00:00"/>
    <s v="Pirque"/>
    <n v="76000"/>
    <x v="6"/>
    <n v="2200"/>
    <n v="993"/>
    <n v="0.31"/>
    <m/>
  </r>
  <r>
    <n v="293"/>
    <s v="MA-0042"/>
    <x v="29"/>
    <x v="17"/>
    <x v="38"/>
    <s v="Boleta"/>
    <m/>
    <n v="6621"/>
    <n v="4530"/>
    <s v="C263"/>
    <s v="Jeanny Reyes"/>
    <n v="1"/>
    <n v="19748"/>
    <s v="%"/>
    <n v="19748"/>
    <n v="23500"/>
    <n v="23500"/>
    <d v="2020-02-21T00:00:00"/>
    <s v="Pirque"/>
    <n v="25500"/>
    <x v="7"/>
    <n v="14853"/>
    <n v="4895"/>
    <n v="0.25"/>
    <m/>
  </r>
  <r>
    <n v="293"/>
    <s v="MA-160"/>
    <x v="153"/>
    <x v="61"/>
    <x v="38"/>
    <s v="Boleta"/>
    <m/>
    <n v="6621"/>
    <n v="4530"/>
    <s v="C263"/>
    <s v="Jeanny Reyes"/>
    <n v="1"/>
    <n v="1681"/>
    <s v="%"/>
    <n v="1681"/>
    <n v="2000"/>
    <n v="2000"/>
    <d v="2020-02-21T00:00:00"/>
    <s v="Pirque"/>
    <n v="25500"/>
    <x v="5"/>
    <n v="1163"/>
    <n v="518"/>
    <n v="0.31"/>
    <m/>
  </r>
  <r>
    <n v="290"/>
    <s v="MA-0035"/>
    <x v="37"/>
    <x v="16"/>
    <x v="38"/>
    <s v="Boleta"/>
    <m/>
    <n v="6618"/>
    <n v="4527"/>
    <s v="C595"/>
    <s v="Juan Neira"/>
    <n v="1"/>
    <n v="16555"/>
    <s v="%"/>
    <n v="16555"/>
    <n v="19700"/>
    <n v="19700"/>
    <d v="2020-02-21T00:00:00"/>
    <s v="Pirque"/>
    <n v="19700"/>
    <x v="7"/>
    <n v="12429"/>
    <n v="4126"/>
    <n v="0.25"/>
    <m/>
  </r>
  <r>
    <n v="300"/>
    <s v="MA-0027"/>
    <x v="9"/>
    <x v="8"/>
    <x v="38"/>
    <s v="Boleta"/>
    <m/>
    <n v="6624"/>
    <n v="4537"/>
    <s v="C028"/>
    <s v="Luz María Velasquez"/>
    <n v="1"/>
    <n v="13866"/>
    <s v="%"/>
    <n v="13866"/>
    <n v="16500"/>
    <n v="16500"/>
    <d v="2020-02-21T00:00:00"/>
    <s v="Chada"/>
    <n v="16500"/>
    <x v="7"/>
    <n v="10390"/>
    <n v="3476"/>
    <n v="0.25"/>
    <m/>
  </r>
  <r>
    <n v="292"/>
    <s v="MA-0035"/>
    <x v="37"/>
    <x v="16"/>
    <x v="38"/>
    <s v="Boleta"/>
    <m/>
    <n v="6620"/>
    <n v="4529"/>
    <s v="C076"/>
    <s v="Macarena Garcia"/>
    <n v="1"/>
    <n v="16555"/>
    <s v="%"/>
    <n v="16555"/>
    <n v="19700"/>
    <n v="19700"/>
    <d v="2020-02-21T00:00:00"/>
    <s v="Chada"/>
    <n v="19700"/>
    <x v="7"/>
    <n v="12429"/>
    <n v="4126"/>
    <n v="0.25"/>
    <m/>
  </r>
  <r>
    <n v="299"/>
    <s v="AS-0022"/>
    <x v="52"/>
    <x v="28"/>
    <x v="38"/>
    <s v="Factura"/>
    <m/>
    <s v="sn"/>
    <n v="4536"/>
    <s v="C016"/>
    <s v="Maria Magaly Diaz Espinoza"/>
    <n v="24"/>
    <n v="741"/>
    <n v="0.1"/>
    <n v="675"/>
    <n v="796"/>
    <n v="19104"/>
    <d v="2020-02-21T00:00:00"/>
    <s v="Chada"/>
    <n v="55120"/>
    <x v="9"/>
    <n v="535"/>
    <n v="140"/>
    <n v="0.21"/>
    <m/>
  </r>
  <r>
    <n v="299"/>
    <s v="DE-1056"/>
    <x v="154"/>
    <x v="45"/>
    <x v="38"/>
    <s v="Factura"/>
    <m/>
    <s v="sn"/>
    <n v="4536"/>
    <s v="C016"/>
    <s v="Maria Magaly Diaz Espinoza"/>
    <n v="10"/>
    <n v="698"/>
    <n v="7.0000000000000007E-2"/>
    <n v="650"/>
    <n v="769"/>
    <n v="7690"/>
    <d v="2020-02-21T00:00:00"/>
    <s v="Chada"/>
    <n v="55120"/>
    <x v="19"/>
    <n v="504"/>
    <n v="146"/>
    <n v="0.22"/>
    <m/>
  </r>
  <r>
    <n v="299"/>
    <s v="DE-1161"/>
    <x v="105"/>
    <x v="45"/>
    <x v="38"/>
    <s v="Factura"/>
    <m/>
    <s v="sn"/>
    <n v="4536"/>
    <s v="C016"/>
    <s v="Maria Magaly Diaz Espinoza"/>
    <n v="12"/>
    <n v="1031"/>
    <n v="0.1"/>
    <n v="939"/>
    <n v="1107"/>
    <n v="13284"/>
    <d v="2020-02-21T00:00:00"/>
    <s v="Chada"/>
    <n v="55120"/>
    <x v="19"/>
    <n v="745"/>
    <n v="195"/>
    <n v="0.21"/>
    <m/>
  </r>
  <r>
    <n v="299"/>
    <s v="DE-0238"/>
    <x v="155"/>
    <x v="29"/>
    <x v="38"/>
    <s v="Factura"/>
    <m/>
    <s v="sn"/>
    <n v="4536"/>
    <s v="C016"/>
    <s v="Maria Magaly Diaz Espinoza"/>
    <n v="24"/>
    <n v="287"/>
    <n v="0.1"/>
    <n v="262"/>
    <n v="308"/>
    <n v="7392"/>
    <d v="2020-02-21T00:00:00"/>
    <s v="Chada"/>
    <n v="55120"/>
    <x v="20"/>
    <n v="207"/>
    <n v="55"/>
    <n v="0.21"/>
    <m/>
  </r>
  <r>
    <n v="301"/>
    <s v="DE-1150"/>
    <x v="42"/>
    <x v="22"/>
    <x v="38"/>
    <s v="Factura"/>
    <m/>
    <s v="sn"/>
    <n v="4538"/>
    <s v="C016"/>
    <s v="Maria Magaly Diaz Espinoza"/>
    <n v="24"/>
    <n v="1312"/>
    <n v="0.1"/>
    <n v="1195"/>
    <n v="1409"/>
    <n v="33816"/>
    <d v="2020-02-21T00:00:00"/>
    <s v="Chada"/>
    <n v="33821"/>
    <x v="14"/>
    <n v="900"/>
    <n v="295"/>
    <n v="0.25"/>
    <m/>
  </r>
  <r>
    <n v="291"/>
    <s v="MA-121"/>
    <x v="111"/>
    <x v="4"/>
    <x v="38"/>
    <s v="Boleta"/>
    <m/>
    <n v="6619"/>
    <n v="4528"/>
    <s v="C067"/>
    <s v="Marilu Salazar"/>
    <n v="2"/>
    <n v="19496"/>
    <s v="%"/>
    <n v="19496"/>
    <n v="23200"/>
    <n v="46400"/>
    <d v="2020-02-21T00:00:00"/>
    <s v="Chada"/>
    <n v="46400"/>
    <x v="4"/>
    <n v="14700"/>
    <n v="4796"/>
    <n v="0.25"/>
    <m/>
  </r>
  <r>
    <n v="296"/>
    <s v="AS-0022"/>
    <x v="52"/>
    <x v="28"/>
    <x v="38"/>
    <s v="Factura"/>
    <m/>
    <s v="sn"/>
    <n v="4533"/>
    <s v="C554"/>
    <s v="Minimarket Doña Olga SPA"/>
    <n v="60"/>
    <n v="741"/>
    <n v="0.1"/>
    <n v="675"/>
    <n v="796"/>
    <n v="47760"/>
    <d v="2020-02-21T00:00:00"/>
    <s v="Chada"/>
    <n v="64751"/>
    <x v="9"/>
    <n v="535"/>
    <n v="140"/>
    <n v="0.21"/>
    <m/>
  </r>
  <r>
    <n v="296"/>
    <s v="MA-0102"/>
    <x v="50"/>
    <x v="4"/>
    <x v="38"/>
    <s v="Factura"/>
    <m/>
    <s v="sn"/>
    <n v="4533"/>
    <s v="C554"/>
    <s v="Minimarket Doña Olga SPA"/>
    <n v="18"/>
    <n v="880"/>
    <n v="0.1"/>
    <n v="802"/>
    <n v="945"/>
    <n v="17010"/>
    <d v="2020-02-21T00:00:00"/>
    <s v="Chada"/>
    <n v="64751"/>
    <x v="4"/>
    <n v="635"/>
    <n v="167"/>
    <n v="0.21"/>
    <m/>
  </r>
  <r>
    <n v="304"/>
    <s v="MA-214"/>
    <x v="13"/>
    <x v="12"/>
    <x v="38"/>
    <s v="Boleta"/>
    <m/>
    <n v="6627"/>
    <n v="4541"/>
    <s v="C344"/>
    <s v="Monica Aedo"/>
    <n v="1"/>
    <n v="26471"/>
    <s v="%"/>
    <n v="26471"/>
    <n v="31500"/>
    <n v="31500"/>
    <d v="2020-02-21T00:00:00"/>
    <s v="Pirque"/>
    <n v="31500"/>
    <x v="11"/>
    <n v="21183"/>
    <n v="5288"/>
    <n v="0.2"/>
    <m/>
  </r>
  <r>
    <n v="294"/>
    <s v="AS-0031"/>
    <x v="16"/>
    <x v="13"/>
    <x v="38"/>
    <s v="Boleta"/>
    <m/>
    <n v="6622"/>
    <n v="4531"/>
    <s v="C647"/>
    <s v="Patricia Salas"/>
    <n v="4"/>
    <n v="3193"/>
    <s v="%"/>
    <n v="3193"/>
    <n v="3800"/>
    <n v="15200"/>
    <d v="2020-02-21T00:00:00"/>
    <s v="Chada"/>
    <n v="19000"/>
    <x v="6"/>
    <n v="2200"/>
    <n v="993"/>
    <n v="0.31"/>
    <m/>
  </r>
  <r>
    <n v="294"/>
    <s v="AS-29"/>
    <x v="14"/>
    <x v="13"/>
    <x v="38"/>
    <s v="Boleta"/>
    <m/>
    <n v="6622"/>
    <n v="4531"/>
    <s v="C647"/>
    <s v="Patricia Salas"/>
    <n v="1"/>
    <n v="3193"/>
    <s v="%"/>
    <n v="3193"/>
    <n v="3800"/>
    <n v="3800"/>
    <d v="2020-02-21T00:00:00"/>
    <s v="Chada"/>
    <n v="19000"/>
    <x v="6"/>
    <n v="2100"/>
    <n v="1093"/>
    <n v="0.34"/>
    <m/>
  </r>
  <r>
    <n v="298"/>
    <s v="DE-0021"/>
    <x v="64"/>
    <x v="35"/>
    <x v="38"/>
    <s v="Factura"/>
    <m/>
    <s v="sn"/>
    <n v="4535"/>
    <s v="C105"/>
    <s v="Paulina Andrea Araneda Cancino"/>
    <n v="2"/>
    <n v="12185"/>
    <s v="%"/>
    <n v="12185"/>
    <n v="14500"/>
    <n v="29000"/>
    <d v="2020-02-21T00:00:00"/>
    <s v="Chada"/>
    <n v="29000"/>
    <x v="22"/>
    <n v="9360"/>
    <n v="2825"/>
    <n v="0.23"/>
    <m/>
  </r>
  <r>
    <n v="297"/>
    <s v="AS-0026"/>
    <x v="59"/>
    <x v="10"/>
    <x v="38"/>
    <s v="Factura"/>
    <m/>
    <s v="sn"/>
    <n v="4534"/>
    <s v="C009"/>
    <s v="Sociedad Comercial y Agricola Chada Ltda"/>
    <n v="6"/>
    <n v="3248"/>
    <n v="0.1"/>
    <n v="2959"/>
    <n v="3488"/>
    <n v="20928"/>
    <d v="2020-02-21T00:00:00"/>
    <s v="Chada"/>
    <n v="131409"/>
    <x v="9"/>
    <n v="2345"/>
    <n v="614"/>
    <n v="0.21"/>
    <m/>
  </r>
  <r>
    <n v="297"/>
    <s v="MA-0107"/>
    <x v="63"/>
    <x v="4"/>
    <x v="38"/>
    <s v="Factura"/>
    <m/>
    <s v="sn"/>
    <n v="4534"/>
    <s v="C009"/>
    <s v="Sociedad Comercial y Agricola Chada Ltda"/>
    <n v="12"/>
    <n v="1787"/>
    <n v="0.1"/>
    <n v="1628"/>
    <n v="1919"/>
    <n v="23028"/>
    <d v="2020-02-21T00:00:00"/>
    <s v="Chada"/>
    <n v="131409"/>
    <x v="4"/>
    <n v="1290"/>
    <n v="338"/>
    <n v="0.21"/>
    <m/>
  </r>
  <r>
    <n v="297"/>
    <s v="MA-0098"/>
    <x v="80"/>
    <x v="4"/>
    <x v="38"/>
    <s v="Factura"/>
    <m/>
    <s v="sn"/>
    <n v="4534"/>
    <s v="C009"/>
    <s v="Sociedad Comercial y Agricola Chada Ltda"/>
    <n v="12"/>
    <n v="2285"/>
    <n v="0.1"/>
    <n v="2082"/>
    <n v="2454"/>
    <n v="29448"/>
    <d v="2020-02-21T00:00:00"/>
    <s v="Chada"/>
    <n v="131409"/>
    <x v="4"/>
    <n v="1650"/>
    <n v="432"/>
    <n v="0.21"/>
    <m/>
  </r>
  <r>
    <n v="297"/>
    <s v="DE-0021"/>
    <x v="64"/>
    <x v="35"/>
    <x v="38"/>
    <s v="Factura"/>
    <m/>
    <s v="sn"/>
    <n v="4534"/>
    <s v="C009"/>
    <s v="Sociedad Comercial y Agricola Chada Ltda"/>
    <n v="4"/>
    <n v="12185"/>
    <s v="%"/>
    <n v="12185"/>
    <n v="14500"/>
    <n v="58000"/>
    <d v="2020-02-21T00:00:00"/>
    <s v="Chada"/>
    <n v="131409"/>
    <x v="22"/>
    <n v="9360"/>
    <n v="2825"/>
    <n v="0.23"/>
    <m/>
  </r>
  <r>
    <n v="306"/>
    <s v="MA-193"/>
    <x v="38"/>
    <x v="20"/>
    <x v="39"/>
    <s v="Boleta"/>
    <m/>
    <n v="6629"/>
    <n v="4543"/>
    <s v="C534"/>
    <s v="Helga Nagilschmitz"/>
    <n v="2"/>
    <n v="32689"/>
    <s v="%"/>
    <n v="32689"/>
    <n v="38900"/>
    <n v="77800"/>
    <d v="2020-02-22T00:00:00"/>
    <s v="Pirque"/>
    <n v="77800"/>
    <x v="11"/>
    <n v="26207"/>
    <n v="6482"/>
    <n v="0.2"/>
    <m/>
  </r>
  <r>
    <n v="305"/>
    <s v="GR-0054"/>
    <x v="30"/>
    <x v="18"/>
    <x v="39"/>
    <s v="Boleta"/>
    <m/>
    <n v="6628"/>
    <n v="4542"/>
    <s v="C667"/>
    <s v="Josefina Prieto"/>
    <n v="1"/>
    <n v="19328"/>
    <s v="%"/>
    <n v="19328"/>
    <n v="23000"/>
    <n v="23000"/>
    <d v="2020-02-22T00:00:00"/>
    <s v="Pirque"/>
    <n v="23000"/>
    <x v="5"/>
    <n v="14604"/>
    <n v="4724"/>
    <n v="0.24"/>
    <m/>
  </r>
  <r>
    <n v="307"/>
    <s v="MA-0053"/>
    <x v="8"/>
    <x v="7"/>
    <x v="39"/>
    <s v="Boleta"/>
    <m/>
    <n v="6630"/>
    <n v="4544"/>
    <s v="C243"/>
    <s v="Loreto Rojas"/>
    <n v="1"/>
    <n v="13277"/>
    <s v="%"/>
    <n v="13277"/>
    <n v="15800"/>
    <n v="15800"/>
    <d v="2020-02-22T00:00:00"/>
    <s v="Pirque"/>
    <n v="15800"/>
    <x v="5"/>
    <n v="9975"/>
    <n v="3302"/>
    <n v="0.25"/>
    <m/>
  </r>
  <r>
    <n v="309"/>
    <s v="MA-0053"/>
    <x v="8"/>
    <x v="7"/>
    <x v="40"/>
    <s v="Boleta"/>
    <m/>
    <n v="6632"/>
    <n v="4546"/>
    <s v="C445"/>
    <s v="Carmen Nuñez"/>
    <n v="1"/>
    <n v="13277"/>
    <s v="%"/>
    <n v="13277"/>
    <n v="15800"/>
    <n v="15800"/>
    <d v="2020-02-22T00:00:00"/>
    <s v="Pirque"/>
    <n v="15800"/>
    <x v="5"/>
    <n v="9975"/>
    <n v="3302"/>
    <n v="0.25"/>
    <m/>
  </r>
  <r>
    <n v="311"/>
    <s v="MA-0035"/>
    <x v="37"/>
    <x v="16"/>
    <x v="40"/>
    <s v="Boleta"/>
    <m/>
    <n v="6634"/>
    <n v="4548"/>
    <s v="C073"/>
    <s v="Celinda Varela"/>
    <n v="1"/>
    <n v="16555"/>
    <s v="%"/>
    <n v="16555"/>
    <n v="19700"/>
    <n v="19700"/>
    <d v="2020-02-24T00:00:00"/>
    <s v="Pirque"/>
    <n v="19700"/>
    <x v="7"/>
    <n v="12429"/>
    <n v="4126"/>
    <n v="0.25"/>
    <m/>
  </r>
  <r>
    <n v="310"/>
    <s v="MA-0053"/>
    <x v="8"/>
    <x v="7"/>
    <x v="40"/>
    <s v="Boleta"/>
    <m/>
    <n v="6633"/>
    <n v="4547"/>
    <s v="C418"/>
    <s v="Claudia Ormazabal"/>
    <n v="1"/>
    <n v="13277"/>
    <s v="%"/>
    <n v="13277"/>
    <n v="15800"/>
    <n v="15800"/>
    <d v="2020-02-24T00:00:00"/>
    <s v="Pirque"/>
    <n v="15800"/>
    <x v="5"/>
    <n v="9975"/>
    <n v="3302"/>
    <n v="0.25"/>
    <m/>
  </r>
  <r>
    <n v="313"/>
    <s v="MA-0053"/>
    <x v="8"/>
    <x v="7"/>
    <x v="40"/>
    <s v="Boleta"/>
    <m/>
    <n v="6636"/>
    <n v="4550"/>
    <s v="C451"/>
    <s v="Enrique Montero"/>
    <n v="1"/>
    <n v="13277"/>
    <s v="%"/>
    <n v="13277"/>
    <n v="15800"/>
    <n v="15800"/>
    <d v="2020-02-24T00:00:00"/>
    <s v="Pirque"/>
    <n v="15800"/>
    <x v="5"/>
    <n v="9975"/>
    <n v="3302"/>
    <n v="0.25"/>
    <m/>
  </r>
  <r>
    <n v="308"/>
    <s v="MA-166"/>
    <x v="5"/>
    <x v="5"/>
    <x v="40"/>
    <s v="Boleta"/>
    <m/>
    <n v="6631"/>
    <n v="4545"/>
    <s v="C064"/>
    <s v="Maria Estela Matte"/>
    <n v="1"/>
    <n v="19076"/>
    <s v="%"/>
    <n v="19076"/>
    <n v="22700"/>
    <n v="22700"/>
    <d v="2020-02-22T00:00:00"/>
    <s v="Pirque"/>
    <n v="31700"/>
    <x v="5"/>
    <n v="14122"/>
    <n v="4954"/>
    <n v="0.26"/>
    <m/>
  </r>
  <r>
    <n v="308"/>
    <s v="MA-208"/>
    <x v="103"/>
    <x v="43"/>
    <x v="40"/>
    <s v="Boleta"/>
    <m/>
    <n v="6631"/>
    <n v="4545"/>
    <s v="C064"/>
    <s v="Maria Estela Matte"/>
    <n v="1"/>
    <n v="7563"/>
    <s v="%"/>
    <n v="7563"/>
    <n v="9000"/>
    <n v="9000"/>
    <d v="2020-02-22T00:00:00"/>
    <s v="Pirque"/>
    <n v="31700"/>
    <x v="14"/>
    <n v="5300"/>
    <n v="2263"/>
    <n v="0.3"/>
    <m/>
  </r>
  <r>
    <n v="312"/>
    <s v="MA-0053"/>
    <x v="8"/>
    <x v="7"/>
    <x v="40"/>
    <s v="Boleta"/>
    <m/>
    <n v="6635"/>
    <n v="4549"/>
    <s v="C556"/>
    <s v="Patricio Tapia"/>
    <n v="1"/>
    <n v="13277"/>
    <s v="%"/>
    <n v="13277"/>
    <n v="15800"/>
    <n v="15800"/>
    <d v="2020-02-24T00:00:00"/>
    <s v="Pirque"/>
    <n v="15800"/>
    <x v="5"/>
    <n v="9975"/>
    <n v="3302"/>
    <n v="0.25"/>
    <m/>
  </r>
  <r>
    <n v="320"/>
    <s v="MA-0003"/>
    <x v="41"/>
    <x v="21"/>
    <x v="41"/>
    <s v="Boleta"/>
    <m/>
    <n v="6637"/>
    <n v="4557"/>
    <s v="C584"/>
    <s v="Alejandra Hamame"/>
    <n v="1"/>
    <n v="17815"/>
    <s v="%"/>
    <n v="17815"/>
    <n v="21200"/>
    <n v="21200"/>
    <d v="2020-02-25T00:00:00"/>
    <s v="Pirque"/>
    <n v="21200"/>
    <x v="5"/>
    <n v="13279"/>
    <n v="4536"/>
    <n v="0.25"/>
    <m/>
  </r>
  <r>
    <n v="322"/>
    <s v="GR-0055"/>
    <x v="31"/>
    <x v="18"/>
    <x v="41"/>
    <s v="Boleta"/>
    <m/>
    <n v="6639"/>
    <n v="4559"/>
    <s v="C669"/>
    <s v="Consuelo Ruiz"/>
    <n v="1"/>
    <n v="19328"/>
    <s v="%"/>
    <n v="19328"/>
    <n v="23000"/>
    <n v="23000"/>
    <d v="2020-02-25T00:00:00"/>
    <s v="Pirque"/>
    <n v="23000"/>
    <x v="5"/>
    <n v="14604"/>
    <n v="4724"/>
    <n v="0.24"/>
    <m/>
  </r>
  <r>
    <n v="325"/>
    <s v="MA-0104"/>
    <x v="116"/>
    <x v="4"/>
    <x v="41"/>
    <s v="Boleta"/>
    <m/>
    <n v="6642"/>
    <n v="4562"/>
    <s v="C495"/>
    <s v="Felipe Saint Jean Metzen"/>
    <n v="1"/>
    <n v="13109"/>
    <s v="%"/>
    <n v="13109"/>
    <n v="15600"/>
    <n v="15600"/>
    <d v="2020-02-26T00:00:00"/>
    <s v="Pirque"/>
    <n v="15600"/>
    <x v="4"/>
    <n v="9850"/>
    <n v="3259"/>
    <n v="0.25"/>
    <m/>
  </r>
  <r>
    <n v="314"/>
    <s v="DE-0021"/>
    <x v="64"/>
    <x v="35"/>
    <x v="41"/>
    <s v="Factura"/>
    <m/>
    <s v="sn"/>
    <n v="4551"/>
    <s v="C668"/>
    <s v="Gastronomica Nikkei SPA."/>
    <n v="11"/>
    <n v="12964"/>
    <s v="%"/>
    <n v="12964"/>
    <n v="15427"/>
    <n v="169697"/>
    <d v="2020-02-25T00:00:00"/>
    <s v="Santiago"/>
    <n v="169699"/>
    <x v="22"/>
    <n v="9360"/>
    <n v="3604"/>
    <n v="0.28000000000000003"/>
    <m/>
  </r>
  <r>
    <n v="315"/>
    <s v="DE-0021"/>
    <x v="64"/>
    <x v="35"/>
    <x v="41"/>
    <s v="Factura"/>
    <m/>
    <s v="sn"/>
    <n v="4552"/>
    <s v="C668"/>
    <s v="Gastronomica Nikkei SPA."/>
    <n v="4"/>
    <n v="12964"/>
    <n v="0.09"/>
    <n v="11854"/>
    <n v="13983"/>
    <n v="55932"/>
    <d v="2020-02-25T00:00:00"/>
    <s v="Santiago"/>
    <n v="55932"/>
    <x v="22"/>
    <n v="9360"/>
    <n v="2494"/>
    <n v="0.21"/>
    <m/>
  </r>
  <r>
    <n v="316"/>
    <s v="DE-0021"/>
    <x v="64"/>
    <x v="35"/>
    <x v="41"/>
    <s v="Factura"/>
    <m/>
    <s v="sn"/>
    <n v="4553"/>
    <s v="C668"/>
    <s v="Gastronomica Nikkei SPA."/>
    <n v="6"/>
    <n v="12964"/>
    <n v="0.09"/>
    <n v="11854"/>
    <n v="13983"/>
    <n v="83898"/>
    <d v="2020-02-25T00:00:00"/>
    <s v="Santiago"/>
    <n v="83898"/>
    <x v="22"/>
    <n v="9360"/>
    <n v="2494"/>
    <n v="0.21"/>
    <m/>
  </r>
  <r>
    <n v="317"/>
    <s v="DE-0021"/>
    <x v="64"/>
    <x v="35"/>
    <x v="41"/>
    <s v="Factura"/>
    <m/>
    <s v="sn"/>
    <n v="4554"/>
    <s v="C668"/>
    <s v="Gastronomica Nikkei SPA."/>
    <n v="6"/>
    <n v="12964"/>
    <n v="0.09"/>
    <n v="11854"/>
    <n v="13983"/>
    <n v="83898"/>
    <d v="2020-02-25T00:00:00"/>
    <s v="Santiago"/>
    <n v="83898"/>
    <x v="22"/>
    <n v="9360"/>
    <n v="2494"/>
    <n v="0.21"/>
    <m/>
  </r>
  <r>
    <n v="318"/>
    <s v="DE-0021"/>
    <x v="64"/>
    <x v="35"/>
    <x v="41"/>
    <s v="Factura"/>
    <m/>
    <s v="sn"/>
    <n v="4555"/>
    <s v="C668"/>
    <s v="Gastronomica Nikkei SPA."/>
    <n v="6"/>
    <n v="12964"/>
    <n v="0.09"/>
    <n v="11854"/>
    <n v="13982"/>
    <n v="83892"/>
    <d v="2020-02-25T00:00:00"/>
    <s v="Santiago"/>
    <n v="83892"/>
    <x v="22"/>
    <n v="9360"/>
    <n v="2494"/>
    <n v="0.21"/>
    <m/>
  </r>
  <r>
    <n v="319"/>
    <s v="DE-0021"/>
    <x v="64"/>
    <x v="35"/>
    <x v="41"/>
    <s v="Factura"/>
    <m/>
    <s v="sn"/>
    <n v="4556"/>
    <s v="C668"/>
    <s v="Gastronomica Nikkei SPA."/>
    <n v="4"/>
    <n v="12964"/>
    <n v="0.09"/>
    <n v="11854"/>
    <n v="13983"/>
    <n v="55932"/>
    <d v="2020-02-25T00:00:00"/>
    <s v="Santiago"/>
    <n v="55932"/>
    <x v="22"/>
    <n v="9360"/>
    <n v="2494"/>
    <n v="0.21"/>
    <m/>
  </r>
  <r>
    <n v="324"/>
    <s v="MA-0053"/>
    <x v="8"/>
    <x v="7"/>
    <x v="41"/>
    <s v="Boleta"/>
    <m/>
    <n v="6641"/>
    <n v="4561"/>
    <s v="C364"/>
    <s v="Herminda Arriagada"/>
    <n v="1"/>
    <n v="13277"/>
    <s v="%"/>
    <n v="13277"/>
    <n v="15800"/>
    <n v="15800"/>
    <d v="2020-02-25T00:00:00"/>
    <s v="Pirque"/>
    <n v="39300"/>
    <x v="5"/>
    <n v="9975"/>
    <n v="3302"/>
    <n v="0.25"/>
    <m/>
  </r>
  <r>
    <n v="324"/>
    <s v="MA-0004"/>
    <x v="139"/>
    <x v="21"/>
    <x v="41"/>
    <s v="Boleta"/>
    <m/>
    <n v="6641"/>
    <n v="4561"/>
    <s v="C364"/>
    <s v="Herminda Arriagada"/>
    <n v="1"/>
    <n v="19748"/>
    <s v="%"/>
    <n v="19748"/>
    <n v="23500"/>
    <n v="23500"/>
    <d v="2020-02-25T00:00:00"/>
    <s v="Pirque"/>
    <n v="39300"/>
    <x v="5"/>
    <n v="14894"/>
    <n v="4854"/>
    <n v="0.25"/>
    <m/>
  </r>
  <r>
    <n v="323"/>
    <s v="MA-0003"/>
    <x v="41"/>
    <x v="21"/>
    <x v="41"/>
    <s v="Boleta"/>
    <m/>
    <n v="6640"/>
    <n v="4560"/>
    <s v="C634"/>
    <s v="Isabel Luco"/>
    <n v="4"/>
    <n v="17815"/>
    <s v="%"/>
    <n v="17815"/>
    <n v="21200"/>
    <n v="84800"/>
    <d v="2020-02-25T00:00:00"/>
    <s v="Pirque"/>
    <n v="84800"/>
    <x v="5"/>
    <n v="13279"/>
    <n v="4536"/>
    <n v="0.25"/>
    <m/>
  </r>
  <r>
    <n v="321"/>
    <s v="MA-0053"/>
    <x v="8"/>
    <x v="7"/>
    <x v="41"/>
    <s v="Boleta"/>
    <m/>
    <n v="6638"/>
    <n v="4558"/>
    <s v="C358"/>
    <s v="Patricia Lopez"/>
    <n v="1"/>
    <n v="13277"/>
    <s v="%"/>
    <n v="13277"/>
    <n v="15800"/>
    <n v="15800"/>
    <d v="2020-02-25T00:00:00"/>
    <s v="Pirque"/>
    <n v="15800"/>
    <x v="5"/>
    <n v="9975"/>
    <n v="3302"/>
    <n v="0.25"/>
    <m/>
  </r>
  <r>
    <n v="334"/>
    <s v="MA-0107"/>
    <x v="63"/>
    <x v="4"/>
    <x v="42"/>
    <s v="Factura"/>
    <m/>
    <n v="1039579"/>
    <n v="4571"/>
    <s v="C001"/>
    <s v="Benito Campos y Cia Ltda."/>
    <n v="12"/>
    <n v="1787"/>
    <n v="0.08"/>
    <n v="1653"/>
    <n v="1954"/>
    <n v="23448"/>
    <d v="2020-02-26T00:00:00"/>
    <s v="Cajon"/>
    <n v="356196"/>
    <x v="4"/>
    <n v="1290"/>
    <n v="363"/>
    <n v="0.22"/>
    <m/>
  </r>
  <r>
    <n v="334"/>
    <s v="MA-0108"/>
    <x v="81"/>
    <x v="4"/>
    <x v="42"/>
    <s v="Factura"/>
    <m/>
    <n v="1039579"/>
    <n v="4571"/>
    <s v="C001"/>
    <s v="Benito Campos y Cia Ltda."/>
    <n v="12"/>
    <n v="3428"/>
    <n v="0.08"/>
    <n v="3178"/>
    <n v="3758"/>
    <n v="45096"/>
    <d v="2020-02-26T00:00:00"/>
    <s v="Cajon"/>
    <n v="356196"/>
    <x v="4"/>
    <n v="2475"/>
    <n v="703"/>
    <n v="0.22"/>
    <m/>
  </r>
  <r>
    <n v="334"/>
    <s v="DE-0296"/>
    <x v="156"/>
    <x v="62"/>
    <x v="42"/>
    <s v="Factura"/>
    <m/>
    <n v="1039579"/>
    <n v="4571"/>
    <s v="C001"/>
    <s v="Benito Campos y Cia Ltda."/>
    <n v="48"/>
    <n v="1093"/>
    <s v="%"/>
    <n v="1090"/>
    <n v="1297"/>
    <n v="62256"/>
    <d v="2020-02-26T00:00:00"/>
    <s v="Cajon"/>
    <n v="356196"/>
    <x v="2"/>
    <n v="789"/>
    <n v="301"/>
    <n v="0.28000000000000003"/>
    <m/>
  </r>
  <r>
    <n v="334"/>
    <s v="DE-0298"/>
    <x v="157"/>
    <x v="62"/>
    <x v="42"/>
    <s v="Factura"/>
    <m/>
    <n v="1039579"/>
    <n v="4571"/>
    <s v="C001"/>
    <s v="Benito Campos y Cia Ltda."/>
    <n v="48"/>
    <n v="1204"/>
    <n v="0.09"/>
    <n v="1100"/>
    <n v="1297"/>
    <n v="62256"/>
    <d v="2020-02-26T00:00:00"/>
    <s v="Cajon"/>
    <n v="356196"/>
    <x v="2"/>
    <n v="869"/>
    <n v="231"/>
    <n v="0.21"/>
    <m/>
  </r>
  <r>
    <n v="331"/>
    <s v="DE-727"/>
    <x v="43"/>
    <x v="23"/>
    <x v="42"/>
    <s v="Factura"/>
    <m/>
    <n v="1039582"/>
    <n v="4568"/>
    <s v="C001"/>
    <s v="Benito Campos y Cia Ltda."/>
    <n v="6"/>
    <n v="4964"/>
    <s v="%"/>
    <n v="4964"/>
    <n v="5907"/>
    <n v="35442"/>
    <d v="2020-02-26T00:00:00"/>
    <s v="Cajon"/>
    <n v="133154"/>
    <x v="15"/>
    <n v="3584"/>
    <n v="1380"/>
    <n v="0.28000000000000003"/>
    <m/>
  </r>
  <r>
    <n v="333"/>
    <s v="DE-0094"/>
    <x v="158"/>
    <x v="29"/>
    <x v="42"/>
    <s v="Factura"/>
    <m/>
    <n v="1039580"/>
    <n v="4570"/>
    <s v="C001"/>
    <s v="Benito Campos y Cia Ltda."/>
    <n v="24"/>
    <n v="1345"/>
    <n v="-0.03"/>
    <n v="1388"/>
    <n v="1650"/>
    <n v="39600"/>
    <d v="2020-02-26T00:00:00"/>
    <s v="Cajon"/>
    <n v="216437"/>
    <x v="20"/>
    <n v="971"/>
    <n v="417"/>
    <n v="0.3"/>
    <m/>
  </r>
  <r>
    <n v="334"/>
    <s v="DE-0103"/>
    <x v="159"/>
    <x v="29"/>
    <x v="42"/>
    <s v="Factura"/>
    <m/>
    <n v="1039579"/>
    <n v="4571"/>
    <s v="C001"/>
    <s v="Benito Campos y Cia Ltda."/>
    <n v="24"/>
    <n v="1070"/>
    <n v="0.18"/>
    <n v="904"/>
    <n v="1040"/>
    <n v="24960"/>
    <d v="2020-02-26T00:00:00"/>
    <s v="Cajon"/>
    <n v="356196"/>
    <x v="20"/>
    <n v="773"/>
    <n v="131"/>
    <n v="0.14000000000000001"/>
    <m/>
  </r>
  <r>
    <n v="334"/>
    <s v="DE-564"/>
    <x v="48"/>
    <x v="14"/>
    <x v="42"/>
    <s v="Factura"/>
    <m/>
    <n v="1039579"/>
    <n v="4571"/>
    <s v="C001"/>
    <s v="Benito Campos y Cia Ltda."/>
    <n v="40"/>
    <n v="453"/>
    <n v="0.05"/>
    <n v="431"/>
    <n v="512"/>
    <n v="20480"/>
    <d v="2020-02-26T00:00:00"/>
    <s v="Cajon"/>
    <n v="356196"/>
    <x v="12"/>
    <n v="327"/>
    <n v="104"/>
    <n v="0.24"/>
    <m/>
  </r>
  <r>
    <n v="333"/>
    <s v="DE-0247"/>
    <x v="100"/>
    <x v="29"/>
    <x v="42"/>
    <s v="Factura"/>
    <m/>
    <n v="1039580"/>
    <n v="4570"/>
    <s v="C001"/>
    <s v="Benito Campos y Cia Ltda."/>
    <n v="10"/>
    <n v="1233"/>
    <n v="-0.11"/>
    <n v="1390"/>
    <n v="1633"/>
    <n v="16330"/>
    <d v="2020-02-26T00:00:00"/>
    <s v="Cajon"/>
    <n v="216437"/>
    <x v="20"/>
    <n v="890"/>
    <n v="500"/>
    <n v="0.36"/>
    <m/>
  </r>
  <r>
    <n v="333"/>
    <s v="DE-0248"/>
    <x v="88"/>
    <x v="29"/>
    <x v="42"/>
    <s v="Factura"/>
    <m/>
    <n v="1039580"/>
    <n v="4570"/>
    <s v="C001"/>
    <s v="Benito Campos y Cia Ltda."/>
    <n v="40"/>
    <n v="360"/>
    <n v="-7.0000000000000007E-2"/>
    <n v="388"/>
    <n v="459"/>
    <n v="18360"/>
    <d v="2020-02-26T00:00:00"/>
    <s v="Cajon"/>
    <n v="216437"/>
    <x v="20"/>
    <n v="260"/>
    <n v="128"/>
    <n v="0.33"/>
    <m/>
  </r>
  <r>
    <n v="333"/>
    <s v="DE-0310"/>
    <x v="160"/>
    <x v="63"/>
    <x v="42"/>
    <s v="Factura"/>
    <m/>
    <n v="1039580"/>
    <n v="4570"/>
    <s v="C001"/>
    <s v="Benito Campos y Cia Ltda."/>
    <n v="15"/>
    <n v="1416"/>
    <n v="-0.17"/>
    <n v="1707"/>
    <n v="1972"/>
    <n v="29580"/>
    <d v="2020-02-26T00:00:00"/>
    <s v="Cajon"/>
    <n v="216437"/>
    <x v="2"/>
    <n v="1022"/>
    <n v="685"/>
    <n v="0.4"/>
    <m/>
  </r>
  <r>
    <n v="333"/>
    <s v="DE-0312"/>
    <x v="161"/>
    <x v="63"/>
    <x v="42"/>
    <s v="Factura"/>
    <m/>
    <n v="1039580"/>
    <n v="4570"/>
    <s v="C001"/>
    <s v="Benito Campos y Cia Ltda."/>
    <n v="15"/>
    <n v="1416"/>
    <n v="-0.17"/>
    <n v="1707"/>
    <n v="1972"/>
    <n v="29580"/>
    <d v="2020-02-26T00:00:00"/>
    <s v="Cajon"/>
    <n v="216437"/>
    <x v="2"/>
    <n v="1022"/>
    <n v="685"/>
    <n v="0.4"/>
    <m/>
  </r>
  <r>
    <n v="333"/>
    <s v="DE-0186"/>
    <x v="162"/>
    <x v="52"/>
    <x v="42"/>
    <s v="Factura"/>
    <m/>
    <n v="1039580"/>
    <n v="4570"/>
    <s v="C001"/>
    <s v="Benito Campos y Cia Ltda."/>
    <n v="12"/>
    <n v="3463"/>
    <n v="0.04"/>
    <n v="3325"/>
    <n v="3950"/>
    <n v="47400"/>
    <d v="2020-02-26T00:00:00"/>
    <s v="Cajon"/>
    <n v="216437"/>
    <x v="30"/>
    <n v="2500"/>
    <n v="825"/>
    <n v="0.25"/>
    <m/>
  </r>
  <r>
    <n v="334"/>
    <s v="MA-0102"/>
    <x v="50"/>
    <x v="4"/>
    <x v="42"/>
    <s v="Factura"/>
    <m/>
    <n v="1039579"/>
    <n v="4571"/>
    <s v="C001"/>
    <s v="Benito Campos y Cia Ltda."/>
    <n v="36"/>
    <n v="880"/>
    <n v="0.08"/>
    <n v="813"/>
    <n v="960"/>
    <n v="34560"/>
    <d v="2020-02-26T00:00:00"/>
    <s v="Cajon"/>
    <n v="356196"/>
    <x v="4"/>
    <n v="635"/>
    <n v="178"/>
    <n v="0.22"/>
    <m/>
  </r>
  <r>
    <n v="334"/>
    <s v="MA-0103"/>
    <x v="51"/>
    <x v="4"/>
    <x v="42"/>
    <s v="Factura"/>
    <m/>
    <n v="1039579"/>
    <n v="4571"/>
    <s v="C001"/>
    <s v="Benito Campos y Cia Ltda."/>
    <n v="32"/>
    <n v="1676"/>
    <n v="0.08"/>
    <n v="1553"/>
    <n v="1837"/>
    <n v="58784"/>
    <d v="2020-02-26T00:00:00"/>
    <s v="Cajon"/>
    <n v="356196"/>
    <x v="4"/>
    <n v="1210"/>
    <n v="343"/>
    <n v="0.22"/>
    <m/>
  </r>
  <r>
    <n v="334"/>
    <s v="MA-114"/>
    <x v="79"/>
    <x v="17"/>
    <x v="42"/>
    <s v="Factura"/>
    <m/>
    <n v="1039579"/>
    <n v="4571"/>
    <s v="C001"/>
    <s v="Benito Campos y Cia Ltda."/>
    <n v="20"/>
    <n v="1078"/>
    <n v="0.05"/>
    <n v="1027"/>
    <n v="1218"/>
    <n v="24360"/>
    <d v="2020-02-26T00:00:00"/>
    <s v="Cajon"/>
    <n v="356196"/>
    <x v="7"/>
    <n v="778"/>
    <n v="249"/>
    <n v="0.24"/>
    <m/>
  </r>
  <r>
    <n v="333"/>
    <s v="DE-0235"/>
    <x v="163"/>
    <x v="29"/>
    <x v="42"/>
    <s v="Factura"/>
    <m/>
    <n v="1039580"/>
    <n v="4570"/>
    <s v="C001"/>
    <s v="Benito Campos y Cia Ltda."/>
    <n v="24"/>
    <n v="273"/>
    <n v="-0.06"/>
    <n v="291"/>
    <n v="345"/>
    <n v="8280"/>
    <d v="2020-02-26T00:00:00"/>
    <s v="Cajon"/>
    <n v="216437"/>
    <x v="20"/>
    <n v="197"/>
    <n v="94"/>
    <n v="0.32"/>
    <m/>
  </r>
  <r>
    <n v="337"/>
    <s v="MA-0035"/>
    <x v="37"/>
    <x v="16"/>
    <x v="42"/>
    <s v="Boleta"/>
    <m/>
    <n v="6645"/>
    <n v="4574"/>
    <s v="C116"/>
    <s v="Angelica Bravo"/>
    <n v="1"/>
    <n v="16555"/>
    <s v="%"/>
    <n v="16555"/>
    <n v="19700"/>
    <n v="19700"/>
    <d v="2020-02-26T00:00:00"/>
    <s v="Pirque"/>
    <n v="19700"/>
    <x v="7"/>
    <n v="12429"/>
    <n v="4126"/>
    <n v="0.25"/>
    <m/>
  </r>
  <r>
    <n v="333"/>
    <s v="DE-0232"/>
    <x v="86"/>
    <x v="29"/>
    <x v="42"/>
    <s v="Factura"/>
    <m/>
    <n v="1039580"/>
    <n v="4570"/>
    <s v="C001"/>
    <s v="Benito Campos y Cia Ltda."/>
    <n v="24"/>
    <n v="273"/>
    <n v="-0.06"/>
    <n v="291"/>
    <n v="345"/>
    <n v="8280"/>
    <d v="2020-02-26T00:00:00"/>
    <s v="Cajon"/>
    <n v="216437"/>
    <x v="20"/>
    <n v="197"/>
    <n v="94"/>
    <n v="0.32"/>
    <m/>
  </r>
  <r>
    <n v="333"/>
    <s v="DE-0237"/>
    <x v="164"/>
    <x v="29"/>
    <x v="42"/>
    <s v="Factura"/>
    <m/>
    <n v="1039580"/>
    <n v="4570"/>
    <s v="C001"/>
    <s v="Benito Campos y Cia Ltda."/>
    <n v="24"/>
    <n v="314"/>
    <n v="-0.06"/>
    <n v="334"/>
    <n v="397"/>
    <n v="9528"/>
    <d v="2020-02-26T00:00:00"/>
    <s v="Cajon"/>
    <n v="216437"/>
    <x v="20"/>
    <n v="227"/>
    <n v="107"/>
    <n v="0.32"/>
    <m/>
  </r>
  <r>
    <n v="333"/>
    <s v="DE-0234"/>
    <x v="121"/>
    <x v="29"/>
    <x v="42"/>
    <s v="Factura"/>
    <m/>
    <n v="1039580"/>
    <n v="4570"/>
    <s v="C001"/>
    <s v="Benito Campos y Cia Ltda."/>
    <n v="24"/>
    <n v="314"/>
    <n v="-0.06"/>
    <n v="334"/>
    <n v="397"/>
    <n v="9528"/>
    <d v="2020-02-26T00:00:00"/>
    <s v="Cajon"/>
    <n v="216437"/>
    <x v="20"/>
    <n v="227"/>
    <n v="107"/>
    <n v="0.32"/>
    <m/>
  </r>
  <r>
    <n v="332"/>
    <s v="DE-0236"/>
    <x v="122"/>
    <x v="29"/>
    <x v="42"/>
    <s v="Factura"/>
    <m/>
    <n v="1039581"/>
    <n v="4569"/>
    <s v="C001"/>
    <s v="Benito Campos y Cia Ltda."/>
    <n v="24"/>
    <n v="314"/>
    <n v="-0.06"/>
    <n v="334"/>
    <n v="397"/>
    <n v="9528"/>
    <d v="2020-02-26T00:00:00"/>
    <s v="Cajon"/>
    <n v="315023"/>
    <x v="20"/>
    <n v="227"/>
    <n v="107"/>
    <n v="0.32"/>
    <m/>
  </r>
  <r>
    <n v="332"/>
    <s v="DE-0233"/>
    <x v="87"/>
    <x v="29"/>
    <x v="42"/>
    <s v="Factura"/>
    <m/>
    <n v="1039581"/>
    <n v="4569"/>
    <s v="C001"/>
    <s v="Benito Campos y Cia Ltda."/>
    <n v="24"/>
    <n v="314"/>
    <n v="-0.06"/>
    <n v="334"/>
    <n v="397"/>
    <n v="9528"/>
    <d v="2020-02-26T00:00:00"/>
    <s v="Cajon"/>
    <n v="315023"/>
    <x v="20"/>
    <n v="227"/>
    <n v="107"/>
    <n v="0.32"/>
    <m/>
  </r>
  <r>
    <n v="332"/>
    <s v="DE-0141"/>
    <x v="125"/>
    <x v="52"/>
    <x v="42"/>
    <s v="Factura"/>
    <m/>
    <n v="1039581"/>
    <n v="4569"/>
    <s v="C001"/>
    <s v="Benito Campos y Cia Ltda."/>
    <n v="24"/>
    <n v="3601"/>
    <n v="0.03"/>
    <n v="3511"/>
    <n v="4175"/>
    <n v="100200"/>
    <d v="2020-02-26T00:00:00"/>
    <s v="Cajon"/>
    <n v="315023"/>
    <x v="30"/>
    <n v="2600"/>
    <n v="911"/>
    <n v="0.26"/>
    <m/>
  </r>
  <r>
    <n v="332"/>
    <s v="AS-0022"/>
    <x v="52"/>
    <x v="28"/>
    <x v="42"/>
    <s v="Factura"/>
    <m/>
    <n v="1039581"/>
    <n v="4569"/>
    <s v="C001"/>
    <s v="Benito Campos y Cia Ltda."/>
    <n v="120"/>
    <n v="741"/>
    <n v="0.05"/>
    <n v="709"/>
    <n v="842"/>
    <n v="101040"/>
    <d v="2020-02-26T00:00:00"/>
    <s v="Cajon"/>
    <n v="315023"/>
    <x v="9"/>
    <n v="535"/>
    <n v="174"/>
    <n v="0.25"/>
    <m/>
  </r>
  <r>
    <n v="336"/>
    <s v="GR-0054"/>
    <x v="30"/>
    <x v="18"/>
    <x v="42"/>
    <s v="Boleta"/>
    <m/>
    <n v="6644"/>
    <n v="4573"/>
    <s v="C349"/>
    <s v="Elaine Pratt"/>
    <n v="1"/>
    <n v="19328"/>
    <s v="%"/>
    <n v="19328"/>
    <n v="23000"/>
    <n v="23000"/>
    <d v="2020-02-26T00:00:00"/>
    <s v="Pirque"/>
    <n v="23000"/>
    <x v="5"/>
    <n v="14604"/>
    <n v="4724"/>
    <n v="0.24"/>
    <m/>
  </r>
  <r>
    <n v="335"/>
    <s v="MA-0027"/>
    <x v="9"/>
    <x v="8"/>
    <x v="42"/>
    <s v="Boleta"/>
    <m/>
    <n v="6643"/>
    <n v="4572"/>
    <s v="C495"/>
    <s v="Felipe Saint Jean Metzen"/>
    <n v="1"/>
    <n v="13866"/>
    <s v="%"/>
    <n v="13866"/>
    <n v="16500"/>
    <n v="16500"/>
    <d v="2020-02-26T00:00:00"/>
    <s v="Pirque"/>
    <n v="16500"/>
    <x v="7"/>
    <n v="10390"/>
    <n v="3476"/>
    <n v="0.25"/>
    <m/>
  </r>
  <r>
    <n v="329"/>
    <s v="MA-0107"/>
    <x v="63"/>
    <x v="4"/>
    <x v="42"/>
    <s v="Factura"/>
    <m/>
    <s v="sn"/>
    <n v="4566"/>
    <s v="C003"/>
    <s v="Hector Felipe Ramos Osorio"/>
    <n v="24"/>
    <n v="1787"/>
    <s v="%"/>
    <n v="1787"/>
    <n v="2126"/>
    <n v="51024"/>
    <d v="2020-02-26T00:00:00"/>
    <s v="Cajon"/>
    <n v="345182"/>
    <x v="4"/>
    <n v="1290"/>
    <n v="497"/>
    <n v="0.28000000000000003"/>
    <m/>
  </r>
  <r>
    <n v="329"/>
    <s v="MA-0108"/>
    <x v="81"/>
    <x v="4"/>
    <x v="42"/>
    <s v="Factura"/>
    <m/>
    <s v="sn"/>
    <n v="4566"/>
    <s v="C003"/>
    <s v="Hector Felipe Ramos Osorio"/>
    <n v="12"/>
    <n v="3428"/>
    <s v="%"/>
    <n v="3428"/>
    <n v="4079"/>
    <n v="48948"/>
    <d v="2020-02-26T00:00:00"/>
    <s v="Cajon"/>
    <n v="345182"/>
    <x v="4"/>
    <n v="2475"/>
    <n v="953"/>
    <n v="0.28000000000000003"/>
    <m/>
  </r>
  <r>
    <n v="329"/>
    <s v="MA-0102"/>
    <x v="50"/>
    <x v="4"/>
    <x v="42"/>
    <s v="Factura"/>
    <m/>
    <s v="sn"/>
    <n v="4566"/>
    <s v="C003"/>
    <s v="Hector Felipe Ramos Osorio"/>
    <n v="18"/>
    <n v="880"/>
    <s v="%"/>
    <n v="880"/>
    <n v="1047"/>
    <n v="18846"/>
    <d v="2020-02-26T00:00:00"/>
    <s v="Cajon"/>
    <n v="345182"/>
    <x v="4"/>
    <n v="635"/>
    <n v="245"/>
    <n v="0.28000000000000003"/>
    <m/>
  </r>
  <r>
    <n v="329"/>
    <s v="MA-0103"/>
    <x v="51"/>
    <x v="4"/>
    <x v="42"/>
    <s v="Factura"/>
    <m/>
    <s v="sn"/>
    <n v="4566"/>
    <s v="C003"/>
    <s v="Hector Felipe Ramos Osorio"/>
    <n v="16"/>
    <n v="1676"/>
    <s v="%"/>
    <n v="1676"/>
    <n v="1994"/>
    <n v="31904"/>
    <d v="2020-02-26T00:00:00"/>
    <s v="Cajon"/>
    <n v="345182"/>
    <x v="4"/>
    <n v="1210"/>
    <n v="466"/>
    <n v="0.28000000000000003"/>
    <m/>
  </r>
  <r>
    <n v="329"/>
    <s v="MA-115"/>
    <x v="82"/>
    <x v="16"/>
    <x v="42"/>
    <s v="Factura"/>
    <m/>
    <s v="sn"/>
    <n v="4566"/>
    <s v="C003"/>
    <s v="Hector Felipe Ramos Osorio"/>
    <n v="14"/>
    <n v="1515"/>
    <s v="%"/>
    <n v="1515"/>
    <n v="1803"/>
    <n v="25242"/>
    <d v="2020-02-26T00:00:00"/>
    <s v="Cajon"/>
    <n v="345182"/>
    <x v="7"/>
    <s v="$"/>
    <n v="1515"/>
    <n v="1"/>
    <m/>
  </r>
  <r>
    <n v="329"/>
    <s v="MA-0039"/>
    <x v="78"/>
    <x v="16"/>
    <x v="42"/>
    <s v="Factura"/>
    <m/>
    <s v="sn"/>
    <n v="4566"/>
    <s v="C003"/>
    <s v="Hector Felipe Ramos Osorio"/>
    <n v="16"/>
    <n v="7540"/>
    <s v="%"/>
    <n v="7540"/>
    <n v="8973"/>
    <n v="143568"/>
    <d v="2020-02-26T00:00:00"/>
    <s v="Cajon"/>
    <n v="345182"/>
    <x v="7"/>
    <n v="5444"/>
    <n v="2096"/>
    <n v="0.28000000000000003"/>
    <m/>
  </r>
  <r>
    <n v="329"/>
    <s v="MA-114"/>
    <x v="79"/>
    <x v="17"/>
    <x v="42"/>
    <s v="Factura"/>
    <m/>
    <s v="sn"/>
    <n v="4566"/>
    <s v="C003"/>
    <s v="Hector Felipe Ramos Osorio"/>
    <n v="20"/>
    <n v="1078"/>
    <s v="%"/>
    <n v="1078"/>
    <n v="1282"/>
    <n v="25640"/>
    <d v="2020-02-26T00:00:00"/>
    <s v="Cajon"/>
    <n v="345182"/>
    <x v="7"/>
    <n v="778"/>
    <n v="300"/>
    <n v="0.28000000000000003"/>
    <m/>
  </r>
  <r>
    <n v="340"/>
    <s v="MA-0035"/>
    <x v="37"/>
    <x v="16"/>
    <x v="42"/>
    <s v="Boleta"/>
    <m/>
    <n v="6647"/>
    <n v="4577"/>
    <s v="C053"/>
    <s v="Jacqueline Bani Peralta Jimenez"/>
    <n v="1"/>
    <n v="16555"/>
    <s v="%"/>
    <n v="16555"/>
    <n v="19700"/>
    <n v="19700"/>
    <d v="2020-02-26T00:00:00"/>
    <s v="Pirque"/>
    <n v="43200"/>
    <x v="7"/>
    <n v="12429"/>
    <n v="4126"/>
    <n v="0.25"/>
    <m/>
  </r>
  <r>
    <n v="340"/>
    <s v="MA-0042"/>
    <x v="29"/>
    <x v="17"/>
    <x v="42"/>
    <s v="Boleta"/>
    <m/>
    <n v="6647"/>
    <n v="4577"/>
    <s v="C053"/>
    <s v="Jacqueline Bani Peralta Jimenez"/>
    <n v="1"/>
    <n v="19748"/>
    <s v="%"/>
    <n v="19748"/>
    <n v="23500"/>
    <n v="23500"/>
    <d v="2020-02-26T00:00:00"/>
    <s v="Pirque"/>
    <n v="43200"/>
    <x v="7"/>
    <n v="14853"/>
    <n v="4895"/>
    <n v="0.25"/>
    <m/>
  </r>
  <r>
    <n v="330"/>
    <s v="DE-1222"/>
    <x v="165"/>
    <x v="64"/>
    <x v="42"/>
    <s v="Factura"/>
    <m/>
    <s v="sn"/>
    <n v="4567"/>
    <s v="C005"/>
    <s v="Julia Ines Rebolledo Retamal"/>
    <n v="144"/>
    <n v="1046"/>
    <n v="0.15"/>
    <n v="910"/>
    <n v="1058"/>
    <n v="152352"/>
    <d v="2020-02-26T00:00:00"/>
    <s v="Cajon"/>
    <n v="201560"/>
    <x v="33"/>
    <n v="755"/>
    <n v="155"/>
    <n v="0.17"/>
    <m/>
  </r>
  <r>
    <n v="330"/>
    <s v="DE-0107"/>
    <x v="166"/>
    <x v="29"/>
    <x v="42"/>
    <s v="Factura"/>
    <m/>
    <s v="sn"/>
    <n v="4567"/>
    <s v="C005"/>
    <s v="Julia Ines Rebolledo Retamal"/>
    <n v="24"/>
    <n v="955"/>
    <n v="0.1"/>
    <n v="870"/>
    <n v="1026"/>
    <n v="24624"/>
    <d v="2020-02-26T00:00:00"/>
    <s v="Cajon"/>
    <n v="201560"/>
    <x v="20"/>
    <n v="690"/>
    <n v="180"/>
    <n v="0.21"/>
    <m/>
  </r>
  <r>
    <n v="330"/>
    <s v="DE-0109"/>
    <x v="77"/>
    <x v="29"/>
    <x v="42"/>
    <s v="Factura"/>
    <m/>
    <s v="sn"/>
    <n v="4567"/>
    <s v="C005"/>
    <s v="Julia Ines Rebolledo Retamal"/>
    <n v="24"/>
    <n v="955"/>
    <n v="0.1"/>
    <n v="870"/>
    <n v="1026"/>
    <n v="24624"/>
    <d v="2020-02-26T00:00:00"/>
    <s v="Cajon"/>
    <n v="201560"/>
    <x v="20"/>
    <n v="690"/>
    <n v="180"/>
    <n v="0.21"/>
    <m/>
  </r>
  <r>
    <n v="341"/>
    <s v="DE-987"/>
    <x v="2"/>
    <x v="2"/>
    <x v="42"/>
    <s v="Factura"/>
    <m/>
    <s v="sn"/>
    <n v="4578"/>
    <s v="C406"/>
    <s v="Naitana y Kufeke SPA"/>
    <n v="2"/>
    <n v="18615"/>
    <n v="0.1"/>
    <n v="16961"/>
    <n v="19992"/>
    <n v="39984"/>
    <d v="2020-02-26T00:00:00"/>
    <s v="Cajon"/>
    <n v="91268"/>
    <x v="2"/>
    <n v="13440"/>
    <n v="3521"/>
    <n v="0.21"/>
    <m/>
  </r>
  <r>
    <n v="341"/>
    <s v="DE-1003"/>
    <x v="0"/>
    <x v="0"/>
    <x v="42"/>
    <s v="Factura"/>
    <m/>
    <s v="sn"/>
    <n v="4578"/>
    <s v="C406"/>
    <s v="Naitana y Kufeke SPA"/>
    <n v="4"/>
    <n v="8310"/>
    <s v="%"/>
    <n v="8310"/>
    <n v="9889"/>
    <n v="39556"/>
    <d v="2020-02-26T00:00:00"/>
    <s v="Cajon"/>
    <n v="91268"/>
    <x v="10"/>
    <n v="6000"/>
    <n v="2310"/>
    <n v="0.28000000000000003"/>
    <m/>
  </r>
  <r>
    <n v="339"/>
    <s v="MA-166"/>
    <x v="5"/>
    <x v="5"/>
    <x v="42"/>
    <s v="Boleta"/>
    <m/>
    <n v="6646"/>
    <n v="4576"/>
    <s v="C670"/>
    <s v="Nella Marchetti"/>
    <n v="1"/>
    <n v="19076"/>
    <s v="%"/>
    <n v="19076"/>
    <n v="22700"/>
    <n v="22700"/>
    <d v="2020-02-26T00:00:00"/>
    <s v="Pirque"/>
    <n v="22700"/>
    <x v="5"/>
    <n v="14122"/>
    <n v="4954"/>
    <n v="0.26"/>
    <m/>
  </r>
  <r>
    <n v="338"/>
    <s v="AS-73"/>
    <x v="47"/>
    <x v="26"/>
    <x v="42"/>
    <s v="Factura"/>
    <m/>
    <s v="OC 03"/>
    <n v="4575"/>
    <s v="C020"/>
    <s v="Sabores y Vinos Bernardita Munita EIRL"/>
    <n v="1"/>
    <n v="14244"/>
    <s v="%"/>
    <n v="14244"/>
    <n v="16950"/>
    <n v="16950"/>
    <d v="2020-02-26T00:00:00"/>
    <s v="Pirque"/>
    <n v="306121"/>
    <x v="18"/>
    <n v="930"/>
    <n v="13314"/>
    <n v="0.93"/>
    <m/>
  </r>
  <r>
    <n v="338"/>
    <s v="DE-880"/>
    <x v="36"/>
    <x v="11"/>
    <x v="42"/>
    <s v="Factura"/>
    <m/>
    <s v="OC 03"/>
    <n v="4575"/>
    <s v="C020"/>
    <s v="Sabores y Vinos Bernardita Munita EIRL"/>
    <n v="10"/>
    <n v="3335"/>
    <s v="%"/>
    <n v="3335"/>
    <n v="3969"/>
    <n v="39690"/>
    <d v="2020-02-26T00:00:00"/>
    <s v="Pirque"/>
    <n v="306121"/>
    <x v="10"/>
    <n v="2408"/>
    <n v="927"/>
    <n v="0.28000000000000003"/>
    <m/>
  </r>
  <r>
    <n v="338"/>
    <s v="DE-569"/>
    <x v="10"/>
    <x v="9"/>
    <x v="42"/>
    <s v="Factura"/>
    <m/>
    <s v="OC 03"/>
    <n v="4575"/>
    <s v="C020"/>
    <s v="Sabores y Vinos Bernardita Munita EIRL"/>
    <n v="2"/>
    <n v="20084"/>
    <s v="%"/>
    <n v="20084"/>
    <n v="23900"/>
    <n v="47800"/>
    <d v="2020-02-26T00:00:00"/>
    <s v="Pirque"/>
    <n v="306121"/>
    <x v="8"/>
    <n v="16386"/>
    <n v="3698"/>
    <n v="0.18"/>
    <m/>
  </r>
  <r>
    <n v="338"/>
    <s v="AS-0024"/>
    <x v="11"/>
    <x v="10"/>
    <x v="42"/>
    <s v="Factura"/>
    <m/>
    <s v="OC 03"/>
    <n v="4575"/>
    <s v="C020"/>
    <s v="Sabores y Vinos Bernardita Munita EIRL"/>
    <n v="4"/>
    <n v="6151"/>
    <s v="%"/>
    <n v="6151"/>
    <n v="7320"/>
    <n v="29280"/>
    <d v="2020-02-26T00:00:00"/>
    <s v="Pirque"/>
    <n v="306121"/>
    <x v="9"/>
    <n v="4922"/>
    <n v="1229"/>
    <n v="0.2"/>
    <m/>
  </r>
  <r>
    <n v="338"/>
    <s v="DE-881"/>
    <x v="12"/>
    <x v="11"/>
    <x v="42"/>
    <s v="Factura"/>
    <m/>
    <s v="OC 03"/>
    <n v="4575"/>
    <s v="C020"/>
    <s v="Sabores y Vinos Bernardita Munita EIRL"/>
    <n v="3"/>
    <n v="17642"/>
    <s v="%"/>
    <n v="17642"/>
    <n v="20994"/>
    <n v="62982"/>
    <d v="2020-02-26T00:00:00"/>
    <s v="Pirque"/>
    <n v="306121"/>
    <x v="10"/>
    <n v="13408"/>
    <n v="4234"/>
    <n v="0.24"/>
    <m/>
  </r>
  <r>
    <n v="338"/>
    <s v="DE-1003"/>
    <x v="0"/>
    <x v="0"/>
    <x v="42"/>
    <s v="Factura"/>
    <m/>
    <s v="OC 03"/>
    <n v="4575"/>
    <s v="C020"/>
    <s v="Sabores y Vinos Bernardita Munita EIRL"/>
    <n v="10"/>
    <n v="7895"/>
    <s v="%"/>
    <n v="7895"/>
    <n v="9395"/>
    <n v="93950"/>
    <d v="2020-02-26T00:00:00"/>
    <s v="Pirque"/>
    <n v="306121"/>
    <x v="10"/>
    <n v="6000"/>
    <n v="1895"/>
    <n v="0.24"/>
    <m/>
  </r>
  <r>
    <n v="338"/>
    <s v="DE-837"/>
    <x v="35"/>
    <x v="11"/>
    <x v="42"/>
    <s v="Factura"/>
    <m/>
    <s v="OC 03"/>
    <n v="4575"/>
    <s v="C020"/>
    <s v="Sabores y Vinos Bernardita Munita EIRL"/>
    <n v="4"/>
    <n v="2368"/>
    <s v="%"/>
    <n v="2368"/>
    <n v="2818"/>
    <n v="11272"/>
    <d v="2020-02-26T00:00:00"/>
    <s v="Pirque"/>
    <n v="306121"/>
    <x v="10"/>
    <n v="1787"/>
    <n v="581"/>
    <n v="0.25"/>
    <m/>
  </r>
  <r>
    <n v="326"/>
    <s v="DE-1144"/>
    <x v="167"/>
    <x v="65"/>
    <x v="42"/>
    <s v="Factura"/>
    <m/>
    <s v="sn"/>
    <n v="4563"/>
    <s v="C088"/>
    <s v="Salvador Jesus Maulen Lizana e Hios Ltda"/>
    <n v="20"/>
    <n v="3061"/>
    <n v="0.1"/>
    <n v="2789"/>
    <n v="3287"/>
    <n v="65740"/>
    <d v="2020-02-26T00:00:00"/>
    <s v="Cajon"/>
    <n v="335029"/>
    <x v="34"/>
    <n v="2210"/>
    <n v="579"/>
    <n v="0.21"/>
    <m/>
  </r>
  <r>
    <n v="326"/>
    <s v="DE-1150"/>
    <x v="42"/>
    <x v="22"/>
    <x v="42"/>
    <s v="Factura"/>
    <m/>
    <s v="sn"/>
    <n v="4563"/>
    <s v="C088"/>
    <s v="Salvador Jesus Maulen Lizana e Hios Ltda"/>
    <n v="30"/>
    <n v="1312"/>
    <n v="0.13"/>
    <n v="1161"/>
    <n v="1359"/>
    <n v="40770"/>
    <d v="2020-02-26T00:00:00"/>
    <s v="Cajon"/>
    <n v="335029"/>
    <x v="14"/>
    <n v="900"/>
    <n v="261"/>
    <n v="0.22"/>
    <m/>
  </r>
  <r>
    <n v="326"/>
    <s v="DE-1220"/>
    <x v="168"/>
    <x v="66"/>
    <x v="42"/>
    <s v="Factura"/>
    <m/>
    <s v="sn"/>
    <n v="4563"/>
    <s v="C088"/>
    <s v="Salvador Jesus Maulen Lizana e Hios Ltda"/>
    <n v="12"/>
    <n v="1939"/>
    <n v="0.1"/>
    <n v="1767"/>
    <n v="2083"/>
    <n v="24996"/>
    <d v="2020-02-26T00:00:00"/>
    <s v="Cajon"/>
    <n v="335029"/>
    <x v="25"/>
    <n v="1400"/>
    <n v="367"/>
    <n v="0.21"/>
    <m/>
  </r>
  <r>
    <n v="326"/>
    <s v="DE-0040"/>
    <x v="169"/>
    <x v="67"/>
    <x v="42"/>
    <s v="Factura"/>
    <m/>
    <s v="sn"/>
    <n v="4563"/>
    <s v="C088"/>
    <s v="Salvador Jesus Maulen Lizana e Hios Ltda"/>
    <n v="12"/>
    <n v="2270"/>
    <n v="0.1"/>
    <n v="2068"/>
    <n v="2438"/>
    <n v="29256"/>
    <d v="2020-02-26T00:00:00"/>
    <s v="Cajon"/>
    <n v="335029"/>
    <x v="28"/>
    <n v="1639"/>
    <n v="429"/>
    <n v="0.21"/>
    <m/>
  </r>
  <r>
    <n v="326"/>
    <s v="DE-0024"/>
    <x v="170"/>
    <x v="25"/>
    <x v="42"/>
    <s v="Factura"/>
    <m/>
    <s v="sn"/>
    <n v="4563"/>
    <s v="C088"/>
    <s v="Salvador Jesus Maulen Lizana e Hios Ltda"/>
    <n v="12"/>
    <n v="2909"/>
    <n v="0.1"/>
    <n v="2651"/>
    <n v="3124"/>
    <n v="37488"/>
    <d v="2020-02-26T00:00:00"/>
    <s v="Cajon"/>
    <n v="335029"/>
    <x v="17"/>
    <n v="2100"/>
    <n v="551"/>
    <n v="0.21"/>
    <m/>
  </r>
  <r>
    <n v="326"/>
    <s v="DE-0246"/>
    <x v="102"/>
    <x v="29"/>
    <x v="42"/>
    <s v="Factura"/>
    <m/>
    <s v="sn"/>
    <n v="4563"/>
    <s v="C088"/>
    <s v="Salvador Jesus Maulen Lizana e Hios Ltda"/>
    <n v="10"/>
    <n v="657"/>
    <n v="0.05"/>
    <n v="626"/>
    <n v="742"/>
    <n v="7420"/>
    <d v="2020-02-26T00:00:00"/>
    <s v="Cajon"/>
    <n v="335029"/>
    <x v="20"/>
    <n v="474"/>
    <n v="152"/>
    <n v="0.24"/>
    <m/>
  </r>
  <r>
    <n v="326"/>
    <s v="DE-0389"/>
    <x v="171"/>
    <x v="68"/>
    <x v="42"/>
    <s v="Factura"/>
    <m/>
    <s v="sn"/>
    <n v="4563"/>
    <s v="C088"/>
    <s v="Salvador Jesus Maulen Lizana e Hios Ltda"/>
    <n v="12"/>
    <n v="1706"/>
    <n v="0.1"/>
    <n v="1554"/>
    <n v="1833"/>
    <n v="21996"/>
    <d v="2020-02-26T00:00:00"/>
    <s v="Cajon"/>
    <n v="335029"/>
    <x v="2"/>
    <n v="1232"/>
    <n v="322"/>
    <n v="0.21"/>
    <m/>
  </r>
  <r>
    <n v="326"/>
    <s v="DE-616"/>
    <x v="172"/>
    <x v="69"/>
    <x v="42"/>
    <s v="Factura"/>
    <m/>
    <s v="sn"/>
    <n v="4563"/>
    <s v="C088"/>
    <s v="Salvador Jesus Maulen Lizana e Hios Ltda"/>
    <n v="12"/>
    <n v="1687"/>
    <n v="0.1"/>
    <n v="1537"/>
    <n v="1812"/>
    <n v="21744"/>
    <d v="2020-02-26T00:00:00"/>
    <s v="Cajon"/>
    <n v="335029"/>
    <x v="2"/>
    <n v="1218"/>
    <n v="319"/>
    <n v="0.21"/>
    <m/>
  </r>
  <r>
    <n v="326"/>
    <s v="DE-0137"/>
    <x v="173"/>
    <x v="58"/>
    <x v="42"/>
    <s v="Factura"/>
    <m/>
    <s v="sn"/>
    <n v="4563"/>
    <s v="C088"/>
    <s v="Salvador Jesus Maulen Lizana e Hios Ltda"/>
    <n v="12"/>
    <n v="2094"/>
    <n v="0.1"/>
    <n v="1908"/>
    <n v="2249"/>
    <n v="26988"/>
    <d v="2020-02-26T00:00:00"/>
    <s v="Cajon"/>
    <n v="335029"/>
    <x v="28"/>
    <n v="1512"/>
    <n v="396"/>
    <n v="0.21"/>
    <m/>
  </r>
  <r>
    <n v="326"/>
    <s v="DE-1221"/>
    <x v="174"/>
    <x v="70"/>
    <x v="42"/>
    <s v="Factura"/>
    <m/>
    <s v="sn"/>
    <n v="4563"/>
    <s v="C088"/>
    <s v="Salvador Jesus Maulen Lizana e Hios Ltda"/>
    <n v="12"/>
    <n v="4550"/>
    <n v="0.1"/>
    <n v="4146"/>
    <n v="4886"/>
    <n v="58632"/>
    <d v="2020-02-26T00:00:00"/>
    <s v="Cajon"/>
    <n v="335029"/>
    <x v="34"/>
    <n v="3285"/>
    <n v="861"/>
    <n v="0.21"/>
    <m/>
  </r>
  <r>
    <n v="327"/>
    <s v="DE-0546"/>
    <x v="175"/>
    <x v="71"/>
    <x v="42"/>
    <s v="Factura"/>
    <m/>
    <s v="sn"/>
    <n v="4564"/>
    <s v="C088"/>
    <s v="Salvador Jesus Maulen Lizana e Hios Ltda"/>
    <n v="15"/>
    <n v="3129"/>
    <n v="0.1"/>
    <n v="2851"/>
    <n v="3360"/>
    <n v="50400"/>
    <d v="2020-02-26T00:00:00"/>
    <s v="Cajon"/>
    <n v="127010"/>
    <x v="34"/>
    <n v="2259"/>
    <n v="592"/>
    <n v="0.21"/>
    <m/>
  </r>
  <r>
    <n v="327"/>
    <s v="BA-51"/>
    <x v="176"/>
    <x v="66"/>
    <x v="42"/>
    <s v="Factura"/>
    <m/>
    <s v="sn"/>
    <n v="4564"/>
    <s v="C088"/>
    <s v="Salvador Jesus Maulen Lizana e Hios Ltda"/>
    <n v="5"/>
    <n v="7282"/>
    <n v="0.1"/>
    <n v="6635"/>
    <n v="7821"/>
    <n v="39105"/>
    <d v="2020-02-26T00:00:00"/>
    <s v="Cajon"/>
    <n v="127010"/>
    <x v="25"/>
    <n v="4995"/>
    <n v="1640"/>
    <n v="0.25"/>
    <m/>
  </r>
  <r>
    <n v="327"/>
    <s v="DE-1218"/>
    <x v="177"/>
    <x v="66"/>
    <x v="42"/>
    <s v="Factura"/>
    <m/>
    <s v="sn"/>
    <n v="4564"/>
    <s v="C088"/>
    <s v="Salvador Jesus Maulen Lizana e Hios Ltda"/>
    <n v="5"/>
    <n v="6984"/>
    <n v="0.1"/>
    <n v="6364"/>
    <n v="7500"/>
    <n v="37500"/>
    <d v="2020-02-26T00:00:00"/>
    <s v="Cajon"/>
    <n v="127010"/>
    <x v="25"/>
    <n v="4790"/>
    <n v="1574"/>
    <n v="0.25"/>
    <m/>
  </r>
  <r>
    <n v="328"/>
    <s v="DE-1219"/>
    <x v="178"/>
    <x v="29"/>
    <x v="42"/>
    <s v="Factura"/>
    <m/>
    <s v="sn"/>
    <n v="4565"/>
    <s v="C088"/>
    <s v="Salvador Jesus Maulen Lizana e Hios Ltda"/>
    <n v="48"/>
    <n v="355"/>
    <n v="0.1"/>
    <n v="323"/>
    <n v="381"/>
    <n v="18288"/>
    <d v="2020-02-26T00:00:00"/>
    <s v="Cajon"/>
    <n v="18278"/>
    <x v="35"/>
    <n v="256"/>
    <n v="67"/>
    <n v="0.21"/>
    <m/>
  </r>
  <r>
    <n v="332"/>
    <s v="DE-0145"/>
    <x v="54"/>
    <x v="29"/>
    <x v="42"/>
    <s v="Factura"/>
    <m/>
    <n v="1039581"/>
    <n v="4569"/>
    <s v="C001"/>
    <s v="Benito Campos y Cia Ltda."/>
    <n v="24"/>
    <n v="463"/>
    <n v="0.05"/>
    <n v="441"/>
    <n v="523"/>
    <n v="12552"/>
    <d v="2020-02-26T00:00:00"/>
    <s v="Cajon"/>
    <n v="315023"/>
    <x v="20"/>
    <n v="334"/>
    <n v="107"/>
    <n v="0.24"/>
    <m/>
  </r>
  <r>
    <n v="332"/>
    <s v="DE-1022"/>
    <x v="179"/>
    <x v="72"/>
    <x v="42"/>
    <s v="Factura"/>
    <m/>
    <n v="1039581"/>
    <n v="4569"/>
    <s v="C001"/>
    <s v="Benito Campos y Cia Ltda."/>
    <n v="12"/>
    <n v="2265"/>
    <n v="0.01"/>
    <n v="2249"/>
    <n v="2675"/>
    <n v="32100"/>
    <d v="2020-02-26T00:00:00"/>
    <s v="Cajon"/>
    <n v="315023"/>
    <x v="28"/>
    <n v="1635"/>
    <n v="614"/>
    <n v="0.27"/>
    <m/>
  </r>
  <r>
    <n v="332"/>
    <s v="DE-575"/>
    <x v="55"/>
    <x v="30"/>
    <x v="42"/>
    <s v="Factura"/>
    <m/>
    <n v="1039581"/>
    <n v="4569"/>
    <s v="C001"/>
    <s v="Benito Campos y Cia Ltda."/>
    <n v="12"/>
    <n v="1654"/>
    <n v="-0.2"/>
    <n v="2076"/>
    <n v="2368"/>
    <n v="28416"/>
    <d v="2020-02-26T00:00:00"/>
    <s v="Cajon"/>
    <n v="315023"/>
    <x v="2"/>
    <n v="1194"/>
    <n v="882"/>
    <n v="0.42"/>
    <m/>
  </r>
  <r>
    <n v="332"/>
    <s v="DE-1117"/>
    <x v="92"/>
    <x v="40"/>
    <x v="42"/>
    <s v="Factura"/>
    <m/>
    <n v="1039581"/>
    <n v="4569"/>
    <s v="C001"/>
    <s v="Benito Campos y Cia Ltda."/>
    <n v="12"/>
    <n v="987"/>
    <n v="0.13"/>
    <n v="875"/>
    <n v="1024"/>
    <n v="12288"/>
    <d v="2020-02-26T00:00:00"/>
    <s v="Cajon"/>
    <n v="315023"/>
    <x v="27"/>
    <n v="682"/>
    <n v="193"/>
    <n v="0.22"/>
    <m/>
  </r>
  <r>
    <n v="332"/>
    <s v="DE-1122"/>
    <x v="133"/>
    <x v="40"/>
    <x v="42"/>
    <s v="Factura"/>
    <m/>
    <n v="1039581"/>
    <n v="4569"/>
    <s v="C001"/>
    <s v="Benito Campos y Cia Ltda."/>
    <n v="12"/>
    <n v="741"/>
    <n v="0.11"/>
    <n v="666"/>
    <n v="782"/>
    <n v="9384"/>
    <d v="2020-02-26T00:00:00"/>
    <s v="Cajon"/>
    <n v="315023"/>
    <x v="27"/>
    <n v="512"/>
    <n v="154"/>
    <n v="0.23"/>
    <m/>
  </r>
  <r>
    <n v="331"/>
    <s v="DE-1120"/>
    <x v="134"/>
    <x v="40"/>
    <x v="42"/>
    <s v="Factura"/>
    <m/>
    <n v="1039582"/>
    <n v="4568"/>
    <s v="C001"/>
    <s v="Benito Campos y Cia Ltda."/>
    <n v="24"/>
    <n v="385"/>
    <n v="-0.01"/>
    <n v="389"/>
    <n v="463"/>
    <n v="11112"/>
    <d v="2020-02-26T00:00:00"/>
    <s v="Cajon"/>
    <n v="133154"/>
    <x v="27"/>
    <n v="266"/>
    <n v="123"/>
    <n v="0.32"/>
    <m/>
  </r>
  <r>
    <n v="331"/>
    <s v="AS-77"/>
    <x v="56"/>
    <x v="31"/>
    <x v="42"/>
    <s v="Factura"/>
    <m/>
    <n v="1039582"/>
    <n v="4568"/>
    <s v="C001"/>
    <s v="Benito Campos y Cia Ltda."/>
    <n v="15"/>
    <n v="817"/>
    <n v="-0.01"/>
    <n v="828"/>
    <n v="985"/>
    <n v="14775"/>
    <d v="2020-02-26T00:00:00"/>
    <s v="Cajon"/>
    <n v="133154"/>
    <x v="9"/>
    <n v="590"/>
    <n v="238"/>
    <n v="0.28999999999999998"/>
    <m/>
  </r>
  <r>
    <n v="331"/>
    <s v="AS-0026"/>
    <x v="59"/>
    <x v="10"/>
    <x v="42"/>
    <s v="Factura"/>
    <m/>
    <n v="1039582"/>
    <n v="4568"/>
    <s v="C001"/>
    <s v="Benito Campos y Cia Ltda."/>
    <n v="10"/>
    <n v="3248"/>
    <n v="0.04"/>
    <n v="3110"/>
    <n v="3693"/>
    <n v="36930"/>
    <d v="2020-02-26T00:00:00"/>
    <s v="Cajon"/>
    <n v="133154"/>
    <x v="9"/>
    <n v="2345"/>
    <n v="765"/>
    <n v="0.25"/>
    <m/>
  </r>
  <r>
    <n v="331"/>
    <s v="DE-1111"/>
    <x v="180"/>
    <x v="40"/>
    <x v="42"/>
    <s v="Factura"/>
    <m/>
    <n v="1039582"/>
    <n v="4568"/>
    <s v="C001"/>
    <s v="Benito Campos y Cia Ltda."/>
    <n v="24"/>
    <n v="418"/>
    <n v="0.13"/>
    <n v="371"/>
    <n v="434"/>
    <n v="10416"/>
    <d v="2020-02-26T00:00:00"/>
    <s v="Cajon"/>
    <n v="133154"/>
    <x v="27"/>
    <n v="289"/>
    <n v="82"/>
    <n v="0.22"/>
    <m/>
  </r>
  <r>
    <n v="331"/>
    <s v="DE-1108"/>
    <x v="181"/>
    <x v="40"/>
    <x v="42"/>
    <s v="Factura"/>
    <m/>
    <n v="1039582"/>
    <n v="4568"/>
    <s v="C001"/>
    <s v="Benito Campos y Cia Ltda."/>
    <n v="12"/>
    <n v="637"/>
    <n v="0.12"/>
    <n v="566"/>
    <n v="663"/>
    <n v="7956"/>
    <d v="2020-02-26T00:00:00"/>
    <s v="Cajon"/>
    <n v="133154"/>
    <x v="27"/>
    <n v="440"/>
    <n v="126"/>
    <n v="0.22"/>
    <m/>
  </r>
  <r>
    <n v="331"/>
    <s v="DE-1110"/>
    <x v="182"/>
    <x v="40"/>
    <x v="42"/>
    <s v="Factura"/>
    <m/>
    <n v="1039582"/>
    <n v="4568"/>
    <s v="C001"/>
    <s v="Benito Campos y Cia Ltda."/>
    <n v="24"/>
    <n v="418"/>
    <n v="0.13"/>
    <n v="371"/>
    <n v="434"/>
    <n v="10416"/>
    <d v="2020-02-26T00:00:00"/>
    <s v="Cajon"/>
    <n v="133154"/>
    <x v="27"/>
    <n v="252"/>
    <n v="119"/>
    <n v="0.32"/>
    <m/>
  </r>
  <r>
    <n v="349"/>
    <s v="DE-1150"/>
    <x v="42"/>
    <x v="22"/>
    <x v="43"/>
    <s v="Factura"/>
    <m/>
    <n v="1039734"/>
    <n v="4586"/>
    <s v="C001"/>
    <s v="Benito Campos y Cia Ltda."/>
    <n v="300"/>
    <n v="1312"/>
    <n v="-0.02"/>
    <n v="1336"/>
    <n v="1590"/>
    <n v="477000"/>
    <d v="2020-03-01T00:00:00"/>
    <s v="Cajon"/>
    <n v="477000"/>
    <x v="14"/>
    <n v="900"/>
    <n v="436"/>
    <n v="0.33"/>
    <m/>
  </r>
  <r>
    <n v="345"/>
    <s v="AS-29"/>
    <x v="14"/>
    <x v="13"/>
    <x v="43"/>
    <s v="Boleta"/>
    <m/>
    <n v="6551"/>
    <n v="4582"/>
    <s v="C032"/>
    <s v="Carlos Jobbe-Duval"/>
    <n v="4"/>
    <n v="3193"/>
    <s v="%"/>
    <n v="3193"/>
    <n v="3800"/>
    <n v="15200"/>
    <d v="2020-02-28T00:00:00"/>
    <s v="Pirque"/>
    <n v="36500"/>
    <x v="6"/>
    <n v="2100"/>
    <n v="1093"/>
    <n v="0.34"/>
    <m/>
  </r>
  <r>
    <n v="345"/>
    <s v="AS-43"/>
    <x v="25"/>
    <x v="6"/>
    <x v="43"/>
    <s v="Boleta"/>
    <m/>
    <n v="6551"/>
    <n v="4582"/>
    <s v="C032"/>
    <s v="Carlos Jobbe-Duval"/>
    <n v="1"/>
    <n v="4958"/>
    <s v="%"/>
    <n v="4958"/>
    <n v="5900"/>
    <n v="5900"/>
    <d v="2020-02-28T00:00:00"/>
    <s v="Pirque"/>
    <n v="36500"/>
    <x v="6"/>
    <n v="3624"/>
    <n v="1334"/>
    <n v="0.27"/>
    <m/>
  </r>
  <r>
    <n v="345"/>
    <s v="AS-0034"/>
    <x v="26"/>
    <x v="13"/>
    <x v="43"/>
    <s v="Boleta"/>
    <m/>
    <n v="6551"/>
    <n v="4582"/>
    <s v="C032"/>
    <s v="Carlos Jobbe-Duval"/>
    <n v="2"/>
    <n v="4874"/>
    <s v="%"/>
    <n v="4874"/>
    <n v="5800"/>
    <n v="11600"/>
    <d v="2020-02-28T00:00:00"/>
    <s v="Pirque"/>
    <n v="36500"/>
    <x v="6"/>
    <n v="2400"/>
    <n v="2474"/>
    <n v="0.51"/>
    <m/>
  </r>
  <r>
    <n v="345"/>
    <s v="AS-0031"/>
    <x v="16"/>
    <x v="13"/>
    <x v="43"/>
    <s v="Boleta"/>
    <m/>
    <n v="6551"/>
    <n v="4582"/>
    <s v="C032"/>
    <s v="Carlos Jobbe-Duval"/>
    <n v="1"/>
    <n v="3193"/>
    <s v="%"/>
    <n v="3193"/>
    <n v="3800"/>
    <n v="3800"/>
    <d v="2020-02-28T00:00:00"/>
    <s v="Pirque"/>
    <n v="36500"/>
    <x v="6"/>
    <n v="2200"/>
    <n v="993"/>
    <n v="0.31"/>
    <m/>
  </r>
  <r>
    <n v="347"/>
    <s v="MA-0035"/>
    <x v="37"/>
    <x v="16"/>
    <x v="43"/>
    <s v="Boleta"/>
    <m/>
    <n v="6650"/>
    <n v="4584"/>
    <s v="C558"/>
    <s v="Carola Pardo"/>
    <n v="1"/>
    <n v="16555"/>
    <s v="%"/>
    <n v="16555"/>
    <n v="19700"/>
    <n v="19700"/>
    <d v="2020-02-28T00:00:00"/>
    <s v="Pirque"/>
    <n v="19700"/>
    <x v="7"/>
    <n v="12429"/>
    <n v="4126"/>
    <n v="0.25"/>
    <m/>
  </r>
  <r>
    <n v="342"/>
    <s v="AS-78"/>
    <x v="183"/>
    <x v="73"/>
    <x v="43"/>
    <s v="Factura"/>
    <m/>
    <s v="sn"/>
    <n v="4579"/>
    <s v="C006"/>
    <s v="Carolina del Pilar Contreras Gutierrez"/>
    <n v="40"/>
    <n v="2409"/>
    <n v="0.1"/>
    <n v="2195"/>
    <n v="2587"/>
    <n v="103480"/>
    <d v="2020-02-28T00:00:00"/>
    <s v="Chada"/>
    <n v="168921"/>
    <x v="36"/>
    <n v="1739"/>
    <n v="456"/>
    <n v="0.21"/>
    <m/>
  </r>
  <r>
    <n v="342"/>
    <s v="AS-0031"/>
    <x v="16"/>
    <x v="13"/>
    <x v="43"/>
    <s v="Factura"/>
    <m/>
    <s v="sn"/>
    <n v="4579"/>
    <s v="C006"/>
    <s v="Carolina del Pilar Contreras Gutierrez"/>
    <n v="20"/>
    <n v="3047"/>
    <n v="0.1"/>
    <n v="2776"/>
    <n v="3273"/>
    <n v="65460"/>
    <d v="2020-02-28T00:00:00"/>
    <s v="Chada"/>
    <n v="168921"/>
    <x v="6"/>
    <n v="2200"/>
    <n v="576"/>
    <n v="0.21"/>
    <m/>
  </r>
  <r>
    <n v="348"/>
    <s v="GR-0054"/>
    <x v="30"/>
    <x v="18"/>
    <x v="43"/>
    <s v="Boleta"/>
    <m/>
    <n v="6651"/>
    <n v="4585"/>
    <s v="C638"/>
    <s v="Catherine Barra"/>
    <n v="1"/>
    <n v="19328"/>
    <s v="%"/>
    <n v="19328"/>
    <n v="23000"/>
    <n v="23000"/>
    <d v="2020-02-28T00:00:00"/>
    <s v="Pirque"/>
    <n v="23000"/>
    <x v="5"/>
    <n v="14604"/>
    <n v="4724"/>
    <n v="0.24"/>
    <m/>
  </r>
  <r>
    <n v="346"/>
    <s v="MA-0027"/>
    <x v="9"/>
    <x v="8"/>
    <x v="43"/>
    <s v="Boleta"/>
    <m/>
    <n v="6649"/>
    <n v="4583"/>
    <s v="C509"/>
    <s v="Herman Mayenberger"/>
    <n v="3"/>
    <n v="13866"/>
    <s v="%"/>
    <n v="13866"/>
    <n v="16500"/>
    <n v="49500"/>
    <d v="2020-02-28T00:00:00"/>
    <s v="Pirque"/>
    <n v="49500"/>
    <x v="7"/>
    <n v="10390"/>
    <n v="3476"/>
    <n v="0.25"/>
    <m/>
  </r>
  <r>
    <n v="343"/>
    <s v="DE-1150"/>
    <x v="42"/>
    <x v="22"/>
    <x v="43"/>
    <s v="Factura"/>
    <m/>
    <s v="sn"/>
    <n v="4580"/>
    <s v="C554"/>
    <s v="Minimarket Doña Olga SPA"/>
    <n v="60"/>
    <n v="1312"/>
    <n v="0.13"/>
    <n v="1161"/>
    <n v="1359"/>
    <n v="81540"/>
    <d v="2020-02-28T00:00:00"/>
    <s v="Chada"/>
    <n v="81540"/>
    <x v="14"/>
    <n v="900"/>
    <n v="261"/>
    <n v="0.22"/>
    <m/>
  </r>
  <r>
    <n v="344"/>
    <s v="DE-1223"/>
    <x v="184"/>
    <x v="74"/>
    <x v="43"/>
    <s v="Factura"/>
    <m/>
    <s v="sn"/>
    <n v="4581"/>
    <s v="C406"/>
    <s v="Naitana y Kufeke SPA"/>
    <n v="3"/>
    <n v="10249"/>
    <n v="0.1"/>
    <n v="9338"/>
    <n v="11008"/>
    <n v="33024"/>
    <d v="2020-02-28T00:00:00"/>
    <s v="Pirque"/>
    <n v="32692"/>
    <x v="37"/>
    <n v="7400"/>
    <n v="1938"/>
    <n v="0.21"/>
    <m/>
  </r>
  <r>
    <n v="351"/>
    <s v="MA-0027"/>
    <x v="9"/>
    <x v="8"/>
    <x v="44"/>
    <s v="Boleta"/>
    <m/>
    <n v="6652"/>
    <n v="4588"/>
    <s v="C572"/>
    <s v="Aldo Tapia"/>
    <n v="1"/>
    <n v="13866"/>
    <s v="%"/>
    <n v="13866"/>
    <n v="16500"/>
    <n v="16500"/>
    <d v="2020-02-29T00:00:00"/>
    <s v="Pirque"/>
    <n v="16500"/>
    <x v="7"/>
    <n v="10390"/>
    <n v="3476"/>
    <n v="0.25"/>
    <m/>
  </r>
  <r>
    <n v="352"/>
    <s v="MA-0027"/>
    <x v="9"/>
    <x v="8"/>
    <x v="44"/>
    <s v="Boleta"/>
    <m/>
    <n v="6653"/>
    <n v="4589"/>
    <s v="C038"/>
    <s v="Francisca Gonzalez"/>
    <n v="1"/>
    <n v="13866"/>
    <s v="%"/>
    <n v="13866"/>
    <n v="16500"/>
    <n v="16500"/>
    <d v="2020-02-29T00:00:00"/>
    <s v="Pirque"/>
    <n v="32100"/>
    <x v="7"/>
    <n v="10390"/>
    <n v="3476"/>
    <n v="0.25"/>
    <m/>
  </r>
  <r>
    <n v="352"/>
    <s v="MA-0104"/>
    <x v="116"/>
    <x v="4"/>
    <x v="44"/>
    <s v="Boleta"/>
    <m/>
    <n v="6653"/>
    <n v="4589"/>
    <s v="C038"/>
    <s v="Francisca Gonzalez"/>
    <n v="1"/>
    <n v="13109"/>
    <s v="%"/>
    <n v="13109"/>
    <n v="15600"/>
    <n v="15600"/>
    <d v="2020-02-29T00:00:00"/>
    <s v="Pirque"/>
    <n v="32100"/>
    <x v="4"/>
    <n v="9850"/>
    <n v="3259"/>
    <n v="0.25"/>
    <m/>
  </r>
  <r>
    <n v="354"/>
    <s v="MA-0053"/>
    <x v="8"/>
    <x v="7"/>
    <x v="44"/>
    <s v="Boleta"/>
    <m/>
    <n v="6655"/>
    <n v="4591"/>
    <s v="C394"/>
    <s v="Gabriela Ulloa"/>
    <n v="1"/>
    <n v="13277"/>
    <s v="%"/>
    <n v="13277"/>
    <n v="15800"/>
    <n v="15800"/>
    <d v="2020-02-29T00:00:00"/>
    <s v="Pirque"/>
    <n v="15800"/>
    <x v="5"/>
    <n v="9975"/>
    <n v="3302"/>
    <n v="0.25"/>
    <m/>
  </r>
  <r>
    <n v="353"/>
    <s v="MA-0053"/>
    <x v="8"/>
    <x v="7"/>
    <x v="44"/>
    <s v="Boleta"/>
    <m/>
    <n v="6654"/>
    <n v="4590"/>
    <s v="C636"/>
    <s v="Jessica Cabello"/>
    <n v="1"/>
    <n v="13277"/>
    <s v="%"/>
    <n v="13277"/>
    <n v="15800"/>
    <n v="15800"/>
    <d v="2020-02-29T00:00:00"/>
    <s v="Pirque"/>
    <n v="26000"/>
    <x v="5"/>
    <n v="9975"/>
    <n v="3302"/>
    <n v="0.25"/>
    <m/>
  </r>
  <r>
    <n v="353"/>
    <s v="MA-0046"/>
    <x v="46"/>
    <x v="17"/>
    <x v="44"/>
    <s v="Boleta"/>
    <m/>
    <n v="6654"/>
    <n v="4590"/>
    <s v="C636"/>
    <s v="Jessica Cabello"/>
    <n v="1"/>
    <n v="8571"/>
    <s v="%"/>
    <n v="8571"/>
    <n v="10200"/>
    <n v="10200"/>
    <d v="2020-02-29T00:00:00"/>
    <s v="Pirque"/>
    <n v="26000"/>
    <x v="7"/>
    <n v="6436"/>
    <n v="2135"/>
    <n v="0.25"/>
    <m/>
  </r>
  <r>
    <n v="357"/>
    <s v="MA-0035"/>
    <x v="37"/>
    <x v="16"/>
    <x v="44"/>
    <s v="Boleta"/>
    <m/>
    <n v="6657"/>
    <n v="4594"/>
    <s v="C595"/>
    <s v="Juan Neira"/>
    <n v="1"/>
    <n v="16555"/>
    <s v="%"/>
    <n v="16555"/>
    <n v="19700"/>
    <n v="19700"/>
    <d v="2020-02-29T00:00:00"/>
    <s v="Pirque"/>
    <n v="19700"/>
    <x v="7"/>
    <n v="12429"/>
    <n v="4126"/>
    <n v="0.25"/>
    <m/>
  </r>
  <r>
    <n v="350"/>
    <s v="MA-208"/>
    <x v="103"/>
    <x v="43"/>
    <x v="44"/>
    <s v="Factura"/>
    <m/>
    <n v="6648"/>
    <n v="4587"/>
    <s v="C264"/>
    <s v="Pedro Pais"/>
    <n v="1"/>
    <n v="7563"/>
    <s v="%"/>
    <n v="7563"/>
    <n v="9000"/>
    <n v="9000"/>
    <d v="2020-02-28T00:00:00"/>
    <s v="Pirque"/>
    <n v="19500"/>
    <x v="14"/>
    <n v="4800"/>
    <n v="2763"/>
    <n v="0.37"/>
    <m/>
  </r>
  <r>
    <n v="350"/>
    <s v="MA-209"/>
    <x v="98"/>
    <x v="43"/>
    <x v="44"/>
    <s v="Factura"/>
    <m/>
    <n v="6648"/>
    <n v="4587"/>
    <s v="C264"/>
    <s v="Pedro Pais"/>
    <n v="1"/>
    <n v="8824"/>
    <s v="%"/>
    <n v="8824"/>
    <n v="10500"/>
    <n v="10500"/>
    <d v="2020-02-28T00:00:00"/>
    <s v="Pirque"/>
    <n v="19500"/>
    <x v="14"/>
    <n v="6000"/>
    <n v="2824"/>
    <n v="0.32"/>
    <m/>
  </r>
  <r>
    <n v="363"/>
    <s v="MA-0027"/>
    <x v="9"/>
    <x v="8"/>
    <x v="45"/>
    <s v="Boleta"/>
    <m/>
    <n v="6665"/>
    <n v="4600"/>
    <s v="C660"/>
    <s v="Carolina Lama "/>
    <n v="2"/>
    <n v="13866"/>
    <s v="%"/>
    <n v="13866"/>
    <n v="16500"/>
    <n v="33000"/>
    <d v="2020-03-02T00:00:00"/>
    <s v="Pirque"/>
    <n v="33000"/>
    <x v="7"/>
    <n v="10390"/>
    <n v="3476"/>
    <n v="0.25"/>
    <m/>
  </r>
  <r>
    <n v="360"/>
    <s v="MA-116"/>
    <x v="114"/>
    <x v="49"/>
    <x v="45"/>
    <s v="Boleta"/>
    <m/>
    <n v="6660"/>
    <n v="4597"/>
    <s v="C611"/>
    <s v="Esmeralda Riveros"/>
    <n v="1"/>
    <n v="10504"/>
    <s v="%"/>
    <n v="10504"/>
    <n v="12500"/>
    <n v="12500"/>
    <d v="2020-03-02T00:00:00"/>
    <s v="Pirque"/>
    <n v="12500"/>
    <x v="7"/>
    <n v="7409"/>
    <n v="3095"/>
    <n v="0.28999999999999998"/>
    <m/>
  </r>
  <r>
    <n v="358"/>
    <s v="AS-0038"/>
    <x v="185"/>
    <x v="6"/>
    <x v="45"/>
    <s v="Boleta"/>
    <m/>
    <n v="6661"/>
    <n v="4595"/>
    <s v="C307"/>
    <s v="Franklin Winston Smart Guevara"/>
    <n v="1"/>
    <n v="4118"/>
    <s v="%"/>
    <n v="4118"/>
    <n v="4900"/>
    <n v="4900"/>
    <d v="2020-03-02T00:00:00"/>
    <s v="Pirque"/>
    <n v="14200"/>
    <x v="6"/>
    <n v="2250"/>
    <n v="1868"/>
    <n v="0.45"/>
    <m/>
  </r>
  <r>
    <n v="358"/>
    <s v="AS-0034"/>
    <x v="186"/>
    <x v="13"/>
    <x v="45"/>
    <s v="Boleta"/>
    <m/>
    <n v="6661"/>
    <n v="4595"/>
    <s v="C307"/>
    <s v="Franklin Winston Smart Guevara"/>
    <n v="1"/>
    <n v="4874"/>
    <s v="%"/>
    <n v="4874"/>
    <n v="5800"/>
    <n v="5800"/>
    <d v="2020-03-02T00:00:00"/>
    <s v="Pirque"/>
    <n v="14200"/>
    <x v="6"/>
    <n v="2400"/>
    <n v="2474"/>
    <n v="0.51"/>
    <m/>
  </r>
  <r>
    <n v="358"/>
    <s v="AS-0039"/>
    <x v="39"/>
    <x v="6"/>
    <x v="45"/>
    <s v="Boleta"/>
    <m/>
    <n v="6661"/>
    <n v="4595"/>
    <s v="C307"/>
    <s v="Franklin Winston Smart Guevara"/>
    <n v="1"/>
    <n v="2941"/>
    <s v="%"/>
    <n v="2941"/>
    <n v="3500"/>
    <n v="3500"/>
    <d v="2020-03-02T00:00:00"/>
    <s v="Pirque"/>
    <n v="14200"/>
    <x v="6"/>
    <n v="2119"/>
    <n v="822"/>
    <n v="0.28000000000000003"/>
    <m/>
  </r>
  <r>
    <n v="359"/>
    <s v="AS-0034"/>
    <x v="186"/>
    <x v="13"/>
    <x v="45"/>
    <s v="Boleta"/>
    <m/>
    <n v="6666"/>
    <n v="4596"/>
    <s v="C627"/>
    <s v="Luis  Elola"/>
    <n v="1"/>
    <n v="4874"/>
    <s v="%"/>
    <n v="4874"/>
    <n v="5800"/>
    <n v="5800"/>
    <d v="2020-03-02T00:00:00"/>
    <s v="Pirque"/>
    <n v="8300"/>
    <x v="6"/>
    <n v="2400"/>
    <n v="2474"/>
    <n v="0.51"/>
    <m/>
  </r>
  <r>
    <n v="359"/>
    <s v="AS-42"/>
    <x v="187"/>
    <x v="6"/>
    <x v="45"/>
    <s v="Boleta"/>
    <m/>
    <n v="6666"/>
    <n v="4596"/>
    <s v="C627"/>
    <s v="Luis  Elola"/>
    <n v="1"/>
    <n v="2101"/>
    <s v="%"/>
    <n v="2101"/>
    <n v="2500"/>
    <n v="2500"/>
    <d v="2020-03-02T00:00:00"/>
    <s v="Pirque"/>
    <n v="8300"/>
    <x v="6"/>
    <n v="850"/>
    <n v="1251"/>
    <n v="0.6"/>
    <m/>
  </r>
  <r>
    <n v="365"/>
    <s v="MA-0040"/>
    <x v="28"/>
    <x v="16"/>
    <x v="45"/>
    <s v="Boleta"/>
    <m/>
    <n v="6658"/>
    <n v="4602"/>
    <s v="C620"/>
    <s v="Luz Maria Ossandon"/>
    <n v="1"/>
    <n v="16723"/>
    <s v="%"/>
    <n v="16723"/>
    <n v="19900"/>
    <n v="19900"/>
    <d v="2020-03-02T00:00:00"/>
    <s v="Pirque"/>
    <n v="19900"/>
    <x v="7"/>
    <n v="11888"/>
    <n v="4835"/>
    <n v="0.28999999999999998"/>
    <m/>
  </r>
  <r>
    <n v="361"/>
    <s v="MA-116"/>
    <x v="114"/>
    <x v="49"/>
    <x v="45"/>
    <s v="Boleta"/>
    <m/>
    <n v="6659"/>
    <n v="4598"/>
    <s v="C552"/>
    <s v="Miguel Cabrera"/>
    <n v="1"/>
    <n v="10504"/>
    <s v="%"/>
    <n v="10504"/>
    <n v="12500"/>
    <n v="12500"/>
    <d v="2020-03-02T00:00:00"/>
    <s v="Pirque"/>
    <n v="12500"/>
    <x v="7"/>
    <n v="7409"/>
    <n v="3095"/>
    <n v="0.28999999999999998"/>
    <m/>
  </r>
  <r>
    <n v="364"/>
    <s v="MA-0027"/>
    <x v="9"/>
    <x v="8"/>
    <x v="45"/>
    <s v="Boleta"/>
    <m/>
    <n v="6663"/>
    <n v="4601"/>
    <s v="C186"/>
    <s v="Monica Valdivieso"/>
    <n v="1"/>
    <n v="13866"/>
    <s v="%"/>
    <n v="13866"/>
    <n v="16500"/>
    <n v="16500"/>
    <d v="2020-03-02T00:00:00"/>
    <s v="Pirque"/>
    <n v="16500"/>
    <x v="7"/>
    <n v="10390"/>
    <n v="3476"/>
    <n v="0.25"/>
    <m/>
  </r>
  <r>
    <n v="358"/>
    <s v="MA-208"/>
    <x v="103"/>
    <x v="43"/>
    <x v="45"/>
    <s v="Factura"/>
    <m/>
    <n v="6662"/>
    <n v="4595"/>
    <s v="C264"/>
    <s v="Pedro Pais"/>
    <n v="20"/>
    <n v="7563"/>
    <s v="%"/>
    <n v="7563"/>
    <n v="9000"/>
    <n v="180000"/>
    <d v="2020-03-02T00:00:00"/>
    <s v="Pirque"/>
    <n v="180000"/>
    <x v="14"/>
    <n v="5300"/>
    <n v="2263"/>
    <n v="0.3"/>
    <m/>
  </r>
  <r>
    <n v="366"/>
    <s v="DE-880"/>
    <x v="36"/>
    <x v="11"/>
    <x v="45"/>
    <s v="Factura"/>
    <m/>
    <s v="OC 01"/>
    <n v="4603"/>
    <s v="C020"/>
    <s v="Sabores y Vinos Bernardita Munita EIRL"/>
    <n v="12"/>
    <n v="3335"/>
    <s v="%"/>
    <n v="3335"/>
    <n v="3969"/>
    <n v="47628"/>
    <d v="2020-03-02T00:00:00"/>
    <s v="Pirque"/>
    <n v="141614"/>
    <x v="10"/>
    <n v="2408"/>
    <n v="927"/>
    <n v="0.28000000000000003"/>
    <m/>
  </r>
  <r>
    <n v="366"/>
    <s v="DE-837"/>
    <x v="35"/>
    <x v="11"/>
    <x v="45"/>
    <s v="Factura"/>
    <m/>
    <s v="OC 01"/>
    <n v="4603"/>
    <s v="C020"/>
    <s v="Sabores y Vinos Bernardita Munita EIRL"/>
    <n v="6"/>
    <n v="2368"/>
    <s v="%"/>
    <n v="2368"/>
    <n v="2818"/>
    <n v="16908"/>
    <d v="2020-03-02T00:00:00"/>
    <s v="Pirque"/>
    <n v="141614"/>
    <x v="10"/>
    <n v="1787"/>
    <n v="581"/>
    <n v="0.25"/>
    <m/>
  </r>
  <r>
    <n v="366"/>
    <s v="AS-0024"/>
    <x v="188"/>
    <x v="6"/>
    <x v="45"/>
    <s v="Factura"/>
    <m/>
    <s v="OC 01"/>
    <n v="4603"/>
    <s v="C020"/>
    <s v="Sabores y Vinos Bernardita Munita EIRL"/>
    <n v="4"/>
    <n v="6151"/>
    <s v="%"/>
    <n v="6151"/>
    <n v="7320"/>
    <n v="29280"/>
    <d v="2020-03-02T00:00:00"/>
    <s v="Pirque"/>
    <n v="141614"/>
    <x v="9"/>
    <n v="4922"/>
    <n v="1229"/>
    <n v="0.2"/>
    <m/>
  </r>
  <r>
    <n v="366"/>
    <s v="DE-569"/>
    <x v="10"/>
    <x v="9"/>
    <x v="45"/>
    <s v="Factura"/>
    <m/>
    <s v="OC 01"/>
    <n v="4603"/>
    <s v="C020"/>
    <s v="Sabores y Vinos Bernardita Munita EIRL"/>
    <n v="2"/>
    <n v="20084"/>
    <s v="%"/>
    <n v="20084"/>
    <n v="23900"/>
    <n v="47800"/>
    <d v="2020-03-02T00:00:00"/>
    <s v="Pirque"/>
    <n v="141614"/>
    <x v="8"/>
    <n v="16386"/>
    <n v="3698"/>
    <n v="0.18"/>
    <m/>
  </r>
  <r>
    <n v="362"/>
    <s v="MA-0053"/>
    <x v="8"/>
    <x v="7"/>
    <x v="45"/>
    <s v="Boleta"/>
    <m/>
    <n v="6664"/>
    <n v="4599"/>
    <s v="C488"/>
    <s v="Trinidad Siviragol"/>
    <n v="3"/>
    <n v="13277"/>
    <s v="%"/>
    <n v="13277"/>
    <n v="15800"/>
    <n v="47400"/>
    <d v="2020-03-02T00:00:00"/>
    <s v="Pirque"/>
    <n v="47400"/>
    <x v="5"/>
    <n v="9975"/>
    <n v="3302"/>
    <n v="0.25"/>
    <m/>
  </r>
  <r>
    <n v="370"/>
    <s v="MA-0035"/>
    <x v="37"/>
    <x v="16"/>
    <x v="46"/>
    <s v="Boleta"/>
    <m/>
    <n v="6670"/>
    <n v="4607"/>
    <s v="C037"/>
    <s v="Amelia Cortes"/>
    <n v="1"/>
    <n v="16555"/>
    <s v="%"/>
    <n v="16555"/>
    <n v="19700"/>
    <n v="19700"/>
    <d v="2020-03-04T00:00:00"/>
    <s v="Cajon"/>
    <n v="45700"/>
    <x v="7"/>
    <n v="12429"/>
    <n v="4126"/>
    <n v="0.25"/>
    <m/>
  </r>
  <r>
    <n v="370"/>
    <s v="MA-0053"/>
    <x v="8"/>
    <x v="7"/>
    <x v="46"/>
    <s v="Boleta"/>
    <m/>
    <n v="6670"/>
    <n v="4607"/>
    <s v="C037"/>
    <s v="Amelia Cortes"/>
    <n v="1"/>
    <n v="13277"/>
    <s v="%"/>
    <n v="13277"/>
    <n v="15800"/>
    <n v="15800"/>
    <d v="2020-03-04T00:00:00"/>
    <s v="Cajon"/>
    <n v="45700"/>
    <x v="5"/>
    <n v="9975"/>
    <n v="3302"/>
    <n v="0.25"/>
    <m/>
  </r>
  <r>
    <n v="370"/>
    <s v="MA-0046"/>
    <x v="46"/>
    <x v="17"/>
    <x v="46"/>
    <s v="Boleta"/>
    <m/>
    <n v="6670"/>
    <n v="4607"/>
    <s v="C037"/>
    <s v="Amelia Cortes"/>
    <n v="1"/>
    <n v="8571"/>
    <s v="%"/>
    <n v="8571"/>
    <n v="10200"/>
    <n v="10200"/>
    <d v="2020-03-04T00:00:00"/>
    <s v="Cajon"/>
    <n v="45700"/>
    <x v="7"/>
    <n v="6436"/>
    <n v="2135"/>
    <n v="0.25"/>
    <m/>
  </r>
  <r>
    <n v="371"/>
    <s v="MA-0035"/>
    <x v="37"/>
    <x v="16"/>
    <x v="46"/>
    <s v="Boleta"/>
    <m/>
    <n v="6671"/>
    <n v="4608"/>
    <s v="C043"/>
    <s v="Consuelo Andrea Sanchez Bisbal"/>
    <n v="1"/>
    <n v="16555"/>
    <s v="%"/>
    <n v="16555"/>
    <n v="19700"/>
    <n v="19700"/>
    <d v="2020-03-04T00:00:00"/>
    <s v="Cajon"/>
    <n v="19700"/>
    <x v="7"/>
    <n v="12429"/>
    <n v="4126"/>
    <n v="0.25"/>
    <m/>
  </r>
  <r>
    <n v="368"/>
    <s v="GR-0055"/>
    <x v="31"/>
    <x v="18"/>
    <x v="46"/>
    <s v="Boleta"/>
    <m/>
    <n v="6668"/>
    <n v="4605"/>
    <s v="C455"/>
    <s v="Grace Moore"/>
    <n v="1"/>
    <n v="19328"/>
    <s v="%"/>
    <n v="19328"/>
    <n v="23000"/>
    <n v="23000"/>
    <d v="2020-03-03T00:00:00"/>
    <s v="Pirque"/>
    <n v="23000"/>
    <x v="5"/>
    <n v="14604"/>
    <n v="4724"/>
    <n v="0.24"/>
    <m/>
  </r>
  <r>
    <n v="372"/>
    <s v="MA-0027"/>
    <x v="9"/>
    <x v="8"/>
    <x v="46"/>
    <s v="Boleta"/>
    <m/>
    <n v="6672"/>
    <n v="4609"/>
    <s v="C619"/>
    <s v="Luz Maria Streeter"/>
    <n v="2"/>
    <n v="13866"/>
    <s v="%"/>
    <n v="13866"/>
    <n v="16500"/>
    <n v="33000"/>
    <d v="2020-03-04T00:00:00"/>
    <s v="Cajon"/>
    <n v="33000"/>
    <x v="7"/>
    <n v="10390"/>
    <n v="3476"/>
    <n v="0.25"/>
    <m/>
  </r>
  <r>
    <n v="367"/>
    <s v="GR-0054"/>
    <x v="30"/>
    <x v="18"/>
    <x v="46"/>
    <s v="Boleta"/>
    <m/>
    <n v="6667"/>
    <n v="4604"/>
    <s v="C066"/>
    <s v="Marisol Ximena Ibarra Medina"/>
    <n v="1"/>
    <n v="19328"/>
    <s v="%"/>
    <n v="19328"/>
    <n v="23000"/>
    <n v="23000"/>
    <d v="2020-03-03T00:00:00"/>
    <s v="Pirque"/>
    <n v="47500"/>
    <x v="5"/>
    <n v="14604"/>
    <n v="4724"/>
    <n v="0.24"/>
    <m/>
  </r>
  <r>
    <n v="367"/>
    <s v="DE-569"/>
    <x v="10"/>
    <x v="9"/>
    <x v="46"/>
    <s v="Boleta"/>
    <m/>
    <n v="6667"/>
    <n v="4604"/>
    <s v="C066"/>
    <s v="Marisol Ximena Ibarra Medina"/>
    <n v="1"/>
    <n v="20588"/>
    <s v="%"/>
    <n v="20588"/>
    <n v="24500"/>
    <n v="24500"/>
    <d v="2020-03-03T00:00:00"/>
    <s v="Pirque"/>
    <n v="47500"/>
    <x v="8"/>
    <n v="16386"/>
    <n v="4202"/>
    <n v="0.2"/>
    <m/>
  </r>
  <r>
    <n v="369"/>
    <s v="MA-0003"/>
    <x v="41"/>
    <x v="21"/>
    <x v="46"/>
    <s v="Boleta"/>
    <m/>
    <n v="6669"/>
    <n v="4606"/>
    <s v="C444"/>
    <s v="Solange Franjola"/>
    <n v="1"/>
    <n v="17815"/>
    <n v="0.06"/>
    <n v="16786"/>
    <n v="19900"/>
    <n v="19900"/>
    <d v="2020-03-03T00:00:00"/>
    <s v="Pirque"/>
    <n v="19900"/>
    <x v="5"/>
    <n v="13279"/>
    <n v="3507"/>
    <n v="0.21"/>
    <m/>
  </r>
  <r>
    <n v="376"/>
    <s v="MA-0027"/>
    <x v="9"/>
    <x v="8"/>
    <x v="47"/>
    <s v="Boleta"/>
    <m/>
    <n v="6676"/>
    <n v="4613"/>
    <s v="C063"/>
    <s v="Andrea Ramirez"/>
    <n v="1"/>
    <n v="13866"/>
    <s v="%"/>
    <n v="13866"/>
    <n v="16500"/>
    <n v="16500"/>
    <d v="2020-03-04T00:00:00"/>
    <s v="Pirque"/>
    <n v="26700"/>
    <x v="7"/>
    <n v="10390"/>
    <n v="3476"/>
    <n v="0.25"/>
    <m/>
  </r>
  <r>
    <n v="376"/>
    <s v="MA-0046"/>
    <x v="46"/>
    <x v="17"/>
    <x v="47"/>
    <s v="Boleta"/>
    <m/>
    <n v="6676"/>
    <n v="4613"/>
    <s v="C063"/>
    <s v="Andrea Ramirez"/>
    <n v="1"/>
    <n v="8571"/>
    <s v="%"/>
    <n v="8571"/>
    <n v="10200"/>
    <n v="10200"/>
    <d v="2020-03-04T00:00:00"/>
    <s v="Pirque"/>
    <n v="26700"/>
    <x v="7"/>
    <n v="6436"/>
    <n v="2135"/>
    <n v="0.25"/>
    <m/>
  </r>
  <r>
    <n v="379"/>
    <s v="DE-1195"/>
    <x v="189"/>
    <x v="54"/>
    <x v="47"/>
    <s v="Factura"/>
    <m/>
    <s v="sn"/>
    <n v="4616"/>
    <s v="C527"/>
    <s v="Bercic y Cia Ltda"/>
    <n v="120"/>
    <n v="3623"/>
    <n v="0.11"/>
    <n v="3273"/>
    <n v="3851"/>
    <n v="462120"/>
    <d v="2020-03-18T00:00:00"/>
    <s v="Cajon"/>
    <n v="737196"/>
    <x v="31"/>
    <n v="2616"/>
    <n v="657"/>
    <n v="0.2"/>
    <m/>
  </r>
  <r>
    <n v="379"/>
    <s v="DE-1157"/>
    <x v="190"/>
    <x v="54"/>
    <x v="47"/>
    <s v="Factura"/>
    <m/>
    <s v="sn"/>
    <n v="4616"/>
    <s v="C527"/>
    <s v="Bercic y Cia Ltda"/>
    <n v="36"/>
    <n v="4321"/>
    <n v="0.1"/>
    <n v="3937"/>
    <n v="4641"/>
    <n v="167076"/>
    <d v="2020-03-18T00:00:00"/>
    <s v="Cajon"/>
    <n v="737196"/>
    <x v="31"/>
    <n v="3120"/>
    <n v="817"/>
    <n v="0.21"/>
    <m/>
  </r>
  <r>
    <n v="379"/>
    <s v="DE-0475"/>
    <x v="191"/>
    <x v="51"/>
    <x v="47"/>
    <s v="Factura"/>
    <m/>
    <s v="sn"/>
    <n v="4616"/>
    <s v="C527"/>
    <s v="Bercic y Cia Ltda"/>
    <n v="30"/>
    <n v="3726"/>
    <n v="0.19"/>
    <n v="3136"/>
    <n v="3600"/>
    <n v="108000"/>
    <d v="2020-03-18T00:00:00"/>
    <s v="Cajon"/>
    <n v="737196"/>
    <x v="29"/>
    <n v="2690"/>
    <n v="446"/>
    <n v="0.14000000000000001"/>
    <m/>
  </r>
  <r>
    <n v="374"/>
    <s v="MA-0027"/>
    <x v="9"/>
    <x v="8"/>
    <x v="47"/>
    <s v="Boleta"/>
    <m/>
    <n v="6674"/>
    <n v="4611"/>
    <s v="C659"/>
    <s v="Carola Huerta"/>
    <n v="1"/>
    <n v="13866"/>
    <s v="%"/>
    <n v="13866"/>
    <n v="16500"/>
    <n v="16500"/>
    <d v="2020-03-04T00:00:00"/>
    <s v="Pirque"/>
    <n v="16500"/>
    <x v="7"/>
    <n v="10390"/>
    <n v="3476"/>
    <n v="0.25"/>
    <m/>
  </r>
  <r>
    <n v="377"/>
    <s v="AS-29"/>
    <x v="192"/>
    <x v="13"/>
    <x v="47"/>
    <s v="Boleta"/>
    <m/>
    <n v="6677"/>
    <n v="4614"/>
    <s v="C086"/>
    <s v="Cristian Guillermo Ortiz Gonzalez"/>
    <n v="3"/>
    <n v="3193"/>
    <s v="%"/>
    <n v="3193"/>
    <n v="3800"/>
    <n v="11400"/>
    <d v="2020-03-04T00:00:00"/>
    <s v="Pirque"/>
    <n v="18400"/>
    <x v="6"/>
    <n v="2100"/>
    <n v="1093"/>
    <n v="0.34"/>
    <m/>
  </r>
  <r>
    <n v="377"/>
    <s v="AS-0039"/>
    <x v="39"/>
    <x v="6"/>
    <x v="47"/>
    <s v="Boleta"/>
    <m/>
    <n v="6677"/>
    <n v="4614"/>
    <s v="C086"/>
    <s v="Cristian Guillermo Ortiz Gonzalez"/>
    <n v="2"/>
    <n v="2941"/>
    <s v="%"/>
    <n v="2941"/>
    <n v="3500"/>
    <n v="7000"/>
    <d v="2020-03-04T00:00:00"/>
    <s v="Pirque"/>
    <n v="18400"/>
    <x v="6"/>
    <n v="2119"/>
    <n v="822"/>
    <n v="0.28000000000000003"/>
    <m/>
  </r>
  <r>
    <n v="378"/>
    <s v="MA-193"/>
    <x v="38"/>
    <x v="20"/>
    <x v="47"/>
    <s v="Boleta"/>
    <m/>
    <n v="6678"/>
    <n v="4615"/>
    <s v="C538"/>
    <s v="Katherine Torres"/>
    <n v="1"/>
    <n v="32689"/>
    <s v="%"/>
    <n v="32689"/>
    <n v="38900"/>
    <n v="38900"/>
    <d v="2020-03-04T00:00:00"/>
    <s v="Pirque"/>
    <n v="38900"/>
    <x v="11"/>
    <n v="26207"/>
    <n v="6482"/>
    <n v="0.2"/>
    <m/>
  </r>
  <r>
    <n v="373"/>
    <s v="MA-0035"/>
    <x v="37"/>
    <x v="16"/>
    <x v="47"/>
    <s v="Boleta"/>
    <m/>
    <n v="6673"/>
    <n v="4610"/>
    <s v="C359"/>
    <s v="Manuel Perez"/>
    <n v="1"/>
    <n v="16555"/>
    <s v="%"/>
    <n v="16555"/>
    <n v="19700"/>
    <n v="19700"/>
    <d v="2020-03-04T00:00:00"/>
    <s v="Pirque"/>
    <n v="29900"/>
    <x v="7"/>
    <n v="12429"/>
    <n v="4126"/>
    <n v="0.25"/>
    <m/>
  </r>
  <r>
    <n v="373"/>
    <s v="MA-0046"/>
    <x v="46"/>
    <x v="17"/>
    <x v="47"/>
    <s v="Boleta"/>
    <m/>
    <n v="6673"/>
    <n v="4610"/>
    <s v="C359"/>
    <s v="Manuel Perez"/>
    <n v="1"/>
    <n v="8571"/>
    <s v="%"/>
    <n v="8571"/>
    <n v="10200"/>
    <n v="10200"/>
    <d v="2020-03-04T00:00:00"/>
    <s v="Pirque"/>
    <n v="29900"/>
    <x v="7"/>
    <n v="6436"/>
    <n v="2135"/>
    <n v="0.25"/>
    <m/>
  </r>
  <r>
    <n v="375"/>
    <s v="MA-219"/>
    <x v="193"/>
    <x v="75"/>
    <x v="47"/>
    <s v="Boleta"/>
    <m/>
    <n v="6675"/>
    <n v="4612"/>
    <s v="C337"/>
    <s v="Petrova Alonso"/>
    <n v="1"/>
    <n v="40756"/>
    <s v="%"/>
    <n v="40756"/>
    <n v="48500"/>
    <n v="48500"/>
    <d v="2020-03-07T00:00:00"/>
    <s v="Pirque"/>
    <n v="48500"/>
    <x v="5"/>
    <n v="3690"/>
    <n v="37066"/>
    <n v="0.91"/>
    <m/>
  </r>
  <r>
    <n v="381"/>
    <s v="GR-0054"/>
    <x v="30"/>
    <x v="18"/>
    <x v="48"/>
    <s v="Boleta"/>
    <m/>
    <n v="6680"/>
    <n v="4618"/>
    <s v="C349"/>
    <s v="Elaine Pratt"/>
    <n v="1"/>
    <n v="19328"/>
    <s v="%"/>
    <n v="19328"/>
    <n v="23000"/>
    <n v="23000"/>
    <d v="2020-03-05T00:00:00"/>
    <s v="Pirque"/>
    <n v="47600"/>
    <x v="5"/>
    <n v="14604"/>
    <n v="4724"/>
    <n v="0.24"/>
    <m/>
  </r>
  <r>
    <n v="381"/>
    <s v="AS-42"/>
    <x v="187"/>
    <x v="6"/>
    <x v="48"/>
    <s v="Boleta"/>
    <m/>
    <n v="6680"/>
    <n v="4618"/>
    <s v="C349"/>
    <s v="Elaine Pratt"/>
    <n v="4"/>
    <n v="2101"/>
    <s v="%"/>
    <n v="2101"/>
    <n v="2500"/>
    <n v="10000"/>
    <d v="2020-03-05T00:00:00"/>
    <s v="Pirque"/>
    <n v="47600"/>
    <x v="6"/>
    <n v="850"/>
    <n v="1251"/>
    <n v="0.6"/>
    <m/>
  </r>
  <r>
    <n v="381"/>
    <s v="AS-29"/>
    <x v="192"/>
    <x v="13"/>
    <x v="48"/>
    <s v="Boleta"/>
    <m/>
    <n v="6680"/>
    <n v="4618"/>
    <s v="C349"/>
    <s v="Elaine Pratt"/>
    <n v="2"/>
    <n v="3193"/>
    <s v="%"/>
    <n v="3193"/>
    <n v="3800"/>
    <n v="7600"/>
    <d v="2020-03-05T00:00:00"/>
    <s v="Pirque"/>
    <n v="47600"/>
    <x v="6"/>
    <n v="2100"/>
    <n v="1093"/>
    <n v="0.34"/>
    <m/>
  </r>
  <r>
    <n v="381"/>
    <s v="AS-0039"/>
    <x v="39"/>
    <x v="6"/>
    <x v="48"/>
    <s v="Boleta"/>
    <m/>
    <n v="6680"/>
    <n v="4618"/>
    <s v="C349"/>
    <s v="Elaine Pratt"/>
    <n v="2"/>
    <n v="2941"/>
    <s v="%"/>
    <n v="2941"/>
    <n v="3500"/>
    <n v="7000"/>
    <d v="2020-03-05T00:00:00"/>
    <s v="Pirque"/>
    <n v="47600"/>
    <x v="6"/>
    <n v="2119"/>
    <n v="822"/>
    <n v="0.28000000000000003"/>
    <m/>
  </r>
  <r>
    <n v="385"/>
    <s v="MA-185"/>
    <x v="194"/>
    <x v="76"/>
    <x v="48"/>
    <s v="Boleta"/>
    <m/>
    <n v="6683"/>
    <n v="4622"/>
    <s v="C560"/>
    <s v="Guillermo Garces"/>
    <n v="1"/>
    <n v="42101"/>
    <n v="0.03"/>
    <n v="40798"/>
    <n v="48500"/>
    <n v="48500"/>
    <d v="2020-03-06T00:00:00"/>
    <s v="Pirque"/>
    <n v="97000"/>
    <x v="11"/>
    <n v="33701"/>
    <n v="7097"/>
    <n v="0.17"/>
    <m/>
  </r>
  <r>
    <n v="385"/>
    <s v="MA-186"/>
    <x v="195"/>
    <x v="76"/>
    <x v="48"/>
    <s v="Boleta"/>
    <m/>
    <n v="6683"/>
    <n v="4622"/>
    <s v="C560"/>
    <s v="Guillermo Garces"/>
    <n v="1"/>
    <n v="42101"/>
    <n v="0.03"/>
    <n v="40798"/>
    <n v="48500"/>
    <n v="48500"/>
    <d v="2020-03-06T00:00:00"/>
    <s v="Pirque"/>
    <n v="97000"/>
    <x v="11"/>
    <n v="33701"/>
    <n v="7097"/>
    <n v="0.17"/>
    <m/>
  </r>
  <r>
    <n v="382"/>
    <s v="MA-0027"/>
    <x v="9"/>
    <x v="8"/>
    <x v="48"/>
    <s v="Boleta"/>
    <m/>
    <n v="6681"/>
    <n v="4619"/>
    <s v="C342"/>
    <s v="Julio Cesar Contreras"/>
    <n v="1"/>
    <n v="13866"/>
    <s v="%"/>
    <n v="13866"/>
    <n v="16500"/>
    <n v="16500"/>
    <d v="2020-03-05T00:00:00"/>
    <s v="Pirque"/>
    <n v="16500"/>
    <x v="7"/>
    <n v="10390"/>
    <n v="3476"/>
    <n v="0.25"/>
    <m/>
  </r>
  <r>
    <n v="380"/>
    <s v="MA-0027"/>
    <x v="9"/>
    <x v="8"/>
    <x v="48"/>
    <s v="Boleta"/>
    <m/>
    <n v="6679"/>
    <n v="4617"/>
    <s v="C079"/>
    <s v="Kim Cornely"/>
    <n v="1"/>
    <n v="13866"/>
    <s v="%"/>
    <n v="13866"/>
    <n v="16500"/>
    <n v="16500"/>
    <d v="2020-03-05T00:00:00"/>
    <s v="Pirque"/>
    <n v="16500"/>
    <x v="7"/>
    <n v="10390"/>
    <n v="3476"/>
    <n v="0.25"/>
    <m/>
  </r>
  <r>
    <n v="384"/>
    <s v="MA-0053"/>
    <x v="8"/>
    <x v="7"/>
    <x v="48"/>
    <s v="Boleta"/>
    <m/>
    <n v="6682"/>
    <n v="4621"/>
    <s v="C625"/>
    <s v="Patricia Zapata"/>
    <n v="2"/>
    <n v="13277"/>
    <s v="%"/>
    <n v="13277"/>
    <n v="15800"/>
    <n v="31600"/>
    <d v="2020-03-05T00:00:00"/>
    <s v="Pirque"/>
    <n v="55500"/>
    <x v="5"/>
    <n v="9975"/>
    <n v="3302"/>
    <n v="0.25"/>
    <m/>
  </r>
  <r>
    <n v="384"/>
    <s v="MA-0001"/>
    <x v="101"/>
    <x v="18"/>
    <x v="48"/>
    <s v="Boleta"/>
    <m/>
    <n v="6682"/>
    <n v="4621"/>
    <s v="C625"/>
    <s v="Patricia Zapata"/>
    <n v="1"/>
    <n v="20084"/>
    <s v="%"/>
    <n v="20084"/>
    <n v="23900"/>
    <n v="23900"/>
    <d v="2020-03-05T00:00:00"/>
    <s v="Pirque"/>
    <n v="55500"/>
    <x v="5"/>
    <n v="14604"/>
    <n v="5480"/>
    <n v="0.27"/>
    <m/>
  </r>
  <r>
    <n v="383"/>
    <s v="DE-881"/>
    <x v="12"/>
    <x v="11"/>
    <x v="48"/>
    <s v="Factura"/>
    <m/>
    <s v="OC 02"/>
    <n v="4620"/>
    <s v="C020"/>
    <s v="Sabores y Vinos Bernardita Munita EIRL"/>
    <n v="6"/>
    <n v="17642"/>
    <s v="%"/>
    <n v="17642"/>
    <n v="20994"/>
    <n v="125964"/>
    <d v="2020-03-05T00:00:00"/>
    <s v="Pirque"/>
    <n v="136461"/>
    <x v="10"/>
    <n v="13408"/>
    <n v="4234"/>
    <n v="0.24"/>
    <m/>
  </r>
  <r>
    <n v="386"/>
    <s v="MA-0053"/>
    <x v="8"/>
    <x v="7"/>
    <x v="49"/>
    <s v="Factura"/>
    <m/>
    <s v="sn"/>
    <n v="4623"/>
    <s v="C021"/>
    <s v="Adelita del Carmen Leon Pizarro"/>
    <n v="2"/>
    <n v="13816"/>
    <n v="0.05"/>
    <n v="13158"/>
    <n v="15619"/>
    <n v="31238"/>
    <d v="2020-03-06T00:00:00"/>
    <s v="Chada"/>
    <n v="55219"/>
    <x v="5"/>
    <n v="9975"/>
    <n v="3183"/>
    <n v="0.24"/>
    <m/>
  </r>
  <r>
    <n v="386"/>
    <s v="MA-115"/>
    <x v="82"/>
    <x v="16"/>
    <x v="49"/>
    <s v="Factura"/>
    <m/>
    <s v="sn"/>
    <n v="4623"/>
    <s v="C021"/>
    <s v="Adelita del Carmen Leon Pizarro"/>
    <n v="14"/>
    <n v="1515"/>
    <n v="0.05"/>
    <n v="1443"/>
    <n v="1713"/>
    <n v="23982"/>
    <d v="2020-03-06T00:00:00"/>
    <s v="Chada"/>
    <n v="55219"/>
    <x v="7"/>
    <n v="1094"/>
    <n v="349"/>
    <n v="0.24"/>
    <m/>
  </r>
  <r>
    <n v="387"/>
    <s v="AS-0026"/>
    <x v="196"/>
    <x v="6"/>
    <x v="49"/>
    <s v="Factura"/>
    <m/>
    <s v="n"/>
    <n v="4624"/>
    <s v="C035"/>
    <s v="Jimena Isabel Alfaro Navarro"/>
    <n v="6"/>
    <n v="3248"/>
    <s v="%"/>
    <n v="3248"/>
    <n v="3865"/>
    <n v="23190"/>
    <d v="2020-03-06T00:00:00"/>
    <s v="Chada"/>
    <n v="47540"/>
    <x v="9"/>
    <n v="2345"/>
    <n v="903"/>
    <n v="0.28000000000000003"/>
    <m/>
  </r>
  <r>
    <n v="387"/>
    <s v="CA-2"/>
    <x v="197"/>
    <x v="77"/>
    <x v="49"/>
    <s v="Factura"/>
    <m/>
    <s v="n"/>
    <n v="4624"/>
    <s v="C035"/>
    <s v="Jimena Isabel Alfaro Navarro"/>
    <n v="5"/>
    <n v="4092"/>
    <s v="%"/>
    <n v="4092"/>
    <n v="4870"/>
    <n v="24350"/>
    <d v="2020-03-06T00:00:00"/>
    <s v="Chada"/>
    <n v="47540"/>
    <x v="38"/>
    <n v="2800"/>
    <n v="1292"/>
    <n v="0.32"/>
    <m/>
  </r>
  <r>
    <n v="388"/>
    <s v="DE-0021"/>
    <x v="64"/>
    <x v="35"/>
    <x v="49"/>
    <s v="Factura"/>
    <m/>
    <s v="sn"/>
    <n v="4625"/>
    <s v="C009"/>
    <s v="Sociedad Comercial y Agricola Chada Ltda"/>
    <n v="4"/>
    <n v="12185"/>
    <s v="%"/>
    <n v="12185"/>
    <n v="14500"/>
    <n v="58000"/>
    <d v="2020-03-06T00:00:00"/>
    <s v="Chada"/>
    <n v="105128"/>
    <x v="17"/>
    <n v="9360"/>
    <n v="2825"/>
    <n v="0.23"/>
    <m/>
  </r>
  <r>
    <n v="388"/>
    <s v="MA-114"/>
    <x v="79"/>
    <x v="17"/>
    <x v="49"/>
    <s v="Factura"/>
    <m/>
    <s v="sn"/>
    <n v="4625"/>
    <s v="C009"/>
    <s v="Sociedad Comercial y Agricola Chada Ltda"/>
    <n v="20"/>
    <n v="1078"/>
    <n v="0.1"/>
    <n v="982"/>
    <n v="1157"/>
    <n v="23140"/>
    <d v="2020-03-06T00:00:00"/>
    <s v="Chada"/>
    <n v="105128"/>
    <x v="7"/>
    <n v="778"/>
    <n v="204"/>
    <n v="0.21"/>
    <m/>
  </r>
  <r>
    <n v="388"/>
    <s v="MA-115"/>
    <x v="82"/>
    <x v="16"/>
    <x v="49"/>
    <s v="Factura"/>
    <m/>
    <s v="sn"/>
    <n v="4625"/>
    <s v="C009"/>
    <s v="Sociedad Comercial y Agricola Chada Ltda"/>
    <n v="14"/>
    <n v="1515"/>
    <n v="0.05"/>
    <n v="1443"/>
    <n v="1713"/>
    <n v="23982"/>
    <d v="2020-03-06T00:00:00"/>
    <s v="Chada"/>
    <n v="105128"/>
    <x v="7"/>
    <n v="1094"/>
    <n v="349"/>
    <n v="0.24"/>
    <m/>
  </r>
  <r>
    <n v="389"/>
    <s v="MA-166"/>
    <x v="5"/>
    <x v="5"/>
    <x v="49"/>
    <s v="Boleta"/>
    <m/>
    <n v="6684"/>
    <n v="4626"/>
    <s v="C361"/>
    <s v="Marcela Biham"/>
    <n v="2"/>
    <n v="19076"/>
    <s v="%"/>
    <n v="19076"/>
    <n v="22700"/>
    <n v="45400"/>
    <d v="2020-03-06T00:00:00"/>
    <s v="Chada"/>
    <n v="45400"/>
    <x v="5"/>
    <n v="14122"/>
    <n v="4954"/>
    <n v="0.26"/>
    <m/>
  </r>
  <r>
    <n v="390"/>
    <s v="MA-0048"/>
    <x v="95"/>
    <x v="42"/>
    <x v="49"/>
    <s v="Boleta"/>
    <m/>
    <n v="6685"/>
    <n v="4627"/>
    <s v="C057"/>
    <s v="Laura Thernan "/>
    <n v="2"/>
    <n v="13025"/>
    <s v="%"/>
    <n v="13025"/>
    <n v="15500"/>
    <n v="31000"/>
    <d v="2020-03-06T00:00:00"/>
    <s v="Chada"/>
    <n v="31000"/>
    <x v="7"/>
    <n v="9641"/>
    <n v="3384"/>
    <n v="0.26"/>
    <m/>
  </r>
  <r>
    <n v="391"/>
    <s v="MA-0027"/>
    <x v="9"/>
    <x v="8"/>
    <x v="49"/>
    <s v="Boleta"/>
    <m/>
    <n v="6686"/>
    <n v="4628"/>
    <s v="C028"/>
    <s v="Luz María Velasquez"/>
    <n v="1"/>
    <n v="13866"/>
    <s v="%"/>
    <n v="13866"/>
    <n v="16500"/>
    <n v="16500"/>
    <d v="2020-03-06T00:00:00"/>
    <s v="Chada"/>
    <n v="41000"/>
    <x v="7"/>
    <n v="10390"/>
    <n v="3476"/>
    <n v="0.25"/>
    <m/>
  </r>
  <r>
    <n v="391"/>
    <s v="DE-569"/>
    <x v="10"/>
    <x v="9"/>
    <x v="49"/>
    <s v="Boleta"/>
    <m/>
    <n v="6686"/>
    <n v="4628"/>
    <s v="C028"/>
    <s v="Luz María Velasquez"/>
    <n v="1"/>
    <n v="20588"/>
    <s v="%"/>
    <n v="20588"/>
    <n v="24500"/>
    <n v="24500"/>
    <d v="2020-03-06T00:00:00"/>
    <s v="Chada"/>
    <n v="41000"/>
    <x v="8"/>
    <n v="16386"/>
    <n v="4202"/>
    <n v="0.2"/>
    <m/>
  </r>
  <r>
    <n v="392"/>
    <s v="MA-166"/>
    <x v="5"/>
    <x v="5"/>
    <x v="49"/>
    <s v="Boleta"/>
    <m/>
    <n v="6687"/>
    <n v="4629"/>
    <s v="C537"/>
    <s v="Ma Jose Garcia"/>
    <n v="1"/>
    <n v="19076"/>
    <s v="%"/>
    <n v="19076"/>
    <n v="22700"/>
    <n v="22700"/>
    <d v="2020-03-06T00:00:00"/>
    <s v="Pirque"/>
    <n v="22700"/>
    <x v="5"/>
    <n v="14122"/>
    <n v="4954"/>
    <n v="0.26"/>
    <m/>
  </r>
  <r>
    <n v="393"/>
    <s v="MA-166"/>
    <x v="5"/>
    <x v="5"/>
    <x v="49"/>
    <s v="Boleta"/>
    <m/>
    <n v="6688"/>
    <n v="4630"/>
    <s v="C535"/>
    <s v="Juan Pablo Garcia"/>
    <n v="2"/>
    <n v="19076"/>
    <s v="%"/>
    <n v="19076"/>
    <n v="22700"/>
    <n v="45400"/>
    <d v="2020-03-06T00:00:00"/>
    <s v="Pirque"/>
    <n v="45400"/>
    <x v="5"/>
    <n v="14122"/>
    <n v="4954"/>
    <n v="0.26"/>
    <m/>
  </r>
  <r>
    <n v="394"/>
    <s v="MA-0046"/>
    <x v="46"/>
    <x v="17"/>
    <x v="49"/>
    <s v="Boleta"/>
    <m/>
    <n v="6689"/>
    <n v="4631"/>
    <s v="C243"/>
    <s v="Loreto Rojas"/>
    <n v="1"/>
    <n v="8571"/>
    <s v="%"/>
    <n v="8571"/>
    <n v="10200"/>
    <n v="10200"/>
    <d v="2020-03-06T00:00:00"/>
    <s v="Pirque"/>
    <n v="10200"/>
    <x v="7"/>
    <n v="6436"/>
    <n v="2135"/>
    <n v="0.25"/>
    <m/>
  </r>
  <r>
    <n v="395"/>
    <s v="MA-0053"/>
    <x v="8"/>
    <x v="7"/>
    <x v="50"/>
    <s v="Boleta"/>
    <m/>
    <n v="6690"/>
    <n v="4632"/>
    <s v="C510"/>
    <s v="Ricardo Edwards"/>
    <n v="4"/>
    <n v="13277"/>
    <s v="%"/>
    <n v="13277"/>
    <n v="15800"/>
    <n v="63200"/>
    <d v="2020-03-07T00:00:00"/>
    <s v="Pirque"/>
    <n v="70800"/>
    <x v="5"/>
    <n v="9975"/>
    <n v="3302"/>
    <n v="0.25"/>
    <m/>
  </r>
  <r>
    <n v="395"/>
    <s v="AS-0031"/>
    <x v="16"/>
    <x v="13"/>
    <x v="50"/>
    <s v="Boleta"/>
    <m/>
    <n v="6690"/>
    <n v="4632"/>
    <s v="C510"/>
    <s v="Ricardo Edwards"/>
    <n v="2"/>
    <n v="3193"/>
    <s v="%"/>
    <n v="3193"/>
    <n v="3800"/>
    <n v="7600"/>
    <d v="2020-03-07T00:00:00"/>
    <s v="Pirque"/>
    <n v="70800"/>
    <x v="6"/>
    <n v="2200"/>
    <n v="993"/>
    <n v="0.31"/>
    <m/>
  </r>
  <r>
    <n v="396"/>
    <s v="MA-183"/>
    <x v="109"/>
    <x v="47"/>
    <x v="50"/>
    <s v="Boleta"/>
    <m/>
    <n v="6691"/>
    <n v="4633"/>
    <s v="C518"/>
    <s v="Fernando Reyes"/>
    <n v="2"/>
    <n v="23361"/>
    <n v="0.02"/>
    <n v="22948"/>
    <n v="27300"/>
    <n v="54600"/>
    <d v="2020-03-07T00:00:00"/>
    <s v="Pirque"/>
    <n v="93500"/>
    <x v="11"/>
    <n v="18726"/>
    <n v="4222"/>
    <n v="0.18"/>
    <m/>
  </r>
  <r>
    <n v="396"/>
    <s v="MA-193"/>
    <x v="38"/>
    <x v="20"/>
    <x v="50"/>
    <s v="Boleta"/>
    <m/>
    <n v="6691"/>
    <n v="4633"/>
    <s v="C518"/>
    <s v="Fernando Reyes"/>
    <n v="1"/>
    <n v="32689"/>
    <s v="%"/>
    <n v="32689"/>
    <n v="38900"/>
    <n v="38900"/>
    <d v="2020-03-07T00:00:00"/>
    <s v="Pirque"/>
    <n v="93500"/>
    <x v="11"/>
    <n v="26207"/>
    <n v="6482"/>
    <n v="0.2"/>
    <m/>
  </r>
  <r>
    <n v="397"/>
    <s v="MA-0053"/>
    <x v="8"/>
    <x v="7"/>
    <x v="50"/>
    <s v="Boleta"/>
    <m/>
    <n v="6692"/>
    <n v="4634"/>
    <s v="C556"/>
    <s v="Patricio Tapia"/>
    <n v="1"/>
    <n v="13277"/>
    <s v="%"/>
    <n v="13277"/>
    <n v="15800"/>
    <n v="15800"/>
    <d v="2020-03-07T00:00:00"/>
    <s v="Pirque"/>
    <n v="39300"/>
    <x v="5"/>
    <n v="9975"/>
    <n v="3302"/>
    <n v="0.25"/>
    <m/>
  </r>
  <r>
    <n v="397"/>
    <s v="MA-0042"/>
    <x v="29"/>
    <x v="17"/>
    <x v="50"/>
    <s v="Boleta"/>
    <m/>
    <n v="6692"/>
    <n v="4634"/>
    <s v="C556"/>
    <s v="Patricio Tapia"/>
    <n v="1"/>
    <n v="19748"/>
    <s v="%"/>
    <n v="19748"/>
    <n v="23500"/>
    <n v="23500"/>
    <d v="2020-03-07T00:00:00"/>
    <s v="Pirque"/>
    <n v="39300"/>
    <x v="7"/>
    <n v="14853"/>
    <n v="4895"/>
    <n v="0.25"/>
    <m/>
  </r>
  <r>
    <n v="398"/>
    <s v="MA-214"/>
    <x v="13"/>
    <x v="12"/>
    <x v="50"/>
    <s v="Boleta"/>
    <m/>
    <n v="6693"/>
    <n v="4635"/>
    <s v="C335"/>
    <s v="Alejandro Astorga"/>
    <n v="4"/>
    <n v="26471"/>
    <n v="0.14000000000000001"/>
    <n v="23162"/>
    <n v="27000"/>
    <n v="108000"/>
    <d v="2020-03-07T00:00:00"/>
    <s v="Pirque"/>
    <n v="108000"/>
    <x v="11"/>
    <n v="21183"/>
    <n v="1979"/>
    <n v="0.09"/>
    <m/>
  </r>
  <r>
    <n v="399"/>
    <s v="DE-1150"/>
    <x v="42"/>
    <x v="22"/>
    <x v="51"/>
    <s v="Factura"/>
    <m/>
    <s v="sn"/>
    <n v="4636"/>
    <s v="C577"/>
    <s v="Comercializadora de productos Agropecuarios Futrono SPA"/>
    <n v="60"/>
    <n v="1312"/>
    <n v="0.1"/>
    <n v="1195"/>
    <n v="1409"/>
    <n v="84540"/>
    <d v="2020-03-09T00:00:00"/>
    <s v="Pirque"/>
    <n v="84553"/>
    <x v="14"/>
    <n v="900"/>
    <n v="295"/>
    <n v="0.25"/>
    <m/>
  </r>
  <r>
    <n v="400"/>
    <s v="MA-0035"/>
    <x v="37"/>
    <x v="16"/>
    <x v="51"/>
    <s v="Boleta"/>
    <m/>
    <n v="6694"/>
    <n v="4637"/>
    <s v="C635"/>
    <s v="Teresa Meza"/>
    <n v="1"/>
    <n v="16555"/>
    <s v="%"/>
    <n v="16555"/>
    <n v="19700"/>
    <n v="19700"/>
    <d v="2020-03-09T00:00:00"/>
    <s v="Pirque"/>
    <n v="19700"/>
    <x v="7"/>
    <n v="12429"/>
    <n v="4126"/>
    <n v="0.25"/>
    <m/>
  </r>
  <r>
    <n v="401"/>
    <s v="MA-121"/>
    <x v="111"/>
    <x v="4"/>
    <x v="51"/>
    <s v="Boleta"/>
    <m/>
    <n v="6695"/>
    <n v="4638"/>
    <s v="C246"/>
    <s v="Rosa Paz (Municipalidad Pirque)"/>
    <n v="1"/>
    <n v="19496"/>
    <s v="%"/>
    <n v="19496"/>
    <n v="23200"/>
    <n v="23200"/>
    <d v="2020-03-09T00:00:00"/>
    <s v="Pirque"/>
    <n v="23200"/>
    <x v="4"/>
    <n v="14700"/>
    <n v="4796"/>
    <n v="0.25"/>
    <m/>
  </r>
  <r>
    <n v="402"/>
    <s v="MA-0053"/>
    <x v="8"/>
    <x v="7"/>
    <x v="51"/>
    <s v="Boleta"/>
    <m/>
    <n v="6696"/>
    <n v="4639"/>
    <s v="C418"/>
    <s v="Claudia Ormazabal"/>
    <n v="2"/>
    <n v="13277"/>
    <s v="%"/>
    <n v="13277"/>
    <n v="15800"/>
    <n v="31600"/>
    <d v="2020-03-09T00:00:00"/>
    <s v="Pirque"/>
    <n v="41800"/>
    <x v="5"/>
    <n v="9975"/>
    <n v="3302"/>
    <n v="0.25"/>
    <m/>
  </r>
  <r>
    <n v="402"/>
    <s v="MA-0046"/>
    <x v="46"/>
    <x v="17"/>
    <x v="51"/>
    <s v="Boleta"/>
    <m/>
    <n v="6696"/>
    <n v="4639"/>
    <s v="C418"/>
    <s v="Claudia Ormazabal"/>
    <n v="1"/>
    <n v="8571"/>
    <s v="%"/>
    <n v="8571"/>
    <n v="10200"/>
    <n v="10200"/>
    <d v="2020-03-09T00:00:00"/>
    <s v="Pirque"/>
    <n v="41800"/>
    <x v="7"/>
    <n v="6436"/>
    <n v="2135"/>
    <n v="0.25"/>
    <m/>
  </r>
  <r>
    <n v="403"/>
    <s v="GR-0055"/>
    <x v="31"/>
    <x v="18"/>
    <x v="51"/>
    <s v="Boleta"/>
    <m/>
    <n v="6697"/>
    <n v="4640"/>
    <s v="C644"/>
    <s v="Marta Bravo"/>
    <n v="1"/>
    <n v="19328"/>
    <s v="%"/>
    <n v="19328"/>
    <n v="23000"/>
    <n v="23000"/>
    <d v="2020-03-09T00:00:00"/>
    <s v="Pirque"/>
    <n v="23000"/>
    <x v="5"/>
    <n v="14604"/>
    <n v="4724"/>
    <n v="0.24"/>
    <m/>
  </r>
  <r>
    <n v="404"/>
    <s v="MA-209"/>
    <x v="98"/>
    <x v="43"/>
    <x v="51"/>
    <s v="Boleta"/>
    <m/>
    <n v="6698"/>
    <n v="4641"/>
    <s v="C519"/>
    <s v="Eduardo Contreras"/>
    <n v="1"/>
    <n v="8824"/>
    <s v="%"/>
    <n v="8824"/>
    <n v="10500"/>
    <n v="10500"/>
    <d v="2020-03-09T00:00:00"/>
    <s v="Pirque"/>
    <n v="15400"/>
    <x v="14"/>
    <n v="6000"/>
    <n v="2824"/>
    <n v="0.32"/>
    <m/>
  </r>
  <r>
    <n v="404"/>
    <s v="AS-0038"/>
    <x v="185"/>
    <x v="6"/>
    <x v="51"/>
    <s v="Boleta"/>
    <m/>
    <n v="6698"/>
    <n v="4641"/>
    <s v="C519"/>
    <s v="Eduardo Contreras"/>
    <n v="1"/>
    <n v="4118"/>
    <s v="%"/>
    <n v="4118"/>
    <n v="4900"/>
    <n v="4900"/>
    <d v="2020-03-09T00:00:00"/>
    <s v="Pirque"/>
    <n v="15400"/>
    <x v="6"/>
    <n v="2250"/>
    <n v="1868"/>
    <n v="0.45"/>
    <m/>
  </r>
  <r>
    <n v="405"/>
    <s v="MA-0035"/>
    <x v="37"/>
    <x v="16"/>
    <x v="52"/>
    <s v="Factura"/>
    <m/>
    <s v="sn"/>
    <n v="4642"/>
    <s v="C068"/>
    <s v="Riddellco"/>
    <n v="1"/>
    <n v="17215"/>
    <n v="0.05"/>
    <n v="16395"/>
    <n v="19461"/>
    <n v="19461"/>
    <d v="2020-03-10T00:00:00"/>
    <s v="Pirque"/>
    <n v="19461"/>
    <x v="7"/>
    <n v="12429"/>
    <n v="3966"/>
    <n v="0.24"/>
    <m/>
  </r>
  <r>
    <n v="406"/>
    <s v="AS-29"/>
    <x v="192"/>
    <x v="13"/>
    <x v="52"/>
    <s v="Boleta"/>
    <m/>
    <n v="6552"/>
    <n v="4643"/>
    <s v="C032"/>
    <s v="Carlos Jobbe-Duval"/>
    <n v="4"/>
    <n v="3193"/>
    <s v="%"/>
    <n v="3193"/>
    <n v="3800"/>
    <n v="15200"/>
    <d v="2020-03-10T00:00:00"/>
    <s v="Pirque"/>
    <n v="30900"/>
    <x v="6"/>
    <n v="2100"/>
    <n v="1093"/>
    <n v="0.34"/>
    <m/>
  </r>
  <r>
    <n v="406"/>
    <s v="AS-0034"/>
    <x v="186"/>
    <x v="13"/>
    <x v="52"/>
    <s v="Boleta"/>
    <m/>
    <n v="6552"/>
    <n v="4643"/>
    <s v="C032"/>
    <s v="Carlos Jobbe-Duval"/>
    <n v="1"/>
    <n v="4874"/>
    <s v="%"/>
    <n v="4874"/>
    <n v="5800"/>
    <n v="5800"/>
    <d v="2020-03-10T00:00:00"/>
    <s v="Pirque"/>
    <n v="30900"/>
    <x v="6"/>
    <n v="2400"/>
    <n v="2474"/>
    <n v="0.51"/>
    <m/>
  </r>
  <r>
    <n v="406"/>
    <s v="AS-0038"/>
    <x v="185"/>
    <x v="6"/>
    <x v="52"/>
    <s v="Boleta"/>
    <m/>
    <n v="6552"/>
    <n v="4643"/>
    <s v="C032"/>
    <s v="Carlos Jobbe-Duval"/>
    <n v="1"/>
    <n v="4118"/>
    <s v="%"/>
    <n v="4118"/>
    <n v="4900"/>
    <n v="4900"/>
    <d v="2020-03-10T00:00:00"/>
    <s v="Pirque"/>
    <n v="30900"/>
    <x v="6"/>
    <n v="2250"/>
    <n v="1868"/>
    <n v="0.45"/>
    <m/>
  </r>
  <r>
    <n v="406"/>
    <s v="AS-42"/>
    <x v="187"/>
    <x v="6"/>
    <x v="52"/>
    <s v="Boleta"/>
    <m/>
    <n v="6552"/>
    <n v="4643"/>
    <s v="C032"/>
    <s v="Carlos Jobbe-Duval"/>
    <n v="2"/>
    <n v="2101"/>
    <s v="%"/>
    <n v="2101"/>
    <n v="2500"/>
    <n v="5000"/>
    <d v="2020-03-10T00:00:00"/>
    <s v="Pirque"/>
    <n v="30900"/>
    <x v="6"/>
    <n v="850"/>
    <n v="1251"/>
    <n v="0.6"/>
    <m/>
  </r>
  <r>
    <n v="407"/>
    <s v="MA-0003"/>
    <x v="41"/>
    <x v="21"/>
    <x v="52"/>
    <s v="Boleta"/>
    <m/>
    <n v="6699"/>
    <n v="4644"/>
    <s v="C451"/>
    <s v="Enrique Montero"/>
    <n v="1"/>
    <n v="17815"/>
    <s v="%"/>
    <n v="17815"/>
    <n v="21200"/>
    <n v="21200"/>
    <d v="2020-03-10T00:00:00"/>
    <s v="Pirque"/>
    <n v="21200"/>
    <x v="5"/>
    <n v="13279"/>
    <n v="4536"/>
    <n v="0.25"/>
    <m/>
  </r>
  <r>
    <n v="408"/>
    <s v="MA-0035"/>
    <x v="37"/>
    <x v="16"/>
    <x v="52"/>
    <s v="Boleta"/>
    <m/>
    <n v="6700"/>
    <n v="4645"/>
    <s v="C160"/>
    <s v="Christian Ortiz Hurtado"/>
    <n v="1"/>
    <n v="16555"/>
    <s v="%"/>
    <n v="16555"/>
    <n v="19700"/>
    <n v="19700"/>
    <d v="2020-03-10T00:00:00"/>
    <s v="Pirque"/>
    <n v="19700"/>
    <x v="7"/>
    <n v="12429"/>
    <n v="4126"/>
    <n v="0.25"/>
    <m/>
  </r>
  <r>
    <n v="409"/>
    <s v="GR-0055"/>
    <x v="31"/>
    <x v="18"/>
    <x v="52"/>
    <s v="Boleta"/>
    <m/>
    <n v="6701"/>
    <n v="4646"/>
    <s v="C669"/>
    <s v="Consuelo Ruiz"/>
    <n v="2"/>
    <n v="19328"/>
    <s v="%"/>
    <n v="19328"/>
    <n v="23000"/>
    <n v="46000"/>
    <d v="2020-03-10T00:00:00"/>
    <s v="Pirque"/>
    <n v="46000"/>
    <x v="5"/>
    <n v="14604"/>
    <n v="4724"/>
    <n v="0.24"/>
    <m/>
  </r>
  <r>
    <n v="410"/>
    <s v="GR-0054"/>
    <x v="30"/>
    <x v="18"/>
    <x v="52"/>
    <s v="Boleta"/>
    <m/>
    <n v="6702"/>
    <n v="4647"/>
    <s v="C667"/>
    <s v="Josefina Prieto"/>
    <n v="1"/>
    <n v="19328"/>
    <s v="%"/>
    <n v="19328"/>
    <n v="23000"/>
    <n v="23000"/>
    <d v="2020-03-10T00:00:00"/>
    <s v="Pirque"/>
    <n v="23000"/>
    <x v="5"/>
    <n v="14604"/>
    <n v="4724"/>
    <n v="0.24"/>
    <m/>
  </r>
  <r>
    <n v="411"/>
    <s v="GR-0054"/>
    <x v="30"/>
    <x v="18"/>
    <x v="52"/>
    <s v="Boleta"/>
    <m/>
    <n v="6703"/>
    <n v="4648"/>
    <s v="C662"/>
    <s v="Flavia Lopez"/>
    <n v="2"/>
    <n v="19328"/>
    <s v="%"/>
    <n v="19328"/>
    <n v="23000"/>
    <n v="46000"/>
    <d v="2020-03-11T00:00:00"/>
    <s v="Pirque"/>
    <n v="46000"/>
    <x v="5"/>
    <n v="14604"/>
    <n v="4724"/>
    <n v="0.24"/>
    <m/>
  </r>
  <r>
    <n v="412"/>
    <s v="MA-0035"/>
    <x v="37"/>
    <x v="16"/>
    <x v="52"/>
    <s v="Boleta"/>
    <m/>
    <n v="6704"/>
    <n v="4649"/>
    <s v="C595"/>
    <s v="Juan Neira"/>
    <n v="1"/>
    <n v="16555"/>
    <s v="%"/>
    <n v="16555"/>
    <n v="19700"/>
    <n v="19700"/>
    <d v="2020-03-10T00:00:00"/>
    <s v="Pirque"/>
    <n v="19700"/>
    <x v="7"/>
    <n v="12429"/>
    <n v="4126"/>
    <n v="0.25"/>
    <m/>
  </r>
  <r>
    <n v="413"/>
    <s v="AS-29"/>
    <x v="192"/>
    <x v="13"/>
    <x v="52"/>
    <s v="Boleta"/>
    <m/>
    <n v="6705"/>
    <n v="4650"/>
    <s v="C582"/>
    <s v="Luis Narvaes"/>
    <n v="4"/>
    <n v="3193"/>
    <s v="%"/>
    <n v="3193"/>
    <n v="3800"/>
    <n v="15200"/>
    <d v="2020-03-10T00:00:00"/>
    <s v="Pirque"/>
    <n v="45700"/>
    <x v="6"/>
    <n v="2100"/>
    <n v="1093"/>
    <n v="0.34"/>
    <m/>
  </r>
  <r>
    <n v="413"/>
    <s v="AS-0039"/>
    <x v="39"/>
    <x v="6"/>
    <x v="52"/>
    <s v="Boleta"/>
    <m/>
    <n v="6705"/>
    <n v="4650"/>
    <s v="C582"/>
    <s v="Luis Narvaes"/>
    <n v="4"/>
    <n v="2941"/>
    <s v="%"/>
    <n v="2941"/>
    <n v="3500"/>
    <n v="14000"/>
    <d v="2020-03-10T00:00:00"/>
    <s v="Pirque"/>
    <n v="45700"/>
    <x v="6"/>
    <n v="2119"/>
    <n v="822"/>
    <n v="0.28000000000000003"/>
    <m/>
  </r>
  <r>
    <n v="413"/>
    <s v="AS-0034"/>
    <x v="186"/>
    <x v="13"/>
    <x v="52"/>
    <s v="Boleta"/>
    <m/>
    <n v="6705"/>
    <n v="4650"/>
    <s v="C582"/>
    <s v="Luis Narvaes"/>
    <n v="2"/>
    <n v="4874"/>
    <s v="%"/>
    <n v="4874"/>
    <n v="5800"/>
    <n v="11600"/>
    <d v="2020-03-10T00:00:00"/>
    <s v="Pirque"/>
    <n v="45700"/>
    <x v="6"/>
    <n v="2400"/>
    <n v="2474"/>
    <n v="0.51"/>
    <m/>
  </r>
  <r>
    <n v="413"/>
    <s v="AS-46"/>
    <x v="198"/>
    <x v="13"/>
    <x v="52"/>
    <s v="Boleta"/>
    <m/>
    <n v="6705"/>
    <n v="4650"/>
    <s v="C582"/>
    <s v="Luis Narvaes"/>
    <n v="1"/>
    <n v="4118"/>
    <s v="%"/>
    <n v="4118"/>
    <n v="4900"/>
    <n v="4900"/>
    <d v="2020-03-10T00:00:00"/>
    <s v="Pirque"/>
    <n v="45700"/>
    <x v="6"/>
    <n v="2250"/>
    <n v="1868"/>
    <n v="0.45"/>
    <m/>
  </r>
  <r>
    <n v="414"/>
    <s v="MA-0001"/>
    <x v="101"/>
    <x v="18"/>
    <x v="52"/>
    <s v="Boleta"/>
    <m/>
    <n v="6706"/>
    <n v="4651"/>
    <s v="C447"/>
    <s v="Silvia Berrios"/>
    <n v="1"/>
    <n v="20084"/>
    <s v="%"/>
    <n v="20084"/>
    <n v="23900"/>
    <n v="23900"/>
    <d v="2020-03-10T00:00:00"/>
    <s v="Pirque"/>
    <n v="23900"/>
    <x v="5"/>
    <n v="14604"/>
    <n v="5480"/>
    <n v="0.27"/>
    <m/>
  </r>
  <r>
    <n v="415"/>
    <s v="MA-0053"/>
    <x v="8"/>
    <x v="7"/>
    <x v="53"/>
    <s v="Boleta"/>
    <m/>
    <n v="6707"/>
    <n v="4652"/>
    <s v="C445"/>
    <s v="Carmen Nuñez"/>
    <n v="1"/>
    <n v="13277"/>
    <s v="%"/>
    <n v="13277"/>
    <n v="15800"/>
    <n v="15800"/>
    <d v="2020-03-11T00:00:00"/>
    <s v="Pirque"/>
    <n v="15800"/>
    <x v="5"/>
    <n v="9975"/>
    <n v="3302"/>
    <n v="0.25"/>
    <m/>
  </r>
  <r>
    <n v="416"/>
    <s v="AS-0005"/>
    <x v="199"/>
    <x v="78"/>
    <x v="54"/>
    <s v="Factura"/>
    <m/>
    <s v="sn"/>
    <n v="4653"/>
    <s v="C671"/>
    <s v="Comercial &gt;JMA SPA"/>
    <n v="12"/>
    <n v="776"/>
    <n v="0.05"/>
    <n v="739"/>
    <n v="877"/>
    <n v="10524"/>
    <d v="2020-03-13T00:00:00"/>
    <s v="Chada"/>
    <n v="34128"/>
    <x v="39"/>
    <n v="560"/>
    <n v="179"/>
    <n v="0.24"/>
    <m/>
  </r>
  <r>
    <n v="416"/>
    <s v="AS-0022"/>
    <x v="200"/>
    <x v="28"/>
    <x v="54"/>
    <s v="Factura"/>
    <m/>
    <s v="sn"/>
    <n v="4653"/>
    <s v="C671"/>
    <s v="Comercial &gt;JMA SPA"/>
    <n v="12"/>
    <n v="741"/>
    <n v="0.1"/>
    <n v="675"/>
    <n v="796"/>
    <n v="9552"/>
    <d v="2020-03-13T00:00:00"/>
    <s v="Chada"/>
    <n v="34128"/>
    <x v="9"/>
    <n v="535"/>
    <n v="140"/>
    <n v="0.21"/>
    <m/>
  </r>
  <r>
    <n v="416"/>
    <s v="AS-0026"/>
    <x v="196"/>
    <x v="6"/>
    <x v="54"/>
    <s v="Factura"/>
    <m/>
    <s v="sn"/>
    <n v="4653"/>
    <s v="C671"/>
    <s v="Comercial &gt;JMA SPA"/>
    <n v="2"/>
    <n v="3248"/>
    <n v="0.1"/>
    <n v="2959"/>
    <n v="3488"/>
    <n v="6976"/>
    <d v="2020-03-13T00:00:00"/>
    <s v="Chada"/>
    <n v="34128"/>
    <x v="9"/>
    <n v="2345"/>
    <n v="614"/>
    <n v="0.21"/>
    <m/>
  </r>
  <r>
    <n v="416"/>
    <s v="DE-576"/>
    <x v="201"/>
    <x v="79"/>
    <x v="54"/>
    <s v="Factura"/>
    <m/>
    <s v="sn"/>
    <n v="4653"/>
    <s v="C671"/>
    <s v="Comercial &gt;JMA SPA"/>
    <n v="12"/>
    <n v="645"/>
    <n v="0.23"/>
    <n v="524"/>
    <n v="590"/>
    <n v="7080"/>
    <d v="2020-03-13T00:00:00"/>
    <s v="Chada"/>
    <n v="34128"/>
    <x v="2"/>
    <n v="466"/>
    <n v="58"/>
    <n v="0.11"/>
    <m/>
  </r>
  <r>
    <n v="418"/>
    <s v="MA-0055"/>
    <x v="202"/>
    <x v="80"/>
    <x v="54"/>
    <s v="Factura"/>
    <m/>
    <s v="sn"/>
    <n v="4655"/>
    <s v="C622"/>
    <s v="Inversiones y Comercial BEZETA Ltda."/>
    <n v="100"/>
    <n v="4412"/>
    <s v="%"/>
    <n v="4412"/>
    <n v="5250"/>
    <n v="525000"/>
    <d v="2020-03-13T00:00:00"/>
    <s v="Chada"/>
    <n v="525000"/>
    <x v="7"/>
    <s v="$"/>
    <n v="4412"/>
    <n v="1"/>
    <m/>
  </r>
  <r>
    <n v="419"/>
    <s v="AS-50"/>
    <x v="203"/>
    <x v="73"/>
    <x v="54"/>
    <s v="Factura"/>
    <m/>
    <s v="sn"/>
    <n v="4656"/>
    <s v="C005"/>
    <s v="Julia Ines Rebolledo Retamal"/>
    <n v="16"/>
    <n v="2960"/>
    <n v="0.05"/>
    <n v="2819"/>
    <n v="3346"/>
    <n v="53536"/>
    <d v="2020-03-18T00:00:00"/>
    <s v="Cajon"/>
    <n v="124696"/>
    <x v="36"/>
    <n v="2137"/>
    <n v="682"/>
    <n v="0.24"/>
    <m/>
  </r>
  <r>
    <n v="419"/>
    <s v="AS-0014"/>
    <x v="204"/>
    <x v="73"/>
    <x v="54"/>
    <s v="Factura"/>
    <m/>
    <s v="sn"/>
    <n v="4656"/>
    <s v="C005"/>
    <s v="Julia Ines Rebolledo Retamal"/>
    <n v="12"/>
    <n v="936"/>
    <n v="0.05"/>
    <n v="891"/>
    <n v="1058"/>
    <n v="12696"/>
    <d v="2020-03-18T00:00:00"/>
    <s v="Cajon"/>
    <n v="124696"/>
    <x v="36"/>
    <n v="676"/>
    <n v="215"/>
    <n v="0.24"/>
    <m/>
  </r>
  <r>
    <n v="419"/>
    <s v="DE-1217"/>
    <x v="150"/>
    <x v="59"/>
    <x v="54"/>
    <s v="Factura"/>
    <m/>
    <s v="sn"/>
    <n v="4656"/>
    <s v="C005"/>
    <s v="Julia Ines Rebolledo Retamal"/>
    <n v="48"/>
    <n v="882"/>
    <n v="0.05"/>
    <n v="840"/>
    <n v="997"/>
    <n v="47856"/>
    <d v="2020-03-18T00:00:00"/>
    <s v="Cajon"/>
    <n v="124696"/>
    <x v="19"/>
    <n v="637"/>
    <n v="203"/>
    <n v="0.24"/>
    <m/>
  </r>
  <r>
    <n v="419"/>
    <s v="AS-0022"/>
    <x v="200"/>
    <x v="28"/>
    <x v="54"/>
    <s v="Factura"/>
    <m/>
    <s v="sn"/>
    <n v="4656"/>
    <s v="C005"/>
    <s v="Julia Ines Rebolledo Retamal"/>
    <n v="12"/>
    <n v="741"/>
    <s v="%"/>
    <n v="741"/>
    <n v="882"/>
    <n v="10584"/>
    <d v="2020-03-18T00:00:00"/>
    <s v="Cajon"/>
    <n v="124696"/>
    <x v="9"/>
    <n v="535"/>
    <n v="206"/>
    <n v="0.28000000000000003"/>
    <m/>
  </r>
  <r>
    <n v="420"/>
    <s v="MA-0001"/>
    <x v="101"/>
    <x v="18"/>
    <x v="54"/>
    <s v="Boleta"/>
    <m/>
    <n v="6708"/>
    <n v="4657"/>
    <s v="C584"/>
    <s v="Alejandra Hamame"/>
    <n v="1"/>
    <n v="20084"/>
    <s v="%"/>
    <n v="20084"/>
    <n v="23900"/>
    <n v="23900"/>
    <d v="2020-03-12T00:00:00"/>
    <s v="Pirque"/>
    <n v="23900"/>
    <x v="5"/>
    <n v="14604"/>
    <n v="5480"/>
    <n v="0.27"/>
    <m/>
  </r>
  <r>
    <n v="421"/>
    <s v="MA-0040"/>
    <x v="28"/>
    <x v="16"/>
    <x v="54"/>
    <s v="Boleta"/>
    <m/>
    <n v="6709"/>
    <n v="4658"/>
    <s v="C620"/>
    <s v="Luz Maria Ossandon"/>
    <n v="1"/>
    <n v="16723"/>
    <s v="%"/>
    <n v="16723"/>
    <n v="19900"/>
    <n v="19900"/>
    <d v="2020-03-12T00:00:00"/>
    <s v="Pirque"/>
    <n v="19900"/>
    <x v="7"/>
    <n v="11888"/>
    <n v="4835"/>
    <n v="0.28999999999999998"/>
    <m/>
  </r>
  <r>
    <n v="422"/>
    <s v="MA-226"/>
    <x v="205"/>
    <x v="81"/>
    <x v="54"/>
    <s v="Boleta"/>
    <m/>
    <n v="6710"/>
    <n v="4659"/>
    <s v="C673"/>
    <s v="Anamaria Feliu"/>
    <n v="1"/>
    <n v="31849"/>
    <s v="%"/>
    <n v="31849"/>
    <n v="37900"/>
    <n v="37900"/>
    <d v="2020-03-12T00:00:00"/>
    <s v="Pirque"/>
    <n v="37900"/>
    <x v="40"/>
    <n v="26400"/>
    <n v="5449"/>
    <n v="0.17"/>
    <m/>
  </r>
  <r>
    <n v="423"/>
    <s v="MA-0042"/>
    <x v="29"/>
    <x v="17"/>
    <x v="54"/>
    <s v="Boleta"/>
    <m/>
    <n v="6713"/>
    <n v="4660"/>
    <s v="C263"/>
    <s v="Jeanny Reyes"/>
    <n v="1"/>
    <n v="19748"/>
    <s v="%"/>
    <n v="19748"/>
    <n v="23500"/>
    <n v="23500"/>
    <d v="2020-03-12T00:00:00"/>
    <s v="Pirque"/>
    <n v="23500"/>
    <x v="7"/>
    <n v="14853"/>
    <n v="4895"/>
    <n v="0.25"/>
    <m/>
  </r>
  <r>
    <n v="424"/>
    <s v="MA-193"/>
    <x v="38"/>
    <x v="20"/>
    <x v="54"/>
    <s v="Boleta"/>
    <m/>
    <n v="6714"/>
    <n v="4661"/>
    <s v="C534"/>
    <s v="Helga Nagilschmitz"/>
    <n v="2"/>
    <n v="32689"/>
    <s v="%"/>
    <n v="32689"/>
    <n v="38900"/>
    <n v="77800"/>
    <d v="2020-03-12T00:00:00"/>
    <s v="Pirque"/>
    <n v="77800"/>
    <x v="11"/>
    <n v="26207"/>
    <n v="6482"/>
    <n v="0.2"/>
    <m/>
  </r>
  <r>
    <n v="425"/>
    <s v="MA-202"/>
    <x v="104"/>
    <x v="21"/>
    <x v="54"/>
    <s v="Boleta"/>
    <m/>
    <n v="6715"/>
    <n v="4662"/>
    <s v="C307"/>
    <s v="Franklin Winston Smart Guevara"/>
    <n v="1"/>
    <n v="17815"/>
    <s v="%"/>
    <n v="17815"/>
    <n v="21200"/>
    <n v="21200"/>
    <d v="2020-03-12T00:00:00"/>
    <s v="Pirque"/>
    <n v="21200"/>
    <x v="5"/>
    <n v="13279"/>
    <n v="4536"/>
    <n v="0.25"/>
    <m/>
  </r>
  <r>
    <n v="426"/>
    <s v="DE-569"/>
    <x v="10"/>
    <x v="9"/>
    <x v="54"/>
    <s v="Factura"/>
    <m/>
    <s v="OC 03"/>
    <n v="4663"/>
    <s v="C020"/>
    <s v="Sabores y Vinos Bernardita Munita EIRL"/>
    <n v="2"/>
    <n v="20084"/>
    <s v="%"/>
    <n v="20084"/>
    <n v="23900"/>
    <n v="47800"/>
    <d v="2020-03-12T00:00:00"/>
    <s v="Pirque"/>
    <n v="192983"/>
    <x v="8"/>
    <n v="16386"/>
    <n v="3698"/>
    <n v="0.18"/>
    <m/>
  </r>
  <r>
    <n v="426"/>
    <s v="DE-880"/>
    <x v="36"/>
    <x v="11"/>
    <x v="54"/>
    <s v="Factura"/>
    <m/>
    <s v="OC 03"/>
    <n v="4663"/>
    <s v="C020"/>
    <s v="Sabores y Vinos Bernardita Munita EIRL"/>
    <n v="15"/>
    <n v="3335"/>
    <s v="%"/>
    <n v="3335"/>
    <n v="3969"/>
    <n v="59535"/>
    <d v="2020-03-12T00:00:00"/>
    <s v="Pirque"/>
    <n v="192983"/>
    <x v="10"/>
    <n v="2408"/>
    <n v="927"/>
    <n v="0.28000000000000003"/>
    <m/>
  </r>
  <r>
    <n v="426"/>
    <s v="DE-1003"/>
    <x v="0"/>
    <x v="0"/>
    <x v="54"/>
    <s v="Factura"/>
    <m/>
    <s v="OC 03"/>
    <n v="4663"/>
    <s v="C020"/>
    <s v="Sabores y Vinos Bernardita Munita EIRL"/>
    <n v="6"/>
    <n v="7895"/>
    <s v="%"/>
    <n v="7895"/>
    <n v="9395"/>
    <n v="56370"/>
    <d v="2020-03-12T00:00:00"/>
    <s v="Pirque"/>
    <n v="192983"/>
    <x v="10"/>
    <n v="6000"/>
    <n v="1895"/>
    <n v="0.24"/>
    <m/>
  </r>
  <r>
    <n v="426"/>
    <s v="AS-0024"/>
    <x v="188"/>
    <x v="6"/>
    <x v="54"/>
    <s v="Factura"/>
    <m/>
    <s v="OC 03"/>
    <n v="4663"/>
    <s v="C020"/>
    <s v="Sabores y Vinos Bernardita Munita EIRL"/>
    <n v="4"/>
    <n v="6151"/>
    <s v="%"/>
    <n v="6151"/>
    <n v="7320"/>
    <n v="29280"/>
    <d v="2020-03-12T00:00:00"/>
    <s v="Pirque"/>
    <n v="192983"/>
    <x v="9"/>
    <n v="4922"/>
    <n v="1229"/>
    <n v="0.2"/>
    <m/>
  </r>
  <r>
    <n v="427"/>
    <s v="AS-0038"/>
    <x v="185"/>
    <x v="6"/>
    <x v="54"/>
    <s v="Boleta"/>
    <m/>
    <n v="6717"/>
    <n v="4664"/>
    <s v="C674"/>
    <s v="Alejandra Castillo"/>
    <n v="1"/>
    <n v="4118"/>
    <s v="%"/>
    <n v="4118"/>
    <n v="4900"/>
    <n v="4900"/>
    <d v="2020-03-12T00:00:00"/>
    <s v="Pirque"/>
    <n v="13200"/>
    <x v="6"/>
    <n v="2250"/>
    <n v="1868"/>
    <n v="0.45"/>
    <m/>
  </r>
  <r>
    <n v="427"/>
    <s v="AS-42"/>
    <x v="187"/>
    <x v="6"/>
    <x v="54"/>
    <s v="Boleta"/>
    <m/>
    <n v="6717"/>
    <n v="4664"/>
    <s v="C674"/>
    <s v="Alejandra Castillo"/>
    <n v="1"/>
    <n v="2101"/>
    <s v="%"/>
    <n v="2101"/>
    <n v="2500"/>
    <n v="2500"/>
    <d v="2020-03-12T00:00:00"/>
    <s v="Pirque"/>
    <n v="13200"/>
    <x v="6"/>
    <n v="850"/>
    <n v="1251"/>
    <n v="0.6"/>
    <m/>
  </r>
  <r>
    <n v="427"/>
    <s v="AS-0034"/>
    <x v="186"/>
    <x v="13"/>
    <x v="54"/>
    <s v="Boleta"/>
    <m/>
    <n v="6717"/>
    <n v="4664"/>
    <s v="C674"/>
    <s v="Alejandra Castillo"/>
    <n v="1"/>
    <n v="4874"/>
    <s v="%"/>
    <n v="4874"/>
    <n v="5800"/>
    <n v="5800"/>
    <d v="2020-03-12T00:00:00"/>
    <s v="Pirque"/>
    <n v="13200"/>
    <x v="6"/>
    <n v="2400"/>
    <n v="2474"/>
    <n v="0.51"/>
    <m/>
  </r>
  <r>
    <n v="428"/>
    <s v="AS-0022"/>
    <x v="200"/>
    <x v="28"/>
    <x v="55"/>
    <s v="Factura"/>
    <m/>
    <s v="sn"/>
    <n v="4665"/>
    <s v="C554"/>
    <s v="Minimarket Doña Olga SPA"/>
    <n v="60"/>
    <n v="741"/>
    <n v="0.05"/>
    <n v="706"/>
    <n v="838"/>
    <n v="50280"/>
    <d v="2020-03-13T00:00:00"/>
    <s v="Chada"/>
    <n v="50262"/>
    <x v="9"/>
    <n v="535"/>
    <n v="171"/>
    <n v="0.24"/>
    <m/>
  </r>
  <r>
    <n v="429"/>
    <s v="DE-0021"/>
    <x v="64"/>
    <x v="35"/>
    <x v="55"/>
    <s v="Factura"/>
    <m/>
    <s v="sn"/>
    <n v="4666"/>
    <s v="C105"/>
    <s v="Paulina Andrea Araneda Cancino"/>
    <n v="2"/>
    <n v="13645"/>
    <n v="0.05"/>
    <n v="12995"/>
    <n v="15426"/>
    <n v="30852"/>
    <d v="2020-03-13T00:00:00"/>
    <s v="Chada"/>
    <n v="30852"/>
    <x v="17"/>
    <n v="9852"/>
    <n v="3143"/>
    <n v="0.24"/>
    <m/>
  </r>
  <r>
    <n v="430"/>
    <s v="AS-29"/>
    <x v="192"/>
    <x v="13"/>
    <x v="55"/>
    <s v="Factura"/>
    <m/>
    <s v="sn"/>
    <n v="4667"/>
    <s v="C006"/>
    <s v="Carolina del Pilar Contreras Gutierrez"/>
    <n v="20"/>
    <n v="3062"/>
    <n v="0.05"/>
    <n v="2916"/>
    <n v="3461"/>
    <n v="69220"/>
    <d v="2020-03-13T00:00:00"/>
    <s v="Chada"/>
    <n v="104825"/>
    <x v="6"/>
    <n v="2100"/>
    <n v="816"/>
    <n v="0.28000000000000003"/>
    <m/>
  </r>
  <r>
    <n v="430"/>
    <s v="AS-0034"/>
    <x v="186"/>
    <x v="13"/>
    <x v="55"/>
    <s v="Factura"/>
    <m/>
    <s v="sn"/>
    <n v="4667"/>
    <s v="C006"/>
    <s v="Carolina del Pilar Contreras Gutierrez"/>
    <n v="9"/>
    <n v="3499"/>
    <n v="0.05"/>
    <n v="3332"/>
    <n v="3956"/>
    <n v="35604"/>
    <d v="2020-03-13T00:00:00"/>
    <s v="Chada"/>
    <n v="104825"/>
    <x v="6"/>
    <n v="2400"/>
    <n v="932"/>
    <n v="0.28000000000000003"/>
    <m/>
  </r>
  <r>
    <n v="431"/>
    <s v="MA-214"/>
    <x v="13"/>
    <x v="12"/>
    <x v="55"/>
    <s v="Boleta"/>
    <m/>
    <n v="6716"/>
    <n v="4668"/>
    <s v="C389"/>
    <s v="Juan Pinilla"/>
    <n v="1"/>
    <n v="26471"/>
    <s v="%"/>
    <n v="26471"/>
    <n v="31500"/>
    <n v="31500"/>
    <d v="2020-03-13T00:00:00"/>
    <s v="Pirque"/>
    <n v="31500"/>
    <x v="11"/>
    <n v="21183"/>
    <n v="5288"/>
    <n v="0.2"/>
    <m/>
  </r>
  <r>
    <n v="432"/>
    <s v="MA-229"/>
    <x v="206"/>
    <x v="82"/>
    <x v="55"/>
    <s v="Boleta"/>
    <m/>
    <n v="6711"/>
    <n v="4669"/>
    <s v="C536"/>
    <s v="Katherine Gonzalez"/>
    <n v="1"/>
    <n v="23950"/>
    <s v="%"/>
    <n v="23950"/>
    <n v="28500"/>
    <n v="28500"/>
    <d v="2020-03-13T00:00:00"/>
    <s v="Pirque"/>
    <n v="60000"/>
    <x v="40"/>
    <n v="19000"/>
    <n v="4950"/>
    <n v="0.21"/>
    <m/>
  </r>
  <r>
    <n v="432"/>
    <s v="MA-214"/>
    <x v="13"/>
    <x v="12"/>
    <x v="55"/>
    <s v="Boleta"/>
    <m/>
    <n v="6711"/>
    <n v="4669"/>
    <s v="C536"/>
    <s v="Katherine Gonzalez"/>
    <n v="1"/>
    <n v="26471"/>
    <s v="%"/>
    <n v="26471"/>
    <n v="31500"/>
    <n v="31500"/>
    <d v="2020-03-13T00:00:00"/>
    <s v="Pirque"/>
    <n v="60000"/>
    <x v="11"/>
    <n v="21183"/>
    <n v="5288"/>
    <n v="0.2"/>
    <m/>
  </r>
  <r>
    <n v="433"/>
    <s v="MA-0053"/>
    <x v="8"/>
    <x v="7"/>
    <x v="55"/>
    <s v="Factura"/>
    <m/>
    <s v="SN"/>
    <n v="4670"/>
    <s v="C009"/>
    <s v="Sociedad Comercial y Agricola Chada Ltda"/>
    <n v="3"/>
    <n v="13816"/>
    <n v="0.27"/>
    <n v="10918"/>
    <n v="12076"/>
    <n v="36228"/>
    <d v="2020-03-13T00:00:00"/>
    <s v="Chada"/>
    <n v="107582"/>
    <x v="5"/>
    <n v="9975"/>
    <n v="943"/>
    <n v="0.09"/>
    <m/>
  </r>
  <r>
    <n v="433"/>
    <s v="MA-0107"/>
    <x v="63"/>
    <x v="4"/>
    <x v="55"/>
    <s v="Factura"/>
    <m/>
    <s v="SN"/>
    <n v="4670"/>
    <s v="C009"/>
    <s v="Sociedad Comercial y Agricola Chada Ltda"/>
    <n v="12"/>
    <n v="1787"/>
    <n v="0.1"/>
    <n v="1628"/>
    <n v="1919"/>
    <n v="23028"/>
    <d v="2020-03-13T00:00:00"/>
    <s v="Chada"/>
    <n v="107582"/>
    <x v="4"/>
    <n v="1290"/>
    <n v="338"/>
    <n v="0.21"/>
    <m/>
  </r>
  <r>
    <n v="433"/>
    <s v="MA-114"/>
    <x v="79"/>
    <x v="17"/>
    <x v="55"/>
    <s v="Factura"/>
    <m/>
    <s v="SN"/>
    <n v="4670"/>
    <s v="C009"/>
    <s v="Sociedad Comercial y Agricola Chada Ltda"/>
    <n v="7"/>
    <n v="1078"/>
    <n v="0.05"/>
    <n v="1027"/>
    <n v="1218"/>
    <n v="8526"/>
    <d v="2020-03-13T00:00:00"/>
    <s v="Chada"/>
    <n v="107582"/>
    <x v="7"/>
    <n v="778"/>
    <n v="249"/>
    <n v="0.24"/>
    <m/>
  </r>
  <r>
    <n v="433"/>
    <s v="DE-0021"/>
    <x v="64"/>
    <x v="35"/>
    <x v="55"/>
    <s v="Factura"/>
    <m/>
    <s v="SN"/>
    <n v="4670"/>
    <s v="C009"/>
    <s v="Sociedad Comercial y Agricola Chada Ltda"/>
    <n v="2"/>
    <n v="13194"/>
    <n v="0.08"/>
    <n v="12257"/>
    <n v="14500"/>
    <n v="29000"/>
    <d v="2020-03-13T00:00:00"/>
    <s v="Chada"/>
    <n v="107582"/>
    <x v="17"/>
    <n v="9526"/>
    <n v="2731"/>
    <n v="0.22"/>
    <m/>
  </r>
  <r>
    <n v="433"/>
    <s v="DE-1141"/>
    <x v="118"/>
    <x v="31"/>
    <x v="55"/>
    <s v="Factura"/>
    <m/>
    <s v="SN"/>
    <n v="4670"/>
    <s v="C009"/>
    <s v="Sociedad Comercial y Agricola Chada Ltda"/>
    <n v="15"/>
    <n v="706"/>
    <n v="0.14000000000000001"/>
    <n v="617"/>
    <n v="720"/>
    <n v="10800"/>
    <d v="2020-03-13T00:00:00"/>
    <s v="Chada"/>
    <n v="107582"/>
    <x v="9"/>
    <n v="510"/>
    <n v="107"/>
    <n v="0.17"/>
    <m/>
  </r>
  <r>
    <n v="434"/>
    <s v="AS-0022"/>
    <x v="200"/>
    <x v="28"/>
    <x v="55"/>
    <s v="Factura"/>
    <m/>
    <s v="sn"/>
    <n v="4671"/>
    <s v="C016"/>
    <s v="Maria Magaly Diaz Espinoza"/>
    <n v="24"/>
    <n v="741"/>
    <n v="0.1"/>
    <n v="675"/>
    <n v="796"/>
    <n v="19104"/>
    <d v="2020-03-13T00:00:00"/>
    <s v="Chada"/>
    <n v="64488"/>
    <x v="9"/>
    <n v="535"/>
    <n v="140"/>
    <n v="0.21"/>
    <m/>
  </r>
  <r>
    <n v="434"/>
    <s v="MA-0046"/>
    <x v="46"/>
    <x v="17"/>
    <x v="55"/>
    <s v="Factura"/>
    <m/>
    <s v="sn"/>
    <n v="4671"/>
    <s v="C016"/>
    <s v="Maria Magaly Diaz Espinoza"/>
    <n v="3"/>
    <n v="8914"/>
    <n v="0.08"/>
    <n v="8277"/>
    <n v="9792"/>
    <n v="29376"/>
    <d v="2020-03-13T00:00:00"/>
    <s v="Chada"/>
    <n v="64488"/>
    <x v="7"/>
    <n v="6436"/>
    <n v="1841"/>
    <n v="0.22"/>
    <m/>
  </r>
  <r>
    <n v="434"/>
    <s v="DE-1162"/>
    <x v="207"/>
    <x v="45"/>
    <x v="55"/>
    <s v="Factura"/>
    <m/>
    <s v="sn"/>
    <n v="4671"/>
    <s v="C016"/>
    <s v="Maria Magaly Diaz Espinoza"/>
    <n v="12"/>
    <n v="1402"/>
    <n v="0.2"/>
    <n v="1168"/>
    <n v="1334"/>
    <n v="16008"/>
    <d v="2020-03-13T00:00:00"/>
    <s v="Chada"/>
    <n v="64488"/>
    <x v="19"/>
    <n v="1012"/>
    <n v="156"/>
    <n v="0.13"/>
    <m/>
  </r>
  <r>
    <n v="435"/>
    <s v="MA-231"/>
    <x v="208"/>
    <x v="83"/>
    <x v="55"/>
    <s v="Boleta"/>
    <m/>
    <n v="6718"/>
    <n v="4672"/>
    <s v="C344"/>
    <s v="Monica Aedo"/>
    <n v="1"/>
    <n v="29412"/>
    <s v="%"/>
    <n v="29412"/>
    <n v="35000"/>
    <n v="35000"/>
    <d v="2020-03-13T00:00:00"/>
    <s v="Pirque"/>
    <n v="35000"/>
    <x v="40"/>
    <n v="24900"/>
    <n v="4512"/>
    <n v="0.15"/>
    <m/>
  </r>
  <r>
    <n v="436"/>
    <s v="MA-236"/>
    <x v="209"/>
    <x v="84"/>
    <x v="55"/>
    <s v="Boleta"/>
    <m/>
    <n v="6719"/>
    <n v="4673"/>
    <s v="C584"/>
    <s v="Alejandra Hamame"/>
    <n v="1"/>
    <n v="19916"/>
    <s v="%"/>
    <n v="19916"/>
    <n v="23700"/>
    <n v="23700"/>
    <d v="2020-03-13T00:00:00"/>
    <s v="Pirque"/>
    <n v="23700"/>
    <x v="5"/>
    <n v="14956"/>
    <n v="4960"/>
    <n v="0.25"/>
    <m/>
  </r>
  <r>
    <n v="437"/>
    <s v="MA-120"/>
    <x v="210"/>
    <x v="49"/>
    <x v="56"/>
    <s v="Boleta"/>
    <m/>
    <n v="6720"/>
    <n v="4674"/>
    <s v="C676"/>
    <s v="Ximena Acuña"/>
    <n v="1"/>
    <n v="10504"/>
    <s v="%"/>
    <n v="10504"/>
    <n v="12500"/>
    <n v="12500"/>
    <d v="2020-03-14T00:00:00"/>
    <s v="Pirque"/>
    <n v="12500"/>
    <x v="7"/>
    <n v="7670"/>
    <n v="2834"/>
    <n v="0.27"/>
    <m/>
  </r>
  <r>
    <n v="438"/>
    <s v="DE-1003"/>
    <x v="0"/>
    <x v="0"/>
    <x v="56"/>
    <s v="Factura"/>
    <m/>
    <s v="sn"/>
    <n v="4675"/>
    <s v="C406"/>
    <s v="Naitana y Kufeke SPA"/>
    <n v="4"/>
    <n v="8310"/>
    <s v="%"/>
    <n v="8310"/>
    <n v="9889"/>
    <n v="39556"/>
    <d v="2020-03-14T00:00:00"/>
    <s v="Pirque"/>
    <n v="39557"/>
    <x v="10"/>
    <n v="6000"/>
    <n v="2310"/>
    <n v="0.28000000000000003"/>
    <m/>
  </r>
  <r>
    <n v="439"/>
    <s v="MA-0053"/>
    <x v="8"/>
    <x v="7"/>
    <x v="56"/>
    <s v="Boleta"/>
    <m/>
    <n v="6721"/>
    <n v="4676"/>
    <s v="C255"/>
    <s v="Carlos Manzano"/>
    <n v="1"/>
    <n v="13277"/>
    <s v="%"/>
    <n v="13277"/>
    <n v="15800"/>
    <n v="15800"/>
    <d v="2020-03-14T00:00:00"/>
    <s v="Pirque"/>
    <n v="26800"/>
    <x v="5"/>
    <n v="9975"/>
    <n v="3302"/>
    <n v="0.25"/>
    <m/>
  </r>
  <r>
    <n v="439"/>
    <s v="MA-0100"/>
    <x v="211"/>
    <x v="49"/>
    <x v="56"/>
    <s v="Boleta"/>
    <m/>
    <n v="6721"/>
    <n v="4676"/>
    <s v="C255"/>
    <s v="Carlos Manzano"/>
    <n v="2"/>
    <n v="4622"/>
    <s v="%"/>
    <n v="4622"/>
    <n v="5500"/>
    <n v="11000"/>
    <d v="2020-03-14T00:00:00"/>
    <s v="Pirque"/>
    <n v="26800"/>
    <x v="7"/>
    <n v="3269"/>
    <n v="1353"/>
    <n v="0.28999999999999998"/>
    <m/>
  </r>
  <r>
    <n v="440"/>
    <s v="AS-29"/>
    <x v="192"/>
    <x v="13"/>
    <x v="56"/>
    <s v="Factura"/>
    <m/>
    <s v="sn"/>
    <n v="4677"/>
    <s v="C002"/>
    <s v="Miguel Moreno Fernandez"/>
    <n v="20"/>
    <n v="3062"/>
    <n v="0.05"/>
    <n v="2916"/>
    <n v="3461"/>
    <n v="69220"/>
    <d v="2020-03-14T00:00:00"/>
    <s v="Pirque"/>
    <n v="69224"/>
    <x v="6"/>
    <n v="2100"/>
    <n v="816"/>
    <n v="0.28000000000000003"/>
    <m/>
  </r>
  <r>
    <n v="441"/>
    <s v="DE-0021"/>
    <x v="64"/>
    <x v="35"/>
    <x v="57"/>
    <s v="Factura"/>
    <m/>
    <s v="sn"/>
    <n v="4678"/>
    <s v="C668"/>
    <s v="Gastronomica Nikkei SPA."/>
    <n v="11"/>
    <n v="13194"/>
    <n v="0.11"/>
    <n v="11893"/>
    <n v="13983"/>
    <n v="153813"/>
    <d v="2020-03-16T00:00:00"/>
    <s v="Santiago"/>
    <n v="153813"/>
    <x v="17"/>
    <n v="9526"/>
    <n v="2367"/>
    <n v="0.2"/>
    <m/>
  </r>
  <r>
    <n v="442"/>
    <s v="DE-0021"/>
    <x v="64"/>
    <x v="35"/>
    <x v="57"/>
    <s v="Factura"/>
    <m/>
    <s v="sn"/>
    <n v="4679"/>
    <s v="C668"/>
    <s v="Gastronomica Nikkei SPA."/>
    <n v="4"/>
    <n v="13194"/>
    <n v="0.11"/>
    <n v="11893"/>
    <n v="13983"/>
    <n v="55932"/>
    <d v="2020-03-16T00:00:00"/>
    <s v="Santiago"/>
    <n v="55932"/>
    <x v="17"/>
    <n v="9526"/>
    <n v="2367"/>
    <n v="0.2"/>
    <m/>
  </r>
  <r>
    <n v="443"/>
    <s v="DE-0021"/>
    <x v="64"/>
    <x v="35"/>
    <x v="57"/>
    <s v="Factura"/>
    <m/>
    <s v="sn"/>
    <n v="4680"/>
    <s v="C668"/>
    <s v="Gastronomica Nikkei SPA."/>
    <n v="6"/>
    <n v="13194"/>
    <n v="0.11"/>
    <n v="11893"/>
    <n v="13983"/>
    <n v="83898"/>
    <d v="2020-03-16T00:00:00"/>
    <s v="Santiago"/>
    <n v="83898"/>
    <x v="17"/>
    <n v="9526"/>
    <n v="2367"/>
    <n v="0.2"/>
    <m/>
  </r>
  <r>
    <n v="444"/>
    <s v="DE-0021"/>
    <x v="64"/>
    <x v="35"/>
    <x v="57"/>
    <s v="Factura"/>
    <m/>
    <s v="sn"/>
    <n v="4681"/>
    <s v="C668"/>
    <s v="Gastronomica Nikkei SPA."/>
    <n v="6"/>
    <n v="13194"/>
    <n v="0.11"/>
    <n v="11893"/>
    <n v="13983"/>
    <n v="83898"/>
    <d v="2020-03-16T00:00:00"/>
    <s v="Santiago"/>
    <n v="83898"/>
    <x v="17"/>
    <n v="9526"/>
    <n v="2367"/>
    <n v="0.2"/>
    <m/>
  </r>
  <r>
    <n v="445"/>
    <s v="DE-0021"/>
    <x v="64"/>
    <x v="35"/>
    <x v="57"/>
    <s v="Factura"/>
    <m/>
    <s v="sn"/>
    <n v="4682"/>
    <s v="C668"/>
    <s v="Gastronomica Nikkei SPA."/>
    <n v="6"/>
    <n v="13194"/>
    <n v="0.11"/>
    <n v="11893"/>
    <n v="13983"/>
    <n v="83898"/>
    <d v="2020-03-16T00:00:00"/>
    <s v="Santiago"/>
    <n v="83898"/>
    <x v="17"/>
    <n v="9526"/>
    <n v="2367"/>
    <n v="0.2"/>
    <m/>
  </r>
  <r>
    <n v="446"/>
    <s v="DE-0021"/>
    <x v="64"/>
    <x v="35"/>
    <x v="57"/>
    <s v="Factura"/>
    <m/>
    <s v="sn"/>
    <n v="4683"/>
    <s v="C668"/>
    <s v="Gastronomica Nikkei SPA."/>
    <n v="4"/>
    <n v="13194"/>
    <n v="0.11"/>
    <n v="11893"/>
    <n v="13983"/>
    <n v="55932"/>
    <d v="2020-03-16T00:00:00"/>
    <s v="Santiago"/>
    <n v="55932"/>
    <x v="17"/>
    <n v="9526"/>
    <n v="2367"/>
    <n v="0.2"/>
    <m/>
  </r>
  <r>
    <n v="447"/>
    <s v="GR-0054"/>
    <x v="30"/>
    <x v="18"/>
    <x v="57"/>
    <s v="Boleta"/>
    <m/>
    <n v="6722"/>
    <n v="4684"/>
    <s v="C087"/>
    <s v="Juan Pablo Valdes"/>
    <n v="5"/>
    <n v="19328"/>
    <s v="%"/>
    <n v="19328"/>
    <n v="23000"/>
    <n v="115000"/>
    <d v="2020-03-16T00:00:00"/>
    <s v="Pirque"/>
    <n v="115000"/>
    <x v="5"/>
    <n v="14604"/>
    <n v="4724"/>
    <n v="0.24"/>
    <m/>
  </r>
  <r>
    <n v="448"/>
    <s v="GR-0055"/>
    <x v="31"/>
    <x v="18"/>
    <x v="57"/>
    <s v="Boleta"/>
    <m/>
    <n v="6723"/>
    <n v="4685"/>
    <s v="C455"/>
    <s v="Grace Moore"/>
    <n v="2"/>
    <n v="19328"/>
    <s v="%"/>
    <n v="19328"/>
    <n v="23000"/>
    <n v="46000"/>
    <d v="2020-03-16T00:00:00"/>
    <s v="Pirque"/>
    <n v="46000"/>
    <x v="5"/>
    <n v="14604"/>
    <n v="4724"/>
    <n v="0.24"/>
    <m/>
  </r>
  <r>
    <n v="449"/>
    <s v="AS-29"/>
    <x v="192"/>
    <x v="13"/>
    <x v="57"/>
    <s v="Boleta"/>
    <m/>
    <n v="6724"/>
    <n v="4686"/>
    <s v="C209"/>
    <s v="David Le May"/>
    <n v="10"/>
    <n v="3193"/>
    <s v="%"/>
    <n v="3193"/>
    <n v="3800"/>
    <n v="38000"/>
    <d v="2020-03-16T00:00:00"/>
    <s v="Pirque"/>
    <n v="38000"/>
    <x v="6"/>
    <n v="2100"/>
    <n v="1093"/>
    <n v="0.34"/>
    <m/>
  </r>
  <r>
    <n v="450"/>
    <s v="MA-0035"/>
    <x v="37"/>
    <x v="16"/>
    <x v="57"/>
    <s v="Boleta"/>
    <m/>
    <n v="6725"/>
    <n v="4687"/>
    <s v="C558"/>
    <s v="Carola Pardo"/>
    <n v="2"/>
    <n v="33109"/>
    <s v="%"/>
    <n v="33109"/>
    <n v="39400"/>
    <n v="39400"/>
    <d v="2020-03-16T00:00:00"/>
    <s v="Pirque"/>
    <n v="39400"/>
    <x v="7"/>
    <n v="24858"/>
    <n v="8252"/>
    <n v="0.25"/>
    <m/>
  </r>
  <r>
    <n v="451"/>
    <s v="MA-0053"/>
    <x v="8"/>
    <x v="7"/>
    <x v="57"/>
    <s v="Boleta"/>
    <m/>
    <n v="6726"/>
    <n v="4688"/>
    <s v="C456"/>
    <s v="Carolina Muñoz"/>
    <n v="1"/>
    <n v="13277"/>
    <s v="%"/>
    <n v="13277"/>
    <n v="15800"/>
    <n v="15800"/>
    <d v="2020-03-16T00:00:00"/>
    <s v="Pirque"/>
    <n v="15800"/>
    <x v="5"/>
    <n v="9975"/>
    <n v="3302"/>
    <n v="0.25"/>
    <m/>
  </r>
  <r>
    <n v="452"/>
    <s v="GR-0054"/>
    <x v="30"/>
    <x v="18"/>
    <x v="57"/>
    <s v="Boleta"/>
    <m/>
    <n v="6727"/>
    <n v="4689"/>
    <s v="C158"/>
    <s v="Jose Miguel Osorio"/>
    <n v="1"/>
    <n v="19328"/>
    <s v="%"/>
    <n v="19328"/>
    <n v="23000"/>
    <n v="23000"/>
    <d v="2020-03-16T00:00:00"/>
    <s v="Pirque"/>
    <n v="57100"/>
    <x v="5"/>
    <n v="14604"/>
    <n v="4724"/>
    <n v="0.24"/>
    <m/>
  </r>
  <r>
    <n v="452"/>
    <s v="MA-118"/>
    <x v="212"/>
    <x v="18"/>
    <x v="57"/>
    <s v="Boleta"/>
    <m/>
    <n v="6727"/>
    <n v="4689"/>
    <s v="C158"/>
    <s v="Jose Miguel Osorio"/>
    <n v="1"/>
    <n v="10504"/>
    <s v="%"/>
    <n v="10504"/>
    <n v="12500"/>
    <n v="12500"/>
    <d v="2020-03-16T00:00:00"/>
    <s v="Pirque"/>
    <n v="57100"/>
    <x v="5"/>
    <n v="7956"/>
    <n v="2548"/>
    <n v="0.24"/>
    <m/>
  </r>
  <r>
    <n v="452"/>
    <s v="AS-0022"/>
    <x v="200"/>
    <x v="28"/>
    <x v="57"/>
    <s v="Boleta"/>
    <m/>
    <n v="6727"/>
    <n v="4689"/>
    <s v="C158"/>
    <s v="Jose Miguel Osorio"/>
    <n v="24"/>
    <n v="756"/>
    <s v="%"/>
    <n v="756"/>
    <n v="900"/>
    <n v="21600"/>
    <d v="2020-03-16T00:00:00"/>
    <s v="Pirque"/>
    <n v="57100"/>
    <x v="9"/>
    <n v="535"/>
    <n v="221"/>
    <n v="0.28999999999999998"/>
    <m/>
  </r>
  <r>
    <n v="453"/>
    <s v="MA-0027"/>
    <x v="9"/>
    <x v="8"/>
    <x v="57"/>
    <s v="Boleta"/>
    <m/>
    <n v="6728"/>
    <n v="4690"/>
    <s v="C079"/>
    <s v="Kim Cornely"/>
    <n v="1"/>
    <n v="13866"/>
    <s v="%"/>
    <n v="13866"/>
    <n v="16500"/>
    <n v="16500"/>
    <d v="2020-03-16T00:00:00"/>
    <s v="Pirque"/>
    <n v="27300"/>
    <x v="7"/>
    <n v="10390"/>
    <n v="3476"/>
    <n v="0.25"/>
    <m/>
  </r>
  <r>
    <n v="453"/>
    <s v="AS-0022"/>
    <x v="200"/>
    <x v="28"/>
    <x v="57"/>
    <s v="Boleta"/>
    <m/>
    <n v="6728"/>
    <n v="4690"/>
    <s v="C079"/>
    <s v="Kim Cornely"/>
    <n v="12"/>
    <n v="756"/>
    <s v="%"/>
    <n v="756"/>
    <n v="900"/>
    <n v="10800"/>
    <d v="2020-03-16T00:00:00"/>
    <s v="Pirque"/>
    <n v="27300"/>
    <x v="9"/>
    <n v="535"/>
    <n v="221"/>
    <n v="0.28999999999999998"/>
    <m/>
  </r>
  <r>
    <n v="454"/>
    <s v="DE-1141"/>
    <x v="118"/>
    <x v="31"/>
    <x v="57"/>
    <s v="Boleta"/>
    <m/>
    <n v="6729"/>
    <n v="4691"/>
    <s v="C062"/>
    <s v="Verena Scholtbach"/>
    <n v="4"/>
    <n v="756"/>
    <s v="%"/>
    <n v="756"/>
    <n v="900"/>
    <n v="3600"/>
    <d v="2020-03-16T00:00:00"/>
    <s v="Pirque"/>
    <n v="70662"/>
    <x v="9"/>
    <n v="510"/>
    <n v="246"/>
    <n v="0.33"/>
    <m/>
  </r>
  <r>
    <n v="454"/>
    <s v="AS-0022"/>
    <x v="200"/>
    <x v="28"/>
    <x v="57"/>
    <s v="Boleta"/>
    <m/>
    <n v="6729"/>
    <n v="4691"/>
    <s v="C062"/>
    <s v="Verena Scholtbach"/>
    <n v="24"/>
    <n v="756"/>
    <s v="%"/>
    <n v="756"/>
    <n v="900"/>
    <n v="21600"/>
    <d v="2020-03-16T00:00:00"/>
    <s v="Pirque"/>
    <n v="70662"/>
    <x v="9"/>
    <n v="535"/>
    <n v="221"/>
    <n v="0.28999999999999998"/>
    <m/>
  </r>
  <r>
    <n v="454"/>
    <s v="DE-0344"/>
    <x v="96"/>
    <x v="30"/>
    <x v="57"/>
    <s v="Boleta"/>
    <m/>
    <n v="6729"/>
    <n v="4691"/>
    <s v="C062"/>
    <s v="Verena Scholtbach"/>
    <n v="2"/>
    <n v="3529"/>
    <s v="%"/>
    <n v="3529"/>
    <n v="4200"/>
    <n v="8400"/>
    <d v="2020-03-16T00:00:00"/>
    <s v="Pirque"/>
    <n v="70662"/>
    <x v="2"/>
    <n v="2464"/>
    <n v="1065"/>
    <n v="0.3"/>
    <m/>
  </r>
  <r>
    <n v="454"/>
    <s v="DE-1209"/>
    <x v="213"/>
    <x v="85"/>
    <x v="57"/>
    <s v="Boleta"/>
    <m/>
    <n v="6729"/>
    <n v="4691"/>
    <s v="C062"/>
    <s v="Verena Scholtbach"/>
    <n v="1"/>
    <n v="2185"/>
    <s v="%"/>
    <n v="2185"/>
    <n v="2600"/>
    <n v="2600"/>
    <d v="2020-03-16T00:00:00"/>
    <s v="Pirque"/>
    <n v="70662"/>
    <x v="25"/>
    <n v="1290"/>
    <n v="895"/>
    <n v="0.41"/>
    <m/>
  </r>
  <r>
    <n v="454"/>
    <s v="DE-0336"/>
    <x v="214"/>
    <x v="30"/>
    <x v="57"/>
    <s v="Boleta"/>
    <m/>
    <n v="6729"/>
    <n v="4691"/>
    <s v="C062"/>
    <s v="Verena Scholtbach"/>
    <n v="5"/>
    <n v="1611"/>
    <s v="%"/>
    <n v="1611"/>
    <n v="1918"/>
    <n v="9590"/>
    <d v="2020-03-16T00:00:00"/>
    <s v="Pirque"/>
    <n v="70662"/>
    <x v="2"/>
    <n v="1128"/>
    <n v="483"/>
    <n v="0.3"/>
    <m/>
  </r>
  <r>
    <n v="454"/>
    <s v="DE-0332"/>
    <x v="215"/>
    <x v="30"/>
    <x v="57"/>
    <s v="Boleta"/>
    <m/>
    <n v="6729"/>
    <n v="4691"/>
    <s v="C062"/>
    <s v="Verena Scholtbach"/>
    <n v="3"/>
    <n v="1466"/>
    <s v="%"/>
    <n v="1466"/>
    <n v="1744"/>
    <n v="5232"/>
    <d v="2020-03-16T00:00:00"/>
    <s v="Pirque"/>
    <n v="70662"/>
    <x v="2"/>
    <n v="1026"/>
    <n v="440"/>
    <n v="0.3"/>
    <m/>
  </r>
  <r>
    <n v="454"/>
    <s v="DE-1191"/>
    <x v="216"/>
    <x v="86"/>
    <x v="57"/>
    <s v="Boleta"/>
    <m/>
    <n v="6729"/>
    <n v="4691"/>
    <s v="C062"/>
    <s v="Verena Scholtbach"/>
    <n v="2"/>
    <n v="798"/>
    <s v="%"/>
    <n v="798"/>
    <n v="950"/>
    <n v="1900"/>
    <d v="2020-03-16T00:00:00"/>
    <s v="Pirque"/>
    <n v="70662"/>
    <x v="17"/>
    <n v="515"/>
    <n v="283"/>
    <n v="0.35"/>
    <m/>
  </r>
  <r>
    <n v="454"/>
    <s v="DE-0371"/>
    <x v="217"/>
    <x v="68"/>
    <x v="57"/>
    <s v="Boleta"/>
    <m/>
    <n v="6729"/>
    <n v="4691"/>
    <s v="C062"/>
    <s v="Verena Scholtbach"/>
    <n v="3"/>
    <n v="1765"/>
    <s v="%"/>
    <n v="1765"/>
    <n v="2100"/>
    <n v="6300"/>
    <d v="2020-03-16T00:00:00"/>
    <s v="Pirque"/>
    <n v="70662"/>
    <x v="2"/>
    <n v="1231"/>
    <n v="534"/>
    <n v="0.3"/>
    <m/>
  </r>
  <r>
    <n v="454"/>
    <s v="DE-1048"/>
    <x v="218"/>
    <x v="45"/>
    <x v="57"/>
    <s v="Boleta"/>
    <m/>
    <n v="6729"/>
    <n v="4691"/>
    <s v="C062"/>
    <s v="ulce"/>
    <n v="1"/>
    <n v="1043"/>
    <s v="%"/>
    <n v="1043"/>
    <n v="1241"/>
    <n v="1241"/>
    <d v="2020-03-16T00:00:00"/>
    <s v="Pirque"/>
    <n v="70662"/>
    <x v="19"/>
    <n v="730"/>
    <n v="313"/>
    <n v="0.3"/>
    <m/>
  </r>
  <r>
    <n v="454"/>
    <s v="DE-924"/>
    <x v="106"/>
    <x v="0"/>
    <x v="57"/>
    <s v="Boleta"/>
    <m/>
    <n v="6729"/>
    <n v="4691"/>
    <s v="C062"/>
    <s v="Verena Scholtbach"/>
    <n v="1"/>
    <n v="8571"/>
    <s v="%"/>
    <n v="8571"/>
    <n v="10200"/>
    <n v="10200"/>
    <d v="2020-03-16T00:00:00"/>
    <s v="Pirque"/>
    <n v="70662"/>
    <x v="10"/>
    <n v="6000"/>
    <n v="2571"/>
    <n v="0.3"/>
    <m/>
  </r>
  <r>
    <n v="455"/>
    <s v="DE-0191"/>
    <x v="219"/>
    <x v="52"/>
    <x v="57"/>
    <s v="Boleta"/>
    <m/>
    <n v="6729"/>
    <n v="4692"/>
    <s v="C062"/>
    <s v="Verena Scholtbach"/>
    <n v="1"/>
    <n v="5147"/>
    <s v="%"/>
    <n v="5147"/>
    <n v="6125"/>
    <n v="6125"/>
    <d v="2020-03-16T00:00:00"/>
    <s v="Pirque"/>
    <n v="9604"/>
    <x v="30"/>
    <n v="3603"/>
    <n v="1544"/>
    <n v="0.3"/>
    <m/>
  </r>
  <r>
    <n v="455"/>
    <s v="DE-704"/>
    <x v="220"/>
    <x v="87"/>
    <x v="57"/>
    <s v="Boleta"/>
    <m/>
    <n v="6729"/>
    <n v="4692"/>
    <s v="C062"/>
    <s v="Verena Scholtbach"/>
    <n v="1"/>
    <n v="1462"/>
    <s v="%"/>
    <n v="1462"/>
    <n v="1740"/>
    <n v="1740"/>
    <d v="2020-03-16T00:00:00"/>
    <s v="Pirque"/>
    <n v="9604"/>
    <x v="34"/>
    <n v="1041"/>
    <n v="421"/>
    <n v="0.28999999999999998"/>
    <m/>
  </r>
  <r>
    <n v="455"/>
    <s v="DE-705"/>
    <x v="221"/>
    <x v="87"/>
    <x v="57"/>
    <s v="Boleta"/>
    <m/>
    <n v="6729"/>
    <n v="4692"/>
    <s v="C062"/>
    <s v="Verena Scholtbach"/>
    <n v="1"/>
    <n v="1462"/>
    <s v="%"/>
    <n v="1462"/>
    <n v="1740"/>
    <n v="1740"/>
    <d v="2020-03-16T00:00:00"/>
    <s v="Pirque"/>
    <n v="9604"/>
    <x v="34"/>
    <n v="1041"/>
    <n v="421"/>
    <n v="0.28999999999999998"/>
    <m/>
  </r>
  <r>
    <n v="456"/>
    <s v="AS-0031"/>
    <x v="16"/>
    <x v="13"/>
    <x v="57"/>
    <s v="Boleta"/>
    <m/>
    <n v="6730"/>
    <n v="4693"/>
    <s v="C627"/>
    <s v="Luis Elola"/>
    <n v="5"/>
    <n v="3193"/>
    <s v="%"/>
    <n v="3193"/>
    <n v="3800"/>
    <n v="19000"/>
    <d v="2020-03-16T00:00:00"/>
    <s v="Pirque"/>
    <n v="19000"/>
    <x v="6"/>
    <n v="2200"/>
    <n v="993"/>
    <n v="0.31"/>
    <m/>
  </r>
  <r>
    <n v="458"/>
    <s v="MA-0027"/>
    <x v="9"/>
    <x v="8"/>
    <x v="57"/>
    <s v="Boleta"/>
    <m/>
    <n v="6731"/>
    <n v="4695"/>
    <s v="C572"/>
    <s v="Aldo Tapia"/>
    <n v="2"/>
    <n v="13866"/>
    <s v="%"/>
    <n v="13866"/>
    <n v="16500"/>
    <n v="33000"/>
    <d v="2020-03-17T00:00:00"/>
    <s v="Pirque"/>
    <n v="33000"/>
    <x v="7"/>
    <n v="10390"/>
    <n v="3476"/>
    <n v="0.25"/>
    <m/>
  </r>
  <r>
    <n v="459"/>
    <s v="MA-183"/>
    <x v="109"/>
    <x v="47"/>
    <x v="57"/>
    <s v="Boleta"/>
    <m/>
    <n v="6732"/>
    <n v="4696"/>
    <s v="C390"/>
    <s v="Auria Villanueva"/>
    <n v="1"/>
    <n v="23361"/>
    <s v="%"/>
    <n v="23361"/>
    <n v="27800"/>
    <n v="27800"/>
    <d v="2020-03-17T00:00:00"/>
    <s v="Pirque"/>
    <n v="27800"/>
    <x v="11"/>
    <n v="18726"/>
    <n v="4635"/>
    <n v="0.2"/>
    <m/>
  </r>
  <r>
    <n v="460"/>
    <s v="MA-121"/>
    <x v="111"/>
    <x v="4"/>
    <x v="58"/>
    <s v="Boleta"/>
    <m/>
    <n v="6733"/>
    <n v="4697"/>
    <s v="C065"/>
    <s v="Peter De Lamare"/>
    <n v="1"/>
    <n v="19496"/>
    <s v="%"/>
    <n v="19496"/>
    <n v="23200"/>
    <n v="23200"/>
    <d v="2020-03-17T00:00:00"/>
    <s v="Pirque"/>
    <n v="36400"/>
    <x v="4"/>
    <n v="14700"/>
    <n v="4796"/>
    <n v="0.25"/>
    <m/>
  </r>
  <r>
    <n v="460"/>
    <s v="MA-164"/>
    <x v="112"/>
    <x v="4"/>
    <x v="58"/>
    <s v="Boleta"/>
    <m/>
    <n v="6733"/>
    <n v="4697"/>
    <s v="C065"/>
    <s v="Peter De Lamare"/>
    <n v="2"/>
    <n v="4790"/>
    <s v="%"/>
    <n v="4790"/>
    <n v="5700"/>
    <n v="11400"/>
    <d v="2020-03-17T00:00:00"/>
    <s v="Pirque"/>
    <n v="36400"/>
    <x v="4"/>
    <n v="3360"/>
    <n v="1430"/>
    <n v="0.3"/>
    <m/>
  </r>
  <r>
    <n v="460"/>
    <s v="DE-550"/>
    <x v="1"/>
    <x v="1"/>
    <x v="58"/>
    <s v="Boleta"/>
    <m/>
    <n v="6733"/>
    <n v="4697"/>
    <s v="C065"/>
    <s v="Peter De Lamare"/>
    <n v="4"/>
    <n v="378"/>
    <s v="%"/>
    <n v="378"/>
    <n v="450"/>
    <n v="1800"/>
    <d v="2020-03-17T00:00:00"/>
    <s v="Pirque"/>
    <n v="36400"/>
    <x v="1"/>
    <n v="265"/>
    <n v="113"/>
    <n v="0.3"/>
    <m/>
  </r>
  <r>
    <n v="461"/>
    <s v="AS-29"/>
    <x v="192"/>
    <x v="13"/>
    <x v="58"/>
    <s v="Factura"/>
    <m/>
    <s v="sn"/>
    <n v="4698"/>
    <s v="C002"/>
    <s v="Miguel Moreno Fernandez"/>
    <n v="20"/>
    <n v="3062"/>
    <n v="0.05"/>
    <n v="2916"/>
    <n v="3461"/>
    <n v="69220"/>
    <d v="2020-03-17T00:00:00"/>
    <s v="Pirque"/>
    <n v="69224"/>
    <x v="6"/>
    <n v="2100"/>
    <n v="816"/>
    <n v="0.28000000000000003"/>
    <m/>
  </r>
  <r>
    <n v="462"/>
    <s v="MA-0027"/>
    <x v="9"/>
    <x v="8"/>
    <x v="58"/>
    <s v="Boleta"/>
    <m/>
    <n v="6734"/>
    <n v="4699"/>
    <s v="C063"/>
    <s v="Andrea Ramirez"/>
    <n v="1"/>
    <n v="13866"/>
    <s v="%"/>
    <n v="13866"/>
    <n v="16500"/>
    <n v="16500"/>
    <d v="2020-03-17T00:00:00"/>
    <s v="Pirque"/>
    <n v="16500"/>
    <x v="7"/>
    <n v="10390"/>
    <n v="3476"/>
    <n v="0.25"/>
    <m/>
  </r>
  <r>
    <n v="463"/>
    <s v="MA-0035"/>
    <x v="37"/>
    <x v="16"/>
    <x v="58"/>
    <s v="Boleta"/>
    <m/>
    <n v="6735"/>
    <n v="4700"/>
    <s v="C434"/>
    <s v="Betty Ravillot"/>
    <n v="1"/>
    <n v="16555"/>
    <s v="%"/>
    <n v="16555"/>
    <n v="19700"/>
    <n v="19700"/>
    <d v="2020-03-19T00:00:00"/>
    <s v="Pirque"/>
    <n v="19700"/>
    <x v="7"/>
    <n v="12429"/>
    <n v="4126"/>
    <n v="0.25"/>
    <m/>
  </r>
  <r>
    <n v="464"/>
    <s v="MA-0053"/>
    <x v="8"/>
    <x v="7"/>
    <x v="58"/>
    <s v="Boleta"/>
    <m/>
    <n v="6736"/>
    <n v="4701"/>
    <s v="C556"/>
    <s v="Patricio Tapia"/>
    <n v="2"/>
    <n v="13277"/>
    <s v="%"/>
    <n v="13277"/>
    <n v="15800"/>
    <n v="31600"/>
    <d v="2020-03-17T00:00:00"/>
    <s v="Pirque"/>
    <n v="31600"/>
    <x v="5"/>
    <n v="9975"/>
    <n v="3302"/>
    <n v="0.25"/>
    <m/>
  </r>
  <r>
    <n v="466"/>
    <s v="AS-0031"/>
    <x v="16"/>
    <x v="13"/>
    <x v="58"/>
    <s v="Boleta"/>
    <m/>
    <n v="6738"/>
    <n v="4703"/>
    <s v="C173"/>
    <s v="Joelle Buyse"/>
    <n v="5"/>
    <n v="3193"/>
    <s v="%"/>
    <n v="3193"/>
    <n v="3800"/>
    <n v="19000"/>
    <d v="2020-03-17T00:00:00"/>
    <s v="Pirque"/>
    <n v="19000"/>
    <x v="6"/>
    <n v="2200"/>
    <n v="993"/>
    <n v="0.31"/>
    <m/>
  </r>
  <r>
    <n v="467"/>
    <s v="AS-0022"/>
    <x v="200"/>
    <x v="28"/>
    <x v="58"/>
    <s v="Boleta"/>
    <m/>
    <n v="6739"/>
    <n v="4704"/>
    <s v="C371"/>
    <s v="Isabel Serrano"/>
    <n v="24"/>
    <n v="756"/>
    <s v="%"/>
    <n v="756"/>
    <n v="900"/>
    <n v="21600"/>
    <d v="2020-03-17T00:00:00"/>
    <s v="Pirque"/>
    <n v="21600"/>
    <x v="9"/>
    <n v="535"/>
    <n v="221"/>
    <n v="0.28999999999999998"/>
    <m/>
  </r>
  <r>
    <n v="468"/>
    <s v="AS-29"/>
    <x v="192"/>
    <x v="13"/>
    <x v="58"/>
    <s v="Boleta"/>
    <m/>
    <n v="6740"/>
    <n v="4705"/>
    <s v="C071"/>
    <s v="Jose Beck"/>
    <n v="3"/>
    <n v="3193"/>
    <s v="%"/>
    <n v="3193"/>
    <n v="3800"/>
    <n v="11400"/>
    <d v="2020-03-17T00:00:00"/>
    <s v="Pirque"/>
    <n v="34400"/>
    <x v="6"/>
    <n v="2100"/>
    <n v="1093"/>
    <n v="0.34"/>
    <m/>
  </r>
  <r>
    <n v="468"/>
    <s v="AS-0034"/>
    <x v="186"/>
    <x v="13"/>
    <x v="58"/>
    <s v="Boleta"/>
    <m/>
    <n v="6740"/>
    <n v="4705"/>
    <s v="C071"/>
    <s v="Jose Beck"/>
    <n v="2"/>
    <n v="4874"/>
    <s v="%"/>
    <n v="4874"/>
    <n v="5800"/>
    <n v="11600"/>
    <d v="2020-03-17T00:00:00"/>
    <s v="Pirque"/>
    <n v="34400"/>
    <x v="6"/>
    <n v="2400"/>
    <n v="2474"/>
    <n v="0.51"/>
    <m/>
  </r>
  <r>
    <n v="468"/>
    <s v="AS-0031"/>
    <x v="16"/>
    <x v="13"/>
    <x v="58"/>
    <s v="Boleta"/>
    <m/>
    <n v="6740"/>
    <n v="4705"/>
    <s v="C071"/>
    <s v="Jose Beck"/>
    <n v="3"/>
    <n v="3193"/>
    <s v="%"/>
    <n v="3193"/>
    <n v="3800"/>
    <n v="11400"/>
    <d v="2020-03-17T00:00:00"/>
    <s v="Pirque"/>
    <n v="34400"/>
    <x v="6"/>
    <n v="2200"/>
    <n v="993"/>
    <n v="0.31"/>
    <m/>
  </r>
  <r>
    <n v="469"/>
    <s v="MA-237"/>
    <x v="222"/>
    <x v="88"/>
    <x v="58"/>
    <s v="Boleta"/>
    <m/>
    <n v="6741"/>
    <n v="4706"/>
    <s v="C544"/>
    <s v="Carla Valencoa"/>
    <n v="1"/>
    <n v="22689"/>
    <s v="%"/>
    <n v="22689"/>
    <n v="27000"/>
    <n v="27000"/>
    <d v="2020-03-17T00:00:00"/>
    <s v="Pirque"/>
    <n v="27000"/>
    <x v="41"/>
    <n v="18972"/>
    <n v="3717"/>
    <n v="0.16"/>
    <m/>
  </r>
  <r>
    <n v="470"/>
    <s v="MA-237"/>
    <x v="222"/>
    <x v="88"/>
    <x v="58"/>
    <s v="Boleta"/>
    <m/>
    <n v="6742"/>
    <n v="4707"/>
    <s v="C546"/>
    <s v="Martha Feres"/>
    <n v="1"/>
    <n v="22689"/>
    <s v="%"/>
    <n v="22689"/>
    <n v="27000"/>
    <n v="27000"/>
    <d v="2020-03-17T00:00:00"/>
    <s v="Pirque"/>
    <n v="27000"/>
    <x v="41"/>
    <n v="18972"/>
    <n v="3717"/>
    <n v="0.16"/>
    <m/>
  </r>
  <r>
    <n v="471"/>
    <s v="MA-0040"/>
    <x v="28"/>
    <x v="16"/>
    <x v="58"/>
    <s v="Boleta"/>
    <m/>
    <n v="6743"/>
    <n v="4708"/>
    <s v="C620"/>
    <s v="Luz Maria Ossandon"/>
    <n v="3"/>
    <n v="16723"/>
    <s v="%"/>
    <n v="16723"/>
    <n v="19900"/>
    <n v="59700"/>
    <d v="2020-03-19T00:00:00"/>
    <s v="Pirque"/>
    <n v="59700"/>
    <x v="7"/>
    <n v="11888"/>
    <n v="4835"/>
    <n v="0.28999999999999998"/>
    <m/>
  </r>
  <r>
    <n v="472"/>
    <s v="MA-0107"/>
    <x v="63"/>
    <x v="4"/>
    <x v="59"/>
    <s v="Factura"/>
    <m/>
    <n v="1039993"/>
    <n v="4709"/>
    <s v="C001"/>
    <s v="Benito Campos y Cia Ltda."/>
    <n v="12"/>
    <n v="1787"/>
    <n v="0.08"/>
    <n v="1653"/>
    <n v="1954"/>
    <n v="23448"/>
    <d v="2020-03-18T00:00:00"/>
    <s v="Cajon"/>
    <n v="379214"/>
    <x v="4"/>
    <n v="1290"/>
    <n v="363"/>
    <n v="0.22"/>
    <m/>
  </r>
  <r>
    <n v="474"/>
    <s v="DE-727"/>
    <x v="43"/>
    <x v="23"/>
    <x v="59"/>
    <s v="Factura"/>
    <m/>
    <n v="1039994"/>
    <n v="4711"/>
    <s v="C001"/>
    <s v="Benito Campos y Cia Ltda."/>
    <n v="6"/>
    <n v="5030"/>
    <s v="%"/>
    <n v="5030"/>
    <n v="5986"/>
    <n v="35916"/>
    <d v="2020-03-18T00:00:00"/>
    <s v="Cajon"/>
    <n v="42101"/>
    <x v="15"/>
    <n v="3584"/>
    <n v="1446"/>
    <n v="0.28999999999999998"/>
    <m/>
  </r>
  <r>
    <n v="472"/>
    <s v="DE-1144"/>
    <x v="167"/>
    <x v="65"/>
    <x v="59"/>
    <s v="Factura"/>
    <m/>
    <n v="1039993"/>
    <n v="4709"/>
    <s v="C001"/>
    <s v="Benito Campos y Cia Ltda."/>
    <n v="20"/>
    <n v="3061"/>
    <n v="0.05"/>
    <n v="2915"/>
    <n v="3460"/>
    <n v="69200"/>
    <d v="2020-03-18T00:00:00"/>
    <s v="Cajon"/>
    <n v="379214"/>
    <x v="34"/>
    <n v="2210"/>
    <n v="705"/>
    <n v="0.24"/>
    <m/>
  </r>
  <r>
    <n v="472"/>
    <s v="DE-0210"/>
    <x v="223"/>
    <x v="50"/>
    <x v="59"/>
    <s v="Factura"/>
    <m/>
    <n v="1039993"/>
    <n v="4709"/>
    <s v="C001"/>
    <s v="Benito Campos y Cia Ltda."/>
    <n v="12"/>
    <n v="1130"/>
    <n v="0.03"/>
    <n v="1101"/>
    <n v="1309"/>
    <n v="15708"/>
    <d v="2020-03-18T00:00:00"/>
    <s v="Cajon"/>
    <n v="379214"/>
    <x v="28"/>
    <n v="816"/>
    <n v="285"/>
    <n v="0.26"/>
    <m/>
  </r>
  <r>
    <n v="472"/>
    <s v="DE-0208"/>
    <x v="145"/>
    <x v="50"/>
    <x v="59"/>
    <s v="Factura"/>
    <m/>
    <n v="1039993"/>
    <n v="4709"/>
    <s v="C001"/>
    <s v="Benito Campos y Cia Ltda."/>
    <n v="12"/>
    <n v="1130"/>
    <n v="0.03"/>
    <n v="1101"/>
    <n v="1309"/>
    <n v="15708"/>
    <d v="2020-03-18T00:00:00"/>
    <s v="Cajon"/>
    <n v="379214"/>
    <x v="28"/>
    <n v="816"/>
    <n v="285"/>
    <n v="0.26"/>
    <m/>
  </r>
  <r>
    <n v="472"/>
    <s v="DE-0542"/>
    <x v="224"/>
    <x v="50"/>
    <x v="59"/>
    <s v="Factura"/>
    <m/>
    <n v="1039993"/>
    <n v="4709"/>
    <s v="C001"/>
    <s v="Benito Campos y Cia Ltda."/>
    <n v="12"/>
    <n v="1130"/>
    <n v="0.03"/>
    <n v="1101"/>
    <n v="1309"/>
    <n v="15708"/>
    <d v="2020-03-18T00:00:00"/>
    <s v="Cajon"/>
    <n v="379214"/>
    <x v="28"/>
    <n v="816"/>
    <n v="285"/>
    <n v="0.26"/>
    <m/>
  </r>
  <r>
    <n v="472"/>
    <s v="MA-0102"/>
    <x v="50"/>
    <x v="4"/>
    <x v="59"/>
    <s v="Factura"/>
    <m/>
    <n v="1039993"/>
    <n v="4709"/>
    <s v="C001"/>
    <s v="Benito Campos y Cia Ltda."/>
    <n v="40"/>
    <n v="880"/>
    <n v="0.08"/>
    <n v="813"/>
    <n v="960"/>
    <n v="38400"/>
    <d v="2020-03-18T00:00:00"/>
    <s v="Cajon"/>
    <n v="379214"/>
    <x v="4"/>
    <n v="635"/>
    <n v="178"/>
    <n v="0.22"/>
    <m/>
  </r>
  <r>
    <n v="472"/>
    <s v="MA-0103"/>
    <x v="51"/>
    <x v="4"/>
    <x v="59"/>
    <s v="Factura"/>
    <m/>
    <n v="1039993"/>
    <n v="4709"/>
    <s v="C001"/>
    <s v="Benito Campos y Cia Ltda."/>
    <n v="32"/>
    <n v="1676"/>
    <n v="0.08"/>
    <n v="1553"/>
    <n v="1837"/>
    <n v="58784"/>
    <d v="2020-03-18T00:00:00"/>
    <s v="Cajon"/>
    <n v="379214"/>
    <x v="4"/>
    <n v="1210"/>
    <n v="343"/>
    <n v="0.22"/>
    <m/>
  </r>
  <r>
    <n v="472"/>
    <s v="DE-1060"/>
    <x v="147"/>
    <x v="57"/>
    <x v="59"/>
    <s v="Factura"/>
    <m/>
    <n v="1039993"/>
    <n v="4709"/>
    <s v="C001"/>
    <s v="Benito Campos y Cia Ltda."/>
    <n v="48"/>
    <n v="1248"/>
    <n v="0.05"/>
    <n v="1189"/>
    <n v="1411"/>
    <n v="67728"/>
    <d v="2020-03-18T00:00:00"/>
    <s v="Cajon"/>
    <n v="379214"/>
    <x v="19"/>
    <n v="901"/>
    <n v="288"/>
    <n v="0.24"/>
    <m/>
  </r>
  <r>
    <n v="472"/>
    <s v="DE-1058"/>
    <x v="89"/>
    <x v="39"/>
    <x v="59"/>
    <s v="Factura"/>
    <m/>
    <n v="1039993"/>
    <n v="4709"/>
    <s v="C001"/>
    <s v="Benito Campos y Cia Ltda."/>
    <n v="40"/>
    <n v="1648"/>
    <n v="0.05"/>
    <n v="1570"/>
    <n v="1863"/>
    <n v="74520"/>
    <d v="2020-03-18T00:00:00"/>
    <s v="Cajon"/>
    <n v="379214"/>
    <x v="19"/>
    <n v="1190"/>
    <n v="380"/>
    <n v="0.24"/>
    <m/>
  </r>
  <r>
    <n v="473"/>
    <s v="DE-0237"/>
    <x v="164"/>
    <x v="29"/>
    <x v="59"/>
    <s v="Factura"/>
    <m/>
    <n v="1039994"/>
    <n v="4710"/>
    <s v="C001"/>
    <s v="Benito Campos y Cia Ltda."/>
    <n v="24"/>
    <n v="314"/>
    <n v="-0.06"/>
    <n v="334"/>
    <n v="397"/>
    <n v="9528"/>
    <d v="2020-03-18T00:00:00"/>
    <s v="Cajon"/>
    <n v="218751"/>
    <x v="20"/>
    <n v="227"/>
    <n v="107"/>
    <n v="0.32"/>
    <m/>
  </r>
  <r>
    <n v="473"/>
    <s v="DE-0236"/>
    <x v="122"/>
    <x v="29"/>
    <x v="59"/>
    <s v="Factura"/>
    <m/>
    <n v="1039994"/>
    <n v="4710"/>
    <s v="C001"/>
    <s v="Benito Campos y Cia Ltda."/>
    <n v="24"/>
    <n v="314"/>
    <n v="-0.06"/>
    <n v="334"/>
    <n v="397"/>
    <n v="9528"/>
    <d v="2020-03-18T00:00:00"/>
    <s v="Cajon"/>
    <n v="218751"/>
    <x v="20"/>
    <n v="227"/>
    <n v="107"/>
    <n v="0.32"/>
    <m/>
  </r>
  <r>
    <n v="473"/>
    <s v="DE-0233"/>
    <x v="87"/>
    <x v="29"/>
    <x v="59"/>
    <s v="Factura"/>
    <m/>
    <n v="1039994"/>
    <n v="4710"/>
    <s v="C001"/>
    <s v="Benito Campos y Cia Ltda."/>
    <n v="24"/>
    <n v="314"/>
    <n v="-0.06"/>
    <n v="334"/>
    <n v="397"/>
    <n v="9528"/>
    <d v="2020-03-18T00:00:00"/>
    <s v="Cajon"/>
    <n v="218751"/>
    <x v="20"/>
    <n v="227"/>
    <n v="107"/>
    <n v="0.32"/>
    <m/>
  </r>
  <r>
    <n v="473"/>
    <s v="DE-932"/>
    <x v="225"/>
    <x v="53"/>
    <x v="59"/>
    <s v="Factura"/>
    <m/>
    <n v="1039994"/>
    <n v="4710"/>
    <s v="C001"/>
    <s v="Benito Campos y Cia Ltda."/>
    <n v="12"/>
    <n v="1898"/>
    <n v="0.03"/>
    <n v="1843"/>
    <n v="2190"/>
    <n v="26280"/>
    <d v="2020-03-18T00:00:00"/>
    <s v="Cajon"/>
    <n v="218751"/>
    <x v="29"/>
    <n v="1370"/>
    <n v="473"/>
    <n v="0.26"/>
    <m/>
  </r>
  <r>
    <n v="473"/>
    <s v="DE-930"/>
    <x v="127"/>
    <x v="53"/>
    <x v="59"/>
    <s v="Factura"/>
    <m/>
    <n v="1039994"/>
    <n v="4710"/>
    <s v="C001"/>
    <s v="Benito Campos y Cia Ltda."/>
    <n v="12"/>
    <n v="1981"/>
    <n v="0.03"/>
    <n v="1923"/>
    <n v="2286"/>
    <n v="27432"/>
    <d v="2020-03-18T00:00:00"/>
    <s v="Cajon"/>
    <n v="218751"/>
    <x v="29"/>
    <n v="1430"/>
    <n v="493"/>
    <n v="0.26"/>
    <m/>
  </r>
  <r>
    <n v="473"/>
    <s v="DE-927"/>
    <x v="226"/>
    <x v="53"/>
    <x v="59"/>
    <s v="Factura"/>
    <m/>
    <n v="1039994"/>
    <n v="4710"/>
    <s v="C001"/>
    <s v="Benito Campos y Cia Ltda."/>
    <n v="12"/>
    <n v="1787"/>
    <n v="0.03"/>
    <n v="1735"/>
    <n v="2062"/>
    <n v="24744"/>
    <d v="2020-03-18T00:00:00"/>
    <s v="Cajon"/>
    <n v="218751"/>
    <x v="29"/>
    <n v="1290"/>
    <n v="445"/>
    <n v="0.26"/>
    <m/>
  </r>
  <r>
    <n v="473"/>
    <s v="DE-936"/>
    <x v="128"/>
    <x v="53"/>
    <x v="59"/>
    <s v="Factura"/>
    <m/>
    <n v="1039994"/>
    <n v="4710"/>
    <s v="C001"/>
    <s v="Benito Campos y Cia Ltda."/>
    <n v="12"/>
    <n v="1773"/>
    <n v="0.03"/>
    <n v="1721"/>
    <n v="2046"/>
    <n v="24552"/>
    <d v="2020-03-18T00:00:00"/>
    <s v="Cajon"/>
    <n v="218751"/>
    <x v="29"/>
    <n v="1280"/>
    <n v="441"/>
    <n v="0.26"/>
    <m/>
  </r>
  <r>
    <n v="473"/>
    <s v="DE-931"/>
    <x v="129"/>
    <x v="53"/>
    <x v="59"/>
    <s v="Factura"/>
    <m/>
    <n v="1039994"/>
    <n v="4710"/>
    <s v="C001"/>
    <s v="Benito Campos y Cia Ltda."/>
    <n v="12"/>
    <n v="1981"/>
    <n v="0.03"/>
    <n v="1923"/>
    <n v="2286"/>
    <n v="27432"/>
    <d v="2020-03-18T00:00:00"/>
    <s v="Cajon"/>
    <n v="218751"/>
    <x v="29"/>
    <n v="1430"/>
    <n v="493"/>
    <n v="0.26"/>
    <m/>
  </r>
  <r>
    <n v="473"/>
    <s v="DE-1198"/>
    <x v="227"/>
    <x v="54"/>
    <x v="59"/>
    <s v="Factura"/>
    <m/>
    <n v="1039994"/>
    <n v="4710"/>
    <s v="C001"/>
    <s v="Benito Campos y Cia Ltda."/>
    <n v="12"/>
    <n v="1274"/>
    <n v="-0.25"/>
    <n v="1706"/>
    <n v="1900"/>
    <n v="22800"/>
    <d v="2020-03-18T00:00:00"/>
    <s v="Cajon"/>
    <n v="218751"/>
    <x v="31"/>
    <n v="920"/>
    <n v="786"/>
    <n v="0.46"/>
    <m/>
  </r>
  <r>
    <n v="473"/>
    <s v="AS-0026"/>
    <x v="196"/>
    <x v="6"/>
    <x v="59"/>
    <s v="Factura"/>
    <m/>
    <n v="1039994"/>
    <n v="4710"/>
    <s v="C001"/>
    <s v="Benito Campos y Cia Ltda."/>
    <n v="10"/>
    <n v="3162"/>
    <n v="0.02"/>
    <n v="3105"/>
    <n v="3694"/>
    <n v="36940"/>
    <d v="2020-03-18T00:00:00"/>
    <s v="Cajon"/>
    <n v="218751"/>
    <x v="9"/>
    <n v="2283"/>
    <n v="822"/>
    <n v="0.26"/>
    <m/>
  </r>
  <r>
    <n v="475"/>
    <s v="MA-0046"/>
    <x v="46"/>
    <x v="17"/>
    <x v="59"/>
    <s v="Boleta"/>
    <m/>
    <n v="6744"/>
    <n v="4712"/>
    <s v="C677"/>
    <s v="Paola Jorquera"/>
    <n v="1"/>
    <n v="8571"/>
    <s v="%"/>
    <n v="8571"/>
    <n v="10200"/>
    <n v="10200"/>
    <d v="2020-03-18T00:00:00"/>
    <s v="Pirque"/>
    <n v="10200"/>
    <x v="7"/>
    <n v="6436"/>
    <n v="2135"/>
    <n v="0.25"/>
    <m/>
  </r>
  <r>
    <n v="476"/>
    <s v="MA-0035"/>
    <x v="37"/>
    <x v="16"/>
    <x v="59"/>
    <s v="Boleta"/>
    <m/>
    <n v="6745"/>
    <n v="4713"/>
    <s v="C663"/>
    <s v="Graciela Lobos"/>
    <n v="1"/>
    <n v="16555"/>
    <s v="%"/>
    <n v="16555"/>
    <n v="19700"/>
    <n v="19700"/>
    <d v="2020-03-19T00:00:00"/>
    <s v="Pirque"/>
    <n v="46700"/>
    <x v="7"/>
    <n v="12429"/>
    <n v="4126"/>
    <n v="0.25"/>
    <m/>
  </r>
  <r>
    <n v="476"/>
    <s v="MA-237"/>
    <x v="222"/>
    <x v="88"/>
    <x v="59"/>
    <s v="Boleta"/>
    <m/>
    <n v="6745"/>
    <n v="4713"/>
    <s v="C663"/>
    <s v="Graciela Lobos"/>
    <n v="1"/>
    <n v="22689"/>
    <s v="%"/>
    <n v="22689"/>
    <n v="27000"/>
    <n v="27000"/>
    <d v="2020-03-19T00:00:00"/>
    <s v="Pirque"/>
    <n v="46700"/>
    <x v="41"/>
    <n v="18972"/>
    <n v="3717"/>
    <n v="0.16"/>
    <m/>
  </r>
  <r>
    <n v="477"/>
    <s v="MA-0035"/>
    <x v="37"/>
    <x v="16"/>
    <x v="59"/>
    <s v="Boleta"/>
    <m/>
    <n v="6746"/>
    <n v="4714"/>
    <s v="C073"/>
    <s v="Celinda Varela"/>
    <n v="1"/>
    <n v="16555"/>
    <s v="%"/>
    <n v="16555"/>
    <n v="19700"/>
    <n v="19700"/>
    <d v="2020-03-21T00:00:00"/>
    <s v="Pirque"/>
    <n v="19700"/>
    <x v="7"/>
    <n v="12429"/>
    <n v="4126"/>
    <n v="0.25"/>
    <m/>
  </r>
  <r>
    <n v="478"/>
    <s v="MA-0035"/>
    <x v="37"/>
    <x v="16"/>
    <x v="59"/>
    <s v="Boleta"/>
    <m/>
    <n v="6747"/>
    <n v="4715"/>
    <s v="C359"/>
    <s v="Manuel Perez"/>
    <n v="1"/>
    <n v="16555"/>
    <s v="%"/>
    <n v="16555"/>
    <n v="19700"/>
    <n v="19700"/>
    <d v="2020-03-19T00:00:00"/>
    <s v="Pirque"/>
    <n v="29900"/>
    <x v="7"/>
    <n v="12429"/>
    <n v="4126"/>
    <n v="0.25"/>
    <m/>
  </r>
  <r>
    <n v="478"/>
    <s v="MA-0046"/>
    <x v="46"/>
    <x v="17"/>
    <x v="59"/>
    <s v="Boleta"/>
    <m/>
    <n v="6747"/>
    <n v="4715"/>
    <s v="C359"/>
    <s v="Manuel Perez"/>
    <n v="1"/>
    <n v="8571"/>
    <s v="%"/>
    <n v="8571"/>
    <n v="10200"/>
    <n v="10200"/>
    <d v="2020-03-19T00:00:00"/>
    <s v="Pirque"/>
    <n v="29900"/>
    <x v="7"/>
    <n v="6436"/>
    <n v="2135"/>
    <n v="0.25"/>
    <m/>
  </r>
  <r>
    <n v="479"/>
    <s v="AS-29"/>
    <x v="192"/>
    <x v="13"/>
    <x v="59"/>
    <s v="Boleta"/>
    <m/>
    <n v="6748"/>
    <n v="4716"/>
    <s v="C108"/>
    <s v="Denisse Marti"/>
    <n v="3"/>
    <n v="3193"/>
    <s v="%"/>
    <n v="3193"/>
    <n v="3800"/>
    <n v="11400"/>
    <d v="2020-03-18T00:00:00"/>
    <s v="Pirque"/>
    <n v="36400"/>
    <x v="6"/>
    <n v="2100"/>
    <n v="1093"/>
    <n v="0.34"/>
    <m/>
  </r>
  <r>
    <n v="479"/>
    <s v="AS-0031"/>
    <x v="16"/>
    <x v="13"/>
    <x v="59"/>
    <s v="Boleta"/>
    <m/>
    <n v="6748"/>
    <n v="4716"/>
    <s v="C108"/>
    <s v="Denisse Marti"/>
    <n v="2"/>
    <n v="3193"/>
    <s v="%"/>
    <n v="3193"/>
    <n v="3800"/>
    <n v="7600"/>
    <d v="2020-03-18T00:00:00"/>
    <s v="Pirque"/>
    <n v="36400"/>
    <x v="6"/>
    <n v="2200"/>
    <n v="993"/>
    <n v="0.31"/>
    <m/>
  </r>
  <r>
    <n v="479"/>
    <s v="AS-0034"/>
    <x v="186"/>
    <x v="13"/>
    <x v="59"/>
    <s v="Boleta"/>
    <m/>
    <n v="6748"/>
    <n v="4716"/>
    <s v="C108"/>
    <s v="Denisse Marti"/>
    <n v="3"/>
    <n v="4874"/>
    <s v="%"/>
    <n v="4874"/>
    <n v="5800"/>
    <n v="17400"/>
    <d v="2020-03-18T00:00:00"/>
    <s v="Pirque"/>
    <n v="36400"/>
    <x v="6"/>
    <n v="2400"/>
    <n v="2474"/>
    <n v="0.51"/>
    <m/>
  </r>
  <r>
    <n v="480"/>
    <s v="GR-0054"/>
    <x v="30"/>
    <x v="18"/>
    <x v="59"/>
    <s v="Boleta"/>
    <m/>
    <n v="6749"/>
    <n v="4717"/>
    <s v="C638"/>
    <s v="Catherine Barra"/>
    <n v="1"/>
    <n v="19328"/>
    <s v="%"/>
    <n v="19328"/>
    <n v="23000"/>
    <n v="23000"/>
    <d v="2020-03-18T00:00:00"/>
    <s v="Pirque"/>
    <n v="23000"/>
    <x v="5"/>
    <n v="14604"/>
    <n v="4724"/>
    <n v="0.24"/>
    <m/>
  </r>
  <r>
    <n v="481"/>
    <s v="MA-166"/>
    <x v="5"/>
    <x v="5"/>
    <x v="59"/>
    <s v="Boleta"/>
    <m/>
    <n v="6750"/>
    <n v="4718"/>
    <s v="C501"/>
    <s v="Victor Rodriguez"/>
    <n v="1"/>
    <n v="19748"/>
    <s v="%"/>
    <n v="19748"/>
    <n v="23500"/>
    <n v="23500"/>
    <d v="2020-03-18T00:00:00"/>
    <s v="Pirque"/>
    <n v="23500"/>
    <x v="5"/>
    <n v="14122"/>
    <n v="5626"/>
    <n v="0.28000000000000003"/>
    <m/>
  </r>
  <r>
    <n v="482"/>
    <s v="MA-0035"/>
    <x v="37"/>
    <x v="16"/>
    <x v="59"/>
    <s v="Boleta"/>
    <m/>
    <n v="6751"/>
    <n v="4719"/>
    <s v="C434"/>
    <s v="Betty Ravillot"/>
    <n v="3"/>
    <n v="16555"/>
    <s v="%"/>
    <n v="16555"/>
    <n v="19700"/>
    <n v="59100"/>
    <d v="2020-03-19T00:00:00"/>
    <s v="Pirque"/>
    <n v="92600"/>
    <x v="7"/>
    <n v="12429"/>
    <n v="4126"/>
    <n v="0.25"/>
    <m/>
  </r>
  <r>
    <n v="482"/>
    <s v="MA-162"/>
    <x v="110"/>
    <x v="48"/>
    <x v="59"/>
    <s v="Boleta"/>
    <m/>
    <n v="6751"/>
    <n v="4719"/>
    <s v="C434"/>
    <s v="Betty Ravillot"/>
    <n v="1"/>
    <n v="28151"/>
    <s v="%"/>
    <n v="28151"/>
    <n v="33500"/>
    <n v="33500"/>
    <d v="2020-03-19T00:00:00"/>
    <s v="Pirque"/>
    <n v="92600"/>
    <x v="5"/>
    <n v="21094"/>
    <n v="7057"/>
    <n v="0.25"/>
    <m/>
  </r>
  <r>
    <n v="483"/>
    <s v="MA-0053"/>
    <x v="8"/>
    <x v="7"/>
    <x v="59"/>
    <s v="Boleta"/>
    <m/>
    <n v="6752"/>
    <n v="4720"/>
    <s v="C636"/>
    <s v="Jessica Cabello"/>
    <n v="1"/>
    <n v="13277"/>
    <s v="%"/>
    <n v="13277"/>
    <n v="15800"/>
    <n v="15800"/>
    <d v="2020-03-18T00:00:00"/>
    <s v="Pirque"/>
    <n v="15800"/>
    <x v="5"/>
    <n v="9975"/>
    <n v="3302"/>
    <n v="0.25"/>
    <m/>
  </r>
  <r>
    <n v="484"/>
    <s v="MA-118"/>
    <x v="212"/>
    <x v="18"/>
    <x v="59"/>
    <s v="Factura"/>
    <m/>
    <n v="6753"/>
    <n v="4721"/>
    <s v="C370"/>
    <s v="Manuel Monteiro"/>
    <n v="3"/>
    <n v="10504"/>
    <s v="%"/>
    <n v="10504"/>
    <n v="12500"/>
    <n v="37500"/>
    <d v="2020-03-18T00:00:00"/>
    <s v="Pirque"/>
    <n v="37500"/>
    <x v="5"/>
    <n v="7956"/>
    <n v="2548"/>
    <n v="0.24"/>
    <m/>
  </r>
  <r>
    <n v="485"/>
    <s v="AS-50"/>
    <x v="203"/>
    <x v="73"/>
    <x v="59"/>
    <s v="Boleta"/>
    <m/>
    <n v="6754"/>
    <n v="4722"/>
    <s v="C371"/>
    <s v="Isabel Serrano"/>
    <n v="2"/>
    <n v="2941"/>
    <s v="%"/>
    <n v="2941"/>
    <n v="3500"/>
    <n v="7000"/>
    <d v="2020-03-18T00:00:00"/>
    <s v="Pirque"/>
    <n v="7000"/>
    <x v="36"/>
    <n v="2342"/>
    <n v="599"/>
    <n v="0.2"/>
    <m/>
  </r>
  <r>
    <n v="486"/>
    <s v="MA-0003"/>
    <x v="41"/>
    <x v="21"/>
    <x v="59"/>
    <s v="Boleta"/>
    <m/>
    <n v="6755"/>
    <n v="4723"/>
    <s v="C249"/>
    <s v="Daniela Aviles"/>
    <n v="1"/>
    <n v="17815"/>
    <s v="%"/>
    <n v="17815"/>
    <n v="21200"/>
    <n v="21200"/>
    <d v="2020-03-18T00:00:00"/>
    <s v="Pirque"/>
    <n v="21200"/>
    <x v="5"/>
    <n v="13279"/>
    <n v="4536"/>
    <n v="0.25"/>
    <m/>
  </r>
  <r>
    <n v="487"/>
    <s v="AS-0022"/>
    <x v="200"/>
    <x v="28"/>
    <x v="59"/>
    <s v="Boleta"/>
    <m/>
    <n v="6553"/>
    <n v="4724"/>
    <s v="C097"/>
    <s v="Natalia Jorquera"/>
    <n v="12"/>
    <n v="756"/>
    <s v="%"/>
    <n v="756"/>
    <n v="900"/>
    <n v="10800"/>
    <d v="2020-03-18T00:00:00"/>
    <s v="Pirque"/>
    <n v="48623"/>
    <x v="9"/>
    <n v="535"/>
    <n v="221"/>
    <n v="0.28999999999999998"/>
    <m/>
  </r>
  <r>
    <n v="487"/>
    <s v="DE-0021"/>
    <x v="64"/>
    <x v="35"/>
    <x v="59"/>
    <s v="Boleta"/>
    <m/>
    <n v="6553"/>
    <n v="4724"/>
    <s v="C097"/>
    <s v="Natalia Jorquera"/>
    <n v="1"/>
    <n v="13445"/>
    <s v="%"/>
    <n v="13445"/>
    <n v="16000"/>
    <n v="16000"/>
    <d v="2020-03-18T00:00:00"/>
    <s v="Pirque"/>
    <n v="48623"/>
    <x v="17"/>
    <n v="9526"/>
    <n v="3919"/>
    <n v="0.28999999999999998"/>
    <m/>
  </r>
  <r>
    <n v="487"/>
    <s v="DE-1141"/>
    <x v="118"/>
    <x v="31"/>
    <x v="59"/>
    <s v="Boleta"/>
    <m/>
    <n v="6553"/>
    <n v="4724"/>
    <s v="C097"/>
    <s v="Natalia Jorquera"/>
    <n v="3"/>
    <n v="756"/>
    <s v="%"/>
    <n v="756"/>
    <n v="900"/>
    <n v="2700"/>
    <d v="2020-03-18T00:00:00"/>
    <s v="Pirque"/>
    <n v="48623"/>
    <x v="9"/>
    <n v="510"/>
    <n v="246"/>
    <n v="0.33"/>
    <m/>
  </r>
  <r>
    <n v="487"/>
    <s v="DE-555"/>
    <x v="76"/>
    <x v="1"/>
    <x v="59"/>
    <s v="Boleta"/>
    <m/>
    <n v="6553"/>
    <n v="4724"/>
    <s v="C097"/>
    <s v="Natalia Jorquera"/>
    <n v="5"/>
    <n v="252"/>
    <s v="%"/>
    <n v="252"/>
    <n v="300"/>
    <n v="1500"/>
    <d v="2020-03-18T00:00:00"/>
    <s v="Pirque"/>
    <n v="48623"/>
    <x v="1"/>
    <n v="176"/>
    <n v="76"/>
    <n v="0.3"/>
    <m/>
  </r>
  <r>
    <n v="487"/>
    <s v="AS-0012"/>
    <x v="228"/>
    <x v="73"/>
    <x v="59"/>
    <s v="Boleta"/>
    <m/>
    <n v="6553"/>
    <n v="4724"/>
    <s v="C097"/>
    <s v="Natalia Jorquera"/>
    <n v="1"/>
    <n v="672"/>
    <s v="%"/>
    <n v="672"/>
    <n v="800"/>
    <n v="800"/>
    <d v="2020-03-18T00:00:00"/>
    <s v="Pirque"/>
    <n v="48623"/>
    <x v="36"/>
    <s v="$"/>
    <n v="672"/>
    <n v="1"/>
    <m/>
  </r>
  <r>
    <n v="487"/>
    <s v="DE-711"/>
    <x v="229"/>
    <x v="1"/>
    <x v="59"/>
    <s v="Boleta"/>
    <m/>
    <n v="6553"/>
    <n v="4724"/>
    <s v="C097"/>
    <s v="Natalia Jorquera"/>
    <n v="5"/>
    <n v="546"/>
    <s v="%"/>
    <n v="546"/>
    <n v="650"/>
    <n v="3250"/>
    <d v="2020-03-18T00:00:00"/>
    <s v="Pirque"/>
    <n v="48623"/>
    <x v="1"/>
    <n v="383"/>
    <n v="164"/>
    <n v="0.3"/>
    <m/>
  </r>
  <r>
    <n v="487"/>
    <s v="DE-1191"/>
    <x v="230"/>
    <x v="89"/>
    <x v="59"/>
    <s v="Boleta"/>
    <m/>
    <n v="6553"/>
    <n v="4724"/>
    <s v="C097"/>
    <s v="Natalia Jorquera"/>
    <n v="1"/>
    <n v="792"/>
    <s v="%"/>
    <n v="792"/>
    <n v="943"/>
    <n v="943"/>
    <d v="2020-03-18T00:00:00"/>
    <s v="Pirque"/>
    <n v="48623"/>
    <x v="17"/>
    <n v="515"/>
    <n v="277"/>
    <n v="0.35"/>
    <m/>
  </r>
  <r>
    <n v="487"/>
    <s v="DE-550"/>
    <x v="1"/>
    <x v="1"/>
    <x v="59"/>
    <s v="Boleta"/>
    <m/>
    <n v="6553"/>
    <n v="4724"/>
    <s v="C097"/>
    <s v="Natalia Jorquera"/>
    <n v="3"/>
    <n v="378"/>
    <s v="%"/>
    <n v="378"/>
    <n v="450"/>
    <n v="1350"/>
    <d v="2020-03-18T00:00:00"/>
    <s v="Pirque"/>
    <n v="48623"/>
    <x v="1"/>
    <n v="265"/>
    <n v="113"/>
    <n v="0.3"/>
    <m/>
  </r>
  <r>
    <n v="487"/>
    <s v="DE-704"/>
    <x v="220"/>
    <x v="87"/>
    <x v="59"/>
    <s v="Boleta"/>
    <m/>
    <n v="6553"/>
    <n v="4724"/>
    <s v="C097"/>
    <s v="Natalia Jorquera"/>
    <n v="2"/>
    <n v="1462"/>
    <s v="%"/>
    <n v="1462"/>
    <n v="1740"/>
    <n v="3480"/>
    <d v="2020-03-18T00:00:00"/>
    <s v="Pirque"/>
    <n v="48623"/>
    <x v="34"/>
    <n v="1041"/>
    <n v="421"/>
    <n v="0.28999999999999998"/>
    <m/>
  </r>
  <r>
    <n v="487"/>
    <s v="BA-53"/>
    <x v="231"/>
    <x v="90"/>
    <x v="59"/>
    <s v="Boleta"/>
    <m/>
    <n v="6553"/>
    <n v="4724"/>
    <s v="C097"/>
    <s v="Natalia Jorquera"/>
    <n v="2"/>
    <n v="3277"/>
    <s v="%"/>
    <n v="3277"/>
    <n v="3900"/>
    <n v="7800"/>
    <d v="2020-03-18T00:00:00"/>
    <s v="Pirque"/>
    <n v="48623"/>
    <x v="42"/>
    <n v="2800"/>
    <n v="477"/>
    <n v="0.15"/>
    <m/>
  </r>
  <r>
    <n v="488"/>
    <s v="MA-0040"/>
    <x v="28"/>
    <x v="16"/>
    <x v="59"/>
    <s v="Boleta"/>
    <m/>
    <n v="6756"/>
    <n v="4725"/>
    <s v="C072"/>
    <s v="Walter Folch"/>
    <n v="1"/>
    <n v="16723"/>
    <s v="%"/>
    <n v="16723"/>
    <n v="19900"/>
    <n v="19900"/>
    <d v="2020-03-18T00:00:00"/>
    <s v="Pirque"/>
    <n v="47900"/>
    <x v="7"/>
    <n v="11888"/>
    <n v="4835"/>
    <n v="0.28999999999999998"/>
    <m/>
  </r>
  <r>
    <n v="488"/>
    <s v="DE-569"/>
    <x v="10"/>
    <x v="9"/>
    <x v="59"/>
    <s v="Boleta"/>
    <m/>
    <n v="6756"/>
    <n v="4725"/>
    <s v="C072"/>
    <s v="Walter Folch"/>
    <n v="1"/>
    <n v="20588"/>
    <s v="%"/>
    <n v="20588"/>
    <n v="24500"/>
    <n v="24500"/>
    <d v="2020-03-18T00:00:00"/>
    <s v="Pirque"/>
    <n v="47900"/>
    <x v="8"/>
    <n v="16386"/>
    <n v="4202"/>
    <n v="0.2"/>
    <m/>
  </r>
  <r>
    <n v="488"/>
    <s v="AS-79"/>
    <x v="232"/>
    <x v="73"/>
    <x v="59"/>
    <s v="Boleta"/>
    <m/>
    <n v="6756"/>
    <n v="4725"/>
    <s v="C072"/>
    <s v="Walter Folch"/>
    <n v="1"/>
    <n v="2941"/>
    <s v="%"/>
    <n v="2941"/>
    <n v="3500"/>
    <n v="3500"/>
    <d v="2020-03-18T00:00:00"/>
    <s v="Pirque"/>
    <n v="47900"/>
    <x v="36"/>
    <n v="2079"/>
    <n v="862"/>
    <n v="0.28999999999999998"/>
    <m/>
  </r>
  <r>
    <n v="489"/>
    <s v="MA-193"/>
    <x v="38"/>
    <x v="20"/>
    <x v="60"/>
    <s v="Boleta"/>
    <m/>
    <n v="6757"/>
    <n v="4726"/>
    <s v="C546"/>
    <s v="Martha Feres"/>
    <n v="1"/>
    <n v="29832"/>
    <s v="%"/>
    <n v="29832"/>
    <n v="35500"/>
    <n v="35500"/>
    <d v="2020-03-19T00:00:00"/>
    <s v="Pirque"/>
    <n v="35500"/>
    <x v="11"/>
    <n v="26207"/>
    <n v="3625"/>
    <n v="0.12"/>
    <m/>
  </r>
  <r>
    <n v="490"/>
    <s v="MA-214"/>
    <x v="13"/>
    <x v="12"/>
    <x v="60"/>
    <s v="Boleta"/>
    <m/>
    <n v="6758"/>
    <n v="4727"/>
    <s v="C678"/>
    <s v="Lupe Gatica"/>
    <n v="1"/>
    <n v="26471"/>
    <s v="%"/>
    <n v="26471"/>
    <n v="31500"/>
    <n v="31500"/>
    <d v="2020-03-19T00:00:00"/>
    <s v="Pirque"/>
    <n v="31500"/>
    <x v="11"/>
    <n v="21183"/>
    <n v="5288"/>
    <n v="0.2"/>
    <m/>
  </r>
  <r>
    <n v="491"/>
    <s v="MA-0027"/>
    <x v="9"/>
    <x v="8"/>
    <x v="60"/>
    <s v="Boleta"/>
    <m/>
    <n v="6759"/>
    <n v="4728"/>
    <s v="C679"/>
    <s v="Ma Jose Olguin"/>
    <n v="2"/>
    <n v="13866"/>
    <s v="%"/>
    <n v="13866"/>
    <n v="16500"/>
    <n v="33000"/>
    <d v="2020-03-19T00:00:00"/>
    <s v="Pirque"/>
    <n v="33000"/>
    <x v="7"/>
    <n v="10390"/>
    <n v="3476"/>
    <n v="0.25"/>
    <m/>
  </r>
  <r>
    <n v="492"/>
    <s v="MA-0053"/>
    <x v="8"/>
    <x v="7"/>
    <x v="60"/>
    <s v="Boleta"/>
    <m/>
    <n v="6760"/>
    <n v="4729"/>
    <s v="C364"/>
    <s v="Herminda Arriagada"/>
    <n v="1"/>
    <n v="13277"/>
    <s v="%"/>
    <n v="13277"/>
    <n v="15800"/>
    <n v="15800"/>
    <d v="2020-03-19T00:00:00"/>
    <s v="Pirque"/>
    <n v="81400"/>
    <x v="5"/>
    <n v="9975"/>
    <n v="3302"/>
    <n v="0.25"/>
    <m/>
  </r>
  <r>
    <n v="492"/>
    <s v="MA-0004"/>
    <x v="139"/>
    <x v="21"/>
    <x v="60"/>
    <s v="Boleta"/>
    <m/>
    <n v="6760"/>
    <n v="4729"/>
    <s v="C364"/>
    <s v="Herminda Arriagada"/>
    <n v="1"/>
    <n v="19244"/>
    <s v="%"/>
    <n v="19244"/>
    <n v="22900"/>
    <n v="22900"/>
    <d v="2020-03-19T00:00:00"/>
    <s v="Pirque"/>
    <n v="81400"/>
    <x v="5"/>
    <n v="14894"/>
    <n v="4350"/>
    <n v="0.23"/>
    <m/>
  </r>
  <r>
    <n v="492"/>
    <s v="MA-226"/>
    <x v="205"/>
    <x v="81"/>
    <x v="60"/>
    <s v="Boleta"/>
    <m/>
    <n v="6760"/>
    <n v="4729"/>
    <s v="C364"/>
    <s v="Herminda Arriagada"/>
    <n v="1"/>
    <n v="31849"/>
    <s v="%"/>
    <n v="31849"/>
    <n v="37900"/>
    <n v="37900"/>
    <d v="2020-03-19T00:00:00"/>
    <s v="Pirque"/>
    <n v="81400"/>
    <x v="40"/>
    <n v="26400"/>
    <n v="5449"/>
    <n v="0.17"/>
    <m/>
  </r>
  <r>
    <n v="492"/>
    <s v="MA-172"/>
    <x v="94"/>
    <x v="41"/>
    <x v="60"/>
    <s v="Boleta"/>
    <m/>
    <n v="6760"/>
    <n v="4729"/>
    <s v="C364"/>
    <s v="Herminda Arriagada"/>
    <n v="1"/>
    <n v="4034"/>
    <s v="%"/>
    <n v="4034"/>
    <n v="4800"/>
    <n v="4800"/>
    <d v="2020-03-19T00:00:00"/>
    <s v="Pirque"/>
    <n v="81400"/>
    <x v="5"/>
    <n v="2695"/>
    <n v="1339"/>
    <n v="0.33"/>
    <m/>
  </r>
  <r>
    <n v="493"/>
    <s v="MA-0035"/>
    <x v="37"/>
    <x v="16"/>
    <x v="60"/>
    <s v="Boleta"/>
    <m/>
    <n v="6761"/>
    <n v="4730"/>
    <s v="C608"/>
    <s v="Solange Villarroel"/>
    <n v="1"/>
    <n v="16555"/>
    <s v="%"/>
    <n v="16555"/>
    <n v="19700"/>
    <n v="19700"/>
    <d v="2020-03-19T00:00:00"/>
    <s v="Pirque"/>
    <n v="19700"/>
    <x v="7"/>
    <n v="12429"/>
    <n v="4126"/>
    <n v="0.25"/>
    <m/>
  </r>
  <r>
    <n v="494"/>
    <s v="MA-0027"/>
    <x v="9"/>
    <x v="8"/>
    <x v="60"/>
    <s v="Boleta"/>
    <m/>
    <n v="6762"/>
    <n v="4731"/>
    <s v="C641"/>
    <s v="Cristian Alvarez"/>
    <n v="1"/>
    <n v="13866"/>
    <s v="%"/>
    <n v="13866"/>
    <n v="16500"/>
    <n v="16500"/>
    <d v="2020-03-19T00:00:00"/>
    <s v="Cajon"/>
    <n v="16500"/>
    <x v="7"/>
    <n v="10390"/>
    <n v="3476"/>
    <n v="0.25"/>
    <m/>
  </r>
  <r>
    <n v="495"/>
    <s v="MA-0035"/>
    <x v="37"/>
    <x v="16"/>
    <x v="60"/>
    <s v="Boleta"/>
    <m/>
    <n v="6764"/>
    <n v="4732"/>
    <s v="C595"/>
    <s v="Juan Neira"/>
    <n v="1"/>
    <n v="16555"/>
    <s v="%"/>
    <n v="16555"/>
    <n v="19700"/>
    <n v="19700"/>
    <d v="2020-03-19T00:00:00"/>
    <s v="Pirque"/>
    <n v="19700"/>
    <x v="7"/>
    <n v="12429"/>
    <n v="4126"/>
    <n v="0.25"/>
    <m/>
  </r>
  <r>
    <n v="496"/>
    <s v="MA-0027"/>
    <x v="9"/>
    <x v="8"/>
    <x v="60"/>
    <s v="Boleta"/>
    <m/>
    <n v="6767"/>
    <n v="4733"/>
    <s v="C660"/>
    <s v="Carolina Lama "/>
    <n v="2"/>
    <n v="13866"/>
    <s v="%"/>
    <n v="13866"/>
    <n v="16500"/>
    <n v="33000"/>
    <d v="2020-03-19T00:00:00"/>
    <s v="Pirque"/>
    <n v="33000"/>
    <x v="7"/>
    <n v="10390"/>
    <n v="3476"/>
    <n v="0.25"/>
    <m/>
  </r>
  <r>
    <n v="497"/>
    <s v="MA-0035"/>
    <x v="37"/>
    <x v="16"/>
    <x v="60"/>
    <s v="Boleta"/>
    <m/>
    <n v="6763"/>
    <n v="4734"/>
    <s v="C680"/>
    <s v="Andrea Roccatagliata"/>
    <n v="1"/>
    <n v="16555"/>
    <s v="%"/>
    <n v="16555"/>
    <n v="19700"/>
    <n v="19700"/>
    <d v="2020-03-19T00:00:00"/>
    <s v="Pirque"/>
    <n v="51300"/>
    <x v="7"/>
    <n v="12429"/>
    <n v="4126"/>
    <n v="0.25"/>
    <m/>
  </r>
  <r>
    <n v="497"/>
    <s v="MA-0053"/>
    <x v="8"/>
    <x v="7"/>
    <x v="60"/>
    <s v="Boleta"/>
    <m/>
    <n v="6763"/>
    <n v="4734"/>
    <s v="C680"/>
    <s v="Andrea Roccatagliata"/>
    <n v="2"/>
    <n v="13277"/>
    <s v="%"/>
    <n v="13277"/>
    <n v="15800"/>
    <n v="31600"/>
    <d v="2020-03-19T00:00:00"/>
    <s v="Pirque"/>
    <n v="51300"/>
    <x v="5"/>
    <n v="9975"/>
    <n v="3302"/>
    <n v="0.25"/>
    <m/>
  </r>
  <r>
    <n v="498"/>
    <s v="MA-0001"/>
    <x v="101"/>
    <x v="18"/>
    <x v="60"/>
    <s v="Boleta"/>
    <m/>
    <n v="6768"/>
    <n v="4735"/>
    <s v="C432"/>
    <s v="Silvia Zuñiga"/>
    <n v="1"/>
    <n v="20084"/>
    <s v="%"/>
    <n v="20084"/>
    <n v="23900"/>
    <n v="23900"/>
    <d v="2020-03-19T00:00:00"/>
    <s v="Pirque"/>
    <n v="23900"/>
    <x v="5"/>
    <n v="14604"/>
    <n v="5480"/>
    <n v="0.27"/>
    <m/>
  </r>
  <r>
    <n v="499"/>
    <s v="MA-136"/>
    <x v="4"/>
    <x v="4"/>
    <x v="60"/>
    <s v="Boleta"/>
    <m/>
    <n v="6769"/>
    <n v="4736"/>
    <s v="C062"/>
    <s v="Verena Scholtbach"/>
    <n v="1"/>
    <n v="18739"/>
    <s v="%"/>
    <n v="18739"/>
    <n v="22300"/>
    <n v="22300"/>
    <d v="2020-03-19T00:00:00"/>
    <s v="Pirque"/>
    <n v="48100"/>
    <x v="4"/>
    <n v="14040"/>
    <n v="4699"/>
    <n v="0.25"/>
    <m/>
  </r>
  <r>
    <n v="499"/>
    <s v="AS-29"/>
    <x v="192"/>
    <x v="13"/>
    <x v="60"/>
    <s v="Boleta"/>
    <m/>
    <n v="6769"/>
    <n v="4736"/>
    <s v="C062"/>
    <s v="Verena Scholtbach"/>
    <n v="4"/>
    <n v="3193"/>
    <s v="%"/>
    <n v="3193"/>
    <n v="3800"/>
    <n v="15200"/>
    <d v="2020-03-19T00:00:00"/>
    <s v="Pirque"/>
    <n v="48100"/>
    <x v="6"/>
    <n v="2100"/>
    <n v="1093"/>
    <n v="0.34"/>
    <m/>
  </r>
  <r>
    <n v="499"/>
    <s v="AS-0039"/>
    <x v="39"/>
    <x v="6"/>
    <x v="60"/>
    <s v="Boleta"/>
    <m/>
    <n v="6769"/>
    <n v="4736"/>
    <s v="C062"/>
    <s v="Verena Scholtbach"/>
    <n v="2"/>
    <n v="2941"/>
    <s v="%"/>
    <n v="2941"/>
    <n v="3500"/>
    <n v="7000"/>
    <d v="2020-03-19T00:00:00"/>
    <s v="Pirque"/>
    <n v="48100"/>
    <x v="6"/>
    <n v="2119"/>
    <n v="822"/>
    <n v="0.28000000000000003"/>
    <m/>
  </r>
  <r>
    <n v="499"/>
    <s v="DE-0538"/>
    <x v="233"/>
    <x v="91"/>
    <x v="60"/>
    <s v="Boleta"/>
    <m/>
    <n v="6769"/>
    <n v="4736"/>
    <s v="C062"/>
    <s v="Verena Scholtbach"/>
    <n v="6"/>
    <n v="504"/>
    <s v="%"/>
    <n v="504"/>
    <n v="600"/>
    <n v="3600"/>
    <d v="2020-03-19T00:00:00"/>
    <s v="Pirque"/>
    <n v="48100"/>
    <x v="2"/>
    <n v="192"/>
    <n v="312"/>
    <n v="0.62"/>
    <m/>
  </r>
  <r>
    <n v="500"/>
    <s v="DE-569"/>
    <x v="10"/>
    <x v="9"/>
    <x v="61"/>
    <s v="Boleta"/>
    <m/>
    <n v="6770"/>
    <n v="4737"/>
    <s v="C028"/>
    <s v="Luz María Velasquez"/>
    <n v="1"/>
    <n v="20588"/>
    <s v="%"/>
    <n v="20588"/>
    <n v="24500"/>
    <n v="24500"/>
    <d v="2020-03-20T00:00:00"/>
    <s v="Chada"/>
    <n v="124205"/>
    <x v="8"/>
    <n v="16386"/>
    <n v="4202"/>
    <n v="0.2"/>
    <m/>
  </r>
  <r>
    <n v="500"/>
    <s v="DE-0344"/>
    <x v="96"/>
    <x v="30"/>
    <x v="61"/>
    <s v="Boleta"/>
    <m/>
    <n v="6770"/>
    <n v="4737"/>
    <s v="C028"/>
    <s v="Luz María Velasquez"/>
    <n v="1"/>
    <n v="3529"/>
    <n v="0.05"/>
    <n v="3361"/>
    <n v="3990"/>
    <n v="3990"/>
    <d v="2020-03-20T00:00:00"/>
    <s v="Chada"/>
    <n v="124205"/>
    <x v="2"/>
    <n v="2464"/>
    <n v="897"/>
    <n v="0.27"/>
    <m/>
  </r>
  <r>
    <n v="500"/>
    <s v="DE-837"/>
    <x v="35"/>
    <x v="11"/>
    <x v="61"/>
    <s v="Boleta"/>
    <m/>
    <n v="6770"/>
    <n v="4737"/>
    <s v="C028"/>
    <s v="Luz María Velasquez"/>
    <n v="1"/>
    <n v="2521"/>
    <s v="%"/>
    <n v="2521"/>
    <n v="3000"/>
    <n v="3000"/>
    <d v="2020-03-20T00:00:00"/>
    <s v="Chada"/>
    <n v="124205"/>
    <x v="10"/>
    <n v="1787"/>
    <n v="734"/>
    <n v="0.28999999999999998"/>
    <m/>
  </r>
  <r>
    <n v="500"/>
    <s v="DE-0027"/>
    <x v="108"/>
    <x v="46"/>
    <x v="61"/>
    <s v="Boleta"/>
    <m/>
    <n v="6770"/>
    <n v="4737"/>
    <s v="C028"/>
    <s v="Luz María Velasquez"/>
    <n v="2"/>
    <n v="3639"/>
    <s v="%"/>
    <n v="3639"/>
    <n v="4330"/>
    <n v="8660"/>
    <d v="2020-03-20T00:00:00"/>
    <s v="Chada"/>
    <n v="124205"/>
    <x v="28"/>
    <n v="2547"/>
    <n v="1092"/>
    <n v="0.3"/>
    <m/>
  </r>
  <r>
    <n v="500"/>
    <s v="DE-1171"/>
    <x v="17"/>
    <x v="3"/>
    <x v="61"/>
    <s v="Boleta"/>
    <m/>
    <n v="6770"/>
    <n v="4737"/>
    <s v="C028"/>
    <s v="Luz María Velasquez"/>
    <n v="0"/>
    <n v="13187"/>
    <s v="%"/>
    <n v="13187"/>
    <n v="15692"/>
    <s v="$"/>
    <d v="2020-03-20T00:00:00"/>
    <s v="Chada"/>
    <n v="124205"/>
    <x v="3"/>
    <s v="$"/>
    <n v="13187"/>
    <n v="1"/>
    <m/>
  </r>
  <r>
    <n v="500"/>
    <s v="DE-1158"/>
    <x v="3"/>
    <x v="3"/>
    <x v="61"/>
    <s v="Boleta"/>
    <m/>
    <n v="6770"/>
    <n v="4737"/>
    <s v="C028"/>
    <s v="Luz María Velasquez"/>
    <n v="0"/>
    <n v="15167"/>
    <s v="%"/>
    <n v="15167"/>
    <n v="18048"/>
    <s v="$"/>
    <d v="2020-03-20T00:00:00"/>
    <s v="Chada"/>
    <n v="124205"/>
    <x v="3"/>
    <n v="9100"/>
    <n v="6067"/>
    <n v="0.4"/>
    <m/>
  </r>
  <r>
    <n v="500"/>
    <s v="BA-52"/>
    <x v="234"/>
    <x v="92"/>
    <x v="61"/>
    <s v="Boleta"/>
    <m/>
    <n v="6770"/>
    <n v="4737"/>
    <s v="C028"/>
    <s v="Luz María Velasquez"/>
    <n v="24"/>
    <n v="504"/>
    <s v="%"/>
    <n v="504"/>
    <n v="600"/>
    <n v="14400"/>
    <d v="2020-03-20T00:00:00"/>
    <s v="Chada"/>
    <n v="124205"/>
    <x v="43"/>
    <n v="297"/>
    <n v="207"/>
    <n v="0.41"/>
    <m/>
  </r>
  <r>
    <n v="500"/>
    <s v="MA-0027"/>
    <x v="9"/>
    <x v="8"/>
    <x v="61"/>
    <s v="Boleta"/>
    <m/>
    <n v="6770"/>
    <n v="4737"/>
    <s v="C028"/>
    <s v="Luz María Velasquez"/>
    <n v="2"/>
    <n v="13866"/>
    <s v="%"/>
    <n v="13866"/>
    <n v="16500"/>
    <n v="33000"/>
    <d v="2020-03-20T00:00:00"/>
    <s v="Chada"/>
    <n v="124205"/>
    <x v="7"/>
    <n v="10390"/>
    <n v="3476"/>
    <n v="0.25"/>
    <m/>
  </r>
  <r>
    <n v="500"/>
    <s v="MA-136"/>
    <x v="4"/>
    <x v="4"/>
    <x v="61"/>
    <s v="Boleta"/>
    <m/>
    <n v="6770"/>
    <n v="4737"/>
    <s v="C028"/>
    <s v="Luz María Velasquez"/>
    <n v="1"/>
    <n v="18739"/>
    <s v="%"/>
    <n v="18739"/>
    <n v="22300"/>
    <n v="22300"/>
    <d v="2020-03-20T00:00:00"/>
    <s v="Chada"/>
    <n v="124205"/>
    <x v="4"/>
    <n v="14040"/>
    <n v="4699"/>
    <n v="0.25"/>
    <m/>
  </r>
  <r>
    <n v="500"/>
    <s v="AS-0038"/>
    <x v="185"/>
    <x v="6"/>
    <x v="61"/>
    <s v="Boleta"/>
    <m/>
    <n v="6770"/>
    <n v="4737"/>
    <s v="C028"/>
    <s v="Luz María Velasquez"/>
    <n v="1"/>
    <n v="4118"/>
    <s v="%"/>
    <n v="4118"/>
    <n v="4900"/>
    <n v="4900"/>
    <d v="2020-03-20T00:00:00"/>
    <s v="Chada"/>
    <n v="124205"/>
    <x v="6"/>
    <n v="2250"/>
    <n v="1868"/>
    <n v="0.45"/>
    <m/>
  </r>
  <r>
    <n v="501"/>
    <s v="AS-0031"/>
    <x v="16"/>
    <x v="13"/>
    <x v="61"/>
    <s v="Boleta"/>
    <m/>
    <n v="6770"/>
    <n v="4738"/>
    <s v="C028"/>
    <s v="Luz María Velasquez"/>
    <n v="6"/>
    <n v="3193"/>
    <s v="%"/>
    <n v="3193"/>
    <n v="3800"/>
    <n v="22800"/>
    <d v="2020-03-20T00:00:00"/>
    <s v="Chada"/>
    <n v="27000"/>
    <x v="6"/>
    <n v="2200"/>
    <n v="993"/>
    <n v="0.31"/>
    <m/>
  </r>
  <r>
    <n v="501"/>
    <s v="AS-79"/>
    <x v="232"/>
    <x v="73"/>
    <x v="61"/>
    <s v="Boleta"/>
    <m/>
    <n v="6770"/>
    <n v="4738"/>
    <s v="C028"/>
    <s v="Luz María Velasquez"/>
    <n v="1"/>
    <n v="3529"/>
    <s v="%"/>
    <n v="3529"/>
    <n v="4200"/>
    <n v="4200"/>
    <d v="2020-03-20T00:00:00"/>
    <s v="Chada"/>
    <n v="27000"/>
    <x v="36"/>
    <n v="2079"/>
    <n v="1450"/>
    <n v="0.41"/>
    <m/>
  </r>
  <r>
    <n v="502"/>
    <s v="DE-0529"/>
    <x v="235"/>
    <x v="93"/>
    <x v="61"/>
    <s v="Boleta"/>
    <m/>
    <n v="6765"/>
    <n v="4739"/>
    <s v="C032"/>
    <s v="Carlos Jobbe-Duval"/>
    <n v="4"/>
    <n v="574"/>
    <s v="%"/>
    <n v="574"/>
    <n v="683"/>
    <n v="2732"/>
    <d v="2020-03-20T00:00:00"/>
    <s v="Pirque"/>
    <n v="128834"/>
    <x v="44"/>
    <n v="352"/>
    <n v="222"/>
    <n v="0.39"/>
    <m/>
  </r>
  <r>
    <n v="502"/>
    <s v="DE-0530"/>
    <x v="236"/>
    <x v="94"/>
    <x v="61"/>
    <s v="Boleta"/>
    <m/>
    <n v="6765"/>
    <n v="4739"/>
    <s v="C032"/>
    <s v="Carlos Jobbe-Duval"/>
    <n v="2"/>
    <n v="504"/>
    <s v="%"/>
    <n v="504"/>
    <n v="600"/>
    <n v="1200"/>
    <d v="2020-03-20T00:00:00"/>
    <s v="Pirque"/>
    <n v="128834"/>
    <x v="26"/>
    <n v="352"/>
    <n v="152"/>
    <n v="0.3"/>
    <m/>
  </r>
  <r>
    <n v="502"/>
    <s v="DE-592"/>
    <x v="237"/>
    <x v="9"/>
    <x v="61"/>
    <s v="Boleta"/>
    <m/>
    <n v="6765"/>
    <n v="4739"/>
    <s v="C032"/>
    <s v="Carlos Jobbe-Duval"/>
    <n v="1"/>
    <n v="20588"/>
    <s v="%"/>
    <n v="20588"/>
    <n v="24500"/>
    <n v="24500"/>
    <d v="2020-03-20T00:00:00"/>
    <s v="Pirque"/>
    <n v="128834"/>
    <x v="8"/>
    <n v="16387"/>
    <n v="4201"/>
    <n v="0.2"/>
    <m/>
  </r>
  <r>
    <n v="502"/>
    <s v="DE-817"/>
    <x v="238"/>
    <x v="11"/>
    <x v="61"/>
    <s v="Boleta"/>
    <m/>
    <n v="6765"/>
    <n v="4739"/>
    <s v="C032"/>
    <s v="Carlos Jobbe-Duval"/>
    <n v="1"/>
    <n v="9664"/>
    <s v="%"/>
    <n v="9664"/>
    <n v="11500"/>
    <n v="11500"/>
    <d v="2020-03-20T00:00:00"/>
    <s v="Pirque"/>
    <n v="128834"/>
    <x v="10"/>
    <n v="6776"/>
    <n v="2888"/>
    <n v="0.3"/>
    <m/>
  </r>
  <r>
    <n v="502"/>
    <s v="BA-52"/>
    <x v="234"/>
    <x v="92"/>
    <x v="61"/>
    <s v="Boleta"/>
    <m/>
    <n v="6765"/>
    <n v="4739"/>
    <s v="C032"/>
    <s v="Carlos Jobbe-Duval"/>
    <n v="24"/>
    <n v="504"/>
    <s v="%"/>
    <n v="504"/>
    <n v="600"/>
    <n v="14400"/>
    <d v="2020-03-20T00:00:00"/>
    <s v="Pirque"/>
    <n v="128834"/>
    <x v="43"/>
    <n v="297"/>
    <n v="207"/>
    <n v="0.41"/>
    <m/>
  </r>
  <r>
    <n v="502"/>
    <s v="AS-0022"/>
    <x v="200"/>
    <x v="28"/>
    <x v="61"/>
    <s v="Boleta"/>
    <m/>
    <n v="6765"/>
    <n v="4739"/>
    <s v="C032"/>
    <s v="Carlos Jobbe-Duval"/>
    <n v="12"/>
    <n v="756"/>
    <s v="%"/>
    <n v="756"/>
    <n v="900"/>
    <n v="10800"/>
    <d v="2020-03-20T00:00:00"/>
    <s v="Pirque"/>
    <n v="128834"/>
    <x v="9"/>
    <n v="535"/>
    <n v="221"/>
    <n v="0.28999999999999998"/>
    <m/>
  </r>
  <r>
    <n v="502"/>
    <s v="AS-0026"/>
    <x v="196"/>
    <x v="6"/>
    <x v="61"/>
    <s v="Boleta"/>
    <m/>
    <n v="6765"/>
    <n v="4739"/>
    <s v="C032"/>
    <s v="Carlos Jobbe-Duval"/>
    <n v="1"/>
    <n v="3109"/>
    <s v="%"/>
    <n v="3109"/>
    <n v="3700"/>
    <n v="3700"/>
    <d v="2020-03-20T00:00:00"/>
    <s v="Pirque"/>
    <n v="128834"/>
    <x v="9"/>
    <n v="2283"/>
    <n v="826"/>
    <n v="0.27"/>
    <m/>
  </r>
  <r>
    <n v="502"/>
    <s v="DE-0486"/>
    <x v="126"/>
    <x v="51"/>
    <x v="61"/>
    <s v="Boleta"/>
    <m/>
    <n v="6765"/>
    <n v="4739"/>
    <s v="C032"/>
    <s v="Carlos Jobbe-Duval"/>
    <n v="2"/>
    <n v="1513"/>
    <s v="%"/>
    <n v="1513"/>
    <n v="1800"/>
    <n v="3600"/>
    <d v="2020-03-20T00:00:00"/>
    <s v="Pirque"/>
    <n v="128834"/>
    <x v="29"/>
    <n v="891"/>
    <n v="622"/>
    <n v="0.41"/>
    <m/>
  </r>
  <r>
    <n v="502"/>
    <s v="DE-0478"/>
    <x v="239"/>
    <x v="51"/>
    <x v="61"/>
    <s v="Boleta"/>
    <m/>
    <n v="6765"/>
    <n v="4739"/>
    <s v="C032"/>
    <s v="Carlos Jobbe-Duval"/>
    <n v="12"/>
    <n v="924"/>
    <s v="%"/>
    <n v="924"/>
    <n v="1100"/>
    <n v="13200"/>
    <d v="2020-03-20T00:00:00"/>
    <s v="Pirque"/>
    <n v="128834"/>
    <x v="29"/>
    <n v="540"/>
    <n v="384"/>
    <n v="0.42"/>
    <m/>
  </r>
  <r>
    <n v="502"/>
    <s v="BA-50"/>
    <x v="240"/>
    <x v="54"/>
    <x v="61"/>
    <s v="Boleta"/>
    <m/>
    <n v="6765"/>
    <n v="4739"/>
    <s v="C032"/>
    <s v="Carlos Jobbe-Duval"/>
    <n v="48"/>
    <n v="756"/>
    <s v="%"/>
    <n v="756"/>
    <n v="900"/>
    <n v="43200"/>
    <d v="2020-03-20T00:00:00"/>
    <s v="Pirque"/>
    <n v="128834"/>
    <x v="31"/>
    <n v="464"/>
    <n v="292"/>
    <n v="0.39"/>
    <m/>
  </r>
  <r>
    <n v="503"/>
    <s v="DE-1040"/>
    <x v="241"/>
    <x v="11"/>
    <x v="61"/>
    <s v="Boleta"/>
    <m/>
    <n v="6765"/>
    <n v="4740"/>
    <s v="C032"/>
    <s v="Carlos Jobbe-Duval"/>
    <n v="24"/>
    <n v="1513"/>
    <n v="0.05"/>
    <n v="1441"/>
    <n v="1710"/>
    <n v="41040"/>
    <d v="2020-03-20T00:00:00"/>
    <s v="Pirque"/>
    <n v="103193"/>
    <x v="10"/>
    <n v="894"/>
    <n v="547"/>
    <n v="0.38"/>
    <m/>
  </r>
  <r>
    <n v="503"/>
    <s v="DE-1227"/>
    <x v="242"/>
    <x v="11"/>
    <x v="61"/>
    <s v="Boleta"/>
    <m/>
    <n v="6765"/>
    <n v="4740"/>
    <s v="C032"/>
    <s v="Carlos Jobbe-Duval"/>
    <n v="2"/>
    <n v="2605"/>
    <s v="%"/>
    <n v="2605"/>
    <n v="3100"/>
    <n v="6200"/>
    <d v="2020-03-20T00:00:00"/>
    <s v="Pirque"/>
    <n v="103193"/>
    <x v="0"/>
    <n v="1808"/>
    <n v="797"/>
    <n v="0.31"/>
    <m/>
  </r>
  <r>
    <n v="503"/>
    <s v="DE-1155"/>
    <x v="243"/>
    <x v="54"/>
    <x v="61"/>
    <s v="Boleta"/>
    <m/>
    <n v="6765"/>
    <n v="4740"/>
    <s v="C032"/>
    <s v="Carlos Jobbe-Duval"/>
    <n v="4"/>
    <n v="798"/>
    <s v="%"/>
    <n v="798"/>
    <n v="950"/>
    <n v="3800"/>
    <d v="2020-03-20T00:00:00"/>
    <s v="Pirque"/>
    <n v="103193"/>
    <x v="31"/>
    <n v="544"/>
    <n v="254"/>
    <n v="0.32"/>
    <m/>
  </r>
  <r>
    <n v="503"/>
    <s v="DE-1167"/>
    <x v="19"/>
    <x v="3"/>
    <x v="61"/>
    <s v="Boleta"/>
    <m/>
    <n v="6765"/>
    <n v="4740"/>
    <s v="C032"/>
    <s v="Carlos Jobbe-Duval"/>
    <n v="0"/>
    <n v="15167"/>
    <s v="%"/>
    <n v="15167"/>
    <n v="18048"/>
    <s v="$"/>
    <d v="2020-03-20T00:00:00"/>
    <s v="Pirque"/>
    <n v="103193"/>
    <x v="3"/>
    <n v="9100"/>
    <n v="6067"/>
    <n v="0.4"/>
    <m/>
  </r>
  <r>
    <n v="503"/>
    <s v="DE-837"/>
    <x v="35"/>
    <x v="11"/>
    <x v="61"/>
    <s v="Boleta"/>
    <m/>
    <n v="6765"/>
    <n v="4740"/>
    <s v="C032"/>
    <s v="Carlos Jobbe-Duval"/>
    <n v="2"/>
    <n v="2521"/>
    <s v="%"/>
    <n v="2521"/>
    <n v="3000"/>
    <n v="6000"/>
    <d v="2020-03-20T00:00:00"/>
    <s v="Pirque"/>
    <n v="103193"/>
    <x v="10"/>
    <n v="1787"/>
    <n v="734"/>
    <n v="0.28999999999999998"/>
    <m/>
  </r>
  <r>
    <n v="503"/>
    <s v="DE-1036"/>
    <x v="244"/>
    <x v="11"/>
    <x v="61"/>
    <s v="Boleta"/>
    <m/>
    <n v="6765"/>
    <n v="4740"/>
    <s v="C032"/>
    <s v="Carlos Jobbe-Duval"/>
    <n v="2"/>
    <n v="2941"/>
    <s v="%"/>
    <n v="2941"/>
    <n v="3500"/>
    <n v="7000"/>
    <d v="2020-03-20T00:00:00"/>
    <s v="Pirque"/>
    <n v="103193"/>
    <x v="10"/>
    <n v="1660"/>
    <n v="1281"/>
    <n v="0.44"/>
    <m/>
  </r>
  <r>
    <n v="503"/>
    <s v="DE-1171"/>
    <x v="17"/>
    <x v="3"/>
    <x v="61"/>
    <s v="Boleta"/>
    <m/>
    <n v="6765"/>
    <n v="4740"/>
    <s v="C032"/>
    <s v="Carlos Jobbe-Duval"/>
    <n v="0"/>
    <n v="13187"/>
    <s v="%"/>
    <n v="13187"/>
    <n v="15692"/>
    <s v="$"/>
    <d v="2020-03-20T00:00:00"/>
    <s v="Pirque"/>
    <n v="103193"/>
    <x v="3"/>
    <n v="7912"/>
    <n v="5275"/>
    <n v="0.4"/>
    <m/>
  </r>
  <r>
    <n v="503"/>
    <s v="DE-0344"/>
    <x v="96"/>
    <x v="30"/>
    <x v="61"/>
    <s v="Boleta"/>
    <m/>
    <n v="6765"/>
    <n v="4740"/>
    <s v="C032"/>
    <s v="Carlos Jobbe-Duval"/>
    <n v="1"/>
    <n v="3529"/>
    <n v="0.05"/>
    <n v="3361"/>
    <n v="3990"/>
    <n v="3990"/>
    <d v="2020-03-20T00:00:00"/>
    <s v="Pirque"/>
    <n v="103193"/>
    <x v="2"/>
    <n v="2464"/>
    <n v="897"/>
    <n v="0.27"/>
    <m/>
  </r>
  <r>
    <n v="503"/>
    <s v="AS-29"/>
    <x v="192"/>
    <x v="13"/>
    <x v="61"/>
    <s v="Boleta"/>
    <m/>
    <n v="6765"/>
    <n v="4740"/>
    <s v="C032"/>
    <s v="Carlos Jobbe-Duval"/>
    <n v="4"/>
    <n v="3193"/>
    <s v="%"/>
    <n v="3193"/>
    <n v="3800"/>
    <n v="15200"/>
    <d v="2020-03-20T00:00:00"/>
    <s v="Pirque"/>
    <n v="103193"/>
    <x v="6"/>
    <n v="2100"/>
    <n v="1093"/>
    <n v="0.34"/>
    <m/>
  </r>
  <r>
    <n v="503"/>
    <s v="AS-0034"/>
    <x v="186"/>
    <x v="13"/>
    <x v="61"/>
    <s v="Boleta"/>
    <m/>
    <n v="6765"/>
    <n v="4740"/>
    <s v="C032"/>
    <s v="Carlos Jobbe-Duval"/>
    <n v="1"/>
    <n v="4874"/>
    <s v="%"/>
    <n v="4874"/>
    <n v="5800"/>
    <n v="5800"/>
    <d v="2020-03-20T00:00:00"/>
    <s v="Pirque"/>
    <n v="103193"/>
    <x v="6"/>
    <n v="2400"/>
    <n v="2474"/>
    <n v="0.51"/>
    <m/>
  </r>
  <r>
    <n v="504"/>
    <s v="AS-43"/>
    <x v="245"/>
    <x v="6"/>
    <x v="61"/>
    <s v="Boleta"/>
    <m/>
    <n v="6765"/>
    <n v="4741"/>
    <s v="C032"/>
    <s v="Carlos Jobbe-Duval"/>
    <n v="1"/>
    <n v="4958"/>
    <s v="%"/>
    <n v="4958"/>
    <n v="5900"/>
    <n v="5900"/>
    <d v="2020-03-20T00:00:00"/>
    <s v="Pirque"/>
    <n v="10900"/>
    <x v="6"/>
    <n v="3624"/>
    <n v="1334"/>
    <n v="0.27"/>
    <m/>
  </r>
  <r>
    <n v="504"/>
    <s v="AS-42"/>
    <x v="187"/>
    <x v="6"/>
    <x v="61"/>
    <s v="Boleta"/>
    <m/>
    <n v="6765"/>
    <n v="4741"/>
    <s v="C032"/>
    <s v="Carlos Jobbe-Duval"/>
    <n v="2"/>
    <n v="2101"/>
    <s v="%"/>
    <n v="2101"/>
    <n v="2500"/>
    <n v="5000"/>
    <d v="2020-03-20T00:00:00"/>
    <s v="Pirque"/>
    <n v="10900"/>
    <x v="6"/>
    <n v="850"/>
    <n v="1251"/>
    <n v="0.6"/>
    <m/>
  </r>
  <r>
    <n v="505"/>
    <s v="MA-0046"/>
    <x v="46"/>
    <x v="17"/>
    <x v="61"/>
    <s v="Factura"/>
    <m/>
    <s v="sn"/>
    <n v="4742"/>
    <s v="C085"/>
    <s v="Sandra Paola Rojas Orellana"/>
    <n v="5"/>
    <n v="8914"/>
    <n v="0.05"/>
    <n v="8490"/>
    <n v="10077"/>
    <n v="50385"/>
    <d v="2020-03-20T00:00:00"/>
    <s v="Chada"/>
    <n v="50387"/>
    <x v="7"/>
    <n v="6436"/>
    <n v="2054"/>
    <n v="0.24"/>
    <m/>
  </r>
  <r>
    <n v="506"/>
    <s v="MA-0027"/>
    <x v="9"/>
    <x v="8"/>
    <x v="61"/>
    <s v="Boleta"/>
    <m/>
    <n v="6771"/>
    <n v="4743"/>
    <s v="C033"/>
    <s v="Catalina Daniela Peña Royo"/>
    <n v="1"/>
    <n v="13866"/>
    <s v="%"/>
    <n v="13866"/>
    <n v="16500"/>
    <n v="16500"/>
    <d v="2020-03-20T00:00:00"/>
    <s v="Chada"/>
    <n v="16500"/>
    <x v="7"/>
    <n v="10390"/>
    <n v="3476"/>
    <n v="0.25"/>
    <m/>
  </r>
  <r>
    <n v="507"/>
    <s v="MA-0053"/>
    <x v="8"/>
    <x v="7"/>
    <x v="61"/>
    <s v="Boleta"/>
    <m/>
    <n v="6772"/>
    <n v="4744"/>
    <s v="C136"/>
    <s v="Lily Caballero"/>
    <n v="2"/>
    <n v="13277"/>
    <s v="%"/>
    <n v="13277"/>
    <n v="15800"/>
    <n v="31600"/>
    <d v="2020-03-20T00:00:00"/>
    <s v="Pirque"/>
    <n v="31600"/>
    <x v="5"/>
    <n v="9975"/>
    <n v="3302"/>
    <n v="0.25"/>
    <m/>
  </r>
  <r>
    <n v="508"/>
    <s v="MA-237"/>
    <x v="222"/>
    <x v="88"/>
    <x v="61"/>
    <s v="Boleta"/>
    <m/>
    <n v="6773"/>
    <n v="4745"/>
    <s v="C544"/>
    <s v="Carla Valencoa"/>
    <n v="1"/>
    <n v="22858"/>
    <s v="%"/>
    <n v="22858"/>
    <n v="27201"/>
    <n v="27201"/>
    <d v="2020-03-20T00:00:00"/>
    <s v="Pirque"/>
    <n v="27201"/>
    <x v="41"/>
    <n v="18972"/>
    <n v="3886"/>
    <n v="0.17"/>
    <m/>
  </r>
  <r>
    <n v="509"/>
    <s v="MA-0001"/>
    <x v="101"/>
    <x v="18"/>
    <x v="61"/>
    <s v="Boleta"/>
    <m/>
    <n v="6774"/>
    <n v="4746"/>
    <s v="C045"/>
    <s v="Jeanny Andrea Arranz Cordero"/>
    <n v="2"/>
    <n v="20084"/>
    <s v="%"/>
    <n v="20084"/>
    <n v="23900"/>
    <n v="47800"/>
    <d v="2020-03-20T00:00:00"/>
    <s v="Pirque"/>
    <n v="47800"/>
    <x v="5"/>
    <n v="14604"/>
    <n v="5480"/>
    <n v="0.27"/>
    <m/>
  </r>
  <r>
    <n v="510"/>
    <s v="MA-0035"/>
    <x v="37"/>
    <x v="16"/>
    <x v="62"/>
    <s v="Boleta"/>
    <m/>
    <n v="6775"/>
    <n v="4747"/>
    <s v="C043"/>
    <s v="Consuelo Andrea Sanchez Bisbal"/>
    <n v="2"/>
    <n v="16555"/>
    <s v="%"/>
    <n v="16555"/>
    <n v="19700"/>
    <n v="39400"/>
    <d v="2020-03-21T00:00:00"/>
    <s v="Pirque"/>
    <n v="39400"/>
    <x v="7"/>
    <n v="12429"/>
    <n v="4126"/>
    <n v="0.25"/>
    <m/>
  </r>
  <r>
    <n v="511"/>
    <s v="MA-0053"/>
    <x v="8"/>
    <x v="7"/>
    <x v="62"/>
    <s v="Boleta"/>
    <m/>
    <n v="6776"/>
    <n v="4748"/>
    <s v="C116"/>
    <s v="Angelica Bravo"/>
    <n v="2"/>
    <n v="13277"/>
    <s v="%"/>
    <n v="13277"/>
    <n v="15800"/>
    <n v="31600"/>
    <d v="2020-03-21T00:00:00"/>
    <s v="Pirque"/>
    <n v="48400"/>
    <x v="5"/>
    <n v="9975"/>
    <n v="3302"/>
    <n v="0.25"/>
    <m/>
  </r>
  <r>
    <n v="511"/>
    <s v="AS-50"/>
    <x v="203"/>
    <x v="73"/>
    <x v="62"/>
    <s v="Boleta"/>
    <m/>
    <n v="6776"/>
    <n v="4748"/>
    <s v="C116"/>
    <s v="Angelica Bravo"/>
    <n v="2"/>
    <n v="3193"/>
    <s v="%"/>
    <n v="3193"/>
    <n v="3800"/>
    <n v="7600"/>
    <d v="2020-03-21T00:00:00"/>
    <s v="Pirque"/>
    <n v="48400"/>
    <x v="36"/>
    <n v="2342"/>
    <n v="851"/>
    <n v="0.27"/>
    <m/>
  </r>
  <r>
    <n v="511"/>
    <s v="DE-1051"/>
    <x v="246"/>
    <x v="45"/>
    <x v="62"/>
    <s v="Boleta"/>
    <m/>
    <n v="6776"/>
    <n v="4748"/>
    <s v="C116"/>
    <s v="Angelica Bravo"/>
    <n v="5"/>
    <n v="924"/>
    <s v="%"/>
    <n v="924"/>
    <n v="1100"/>
    <n v="5500"/>
    <d v="2020-03-21T00:00:00"/>
    <s v="Pirque"/>
    <n v="48400"/>
    <x v="19"/>
    <n v="630"/>
    <n v="294"/>
    <n v="0.32"/>
    <m/>
  </r>
  <r>
    <n v="511"/>
    <s v="AS-0026"/>
    <x v="196"/>
    <x v="6"/>
    <x v="62"/>
    <s v="Boleta"/>
    <m/>
    <n v="6776"/>
    <n v="4748"/>
    <s v="C116"/>
    <s v="Angelica Bravo"/>
    <n v="1"/>
    <n v="3109"/>
    <s v="%"/>
    <n v="3109"/>
    <n v="3700"/>
    <n v="3700"/>
    <d v="2020-03-21T00:00:00"/>
    <s v="Pirque"/>
    <n v="48400"/>
    <x v="9"/>
    <n v="2283"/>
    <n v="826"/>
    <n v="0.27"/>
    <m/>
  </r>
  <r>
    <n v="512"/>
    <s v="DE-554"/>
    <x v="75"/>
    <x v="1"/>
    <x v="62"/>
    <s v="Boleta"/>
    <m/>
    <n v="6777"/>
    <n v="4749"/>
    <s v="C041"/>
    <s v="Yanet Arriagada"/>
    <n v="6"/>
    <n v="378"/>
    <s v="%"/>
    <n v="378"/>
    <n v="450"/>
    <n v="2700"/>
    <d v="2020-03-21T00:00:00"/>
    <s v="Pirque"/>
    <n v="36800"/>
    <x v="1"/>
    <s v="$"/>
    <n v="378"/>
    <n v="1"/>
    <m/>
  </r>
  <r>
    <n v="512"/>
    <s v="DE-555"/>
    <x v="76"/>
    <x v="1"/>
    <x v="62"/>
    <s v="Boleta"/>
    <m/>
    <n v="6777"/>
    <n v="4749"/>
    <s v="C041"/>
    <s v="Yanet Arriagada"/>
    <n v="10"/>
    <n v="252"/>
    <s v="%"/>
    <n v="252"/>
    <n v="300"/>
    <n v="3000"/>
    <d v="2020-03-21T00:00:00"/>
    <s v="Pirque"/>
    <n v="36800"/>
    <x v="1"/>
    <n v="176"/>
    <n v="76"/>
    <n v="0.3"/>
    <m/>
  </r>
  <r>
    <n v="512"/>
    <s v="DE-1044"/>
    <x v="247"/>
    <x v="45"/>
    <x v="62"/>
    <s v="Boleta"/>
    <m/>
    <n v="6777"/>
    <n v="4749"/>
    <s v="C041"/>
    <s v="Yanet Arriagada"/>
    <n v="2"/>
    <n v="2143"/>
    <s v="%"/>
    <n v="2143"/>
    <n v="2550"/>
    <n v="5100"/>
    <d v="2020-03-21T00:00:00"/>
    <s v="Pirque"/>
    <n v="36800"/>
    <x v="19"/>
    <n v="1500"/>
    <n v="643"/>
    <n v="0.3"/>
    <m/>
  </r>
  <r>
    <n v="512"/>
    <s v="DE-1052"/>
    <x v="248"/>
    <x v="45"/>
    <x v="62"/>
    <s v="Boleta"/>
    <m/>
    <n v="6777"/>
    <n v="4749"/>
    <s v="C041"/>
    <s v="Yanet Arriagada"/>
    <n v="3"/>
    <n v="924"/>
    <s v="%"/>
    <n v="924"/>
    <n v="1100"/>
    <n v="3300"/>
    <d v="2020-03-21T00:00:00"/>
    <s v="Pirque"/>
    <n v="36800"/>
    <x v="19"/>
    <n v="625"/>
    <n v="299"/>
    <n v="0.32"/>
    <m/>
  </r>
  <r>
    <n v="512"/>
    <s v="MA-116"/>
    <x v="114"/>
    <x v="49"/>
    <x v="62"/>
    <s v="Boleta"/>
    <m/>
    <n v="6777"/>
    <n v="4749"/>
    <s v="C041"/>
    <s v="Yanet Arriagada"/>
    <n v="1"/>
    <n v="10504"/>
    <s v="%"/>
    <n v="10504"/>
    <n v="12500"/>
    <n v="12500"/>
    <d v="2020-03-21T00:00:00"/>
    <s v="Pirque"/>
    <n v="36800"/>
    <x v="7"/>
    <s v="$"/>
    <n v="10504"/>
    <n v="1"/>
    <m/>
  </r>
  <r>
    <n v="512"/>
    <s v="MA-0046"/>
    <x v="46"/>
    <x v="17"/>
    <x v="62"/>
    <s v="Boleta"/>
    <m/>
    <n v="6777"/>
    <n v="4749"/>
    <s v="C041"/>
    <s v="Yanet Arriagada"/>
    <n v="1"/>
    <n v="8571"/>
    <s v="%"/>
    <n v="8571"/>
    <n v="10200"/>
    <n v="10200"/>
    <d v="2020-03-21T00:00:00"/>
    <s v="Pirque"/>
    <n v="36800"/>
    <x v="7"/>
    <n v="6436"/>
    <n v="2135"/>
    <n v="0.25"/>
    <m/>
  </r>
  <r>
    <n v="513"/>
    <s v="MA-0035"/>
    <x v="37"/>
    <x v="16"/>
    <x v="62"/>
    <s v="Boleta"/>
    <m/>
    <n v="6778"/>
    <n v="4750"/>
    <s v="C657"/>
    <s v="Patricio La Escuela"/>
    <n v="1"/>
    <n v="16555"/>
    <s v="%"/>
    <n v="16555"/>
    <n v="19700"/>
    <n v="19700"/>
    <d v="2020-03-21T00:00:00"/>
    <s v="Pirque"/>
    <n v="19700"/>
    <x v="7"/>
    <n v="12429"/>
    <n v="4126"/>
    <n v="0.25"/>
    <m/>
  </r>
  <r>
    <n v="514"/>
    <s v="MA-214"/>
    <x v="13"/>
    <x v="12"/>
    <x v="63"/>
    <s v="Boleta"/>
    <m/>
    <n v="6779"/>
    <n v="4751"/>
    <s v="C534"/>
    <s v="Helga Nagilschmitz"/>
    <n v="10"/>
    <n v="26471"/>
    <n v="0.03"/>
    <n v="25657"/>
    <n v="30500"/>
    <n v="305000"/>
    <d v="2020-03-24T00:00:00"/>
    <s v="Pirque"/>
    <n v="305000"/>
    <x v="11"/>
    <n v="21183"/>
    <n v="4474"/>
    <n v="0.17"/>
    <m/>
  </r>
  <r>
    <n v="515"/>
    <s v="MA-0035"/>
    <x v="37"/>
    <x v="16"/>
    <x v="63"/>
    <s v="Boleta"/>
    <m/>
    <n v="6780"/>
    <n v="4752"/>
    <s v="C396"/>
    <s v="Alejandro Ossandon"/>
    <n v="5"/>
    <n v="16555"/>
    <s v="%"/>
    <n v="16555"/>
    <n v="19700"/>
    <n v="98500"/>
    <d v="2020-03-24T00:00:00"/>
    <s v="Pirque"/>
    <n v="98500"/>
    <x v="7"/>
    <n v="12429"/>
    <n v="4126"/>
    <n v="0.25"/>
    <m/>
  </r>
  <r>
    <n v="516"/>
    <s v="GR-0054"/>
    <x v="30"/>
    <x v="18"/>
    <x v="63"/>
    <s v="Boleta"/>
    <m/>
    <n v="6782"/>
    <n v="4753"/>
    <s v="C349"/>
    <s v="Elaine Pratt"/>
    <n v="2"/>
    <n v="20084"/>
    <s v="%"/>
    <n v="20084"/>
    <n v="23900"/>
    <n v="47800"/>
    <d v="2020-03-24T00:00:00"/>
    <s v="Pirque"/>
    <n v="47800"/>
    <x v="5"/>
    <n v="14604"/>
    <n v="5480"/>
    <n v="0.27"/>
    <m/>
  </r>
  <r>
    <n v="517"/>
    <s v="MA-0035"/>
    <x v="37"/>
    <x v="16"/>
    <x v="63"/>
    <s v="Boleta"/>
    <m/>
    <n v="6781"/>
    <n v="4754"/>
    <s v="C106"/>
    <s v="Pilar Luan"/>
    <n v="1"/>
    <n v="16555"/>
    <s v="%"/>
    <n v="16555"/>
    <n v="19700"/>
    <n v="19700"/>
    <d v="2020-03-24T00:00:00"/>
    <s v="Pirque"/>
    <n v="19700"/>
    <x v="7"/>
    <n v="12429"/>
    <n v="4126"/>
    <n v="0.25"/>
    <m/>
  </r>
  <r>
    <n v="518"/>
    <s v="MA-0053"/>
    <x v="8"/>
    <x v="7"/>
    <x v="63"/>
    <s v="Boleta"/>
    <m/>
    <n v="6783"/>
    <n v="4755"/>
    <s v="C394"/>
    <s v="Gabriela Ulloa"/>
    <n v="1"/>
    <n v="13277"/>
    <s v="%"/>
    <n v="13277"/>
    <n v="15800"/>
    <n v="15800"/>
    <d v="2020-03-24T00:00:00"/>
    <s v="Pirque"/>
    <n v="15800"/>
    <x v="5"/>
    <n v="9975"/>
    <n v="3302"/>
    <n v="0.25"/>
    <m/>
  </r>
  <r>
    <n v="519"/>
    <s v="MA-166"/>
    <x v="5"/>
    <x v="5"/>
    <x v="63"/>
    <s v="Boleta"/>
    <m/>
    <n v="6784"/>
    <n v="4756"/>
    <s v="C681"/>
    <s v="Marilu Ossa"/>
    <n v="1"/>
    <n v="19748"/>
    <s v="%"/>
    <n v="19748"/>
    <n v="23500"/>
    <n v="23500"/>
    <d v="2020-03-24T00:00:00"/>
    <s v="Pirque"/>
    <n v="23500"/>
    <x v="5"/>
    <n v="14122"/>
    <n v="5626"/>
    <n v="0.28000000000000003"/>
    <m/>
  </r>
  <r>
    <n v="520"/>
    <s v="GR-0054"/>
    <x v="30"/>
    <x v="18"/>
    <x v="63"/>
    <s v="Boleta"/>
    <m/>
    <n v="6785"/>
    <n v="4757"/>
    <s v="C662"/>
    <s v="Flavia Lopez"/>
    <n v="2"/>
    <n v="20084"/>
    <s v="%"/>
    <n v="20084"/>
    <n v="23900"/>
    <n v="47800"/>
    <d v="2020-03-24T00:00:00"/>
    <s v="Pirque"/>
    <n v="47800"/>
    <x v="5"/>
    <n v="14604"/>
    <n v="5480"/>
    <n v="0.27"/>
    <m/>
  </r>
  <r>
    <n v="521"/>
    <s v="MA-237"/>
    <x v="222"/>
    <x v="88"/>
    <x v="63"/>
    <s v="Boleta"/>
    <m/>
    <n v="6786"/>
    <n v="4758"/>
    <s v="C518"/>
    <s v="Fernando Reyes"/>
    <n v="2"/>
    <n v="22689"/>
    <s v="%"/>
    <n v="22689"/>
    <n v="27000"/>
    <n v="54000"/>
    <d v="2020-03-24T00:00:00"/>
    <s v="Pirque"/>
    <n v="54000"/>
    <x v="41"/>
    <n v="18972"/>
    <n v="3717"/>
    <n v="0.16"/>
    <m/>
  </r>
  <r>
    <n v="522"/>
    <s v="MA-229"/>
    <x v="206"/>
    <x v="82"/>
    <x v="63"/>
    <s v="Boleta"/>
    <m/>
    <n v="6712"/>
    <n v="4759"/>
    <s v="C658"/>
    <s v="Isabel Valdes (Revista Todo Pirque)"/>
    <n v="1"/>
    <n v="23950"/>
    <s v="%"/>
    <n v="23950"/>
    <n v="28500"/>
    <n v="28500"/>
    <d v="2020-03-24T00:00:00"/>
    <s v="Pirque"/>
    <n v="55500"/>
    <x v="40"/>
    <n v="19000"/>
    <n v="4950"/>
    <n v="0.21"/>
    <m/>
  </r>
  <r>
    <n v="522"/>
    <s v="MA-237"/>
    <x v="222"/>
    <x v="88"/>
    <x v="63"/>
    <s v="Boleta"/>
    <m/>
    <n v="6712"/>
    <n v="4759"/>
    <s v="C658"/>
    <s v="Isabel Valdes (Revista Todo Pirque)"/>
    <n v="1"/>
    <n v="22689"/>
    <s v="%"/>
    <n v="22689"/>
    <n v="27000"/>
    <n v="27000"/>
    <d v="2020-03-24T00:00:00"/>
    <s v="Pirque"/>
    <n v="55500"/>
    <x v="41"/>
    <n v="18972"/>
    <n v="3717"/>
    <n v="0.16"/>
    <m/>
  </r>
  <r>
    <n v="523"/>
    <s v="MA-0027"/>
    <x v="9"/>
    <x v="8"/>
    <x v="63"/>
    <s v="Boleta"/>
    <m/>
    <n v="6787"/>
    <n v="4760"/>
    <s v="C682"/>
    <s v="Karina Lopez"/>
    <n v="2"/>
    <n v="13866"/>
    <s v="%"/>
    <n v="13866"/>
    <n v="16500"/>
    <n v="33000"/>
    <d v="2020-03-24T00:00:00"/>
    <s v="Pirque"/>
    <n v="33000"/>
    <x v="7"/>
    <n v="10390"/>
    <n v="3476"/>
    <n v="0.25"/>
    <m/>
  </r>
  <r>
    <n v="524"/>
    <s v="MA-0053"/>
    <x v="8"/>
    <x v="7"/>
    <x v="63"/>
    <s v="Boleta"/>
    <m/>
    <n v="6788"/>
    <n v="4761"/>
    <s v="C683"/>
    <s v="Ma Teresa Wilson"/>
    <n v="1"/>
    <n v="13277"/>
    <s v="%"/>
    <n v="13277"/>
    <n v="15800"/>
    <n v="15800"/>
    <d v="2020-03-24T00:00:00"/>
    <s v="Pirque"/>
    <n v="15800"/>
    <x v="5"/>
    <n v="9975"/>
    <n v="3302"/>
    <n v="0.25"/>
    <m/>
  </r>
  <r>
    <n v="525"/>
    <s v="AS-0038"/>
    <x v="185"/>
    <x v="6"/>
    <x v="64"/>
    <s v="Boleta"/>
    <m/>
    <n v="6789"/>
    <n v="4762"/>
    <s v="C684"/>
    <s v="Ma Angelica Puga"/>
    <n v="2"/>
    <n v="4118"/>
    <s v="%"/>
    <n v="4118"/>
    <n v="4900"/>
    <n v="9800"/>
    <d v="2020-03-25T00:00:00"/>
    <s v="Pirque"/>
    <n v="17400"/>
    <x v="6"/>
    <n v="2250"/>
    <n v="1868"/>
    <n v="0.45"/>
    <m/>
  </r>
  <r>
    <n v="525"/>
    <s v="AS-0031"/>
    <x v="16"/>
    <x v="13"/>
    <x v="64"/>
    <s v="Boleta"/>
    <m/>
    <n v="6789"/>
    <n v="4762"/>
    <s v="C684"/>
    <s v="Ma Angelica Puga"/>
    <n v="2"/>
    <n v="3193"/>
    <s v="%"/>
    <n v="3193"/>
    <n v="3800"/>
    <n v="7600"/>
    <d v="2020-03-25T00:00:00"/>
    <s v="Pirque"/>
    <n v="17400"/>
    <x v="6"/>
    <n v="2200"/>
    <n v="993"/>
    <n v="0.31"/>
    <m/>
  </r>
  <r>
    <n v="526"/>
    <s v="MA-193"/>
    <x v="38"/>
    <x v="20"/>
    <x v="64"/>
    <s v="Boleta"/>
    <m/>
    <n v="6790"/>
    <n v="4763"/>
    <s v="C538"/>
    <s v="Katherine Torres"/>
    <n v="2"/>
    <n v="32689"/>
    <s v="%"/>
    <n v="32689"/>
    <n v="38900"/>
    <n v="77800"/>
    <d v="2020-03-25T00:00:00"/>
    <s v="Pirque"/>
    <n v="92900"/>
    <x v="11"/>
    <n v="26207"/>
    <n v="6482"/>
    <n v="0.2"/>
    <m/>
  </r>
  <r>
    <n v="526"/>
    <s v="AS-0031"/>
    <x v="16"/>
    <x v="13"/>
    <x v="64"/>
    <s v="Boleta"/>
    <m/>
    <n v="6790"/>
    <n v="4763"/>
    <s v="C538"/>
    <s v="Katherine Torres"/>
    <n v="2"/>
    <n v="3193"/>
    <s v="%"/>
    <n v="3193"/>
    <n v="3800"/>
    <n v="7600"/>
    <d v="2020-03-25T00:00:00"/>
    <s v="Pirque"/>
    <n v="92900"/>
    <x v="6"/>
    <n v="2200"/>
    <n v="993"/>
    <n v="0.31"/>
    <m/>
  </r>
  <r>
    <n v="526"/>
    <s v="DE-0511"/>
    <x v="140"/>
    <x v="9"/>
    <x v="64"/>
    <s v="Boleta"/>
    <m/>
    <n v="6790"/>
    <n v="4763"/>
    <s v="C538"/>
    <s v="Katherine Torres"/>
    <n v="1"/>
    <n v="6303"/>
    <s v="%"/>
    <n v="6303"/>
    <n v="7500"/>
    <n v="7500"/>
    <d v="2020-03-25T00:00:00"/>
    <s v="Pirque"/>
    <n v="92900"/>
    <x v="8"/>
    <n v="5042"/>
    <n v="1261"/>
    <n v="0.2"/>
    <m/>
  </r>
  <r>
    <n v="527"/>
    <s v="MA-0035"/>
    <x v="37"/>
    <x v="16"/>
    <x v="64"/>
    <s v="Boleta"/>
    <m/>
    <n v="6791"/>
    <n v="4764"/>
    <s v="C685"/>
    <s v="Daniela Danna"/>
    <n v="1"/>
    <n v="16555"/>
    <s v="%"/>
    <n v="16555"/>
    <n v="19700"/>
    <n v="19700"/>
    <d v="2020-03-25T00:00:00"/>
    <s v="Pirque"/>
    <n v="19700"/>
    <x v="7"/>
    <n v="12429"/>
    <n v="4126"/>
    <n v="0.25"/>
    <m/>
  </r>
  <r>
    <n v="528"/>
    <s v="MA-0102"/>
    <x v="50"/>
    <x v="4"/>
    <x v="65"/>
    <s v="Factura"/>
    <m/>
    <n v="1040256"/>
    <n v="4765"/>
    <s v="C001"/>
    <s v="Benito Campos y Cia Ltda."/>
    <n v="12"/>
    <n v="880"/>
    <n v="0.05"/>
    <n v="838"/>
    <n v="994"/>
    <n v="11928"/>
    <d v="2020-03-26T00:00:00"/>
    <s v="Cajon"/>
    <n v="185842"/>
    <x v="4"/>
    <n v="635"/>
    <n v="203"/>
    <n v="0.24"/>
    <m/>
  </r>
  <r>
    <n v="528"/>
    <s v="MA-0103"/>
    <x v="51"/>
    <x v="4"/>
    <x v="65"/>
    <s v="Factura"/>
    <m/>
    <n v="1040256"/>
    <n v="4765"/>
    <s v="C001"/>
    <s v="Benito Campos y Cia Ltda."/>
    <n v="16"/>
    <n v="1676"/>
    <n v="0.05"/>
    <n v="1596"/>
    <n v="1895"/>
    <n v="30320"/>
    <d v="2020-03-26T00:00:00"/>
    <s v="Cajon"/>
    <n v="185842"/>
    <x v="4"/>
    <n v="1210"/>
    <n v="386"/>
    <n v="0.24"/>
    <m/>
  </r>
  <r>
    <n v="528"/>
    <s v="MA-0107"/>
    <x v="63"/>
    <x v="4"/>
    <x v="65"/>
    <s v="Factura"/>
    <m/>
    <n v="1040256"/>
    <n v="4765"/>
    <s v="C001"/>
    <s v="Benito Campos y Cia Ltda."/>
    <n v="12"/>
    <n v="1787"/>
    <n v="0.05"/>
    <n v="1702"/>
    <n v="2020"/>
    <n v="24240"/>
    <d v="2020-03-26T00:00:00"/>
    <s v="Cajon"/>
    <n v="185842"/>
    <x v="4"/>
    <n v="1290"/>
    <n v="412"/>
    <n v="0.24"/>
    <m/>
  </r>
  <r>
    <n v="528"/>
    <s v="DE-0296"/>
    <x v="156"/>
    <x v="62"/>
    <x v="65"/>
    <s v="Factura"/>
    <m/>
    <n v="1040256"/>
    <n v="4765"/>
    <s v="C001"/>
    <s v="Benito Campos y Cia Ltda."/>
    <n v="48"/>
    <n v="1093"/>
    <n v="0.05"/>
    <n v="1041"/>
    <n v="1235"/>
    <n v="59280"/>
    <d v="2020-03-26T00:00:00"/>
    <s v="Cajon"/>
    <n v="185842"/>
    <x v="2"/>
    <n v="789"/>
    <n v="252"/>
    <n v="0.24"/>
    <m/>
  </r>
  <r>
    <n v="528"/>
    <s v="DE-0246"/>
    <x v="102"/>
    <x v="29"/>
    <x v="65"/>
    <s v="Factura"/>
    <m/>
    <n v="1040256"/>
    <n v="4765"/>
    <s v="C001"/>
    <s v="Benito Campos y Cia Ltda."/>
    <n v="10"/>
    <n v="657"/>
    <n v="-0.08"/>
    <n v="713"/>
    <n v="843"/>
    <n v="8430"/>
    <d v="2020-03-26T00:00:00"/>
    <s v="Cajon"/>
    <n v="185842"/>
    <x v="20"/>
    <n v="474"/>
    <n v="239"/>
    <n v="0.34"/>
    <m/>
  </r>
  <r>
    <n v="528"/>
    <s v="DE-0247"/>
    <x v="100"/>
    <x v="29"/>
    <x v="65"/>
    <s v="Factura"/>
    <m/>
    <n v="1040256"/>
    <n v="4765"/>
    <s v="C001"/>
    <s v="Benito Campos y Cia Ltda."/>
    <n v="5"/>
    <n v="1233"/>
    <n v="-0.11"/>
    <n v="1390"/>
    <n v="1633"/>
    <n v="8165"/>
    <d v="2020-03-26T00:00:00"/>
    <s v="Cajon"/>
    <n v="185842"/>
    <x v="20"/>
    <n v="890"/>
    <n v="500"/>
    <n v="0.36"/>
    <m/>
  </r>
  <r>
    <n v="528"/>
    <s v="DE-0248"/>
    <x v="88"/>
    <x v="29"/>
    <x v="65"/>
    <s v="Factura"/>
    <m/>
    <n v="1040256"/>
    <n v="4765"/>
    <s v="C001"/>
    <s v="Benito Campos y Cia Ltda."/>
    <n v="40"/>
    <n v="360"/>
    <n v="-7.0000000000000007E-2"/>
    <n v="388"/>
    <n v="459"/>
    <n v="18360"/>
    <d v="2020-03-26T00:00:00"/>
    <s v="Cajon"/>
    <n v="185842"/>
    <x v="20"/>
    <n v="260"/>
    <n v="128"/>
    <n v="0.33"/>
    <m/>
  </r>
  <r>
    <n v="528"/>
    <s v="DE-0144"/>
    <x v="53"/>
    <x v="29"/>
    <x v="65"/>
    <s v="Factura"/>
    <m/>
    <n v="1040256"/>
    <n v="4765"/>
    <s v="C001"/>
    <s v="Benito Campos y Cia Ltda."/>
    <n v="24"/>
    <n v="463"/>
    <n v="0.05"/>
    <n v="441"/>
    <n v="523"/>
    <n v="12552"/>
    <d v="2020-03-26T00:00:00"/>
    <s v="Cajon"/>
    <n v="185842"/>
    <x v="20"/>
    <n v="334"/>
    <n v="107"/>
    <n v="0.24"/>
    <m/>
  </r>
  <r>
    <n v="528"/>
    <s v="DE-0145"/>
    <x v="54"/>
    <x v="29"/>
    <x v="65"/>
    <s v="Factura"/>
    <m/>
    <n v="1040256"/>
    <n v="4765"/>
    <s v="C001"/>
    <s v="Benito Campos y Cia Ltda."/>
    <n v="24"/>
    <n v="463"/>
    <n v="0.05"/>
    <n v="441"/>
    <n v="523"/>
    <n v="12552"/>
    <d v="2020-03-26T00:00:00"/>
    <s v="Cajon"/>
    <n v="185842"/>
    <x v="20"/>
    <n v="334"/>
    <n v="107"/>
    <n v="0.24"/>
    <m/>
  </r>
  <r>
    <n v="529"/>
    <s v="AS-0026"/>
    <x v="196"/>
    <x v="6"/>
    <x v="65"/>
    <s v="Factura"/>
    <m/>
    <s v="sn"/>
    <n v="4766"/>
    <s v="C005"/>
    <s v="Julia Ines Rebolledo Retamal"/>
    <n v="10"/>
    <n v="3248"/>
    <n v="0.09"/>
    <n v="2980"/>
    <n v="3517"/>
    <n v="35170"/>
    <d v="2020-03-26T00:00:00"/>
    <s v="Cajon"/>
    <n v="43315"/>
    <x v="9"/>
    <n v="2283"/>
    <n v="697"/>
    <n v="0.23"/>
    <m/>
  </r>
  <r>
    <n v="529"/>
    <s v="DE-0248"/>
    <x v="88"/>
    <x v="29"/>
    <x v="65"/>
    <s v="Factura"/>
    <m/>
    <s v="sn"/>
    <n v="4766"/>
    <s v="C005"/>
    <s v="Julia Ines Rebolledo Retamal"/>
    <n v="20"/>
    <n v="360"/>
    <n v="0.05"/>
    <n v="343"/>
    <n v="407"/>
    <n v="8140"/>
    <d v="2020-03-26T00:00:00"/>
    <s v="Cajon"/>
    <n v="43315"/>
    <x v="20"/>
    <n v="260"/>
    <n v="83"/>
    <n v="0.24"/>
    <m/>
  </r>
  <r>
    <n v="530"/>
    <s v="MA-166"/>
    <x v="5"/>
    <x v="5"/>
    <x v="65"/>
    <s v="Boleta"/>
    <m/>
    <n v="6796"/>
    <n v="4767"/>
    <s v="C670"/>
    <s v="Nella Marchetti"/>
    <n v="2"/>
    <n v="19748"/>
    <s v="%"/>
    <n v="19748"/>
    <n v="23500"/>
    <n v="47000"/>
    <d v="2020-03-26T00:00:00"/>
    <s v="Pirque"/>
    <n v="47000"/>
    <x v="5"/>
    <n v="14122"/>
    <n v="5626"/>
    <n v="0.28000000000000003"/>
    <m/>
  </r>
  <r>
    <n v="531"/>
    <s v="AS-0031"/>
    <x v="16"/>
    <x v="13"/>
    <x v="65"/>
    <s v="Boleta"/>
    <m/>
    <n v="6798"/>
    <n v="4768"/>
    <s v="C490"/>
    <s v="Matias Moreno"/>
    <n v="20"/>
    <n v="3193"/>
    <s v="%"/>
    <n v="3193"/>
    <n v="3800"/>
    <n v="76000"/>
    <d v="2020-03-28T00:00:00"/>
    <s v="Chada"/>
    <n v="76000"/>
    <x v="6"/>
    <n v="2200"/>
    <n v="993"/>
    <n v="0.31"/>
    <m/>
  </r>
  <r>
    <n v="532"/>
    <s v="MA-0053"/>
    <x v="8"/>
    <x v="7"/>
    <x v="65"/>
    <s v="Boleta"/>
    <m/>
    <n v="6797"/>
    <n v="4769"/>
    <s v="C599"/>
    <s v="Tamara Chavez"/>
    <n v="1"/>
    <n v="13277"/>
    <s v="%"/>
    <n v="13277"/>
    <n v="15800"/>
    <n v="15800"/>
    <d v="2020-03-26T00:00:00"/>
    <s v="Pirque"/>
    <n v="38100"/>
    <x v="5"/>
    <n v="9975"/>
    <n v="3302"/>
    <n v="0.25"/>
    <m/>
  </r>
  <r>
    <n v="532"/>
    <s v="MA-136"/>
    <x v="4"/>
    <x v="4"/>
    <x v="65"/>
    <s v="Boleta"/>
    <m/>
    <n v="6797"/>
    <n v="4769"/>
    <s v="C599"/>
    <s v="Tamara Chavez"/>
    <n v="1"/>
    <n v="18739"/>
    <s v="%"/>
    <n v="18739"/>
    <n v="22300"/>
    <n v="22300"/>
    <d v="2020-03-26T00:00:00"/>
    <s v="Pirque"/>
    <n v="38100"/>
    <x v="4"/>
    <n v="14040"/>
    <n v="4699"/>
    <n v="0.25"/>
    <m/>
  </r>
  <r>
    <n v="533"/>
    <s v="MA-0027"/>
    <x v="9"/>
    <x v="8"/>
    <x v="65"/>
    <s v="Boleta"/>
    <m/>
    <n v="6795"/>
    <n v="4770"/>
    <s v="C342"/>
    <s v="Julio Cesar Contreras"/>
    <n v="2"/>
    <n v="13866"/>
    <s v="%"/>
    <n v="13866"/>
    <n v="16500"/>
    <n v="33000"/>
    <d v="2020-03-26T00:00:00"/>
    <s v="Pirque"/>
    <n v="33000"/>
    <x v="7"/>
    <n v="10390"/>
    <n v="3476"/>
    <n v="0.25"/>
    <m/>
  </r>
  <r>
    <n v="534"/>
    <s v="MA-0027"/>
    <x v="9"/>
    <x v="8"/>
    <x v="65"/>
    <s v="Boleta"/>
    <m/>
    <n v="6794"/>
    <n v="4771"/>
    <s v="C659"/>
    <s v="Carola Huerta"/>
    <n v="2"/>
    <n v="13866"/>
    <s v="%"/>
    <n v="13866"/>
    <n v="16500"/>
    <n v="33000"/>
    <d v="2020-03-26T00:00:00"/>
    <s v="Pirque"/>
    <n v="33000"/>
    <x v="7"/>
    <n v="10390"/>
    <n v="3476"/>
    <n v="0.25"/>
    <m/>
  </r>
  <r>
    <n v="535"/>
    <s v="MA-0048"/>
    <x v="95"/>
    <x v="42"/>
    <x v="65"/>
    <s v="Boleta"/>
    <m/>
    <n v="6793"/>
    <n v="4772"/>
    <s v="C636"/>
    <s v="Jessica Cabello"/>
    <n v="1"/>
    <n v="13025"/>
    <s v="%"/>
    <n v="13025"/>
    <n v="15500"/>
    <n v="15500"/>
    <d v="2020-03-26T00:00:00"/>
    <s v="Pirque"/>
    <n v="25700"/>
    <x v="7"/>
    <n v="9641"/>
    <n v="3384"/>
    <n v="0.26"/>
    <m/>
  </r>
  <r>
    <n v="535"/>
    <s v="MA-0046"/>
    <x v="46"/>
    <x v="17"/>
    <x v="65"/>
    <s v="Boleta"/>
    <m/>
    <n v="6793"/>
    <n v="4772"/>
    <s v="C636"/>
    <s v="Jessica Cabello"/>
    <n v="1"/>
    <n v="8571"/>
    <s v="%"/>
    <n v="8571"/>
    <n v="10200"/>
    <n v="10200"/>
    <d v="2020-03-26T00:00:00"/>
    <s v="Pirque"/>
    <n v="25700"/>
    <x v="7"/>
    <n v="6436"/>
    <n v="2135"/>
    <n v="0.25"/>
    <m/>
  </r>
  <r>
    <n v="536"/>
    <s v="MA-121"/>
    <x v="111"/>
    <x v="4"/>
    <x v="65"/>
    <s v="Boleta"/>
    <m/>
    <n v="6792"/>
    <n v="4773"/>
    <s v="C600"/>
    <s v="Francisco Gutierrez"/>
    <n v="1"/>
    <n v="19496"/>
    <s v="%"/>
    <n v="19496"/>
    <n v="23200"/>
    <n v="23200"/>
    <d v="2020-03-27T00:00:00"/>
    <s v="Pirque"/>
    <n v="23200"/>
    <x v="4"/>
    <n v="14700"/>
    <n v="4796"/>
    <n v="0.25"/>
    <m/>
  </r>
  <r>
    <n v="537"/>
    <s v="DE-1119"/>
    <x v="249"/>
    <x v="40"/>
    <x v="66"/>
    <s v="Factura"/>
    <m/>
    <s v="sn"/>
    <n v="4774"/>
    <s v="C088"/>
    <s v="Salvador Jesus Maulen Lizana e Hios Ltda"/>
    <n v="2"/>
    <n v="2169"/>
    <n v="0.1"/>
    <n v="1976"/>
    <n v="2329"/>
    <n v="4658"/>
    <d v="2020-03-26T00:00:00"/>
    <s v="Cajon"/>
    <n v="245140"/>
    <x v="27"/>
    <n v="1499"/>
    <n v="477"/>
    <n v="0.24"/>
    <m/>
  </r>
  <r>
    <n v="537"/>
    <s v="AS-80"/>
    <x v="250"/>
    <x v="95"/>
    <x v="66"/>
    <s v="Factura"/>
    <m/>
    <s v="sn"/>
    <n v="4774"/>
    <s v="C088"/>
    <s v="Salvador Jesus Maulen Lizana e Hios Ltda"/>
    <n v="27"/>
    <n v="1784"/>
    <n v="0.13"/>
    <n v="1581"/>
    <n v="1850"/>
    <n v="49950"/>
    <d v="2020-03-26T00:00:00"/>
    <s v="Cajon"/>
    <n v="245140"/>
    <x v="6"/>
    <n v="1127"/>
    <n v="454"/>
    <n v="0.28999999999999998"/>
    <m/>
  </r>
  <r>
    <n v="537"/>
    <s v="AS-0013"/>
    <x v="251"/>
    <x v="73"/>
    <x v="66"/>
    <s v="Factura"/>
    <m/>
    <s v="sn"/>
    <n v="4774"/>
    <s v="C088"/>
    <s v="Salvador Jesus Maulen Lizana e Hios Ltda"/>
    <n v="12"/>
    <n v="729"/>
    <n v="-0.09"/>
    <n v="801"/>
    <n v="945"/>
    <n v="11340"/>
    <d v="2020-03-26T00:00:00"/>
    <s v="Cajon"/>
    <n v="245140"/>
    <x v="36"/>
    <n v="526"/>
    <n v="275"/>
    <n v="0.34"/>
    <m/>
  </r>
  <r>
    <n v="537"/>
    <s v="DE-0486"/>
    <x v="126"/>
    <x v="51"/>
    <x v="66"/>
    <s v="Factura"/>
    <m/>
    <s v="sn"/>
    <n v="4774"/>
    <s v="C088"/>
    <s v="Salvador Jesus Maulen Lizana e Hios Ltda"/>
    <n v="12"/>
    <n v="1234"/>
    <n v="0.05"/>
    <n v="1175"/>
    <n v="1395"/>
    <n v="16740"/>
    <d v="2020-03-26T00:00:00"/>
    <s v="Cajon"/>
    <n v="245140"/>
    <x v="29"/>
    <n v="891"/>
    <n v="284"/>
    <n v="0.24"/>
    <m/>
  </r>
  <r>
    <n v="537"/>
    <s v="DE-933"/>
    <x v="151"/>
    <x v="53"/>
    <x v="66"/>
    <s v="Factura"/>
    <m/>
    <s v="sn"/>
    <n v="4774"/>
    <s v="C088"/>
    <s v="Salvador Jesus Maulen Lizana e Hios Ltda"/>
    <n v="12"/>
    <n v="1558"/>
    <n v="-0.03"/>
    <n v="1613"/>
    <n v="1918"/>
    <n v="23016"/>
    <d v="2020-03-26T00:00:00"/>
    <s v="Cajon"/>
    <n v="245140"/>
    <x v="29"/>
    <n v="1125"/>
    <n v="488"/>
    <n v="0.3"/>
    <m/>
  </r>
  <r>
    <n v="537"/>
    <s v="DE-1115"/>
    <x v="252"/>
    <x v="40"/>
    <x v="66"/>
    <s v="Factura"/>
    <m/>
    <s v="sn"/>
    <n v="4774"/>
    <s v="C088"/>
    <s v="Salvador Jesus Maulen Lizana e Hios Ltda"/>
    <n v="24"/>
    <n v="723"/>
    <n v="0.1"/>
    <n v="659"/>
    <n v="777"/>
    <n v="18648"/>
    <d v="2020-03-26T00:00:00"/>
    <s v="Cajon"/>
    <n v="245140"/>
    <x v="27"/>
    <n v="500"/>
    <n v="159"/>
    <n v="0.24"/>
    <m/>
  </r>
  <r>
    <n v="537"/>
    <s v="DE-1084"/>
    <x v="132"/>
    <x v="45"/>
    <x v="66"/>
    <s v="Factura"/>
    <m/>
    <s v="sn"/>
    <n v="4774"/>
    <s v="C088"/>
    <s v="Salvador Jesus Maulen Lizana e Hios Ltda"/>
    <n v="6"/>
    <n v="4539"/>
    <n v="0.05"/>
    <n v="4323"/>
    <n v="5131"/>
    <n v="30786"/>
    <d v="2020-03-26T00:00:00"/>
    <s v="Cajon"/>
    <n v="245140"/>
    <x v="19"/>
    <n v="3277"/>
    <n v="1046"/>
    <n v="0.24"/>
    <m/>
  </r>
  <r>
    <n v="537"/>
    <s v="DE-0511"/>
    <x v="140"/>
    <x v="9"/>
    <x v="66"/>
    <s v="Factura"/>
    <m/>
    <s v="sn"/>
    <n v="4774"/>
    <s v="C088"/>
    <s v="Salvador Jesus Maulen Lizana e Hios Ltda"/>
    <n v="12"/>
    <n v="6983"/>
    <n v="0.1"/>
    <n v="6363"/>
    <n v="7500"/>
    <n v="90000"/>
    <d v="2020-03-26T00:00:00"/>
    <s v="Cajon"/>
    <n v="245140"/>
    <x v="8"/>
    <n v="5042"/>
    <n v="1321"/>
    <n v="0.21"/>
    <m/>
  </r>
  <r>
    <n v="538"/>
    <s v="MA-0040"/>
    <x v="28"/>
    <x v="16"/>
    <x v="66"/>
    <s v="Boleta"/>
    <m/>
    <n v="6803"/>
    <n v="4775"/>
    <s v="C686"/>
    <s v="Sebastian Tapia"/>
    <n v="1"/>
    <n v="16723"/>
    <s v="%"/>
    <n v="16723"/>
    <n v="19900"/>
    <n v="19900"/>
    <d v="2020-03-27T00:00:00"/>
    <s v="Pirque"/>
    <n v="19900"/>
    <x v="7"/>
    <n v="11888"/>
    <n v="4835"/>
    <n v="0.28999999999999998"/>
    <m/>
  </r>
  <r>
    <n v="539"/>
    <s v="MA-118"/>
    <x v="212"/>
    <x v="18"/>
    <x v="66"/>
    <s v="Boleta"/>
    <m/>
    <n v="6802"/>
    <n v="4776"/>
    <s v="C501"/>
    <s v="Victor Rodriguez"/>
    <n v="1"/>
    <n v="10504"/>
    <s v="%"/>
    <n v="10504"/>
    <n v="12500"/>
    <n v="12500"/>
    <d v="2020-03-30T00:00:00"/>
    <s v="Pirque"/>
    <n v="12500"/>
    <x v="5"/>
    <n v="7956"/>
    <n v="2548"/>
    <n v="0.24"/>
    <m/>
  </r>
  <r>
    <n v="540"/>
    <s v="MA-0027"/>
    <x v="9"/>
    <x v="8"/>
    <x v="66"/>
    <s v="Boleta"/>
    <m/>
    <n v="6801"/>
    <n v="4777"/>
    <s v="C687"/>
    <s v="Carolina Arriagada"/>
    <n v="2"/>
    <n v="13866"/>
    <s v="%"/>
    <n v="13866"/>
    <n v="16500"/>
    <n v="33000"/>
    <d v="2020-03-27T00:00:00"/>
    <s v="Pirque"/>
    <n v="55900"/>
    <x v="7"/>
    <n v="10390"/>
    <n v="3476"/>
    <n v="0.25"/>
    <m/>
  </r>
  <r>
    <n v="540"/>
    <s v="MA-0004"/>
    <x v="139"/>
    <x v="21"/>
    <x v="66"/>
    <s v="Boleta"/>
    <m/>
    <n v="6801"/>
    <n v="4777"/>
    <s v="C687"/>
    <s v="Carolina Arriagada"/>
    <n v="1"/>
    <n v="19244"/>
    <s v="%"/>
    <n v="19244"/>
    <n v="22900"/>
    <n v="22900"/>
    <d v="2020-03-27T00:00:00"/>
    <s v="Pirque"/>
    <n v="55900"/>
    <x v="5"/>
    <n v="14894"/>
    <n v="4350"/>
    <n v="0.23"/>
    <m/>
  </r>
  <r>
    <n v="541"/>
    <s v="MA-0003"/>
    <x v="41"/>
    <x v="21"/>
    <x v="66"/>
    <s v="Boleta"/>
    <m/>
    <n v="6800"/>
    <n v="4778"/>
    <s v="C688"/>
    <s v="Constanza Cubillos"/>
    <n v="1"/>
    <n v="17815"/>
    <s v="%"/>
    <n v="17815"/>
    <n v="21200"/>
    <n v="21200"/>
    <d v="2020-03-27T00:00:00"/>
    <s v="Pirque"/>
    <n v="21200"/>
    <x v="5"/>
    <n v="13279"/>
    <n v="4536"/>
    <n v="0.25"/>
    <m/>
  </r>
  <r>
    <n v="542"/>
    <s v="MA-0035"/>
    <x v="37"/>
    <x v="16"/>
    <x v="66"/>
    <s v="Boleta"/>
    <m/>
    <n v="6799"/>
    <n v="4779"/>
    <s v="C037"/>
    <s v="Amelia Cortes"/>
    <n v="1"/>
    <n v="16555"/>
    <s v="%"/>
    <n v="16555"/>
    <n v="19700"/>
    <n v="19700"/>
    <d v="2020-03-26T00:00:00"/>
    <s v="Cajon"/>
    <n v="69600"/>
    <x v="7"/>
    <n v="12429"/>
    <n v="4126"/>
    <n v="0.25"/>
    <m/>
  </r>
  <r>
    <n v="542"/>
    <s v="MA-0053"/>
    <x v="8"/>
    <x v="7"/>
    <x v="66"/>
    <s v="Boleta"/>
    <m/>
    <n v="6799"/>
    <n v="4779"/>
    <s v="C037"/>
    <s v="Amelia Cortes"/>
    <n v="1"/>
    <n v="13277"/>
    <s v="%"/>
    <n v="13277"/>
    <n v="15800"/>
    <n v="15800"/>
    <d v="2020-03-26T00:00:00"/>
    <s v="Cajon"/>
    <n v="69600"/>
    <x v="5"/>
    <n v="9975"/>
    <n v="3302"/>
    <n v="0.25"/>
    <m/>
  </r>
  <r>
    <n v="542"/>
    <s v="MA-0046"/>
    <x v="46"/>
    <x v="17"/>
    <x v="66"/>
    <s v="Boleta"/>
    <m/>
    <n v="6799"/>
    <n v="4779"/>
    <s v="C037"/>
    <s v="Amelia Cortes"/>
    <n v="1"/>
    <n v="8571"/>
    <s v="%"/>
    <n v="8571"/>
    <n v="10200"/>
    <n v="10200"/>
    <d v="2020-03-26T00:00:00"/>
    <s v="Cajon"/>
    <n v="69600"/>
    <x v="7"/>
    <n v="6436"/>
    <n v="2135"/>
    <n v="0.25"/>
    <m/>
  </r>
  <r>
    <n v="542"/>
    <s v="GR-0054"/>
    <x v="30"/>
    <x v="18"/>
    <x v="66"/>
    <s v="Boleta"/>
    <m/>
    <n v="6799"/>
    <n v="4779"/>
    <s v="C037"/>
    <s v="Amelia Cortes"/>
    <n v="1"/>
    <n v="20084"/>
    <s v="%"/>
    <n v="20084"/>
    <n v="23900"/>
    <n v="23900"/>
    <d v="2020-03-26T00:00:00"/>
    <s v="Cajon"/>
    <n v="69600"/>
    <x v="5"/>
    <n v="14604"/>
    <n v="5480"/>
    <n v="0.27"/>
    <m/>
  </r>
  <r>
    <n v="543"/>
    <s v="AS-0038"/>
    <x v="185"/>
    <x v="6"/>
    <x v="67"/>
    <s v="Boleta"/>
    <m/>
    <n v="6805"/>
    <n v="4780"/>
    <s v="C288"/>
    <s v="Jorge Ramirez"/>
    <n v="1"/>
    <n v="4118"/>
    <s v="%"/>
    <n v="4118"/>
    <n v="4900"/>
    <n v="4900"/>
    <d v="2020-03-28T00:00:00"/>
    <s v="Pirque"/>
    <n v="64900"/>
    <x v="6"/>
    <n v="2250"/>
    <n v="1868"/>
    <n v="0.45"/>
    <m/>
  </r>
  <r>
    <n v="543"/>
    <s v="AS-29"/>
    <x v="192"/>
    <x v="13"/>
    <x v="67"/>
    <s v="Boleta"/>
    <m/>
    <n v="6805"/>
    <n v="4780"/>
    <s v="C288"/>
    <s v="Jorge Ramirez"/>
    <n v="10"/>
    <n v="3193"/>
    <s v="%"/>
    <n v="3193"/>
    <n v="3800"/>
    <n v="38000"/>
    <d v="2020-03-28T00:00:00"/>
    <s v="Pirque"/>
    <n v="64900"/>
    <x v="6"/>
    <n v="2100"/>
    <n v="1093"/>
    <n v="0.34"/>
    <m/>
  </r>
  <r>
    <n v="543"/>
    <s v="AS-0037"/>
    <x v="73"/>
    <x v="6"/>
    <x v="67"/>
    <s v="Boleta"/>
    <m/>
    <n v="6805"/>
    <n v="4780"/>
    <s v="C288"/>
    <s v="Jorge Ramirez"/>
    <n v="2"/>
    <n v="1261"/>
    <s v="%"/>
    <n v="1261"/>
    <n v="1500"/>
    <n v="3000"/>
    <d v="2020-03-28T00:00:00"/>
    <s v="Pirque"/>
    <n v="64900"/>
    <x v="6"/>
    <n v="545"/>
    <n v="716"/>
    <n v="0.56999999999999995"/>
    <m/>
  </r>
  <r>
    <n v="543"/>
    <s v="AS-0031"/>
    <x v="16"/>
    <x v="13"/>
    <x v="67"/>
    <s v="Boleta"/>
    <m/>
    <n v="6805"/>
    <n v="4780"/>
    <s v="C288"/>
    <s v="Jorge Ramirez"/>
    <n v="5"/>
    <n v="3193"/>
    <s v="%"/>
    <n v="3193"/>
    <n v="3800"/>
    <n v="19000"/>
    <d v="2020-03-28T00:00:00"/>
    <s v="Pirque"/>
    <n v="64900"/>
    <x v="6"/>
    <n v="2200"/>
    <n v="993"/>
    <n v="0.31"/>
    <m/>
  </r>
  <r>
    <n v="544"/>
    <s v="MA-0053"/>
    <x v="8"/>
    <x v="7"/>
    <x v="67"/>
    <s v="Boleta"/>
    <m/>
    <n v="6804"/>
    <n v="4781"/>
    <s v="C625"/>
    <s v="Patricia Zapata"/>
    <n v="2"/>
    <n v="13277"/>
    <s v="%"/>
    <n v="13277"/>
    <n v="15800"/>
    <n v="31600"/>
    <d v="2020-03-28T00:00:00"/>
    <s v="Pirque"/>
    <n v="55500"/>
    <x v="5"/>
    <n v="9975"/>
    <n v="3302"/>
    <n v="0.25"/>
    <m/>
  </r>
  <r>
    <n v="544"/>
    <s v="GR-0054"/>
    <x v="30"/>
    <x v="18"/>
    <x v="67"/>
    <s v="Boleta"/>
    <m/>
    <n v="6804"/>
    <n v="4781"/>
    <s v="C625"/>
    <s v="Patricia Zapata"/>
    <n v="1"/>
    <n v="20084"/>
    <s v="%"/>
    <n v="20084"/>
    <n v="23900"/>
    <n v="23900"/>
    <d v="2020-03-28T00:00:00"/>
    <s v="Pirque"/>
    <n v="55500"/>
    <x v="5"/>
    <n v="14604"/>
    <n v="5480"/>
    <n v="0.27"/>
    <m/>
  </r>
  <r>
    <n v="545"/>
    <s v="AS-0026"/>
    <x v="196"/>
    <x v="6"/>
    <x v="67"/>
    <s v="Factura"/>
    <m/>
    <s v="sn"/>
    <n v="4782"/>
    <s v="C035"/>
    <s v="Jimena Isabel Alfaro Navarro"/>
    <n v="10"/>
    <n v="3162"/>
    <n v="0.05"/>
    <n v="3011"/>
    <n v="3575"/>
    <n v="35750"/>
    <d v="2020-03-28T00:00:00"/>
    <s v="Chada"/>
    <n v="35747"/>
    <x v="9"/>
    <n v="2283"/>
    <n v="728"/>
    <n v="0.24"/>
    <m/>
  </r>
  <r>
    <n v="546"/>
    <s v="AS-29"/>
    <x v="192"/>
    <x v="13"/>
    <x v="67"/>
    <s v="Boleta"/>
    <m/>
    <n v="6806"/>
    <n v="4783"/>
    <s v="C689"/>
    <s v="Maida Mujica"/>
    <n v="2"/>
    <n v="3193"/>
    <s v="%"/>
    <n v="3193"/>
    <n v="3800"/>
    <n v="7600"/>
    <d v="2020-03-28T00:00:00"/>
    <s v="Pirque"/>
    <n v="14600"/>
    <x v="6"/>
    <n v="2100"/>
    <n v="1093"/>
    <n v="0.34"/>
    <m/>
  </r>
  <r>
    <n v="546"/>
    <s v="AS-0039"/>
    <x v="39"/>
    <x v="6"/>
    <x v="67"/>
    <s v="Boleta"/>
    <m/>
    <n v="6806"/>
    <n v="4783"/>
    <s v="C689"/>
    <s v="Maida Mujica"/>
    <n v="2"/>
    <n v="2941"/>
    <s v="%"/>
    <n v="2941"/>
    <n v="3500"/>
    <n v="7000"/>
    <d v="2020-03-28T00:00:00"/>
    <s v="Pirque"/>
    <n v="14600"/>
    <x v="6"/>
    <n v="2119"/>
    <n v="822"/>
    <n v="0.28000000000000003"/>
    <m/>
  </r>
  <r>
    <n v="547"/>
    <s v="MA-0055"/>
    <x v="202"/>
    <x v="80"/>
    <x v="68"/>
    <s v="Factura"/>
    <m/>
    <s v="sn"/>
    <n v="4784"/>
    <s v="C672"/>
    <s v="Inversiones y Comercial Bezeta Ltda "/>
    <n v="100"/>
    <n v="4639"/>
    <s v="%"/>
    <n v="4639"/>
    <n v="5520"/>
    <n v="552000"/>
    <d v="2020-03-30T00:00:00"/>
    <s v="Chada"/>
    <n v="898777"/>
    <x v="7"/>
    <s v="$"/>
    <n v="4639"/>
    <n v="1"/>
    <m/>
  </r>
  <r>
    <n v="547"/>
    <s v="DE-1228"/>
    <x v="253"/>
    <x v="6"/>
    <x v="68"/>
    <s v="Factura"/>
    <m/>
    <s v="sn"/>
    <n v="4784"/>
    <s v="C672"/>
    <s v="Inversiones y Comercial Bezeta Ltda "/>
    <n v="1"/>
    <n v="64058"/>
    <n v="0.1"/>
    <n v="58367"/>
    <n v="68797"/>
    <n v="68797"/>
    <d v="2020-03-30T00:00:00"/>
    <s v="Chada"/>
    <n v="898777"/>
    <x v="25"/>
    <n v="46250"/>
    <n v="12117"/>
    <n v="0.21"/>
    <m/>
  </r>
  <r>
    <n v="547"/>
    <s v="DE-1229"/>
    <x v="254"/>
    <x v="6"/>
    <x v="68"/>
    <s v="Factura"/>
    <m/>
    <s v="sn"/>
    <n v="4784"/>
    <s v="C672"/>
    <s v="Inversiones y Comercial Bezeta Ltda "/>
    <n v="1"/>
    <n v="83102"/>
    <n v="0.1"/>
    <n v="75719"/>
    <n v="89250"/>
    <n v="89250"/>
    <d v="2020-03-30T00:00:00"/>
    <s v="Chada"/>
    <n v="898777"/>
    <x v="25"/>
    <n v="60000"/>
    <n v="15719"/>
    <n v="0.21"/>
    <m/>
  </r>
  <r>
    <n v="547"/>
    <s v="DE-1230"/>
    <x v="255"/>
    <x v="6"/>
    <x v="68"/>
    <s v="Factura"/>
    <m/>
    <s v="sn"/>
    <n v="4784"/>
    <s v="C672"/>
    <s v="Inversiones y Comercial Bezeta Ltda "/>
    <n v="1"/>
    <n v="65789"/>
    <n v="0.1"/>
    <n v="59944"/>
    <n v="70656"/>
    <n v="70656"/>
    <d v="2020-03-30T00:00:00"/>
    <s v="Chada"/>
    <n v="898777"/>
    <x v="25"/>
    <n v="47500"/>
    <n v="12444"/>
    <n v="0.21"/>
    <m/>
  </r>
  <r>
    <n v="547"/>
    <s v="DE-1231"/>
    <x v="256"/>
    <x v="6"/>
    <x v="68"/>
    <s v="Factura"/>
    <m/>
    <s v="sn"/>
    <n v="4784"/>
    <s v="C672"/>
    <s v="Inversiones y Comercial Bezeta Ltda "/>
    <n v="1"/>
    <n v="68906"/>
    <n v="0.1"/>
    <n v="62785"/>
    <n v="74003"/>
    <n v="74003"/>
    <d v="2020-03-30T00:00:00"/>
    <s v="Chada"/>
    <n v="898777"/>
    <x v="25"/>
    <n v="49750"/>
    <n v="13035"/>
    <n v="0.21"/>
    <m/>
  </r>
  <r>
    <n v="547"/>
    <s v="DE-1232"/>
    <x v="257"/>
    <x v="6"/>
    <x v="68"/>
    <s v="Factura"/>
    <m/>
    <s v="sn"/>
    <n v="4784"/>
    <s v="C672"/>
    <s v="Inversiones y Comercial Bezeta Ltda "/>
    <n v="1"/>
    <n v="40997"/>
    <n v="0.1"/>
    <n v="37355"/>
    <n v="44030"/>
    <n v="44030"/>
    <d v="2020-03-30T00:00:00"/>
    <s v="Chada"/>
    <n v="898777"/>
    <x v="25"/>
    <n v="29600"/>
    <n v="7755"/>
    <n v="0.21"/>
    <m/>
  </r>
  <r>
    <n v="548"/>
    <s v="AS-0022"/>
    <x v="200"/>
    <x v="28"/>
    <x v="68"/>
    <s v="Factura"/>
    <m/>
    <s v="sn"/>
    <n v="4785"/>
    <s v="C016"/>
    <s v="Maria Magaly Diaz Espinoza"/>
    <n v="48"/>
    <n v="741"/>
    <n v="0.05"/>
    <n v="706"/>
    <n v="838"/>
    <n v="40224"/>
    <d v="2020-03-30T00:00:00"/>
    <s v="Chada"/>
    <n v="166573"/>
    <x v="9"/>
    <n v="535"/>
    <n v="171"/>
    <n v="0.24"/>
    <m/>
  </r>
  <r>
    <n v="548"/>
    <s v="DE-1217"/>
    <x v="150"/>
    <x v="59"/>
    <x v="68"/>
    <s v="Factura"/>
    <m/>
    <s v="sn"/>
    <n v="4785"/>
    <s v="C016"/>
    <s v="Maria Magaly Diaz Espinoza"/>
    <n v="48"/>
    <n v="932"/>
    <n v="0.05"/>
    <n v="888"/>
    <n v="1054"/>
    <n v="50592"/>
    <d v="2020-03-30T00:00:00"/>
    <s v="Chada"/>
    <n v="166573"/>
    <x v="19"/>
    <n v="673"/>
    <n v="215"/>
    <n v="0.24"/>
    <m/>
  </r>
  <r>
    <n v="548"/>
    <s v="DE-1215"/>
    <x v="149"/>
    <x v="59"/>
    <x v="68"/>
    <s v="Factura"/>
    <m/>
    <s v="sn"/>
    <n v="4785"/>
    <s v="C016"/>
    <s v="Maria Magaly Diaz Espinoza"/>
    <n v="48"/>
    <n v="971"/>
    <n v="0.05"/>
    <n v="925"/>
    <n v="1098"/>
    <n v="52704"/>
    <d v="2020-03-30T00:00:00"/>
    <s v="Chada"/>
    <n v="166573"/>
    <x v="19"/>
    <n v="701"/>
    <n v="224"/>
    <n v="0.24"/>
    <m/>
  </r>
  <r>
    <n v="548"/>
    <s v="AS-0023"/>
    <x v="258"/>
    <x v="32"/>
    <x v="68"/>
    <s v="Factura"/>
    <m/>
    <s v="sn"/>
    <n v="4785"/>
    <s v="C016"/>
    <s v="Maria Magaly Diaz Espinoza"/>
    <n v="12"/>
    <n v="551"/>
    <n v="0.05"/>
    <n v="525"/>
    <n v="623"/>
    <n v="7476"/>
    <d v="2020-03-30T00:00:00"/>
    <s v="Chada"/>
    <n v="166573"/>
    <x v="9"/>
    <n v="398"/>
    <n v="127"/>
    <n v="0.24"/>
    <m/>
  </r>
  <r>
    <n v="548"/>
    <s v="MA-0053"/>
    <x v="8"/>
    <x v="7"/>
    <x v="68"/>
    <s v="Factura"/>
    <m/>
    <s v="sn"/>
    <n v="4785"/>
    <s v="C016"/>
    <s v="Maria Magaly Diaz Espinoza"/>
    <n v="1"/>
    <n v="13816"/>
    <n v="0.05"/>
    <n v="13158"/>
    <n v="15619"/>
    <n v="15619"/>
    <d v="2020-03-30T00:00:00"/>
    <s v="Chada"/>
    <n v="166573"/>
    <x v="5"/>
    <n v="9975"/>
    <n v="3183"/>
    <n v="0.24"/>
    <m/>
  </r>
  <r>
    <n v="549"/>
    <s v="AS-80"/>
    <x v="250"/>
    <x v="95"/>
    <x v="68"/>
    <s v="Factura"/>
    <m/>
    <s v="sn"/>
    <n v="4786"/>
    <s v="C016"/>
    <s v="Maria Magaly Diaz Espinoza"/>
    <n v="3"/>
    <n v="1784"/>
    <s v="%"/>
    <n v="1784"/>
    <n v="2123"/>
    <n v="6369"/>
    <d v="2020-03-30T00:00:00"/>
    <s v="Chada"/>
    <n v="26544"/>
    <x v="6"/>
    <n v="1127"/>
    <n v="657"/>
    <n v="0.37"/>
    <m/>
  </r>
  <r>
    <n v="549"/>
    <s v="AS-0011"/>
    <x v="259"/>
    <x v="73"/>
    <x v="68"/>
    <s v="Factura"/>
    <m/>
    <s v="sn"/>
    <n v="4786"/>
    <s v="C016"/>
    <s v="Maria Magaly Diaz Espinoza"/>
    <n v="12"/>
    <n v="578"/>
    <n v="0.05"/>
    <n v="550"/>
    <n v="653"/>
    <n v="7836"/>
    <d v="2020-03-30T00:00:00"/>
    <s v="Chada"/>
    <n v="26544"/>
    <x v="36"/>
    <n v="417"/>
    <n v="133"/>
    <n v="0.24"/>
    <m/>
  </r>
  <r>
    <n v="549"/>
    <s v="AS-0026"/>
    <x v="196"/>
    <x v="6"/>
    <x v="68"/>
    <s v="Factura"/>
    <m/>
    <s v="sn"/>
    <n v="4786"/>
    <s v="C016"/>
    <s v="Maria Magaly Diaz Espinoza"/>
    <n v="2"/>
    <n v="3162"/>
    <n v="0.05"/>
    <n v="3011"/>
    <n v="3575"/>
    <n v="7150"/>
    <d v="2020-03-30T00:00:00"/>
    <s v="Chada"/>
    <n v="26544"/>
    <x v="9"/>
    <n v="2283"/>
    <n v="728"/>
    <n v="0.24"/>
    <m/>
  </r>
  <r>
    <n v="549"/>
    <s v="MA-201"/>
    <x v="260"/>
    <x v="96"/>
    <x v="68"/>
    <s v="Factura"/>
    <m/>
    <s v="sn"/>
    <n v="4786"/>
    <s v="C016"/>
    <s v="Maria Magaly Diaz Espinoza"/>
    <n v="1"/>
    <n v="4833"/>
    <n v="0.1"/>
    <n v="4404"/>
    <n v="5191"/>
    <n v="5191"/>
    <d v="2020-03-30T00:00:00"/>
    <s v="Chada"/>
    <n v="26544"/>
    <x v="43"/>
    <n v="3385"/>
    <n v="1019"/>
    <n v="0.23"/>
    <m/>
  </r>
  <r>
    <n v="550"/>
    <s v="MA-0035"/>
    <x v="37"/>
    <x v="16"/>
    <x v="68"/>
    <s v="Boleta"/>
    <m/>
    <n v="6810"/>
    <n v="4787"/>
    <s v="C635"/>
    <s v="Teresa Meza"/>
    <n v="1"/>
    <n v="16555"/>
    <s v="%"/>
    <n v="16555"/>
    <n v="19700"/>
    <n v="19700"/>
    <d v="2020-03-31T00:00:00"/>
    <s v="Pirque"/>
    <n v="37100"/>
    <x v="7"/>
    <n v="12429"/>
    <n v="4126"/>
    <n v="0.25"/>
    <m/>
  </r>
  <r>
    <n v="550"/>
    <s v="AS-0039"/>
    <x v="39"/>
    <x v="6"/>
    <x v="68"/>
    <s v="Boleta"/>
    <m/>
    <n v="6810"/>
    <n v="4787"/>
    <s v="C635"/>
    <s v="Teresa Meza"/>
    <n v="2"/>
    <n v="2941"/>
    <s v="%"/>
    <n v="2941"/>
    <n v="3500"/>
    <n v="7000"/>
    <d v="2020-03-31T00:00:00"/>
    <s v="Pirque"/>
    <n v="37100"/>
    <x v="6"/>
    <n v="2119"/>
    <n v="822"/>
    <n v="0.28000000000000003"/>
    <m/>
  </r>
  <r>
    <n v="550"/>
    <s v="AS-0031"/>
    <x v="16"/>
    <x v="13"/>
    <x v="68"/>
    <s v="Boleta"/>
    <m/>
    <n v="6810"/>
    <n v="4787"/>
    <s v="C635"/>
    <s v="Teresa Meza"/>
    <n v="1"/>
    <n v="3193"/>
    <s v="%"/>
    <n v="3193"/>
    <n v="3800"/>
    <n v="3800"/>
    <d v="2020-03-31T00:00:00"/>
    <s v="Pirque"/>
    <n v="37100"/>
    <x v="6"/>
    <n v="2200"/>
    <n v="993"/>
    <n v="0.31"/>
    <m/>
  </r>
  <r>
    <n v="550"/>
    <s v="AS-29"/>
    <x v="192"/>
    <x v="13"/>
    <x v="68"/>
    <s v="Boleta"/>
    <m/>
    <n v="6810"/>
    <n v="4787"/>
    <s v="C635"/>
    <s v="Teresa Meza"/>
    <n v="1"/>
    <n v="3193"/>
    <s v="%"/>
    <n v="3193"/>
    <n v="3800"/>
    <n v="3800"/>
    <d v="2020-03-31T00:00:00"/>
    <s v="Pirque"/>
    <n v="37100"/>
    <x v="6"/>
    <n v="2100"/>
    <n v="1093"/>
    <n v="0.34"/>
    <m/>
  </r>
  <r>
    <n v="550"/>
    <s v="AS-80"/>
    <x v="250"/>
    <x v="95"/>
    <x v="68"/>
    <s v="Boleta"/>
    <m/>
    <n v="6810"/>
    <n v="4787"/>
    <s v="C635"/>
    <s v="Teresa Meza"/>
    <n v="1"/>
    <n v="2353"/>
    <s v="%"/>
    <n v="2353"/>
    <n v="2800"/>
    <n v="2800"/>
    <d v="2020-03-31T00:00:00"/>
    <s v="Pirque"/>
    <n v="37100"/>
    <x v="6"/>
    <n v="1127"/>
    <n v="1226"/>
    <n v="0.52"/>
    <m/>
  </r>
  <r>
    <n v="551"/>
    <s v="MA-214"/>
    <x v="13"/>
    <x v="12"/>
    <x v="68"/>
    <s v="Boleta"/>
    <m/>
    <n v="6809"/>
    <n v="4788"/>
    <s v="C690"/>
    <s v="Karin de Manfred Myer"/>
    <n v="1"/>
    <n v="26471"/>
    <s v="%"/>
    <n v="26471"/>
    <n v="31500"/>
    <n v="31500"/>
    <d v="2020-03-31T00:00:00"/>
    <s v="Pirque"/>
    <n v="31500"/>
    <x v="11"/>
    <n v="21183"/>
    <n v="5288"/>
    <n v="0.2"/>
    <m/>
  </r>
  <r>
    <n v="552"/>
    <s v="GR-0055"/>
    <x v="31"/>
    <x v="18"/>
    <x v="68"/>
    <s v="Boleta"/>
    <m/>
    <n v="6808"/>
    <n v="4789"/>
    <s v="C455"/>
    <s v="Grace Moore"/>
    <n v="2"/>
    <n v="20084"/>
    <s v="%"/>
    <n v="20084"/>
    <n v="23900"/>
    <n v="47800"/>
    <d v="2020-03-30T00:00:00"/>
    <s v="Pirque"/>
    <n v="47800"/>
    <x v="5"/>
    <n v="14604"/>
    <n v="5480"/>
    <n v="0.27"/>
    <m/>
  </r>
  <r>
    <n v="553"/>
    <s v="MA-0035"/>
    <x v="37"/>
    <x v="16"/>
    <x v="68"/>
    <s v="Boleta"/>
    <m/>
    <n v="6807"/>
    <n v="4790"/>
    <s v="C558"/>
    <s v="Carola Pardo"/>
    <n v="1"/>
    <n v="16555"/>
    <s v="%"/>
    <n v="16555"/>
    <n v="19700"/>
    <n v="19700"/>
    <d v="2020-03-30T00:00:00"/>
    <s v="Pirque"/>
    <n v="40100"/>
    <x v="7"/>
    <n v="12429"/>
    <n v="4126"/>
    <n v="0.25"/>
    <m/>
  </r>
  <r>
    <n v="553"/>
    <s v="MA-0046"/>
    <x v="46"/>
    <x v="17"/>
    <x v="68"/>
    <s v="Boleta"/>
    <m/>
    <n v="6807"/>
    <n v="4790"/>
    <s v="C558"/>
    <s v="Carola Pardo"/>
    <n v="2"/>
    <n v="8571"/>
    <s v="%"/>
    <n v="8571"/>
    <n v="10200"/>
    <n v="20400"/>
    <d v="2020-03-30T00:00:00"/>
    <s v="Pirque"/>
    <n v="40100"/>
    <x v="7"/>
    <n v="6436"/>
    <n v="2135"/>
    <n v="0.25"/>
    <m/>
  </r>
  <r>
    <n v="554"/>
    <s v="MA-186"/>
    <x v="195"/>
    <x v="76"/>
    <x v="69"/>
    <s v="Boleta"/>
    <m/>
    <n v="6812"/>
    <n v="4791"/>
    <s v="C560"/>
    <s v="Guillermo Garces"/>
    <n v="1"/>
    <n v="40756"/>
    <s v="%"/>
    <n v="40756"/>
    <n v="48500"/>
    <n v="48500"/>
    <d v="2020-03-31T00:00:00"/>
    <s v="Pirque"/>
    <n v="97000"/>
    <x v="11"/>
    <n v="33701"/>
    <n v="7055"/>
    <n v="0.17"/>
    <m/>
  </r>
  <r>
    <n v="554"/>
    <s v="MA-185"/>
    <x v="194"/>
    <x v="76"/>
    <x v="69"/>
    <s v="Boleta"/>
    <m/>
    <n v="6812"/>
    <n v="4791"/>
    <s v="C560"/>
    <s v="Guillermo Garces"/>
    <n v="1"/>
    <n v="40756"/>
    <s v="%"/>
    <n v="40756"/>
    <n v="48500"/>
    <n v="48500"/>
    <d v="2020-03-31T00:00:00"/>
    <s v="Pirque"/>
    <n v="97000"/>
    <x v="11"/>
    <n v="33701"/>
    <n v="7055"/>
    <n v="0.17"/>
    <m/>
  </r>
  <r>
    <n v="555"/>
    <s v="MA-0053"/>
    <x v="8"/>
    <x v="7"/>
    <x v="69"/>
    <s v="Boleta"/>
    <m/>
    <n v="6811"/>
    <n v="4792"/>
    <s v="C488"/>
    <s v="Trinidad Siviragol"/>
    <n v="3"/>
    <n v="13277"/>
    <s v="%"/>
    <n v="13277"/>
    <n v="15800"/>
    <n v="47400"/>
    <d v="2020-03-31T00:00:00"/>
    <s v="Pirque"/>
    <n v="47400"/>
    <x v="5"/>
    <n v="9975"/>
    <n v="3302"/>
    <n v="0.25"/>
    <m/>
  </r>
  <r>
    <n v="556"/>
    <s v="MA-0003"/>
    <x v="41"/>
    <x v="21"/>
    <x v="69"/>
    <s v="Boleta"/>
    <m/>
    <n v="6813"/>
    <n v="4793"/>
    <s v="C634"/>
    <s v="Isabel Luco"/>
    <n v="4"/>
    <n v="17815"/>
    <s v="%"/>
    <n v="17815"/>
    <n v="21200"/>
    <n v="84800"/>
    <d v="2020-03-31T00:00:00"/>
    <s v="Pirque"/>
    <n v="84800"/>
    <x v="5"/>
    <n v="13279"/>
    <n v="4536"/>
    <n v="0.25"/>
    <m/>
  </r>
  <r>
    <n v="557"/>
    <s v="MA-166"/>
    <x v="5"/>
    <x v="5"/>
    <x v="69"/>
    <s v="Boleta"/>
    <m/>
    <n v="6818"/>
    <n v="4794"/>
    <s v="C361"/>
    <s v="Marcela Biham"/>
    <n v="2"/>
    <n v="19748"/>
    <s v="%"/>
    <n v="19748"/>
    <n v="23500"/>
    <n v="47000"/>
    <d v="2020-04-03T00:00:00"/>
    <s v="Chada"/>
    <n v="47000"/>
    <x v="5"/>
    <n v="14122"/>
    <n v="5626"/>
    <n v="0.28000000000000003"/>
    <m/>
  </r>
  <r>
    <n v="558"/>
    <s v="MA-0027"/>
    <x v="9"/>
    <x v="8"/>
    <x v="69"/>
    <s v="Boleta"/>
    <m/>
    <n v="6817"/>
    <n v="4795"/>
    <s v="C619"/>
    <s v="Luz Maria Streeter"/>
    <n v="2"/>
    <n v="13866"/>
    <s v="%"/>
    <n v="13866"/>
    <n v="16500"/>
    <n v="33000"/>
    <d v="2020-04-01T00:00:00"/>
    <s v="Cajon"/>
    <n v="33000"/>
    <x v="7"/>
    <n v="10390"/>
    <n v="3476"/>
    <n v="0.25"/>
    <m/>
  </r>
  <r>
    <n v="559"/>
    <s v="MA-0027"/>
    <x v="9"/>
    <x v="8"/>
    <x v="69"/>
    <s v="Boleta"/>
    <m/>
    <n v="6816"/>
    <n v="4796"/>
    <s v="C509"/>
    <s v="Herman Mayenberger"/>
    <n v="3"/>
    <n v="13866"/>
    <s v="%"/>
    <n v="13866"/>
    <n v="16500"/>
    <n v="49500"/>
    <d v="2020-03-31T00:00:00"/>
    <s v="Pirque"/>
    <n v="49500"/>
    <x v="7"/>
    <n v="10390"/>
    <n v="3476"/>
    <n v="0.25"/>
    <m/>
  </r>
  <r>
    <n v="560"/>
    <s v="MA-0053"/>
    <x v="8"/>
    <x v="7"/>
    <x v="69"/>
    <s v="Boleta"/>
    <m/>
    <n v="6815"/>
    <n v="4797"/>
    <s v="C683"/>
    <s v="Ma Teresa Wilson"/>
    <n v="2"/>
    <n v="13277"/>
    <s v="%"/>
    <n v="13277"/>
    <n v="15800"/>
    <n v="31600"/>
    <d v="2020-03-31T00:00:00"/>
    <s v="Pirque"/>
    <n v="31600"/>
    <x v="5"/>
    <n v="9975"/>
    <n v="3302"/>
    <n v="0.25"/>
    <m/>
  </r>
  <r>
    <n v="561"/>
    <s v="AS-29"/>
    <x v="192"/>
    <x v="13"/>
    <x v="69"/>
    <s v="Boleta"/>
    <m/>
    <n v="6814"/>
    <n v="4798"/>
    <s v="C582"/>
    <s v="Luis Narvaes"/>
    <n v="4"/>
    <n v="3193"/>
    <s v="%"/>
    <n v="3193"/>
    <n v="3800"/>
    <n v="15200"/>
    <d v="2020-03-31T00:00:00"/>
    <s v="Pirque"/>
    <n v="45700"/>
    <x v="6"/>
    <n v="2100"/>
    <n v="1093"/>
    <n v="0.34"/>
    <m/>
  </r>
  <r>
    <n v="561"/>
    <s v="AS-0039"/>
    <x v="39"/>
    <x v="6"/>
    <x v="69"/>
    <s v="Boleta"/>
    <m/>
    <n v="6814"/>
    <n v="4798"/>
    <s v="C582"/>
    <s v="Luis Narvaes"/>
    <n v="4"/>
    <n v="2941"/>
    <s v="%"/>
    <n v="2941"/>
    <n v="3500"/>
    <n v="14000"/>
    <d v="2020-03-31T00:00:00"/>
    <s v="Pirque"/>
    <n v="45700"/>
    <x v="6"/>
    <n v="2119"/>
    <n v="822"/>
    <n v="0.28000000000000003"/>
    <m/>
  </r>
  <r>
    <n v="561"/>
    <s v="AS-0034"/>
    <x v="186"/>
    <x v="13"/>
    <x v="69"/>
    <s v="Boleta"/>
    <m/>
    <n v="6814"/>
    <n v="4798"/>
    <s v="C582"/>
    <s v="Luis Narvaes"/>
    <n v="2"/>
    <n v="4874"/>
    <s v="%"/>
    <n v="4874"/>
    <n v="5800"/>
    <n v="11600"/>
    <d v="2020-03-31T00:00:00"/>
    <s v="Pirque"/>
    <n v="45700"/>
    <x v="6"/>
    <n v="2400"/>
    <n v="2474"/>
    <n v="0.51"/>
    <m/>
  </r>
  <r>
    <n v="561"/>
    <s v="AS-0038"/>
    <x v="185"/>
    <x v="6"/>
    <x v="69"/>
    <s v="Boleta"/>
    <m/>
    <n v="6814"/>
    <n v="4798"/>
    <s v="C582"/>
    <s v="Luis Narvaes"/>
    <n v="1"/>
    <n v="4118"/>
    <s v="%"/>
    <n v="4118"/>
    <n v="4900"/>
    <n v="4900"/>
    <d v="2020-03-31T00:00:00"/>
    <s v="Pirque"/>
    <n v="45700"/>
    <x v="6"/>
    <n v="2250"/>
    <n v="1868"/>
    <n v="0.45"/>
    <m/>
  </r>
  <r>
    <n v="562"/>
    <s v="MA-0102"/>
    <x v="50"/>
    <x v="4"/>
    <x v="70"/>
    <s v="Factura"/>
    <m/>
    <s v="sn"/>
    <n v="4799"/>
    <s v="C003"/>
    <s v="Hector Felipe Ramos Osorio"/>
    <n v="36"/>
    <n v="853"/>
    <n v="0.05"/>
    <n v="812"/>
    <n v="965"/>
    <n v="34740"/>
    <d v="2020-04-01T00:00:00"/>
    <s v="Cajon"/>
    <n v="405340"/>
    <x v="4"/>
    <n v="616"/>
    <n v="196"/>
    <n v="0.24"/>
    <m/>
  </r>
  <r>
    <n v="562"/>
    <s v="MA-0098"/>
    <x v="80"/>
    <x v="4"/>
    <x v="70"/>
    <s v="Factura"/>
    <m/>
    <s v="sn"/>
    <n v="4799"/>
    <s v="C003"/>
    <s v="Hector Felipe Ramos Osorio"/>
    <n v="24"/>
    <n v="2216"/>
    <n v="0.05"/>
    <n v="2110"/>
    <n v="2505"/>
    <n v="60120"/>
    <d v="2020-04-01T00:00:00"/>
    <s v="Cajon"/>
    <n v="405340"/>
    <x v="4"/>
    <n v="1600"/>
    <n v="510"/>
    <n v="0.24"/>
    <m/>
  </r>
  <r>
    <n v="562"/>
    <s v="MA-0107"/>
    <x v="63"/>
    <x v="4"/>
    <x v="70"/>
    <s v="Factura"/>
    <m/>
    <s v="sn"/>
    <n v="4799"/>
    <s v="C003"/>
    <s v="Hector Felipe Ramos Osorio"/>
    <n v="24"/>
    <n v="1734"/>
    <n v="0.05"/>
    <n v="1651"/>
    <n v="1960"/>
    <n v="47040"/>
    <d v="2020-04-01T00:00:00"/>
    <s v="Cajon"/>
    <n v="405340"/>
    <x v="4"/>
    <n v="1252"/>
    <n v="399"/>
    <n v="0.24"/>
    <m/>
  </r>
  <r>
    <n v="562"/>
    <s v="MA-0108"/>
    <x v="81"/>
    <x v="4"/>
    <x v="70"/>
    <s v="Factura"/>
    <m/>
    <s v="sn"/>
    <n v="4799"/>
    <s v="C003"/>
    <s v="Hector Felipe Ramos Osorio"/>
    <n v="12"/>
    <n v="3327"/>
    <n v="0.05"/>
    <n v="3169"/>
    <n v="3761"/>
    <n v="45132"/>
    <d v="2020-04-01T00:00:00"/>
    <s v="Cajon"/>
    <n v="405340"/>
    <x v="4"/>
    <n v="2402"/>
    <n v="767"/>
    <n v="0.24"/>
    <m/>
  </r>
  <r>
    <n v="562"/>
    <s v="MA-115"/>
    <x v="82"/>
    <x v="16"/>
    <x v="70"/>
    <s v="Factura"/>
    <m/>
    <s v="sn"/>
    <n v="4799"/>
    <s v="C003"/>
    <s v="Hector Felipe Ramos Osorio"/>
    <n v="28"/>
    <n v="1515"/>
    <n v="0.05"/>
    <n v="1443"/>
    <n v="1713"/>
    <n v="47964"/>
    <d v="2020-04-01T00:00:00"/>
    <s v="Cajon"/>
    <n v="405340"/>
    <x v="7"/>
    <s v="$"/>
    <n v="1443"/>
    <n v="1"/>
    <m/>
  </r>
  <r>
    <n v="562"/>
    <s v="MA-0039"/>
    <x v="78"/>
    <x v="16"/>
    <x v="70"/>
    <s v="Factura"/>
    <m/>
    <s v="sn"/>
    <n v="4799"/>
    <s v="C003"/>
    <s v="Hector Felipe Ramos Osorio"/>
    <n v="16"/>
    <n v="7540"/>
    <n v="0.05"/>
    <n v="7181"/>
    <n v="8524"/>
    <n v="136384"/>
    <d v="2020-04-01T00:00:00"/>
    <s v="Cajon"/>
    <n v="405340"/>
    <x v="7"/>
    <n v="5444"/>
    <n v="1737"/>
    <n v="0.24"/>
    <m/>
  </r>
  <r>
    <n v="562"/>
    <s v="AS-0026"/>
    <x v="196"/>
    <x v="6"/>
    <x v="70"/>
    <s v="Factura"/>
    <m/>
    <s v="sn"/>
    <n v="4799"/>
    <s v="C003"/>
    <s v="Hector Felipe Ramos Osorio"/>
    <n v="10"/>
    <n v="3162"/>
    <n v="0.1"/>
    <n v="2881"/>
    <n v="3396"/>
    <n v="33960"/>
    <d v="2020-04-01T00:00:00"/>
    <s v="Cajon"/>
    <n v="405340"/>
    <x v="9"/>
    <n v="2283"/>
    <n v="598"/>
    <n v="0.21"/>
    <m/>
  </r>
  <r>
    <n v="563"/>
    <s v="AS-80"/>
    <x v="250"/>
    <x v="95"/>
    <x v="70"/>
    <s v="Factura"/>
    <m/>
    <s v="sn"/>
    <n v="4800"/>
    <s v="C001"/>
    <s v="Benito Campos y Cia Ltda."/>
    <n v="108"/>
    <n v="1529"/>
    <n v="0.04"/>
    <n v="1473"/>
    <n v="1750"/>
    <n v="189000"/>
    <d v="2020-04-01T00:00:00"/>
    <s v="Cajon"/>
    <n v="189000"/>
    <x v="6"/>
    <n v="1104"/>
    <n v="369"/>
    <n v="0.25"/>
    <m/>
  </r>
  <r>
    <n v="564"/>
    <s v="MA-0003"/>
    <x v="41"/>
    <x v="21"/>
    <x v="70"/>
    <s v="Boleta"/>
    <m/>
    <n v="6819"/>
    <n v="4801"/>
    <s v="C186"/>
    <s v="Monica Valdivieso"/>
    <n v="1"/>
    <n v="17815"/>
    <s v="%"/>
    <n v="17815"/>
    <n v="21200"/>
    <n v="21200"/>
    <d v="2020-03-31T00:00:00"/>
    <s v="Pirque"/>
    <n v="21200"/>
    <x v="5"/>
    <n v="13279"/>
    <n v="4536"/>
    <n v="0.25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36">
  <r>
    <s v="C056"/>
    <s v="Liliana Llanos"/>
    <n v="0"/>
    <n v="2567"/>
    <m/>
    <m/>
    <n v="5900"/>
    <n v="13900"/>
    <m/>
    <n v="13900"/>
    <x v="0"/>
    <n v="0"/>
    <d v="2019-10-01T00:00:00"/>
    <s v="Pagado"/>
    <d v="2019-10-01T00:00:00"/>
    <n v="13900"/>
    <s v="Efectivo"/>
    <m/>
    <m/>
    <m/>
    <m/>
    <n v="8025730"/>
    <n v="13900"/>
    <m/>
    <m/>
    <s v=""/>
    <s v=""/>
    <m/>
    <n v="11680.672268907563"/>
    <n v="2219.3277310924368"/>
    <s v="Pirque"/>
    <s v="Conocido"/>
    <s v="SI"/>
    <m/>
    <m/>
    <x v="0"/>
    <m/>
  </r>
  <r>
    <s v="C390"/>
    <s v="Auria Villanueva"/>
    <n v="0"/>
    <n v="149"/>
    <m/>
    <m/>
    <n v="5899"/>
    <n v="45200"/>
    <m/>
    <n v="45200"/>
    <x v="0"/>
    <n v="0"/>
    <d v="2019-10-01T00:00:00"/>
    <s v="Pagado"/>
    <d v="2019-10-01T00:00:00"/>
    <n v="45200"/>
    <s v="Transbank"/>
    <s v="Debito"/>
    <n v="149"/>
    <m/>
    <m/>
    <m/>
    <m/>
    <m/>
    <m/>
    <s v=""/>
    <s v=""/>
    <m/>
    <n v="37983.193277310929"/>
    <n v="7216.8067226890707"/>
    <s v="Pirque"/>
    <s v="Revista"/>
    <s v="SI"/>
    <m/>
    <m/>
    <x v="0"/>
    <m/>
  </r>
  <r>
    <s v="C004"/>
    <s v="Rosa Gladys Vidal Mora"/>
    <n v="2925"/>
    <n v="0"/>
    <m/>
    <m/>
    <s v="sn"/>
    <n v="108740"/>
    <m/>
    <n v="108740"/>
    <x v="1"/>
    <n v="7"/>
    <d v="2019-10-09T00:00:00"/>
    <s v="Pagado"/>
    <d v="2019-10-09T00:00:00"/>
    <n v="108740"/>
    <s v="Cheque a Fecha"/>
    <m/>
    <n v="1115750"/>
    <s v="Santander"/>
    <d v="2019-10-14T00:00:00"/>
    <n v="134089"/>
    <n v="108740"/>
    <d v="2019-10-15T00:00:00"/>
    <s v="Chile"/>
    <s v=""/>
    <s v="Otros"/>
    <m/>
    <n v="91378.151260504208"/>
    <n v="17361.848739495792"/>
    <s v="Cajon"/>
    <s v="Visita"/>
    <s v="SI"/>
    <m/>
    <m/>
    <x v="1"/>
    <m/>
  </r>
  <r>
    <s v="C046"/>
    <s v="Priscila Umaña"/>
    <n v="0"/>
    <n v="2570"/>
    <m/>
    <m/>
    <n v="5909"/>
    <n v="23000"/>
    <m/>
    <n v="23000"/>
    <x v="1"/>
    <n v="0"/>
    <d v="2019-10-02T00:00:00"/>
    <s v="Pagado"/>
    <d v="2019-10-17T00:00:00"/>
    <n v="23000"/>
    <s v="Transferencia"/>
    <m/>
    <m/>
    <s v="Estado"/>
    <m/>
    <m/>
    <m/>
    <m/>
    <m/>
    <s v=""/>
    <s v=""/>
    <m/>
    <n v="19327.731092436974"/>
    <n v="3672.268907563026"/>
    <s v="Pirque"/>
    <s v="Conocido"/>
    <s v="SI"/>
    <m/>
    <m/>
    <x v="0"/>
    <m/>
  </r>
  <r>
    <s v="C186"/>
    <s v="Monica Valdivieso"/>
    <n v="0"/>
    <n v="2568"/>
    <m/>
    <m/>
    <n v="5904"/>
    <n v="19700"/>
    <m/>
    <n v="19700"/>
    <x v="1"/>
    <n v="0"/>
    <d v="2019-10-02T00:00:00"/>
    <s v="Pagado"/>
    <d v="2019-10-02T00:00:00"/>
    <n v="19700"/>
    <s v="Efectivo"/>
    <m/>
    <m/>
    <m/>
    <m/>
    <n v="8025730"/>
    <n v="19700"/>
    <m/>
    <m/>
    <s v=""/>
    <s v=""/>
    <m/>
    <n v="16554.621848739498"/>
    <n v="3145.3781512605019"/>
    <s v="Pirque"/>
    <s v="Revista"/>
    <s v="SI"/>
    <m/>
    <m/>
    <x v="0"/>
    <m/>
  </r>
  <r>
    <s v="C243"/>
    <s v="Loreto Rojas"/>
    <n v="0"/>
    <n v="2569"/>
    <m/>
    <m/>
    <n v="5907"/>
    <n v="29900"/>
    <m/>
    <n v="29900"/>
    <x v="1"/>
    <n v="0"/>
    <d v="2019-10-02T00:00:00"/>
    <s v="Pagado"/>
    <d v="2019-10-05T00:00:00"/>
    <n v="29900"/>
    <s v="Transferencia"/>
    <m/>
    <m/>
    <s v="Chile"/>
    <m/>
    <m/>
    <m/>
    <m/>
    <m/>
    <s v=""/>
    <s v=""/>
    <m/>
    <n v="25126.050420168067"/>
    <n v="4773.9495798319331"/>
    <s v="Pirque"/>
    <s v="Revista"/>
    <s v="SI"/>
    <m/>
    <m/>
    <x v="0"/>
    <m/>
  </r>
  <r>
    <s v="C079"/>
    <s v="Kim Cornely"/>
    <n v="0"/>
    <n v="0"/>
    <m/>
    <m/>
    <n v="5908"/>
    <n v="28100"/>
    <m/>
    <n v="28100"/>
    <x v="1"/>
    <n v="0"/>
    <d v="2019-10-02T00:00:00"/>
    <s v="Pagado"/>
    <d v="2019-10-02T00:00:00"/>
    <n v="28100"/>
    <s v="Efectivo"/>
    <m/>
    <m/>
    <m/>
    <m/>
    <n v="8025730"/>
    <n v="28100"/>
    <m/>
    <m/>
    <s v=""/>
    <s v=""/>
    <m/>
    <n v="23613.44537815126"/>
    <n v="4486.5546218487398"/>
    <s v="Pirque"/>
    <s v="Conocido"/>
    <s v="SI"/>
    <m/>
    <m/>
    <x v="0"/>
    <m/>
  </r>
  <r>
    <s v="C005"/>
    <s v="Julia Ines Rebolledo Retamal"/>
    <n v="2926"/>
    <n v="0"/>
    <m/>
    <m/>
    <s v="sn"/>
    <n v="92148"/>
    <m/>
    <n v="92148"/>
    <x v="1"/>
    <n v="7"/>
    <d v="2019-10-09T00:00:00"/>
    <s v="Abonado"/>
    <d v="2019-10-09T00:00:00"/>
    <n v="91353"/>
    <s v="Cheque al Día"/>
    <m/>
    <n v="257"/>
    <s v="Santander"/>
    <d v="2019-10-05T00:00:00"/>
    <m/>
    <m/>
    <m/>
    <m/>
    <s v=""/>
    <s v="Otros"/>
    <m/>
    <n v="77435.294117647063"/>
    <n v="14712.705882352937"/>
    <s v="Cajon"/>
    <s v="Visita"/>
    <s v="NO"/>
    <m/>
    <m/>
    <x v="1"/>
    <m/>
  </r>
  <r>
    <s v="C005"/>
    <s v="Julia Ines Rebolledo Retamal"/>
    <n v="2926"/>
    <s v="sn"/>
    <m/>
    <m/>
    <m/>
    <n v="0"/>
    <m/>
    <n v="0"/>
    <x v="1"/>
    <m/>
    <d v="2019-10-02T00:00:00"/>
    <s v="Nulo"/>
    <d v="2019-10-09T00:00:00"/>
    <n v="795"/>
    <s v="Efectivo"/>
    <m/>
    <m/>
    <m/>
    <m/>
    <m/>
    <m/>
    <m/>
    <m/>
    <m/>
    <s v=""/>
    <m/>
    <n v="0"/>
    <n v="0"/>
    <m/>
    <m/>
    <s v="SI"/>
    <m/>
    <m/>
    <x v="1"/>
    <m/>
  </r>
  <r>
    <s v="C517"/>
    <s v="Jenny Thomas"/>
    <n v="0"/>
    <n v="150"/>
    <m/>
    <m/>
    <n v="5902"/>
    <n v="45400"/>
    <m/>
    <n v="45400"/>
    <x v="1"/>
    <n v="0"/>
    <d v="2019-10-02T00:00:00"/>
    <s v="Pagado"/>
    <d v="2019-10-02T00:00:00"/>
    <n v="45400"/>
    <s v="Transbank"/>
    <s v="Debito"/>
    <n v="150"/>
    <m/>
    <m/>
    <m/>
    <m/>
    <m/>
    <m/>
    <s v=""/>
    <s v=""/>
    <m/>
    <n v="38151.26050420168"/>
    <n v="7248.7394957983197"/>
    <s v="Pirque"/>
    <s v="Revista"/>
    <s v="SI"/>
    <m/>
    <m/>
    <x v="0"/>
    <m/>
  </r>
  <r>
    <s v="C560"/>
    <s v="Guillermo Garces"/>
    <n v="0"/>
    <n v="151"/>
    <m/>
    <m/>
    <n v="5902"/>
    <n v="26000"/>
    <m/>
    <n v="26000"/>
    <x v="1"/>
    <n v="0"/>
    <d v="2019-10-02T00:00:00"/>
    <s v="Pagado"/>
    <d v="2019-10-02T00:00:00"/>
    <n v="26000"/>
    <s v="Transbank"/>
    <s v="Debito"/>
    <n v="151"/>
    <m/>
    <m/>
    <m/>
    <m/>
    <m/>
    <m/>
    <s v=""/>
    <s v=""/>
    <m/>
    <n v="21848.73949579832"/>
    <n v="4151.2605042016803"/>
    <s v="Pirque"/>
    <s v="Revista"/>
    <s v="SI"/>
    <m/>
    <m/>
    <x v="0"/>
    <m/>
  </r>
  <r>
    <s v="C456"/>
    <s v="Carolina Muñoz"/>
    <n v="0"/>
    <n v="2571"/>
    <m/>
    <m/>
    <n v="5910"/>
    <n v="14800"/>
    <m/>
    <n v="14800"/>
    <x v="1"/>
    <n v="0"/>
    <d v="2019-10-02T00:00:00"/>
    <s v="Pagado"/>
    <d v="2019-10-07T00:00:00"/>
    <n v="14800"/>
    <s v="Transferencia"/>
    <m/>
    <m/>
    <s v="Estado"/>
    <m/>
    <m/>
    <m/>
    <m/>
    <m/>
    <s v=""/>
    <s v=""/>
    <m/>
    <n v="12436.974789915967"/>
    <n v="2363.0252100840335"/>
    <s v="Pirque"/>
    <s v="Conocido"/>
    <s v="SI"/>
    <m/>
    <m/>
    <x v="0"/>
    <m/>
  </r>
  <r>
    <s v="C585"/>
    <s v="Angela Hernandez"/>
    <n v="0"/>
    <n v="2572"/>
    <m/>
    <m/>
    <n v="5904"/>
    <n v="14200"/>
    <m/>
    <n v="14200"/>
    <x v="1"/>
    <n v="0"/>
    <d v="2019-10-02T00:00:00"/>
    <s v="Pagado"/>
    <d v="2019-10-02T00:00:00"/>
    <n v="14200"/>
    <s v="Transferencia"/>
    <m/>
    <m/>
    <s v="Estado"/>
    <m/>
    <m/>
    <m/>
    <m/>
    <m/>
    <s v=""/>
    <s v=""/>
    <m/>
    <n v="11932.773109243699"/>
    <n v="2267.2268907563011"/>
    <s v="Pirque"/>
    <s v="Revista"/>
    <s v="SI"/>
    <m/>
    <m/>
    <x v="0"/>
    <m/>
  </r>
  <r>
    <s v="C396"/>
    <s v="Alejandro Ossandon"/>
    <n v="0"/>
    <n v="145"/>
    <m/>
    <m/>
    <n v="5906"/>
    <n v="59300"/>
    <m/>
    <n v="59300"/>
    <x v="1"/>
    <n v="0"/>
    <d v="2019-10-02T00:00:00"/>
    <s v="Pagado"/>
    <d v="2019-10-02T00:00:00"/>
    <n v="59300"/>
    <s v="Transbank"/>
    <s v="Debito"/>
    <n v="145"/>
    <m/>
    <m/>
    <m/>
    <m/>
    <m/>
    <m/>
    <s v=""/>
    <s v=""/>
    <m/>
    <n v="49831.932773109249"/>
    <n v="9468.067226890751"/>
    <s v="Pirque"/>
    <s v="Conocido"/>
    <s v="SI"/>
    <m/>
    <m/>
    <x v="0"/>
    <m/>
  </r>
  <r>
    <s v="C020"/>
    <s v="Sabores y Vinos Bernardita Munita EIRL"/>
    <n v="2928"/>
    <n v="0"/>
    <m/>
    <m/>
    <s v="OC 01"/>
    <n v="87412"/>
    <m/>
    <n v="87412"/>
    <x v="2"/>
    <n v="0"/>
    <d v="2019-10-03T00:00:00"/>
    <s v="Pagado"/>
    <d v="2019-10-10T00:00:00"/>
    <n v="87412"/>
    <s v="Transferencia"/>
    <m/>
    <m/>
    <s v="Chile"/>
    <m/>
    <m/>
    <m/>
    <m/>
    <m/>
    <d v="2019-09-02T00:00:00"/>
    <s v=""/>
    <m/>
    <n v="73455.462184873948"/>
    <n v="13956.537815126052"/>
    <s v="Pirque"/>
    <s v="Visita"/>
    <s v="SI"/>
    <m/>
    <m/>
    <x v="1"/>
    <m/>
  </r>
  <r>
    <s v="C020"/>
    <s v="Sabores y Vinos Bernardita Munita EIRL"/>
    <n v="2928"/>
    <n v="0"/>
    <m/>
    <m/>
    <s v="OC 02"/>
    <n v="92652"/>
    <m/>
    <n v="92652"/>
    <x v="2"/>
    <n v="0"/>
    <d v="2019-10-03T00:00:00"/>
    <s v="Pagado"/>
    <d v="2019-10-10T00:00:00"/>
    <n v="92652"/>
    <s v="Transferencia"/>
    <m/>
    <m/>
    <s v="Chile"/>
    <m/>
    <m/>
    <m/>
    <m/>
    <m/>
    <d v="2019-09-06T00:00:00"/>
    <s v=""/>
    <m/>
    <n v="77858.823529411762"/>
    <n v="14793.176470588238"/>
    <s v="Pirque"/>
    <s v="Visita"/>
    <s v="SI"/>
    <m/>
    <m/>
    <x v="1"/>
    <m/>
  </r>
  <r>
    <s v="C020"/>
    <s v="Sabores y Vinos Bernardita Munita EIRL"/>
    <n v="2928"/>
    <n v="0"/>
    <m/>
    <m/>
    <s v="OC 03"/>
    <n v="102787"/>
    <m/>
    <n v="102787"/>
    <x v="2"/>
    <n v="0"/>
    <d v="2019-10-03T00:00:00"/>
    <s v="Pagado"/>
    <d v="2019-10-10T00:00:00"/>
    <n v="102787"/>
    <s v="Transferencia"/>
    <m/>
    <m/>
    <s v="Chile"/>
    <m/>
    <m/>
    <m/>
    <m/>
    <m/>
    <d v="2019-09-21T00:00:00"/>
    <s v=""/>
    <m/>
    <n v="86375.630252100847"/>
    <n v="16411.369747899153"/>
    <s v="Pirque"/>
    <s v="Visita"/>
    <s v="SI"/>
    <m/>
    <m/>
    <x v="1"/>
    <m/>
  </r>
  <r>
    <s v="C020"/>
    <s v="Sabores y Vinos Bernardita Munita EIRL"/>
    <n v="2928"/>
    <n v="0"/>
    <m/>
    <m/>
    <s v="OC 04"/>
    <n v="20786"/>
    <m/>
    <n v="20786"/>
    <x v="2"/>
    <n v="0"/>
    <d v="2019-10-03T00:00:00"/>
    <s v="Pagado"/>
    <d v="2019-10-10T00:00:00"/>
    <n v="20786"/>
    <s v="Transferencia"/>
    <m/>
    <m/>
    <s v="Chile"/>
    <m/>
    <m/>
    <m/>
    <m/>
    <m/>
    <d v="2019-09-28T00:00:00"/>
    <s v=""/>
    <m/>
    <n v="17467.226890756305"/>
    <n v="3318.7731092436952"/>
    <s v="Pirque"/>
    <s v="Visita"/>
    <s v="SI"/>
    <m/>
    <m/>
    <x v="1"/>
    <m/>
  </r>
  <r>
    <s v="C580"/>
    <s v="Servicios Gastronomicos Hms "/>
    <n v="2931"/>
    <n v="0"/>
    <m/>
    <m/>
    <s v="sn"/>
    <n v="58365"/>
    <m/>
    <n v="58365"/>
    <x v="3"/>
    <n v="0"/>
    <d v="2019-10-04T00:00:00"/>
    <s v="Pagado"/>
    <d v="2019-10-07T00:00:00"/>
    <n v="58400"/>
    <s v="Transferencia"/>
    <m/>
    <m/>
    <s v="Chile"/>
    <m/>
    <m/>
    <m/>
    <m/>
    <m/>
    <s v=""/>
    <s v=""/>
    <m/>
    <n v="49046.218487394959"/>
    <n v="9318.7815126050409"/>
    <s v="Chada"/>
    <s v="Conocido"/>
    <s v="SI"/>
    <m/>
    <m/>
    <x v="1"/>
    <m/>
  </r>
  <r>
    <s v="C406"/>
    <s v="Naitana y Kufeke SPA"/>
    <n v="2929"/>
    <n v="0"/>
    <m/>
    <m/>
    <s v="sn"/>
    <n v="58835"/>
    <m/>
    <n v="58835"/>
    <x v="3"/>
    <n v="0"/>
    <d v="2019-10-04T00:00:00"/>
    <s v="Pagado"/>
    <d v="2019-11-06T00:00:00"/>
    <n v="58835"/>
    <s v="Transferencia"/>
    <m/>
    <m/>
    <s v="Santander"/>
    <m/>
    <m/>
    <m/>
    <m/>
    <m/>
    <s v=""/>
    <s v=""/>
    <m/>
    <n v="49441.176470588238"/>
    <n v="9393.8235294117621"/>
    <s v="Pirque"/>
    <s v="Visita"/>
    <s v="SI"/>
    <m/>
    <m/>
    <x v="1"/>
    <m/>
  </r>
  <r>
    <s v="C508"/>
    <s v="Monica Severino"/>
    <n v="0"/>
    <n v="2573"/>
    <m/>
    <m/>
    <n v="5911"/>
    <n v="14800"/>
    <m/>
    <n v="14800"/>
    <x v="3"/>
    <n v="0"/>
    <d v="2019-10-04T00:00:00"/>
    <s v="Pagado"/>
    <d v="2019-10-04T00:00:00"/>
    <n v="14800"/>
    <s v="Efectivo"/>
    <m/>
    <m/>
    <m/>
    <m/>
    <n v="134087"/>
    <n v="14800"/>
    <d v="2019-10-14T00:00:00"/>
    <s v="Chile"/>
    <s v=""/>
    <s v=""/>
    <m/>
    <n v="12436.974789915967"/>
    <n v="2363.0252100840335"/>
    <s v="Pirque"/>
    <s v="Conocido"/>
    <s v="SI"/>
    <m/>
    <m/>
    <x v="0"/>
    <m/>
  </r>
  <r>
    <s v="C008"/>
    <s v="Juana Rosa Roman Quintanilla"/>
    <s v="sn"/>
    <n v="0"/>
    <m/>
    <m/>
    <s v="sn"/>
    <n v="24421"/>
    <m/>
    <n v="24421"/>
    <x v="3"/>
    <n v="0"/>
    <d v="2019-10-04T00:00:00"/>
    <s v="Pagado"/>
    <d v="2019-10-04T00:00:00"/>
    <n v="24421"/>
    <s v="Efectivo"/>
    <m/>
    <m/>
    <m/>
    <m/>
    <m/>
    <m/>
    <m/>
    <m/>
    <s v=""/>
    <s v=""/>
    <m/>
    <n v="20521.848739495799"/>
    <n v="3899.1512605042008"/>
    <s v="Chada"/>
    <s v="Visita"/>
    <s v="SI"/>
    <m/>
    <m/>
    <x v="1"/>
    <m/>
  </r>
  <r>
    <s v="C364"/>
    <s v="Herminda Arriagada"/>
    <n v="0"/>
    <n v="0"/>
    <m/>
    <m/>
    <n v="5914"/>
    <n v="14800"/>
    <m/>
    <n v="14800"/>
    <x v="3"/>
    <n v="0"/>
    <d v="2019-10-04T00:00:00"/>
    <s v="Pagado"/>
    <d v="2019-10-04T00:00:00"/>
    <n v="14800"/>
    <s v="Transferencia"/>
    <m/>
    <m/>
    <s v="Estado"/>
    <m/>
    <m/>
    <m/>
    <m/>
    <m/>
    <s v=""/>
    <s v=""/>
    <m/>
    <n v="12436.974789915967"/>
    <n v="2363.0252100840335"/>
    <s v="Pirque"/>
    <s v="Conocido"/>
    <s v="SI"/>
    <m/>
    <m/>
    <x v="0"/>
    <m/>
  </r>
  <r>
    <s v="C518"/>
    <s v="Fernando Reyes"/>
    <n v="0"/>
    <n v="2575"/>
    <m/>
    <m/>
    <n v="5913"/>
    <n v="96500"/>
    <m/>
    <n v="96500"/>
    <x v="3"/>
    <n v="0"/>
    <d v="2019-10-04T00:00:00"/>
    <s v="Pagado"/>
    <d v="2019-10-07T00:00:00"/>
    <n v="96500"/>
    <s v="Transferencia"/>
    <m/>
    <m/>
    <s v="Estado"/>
    <m/>
    <m/>
    <m/>
    <m/>
    <m/>
    <s v=""/>
    <s v=""/>
    <m/>
    <n v="81092.436974789918"/>
    <n v="15407.563025210082"/>
    <s v="Pirque"/>
    <s v="Revista"/>
    <s v="SI"/>
    <m/>
    <m/>
    <x v="0"/>
    <m/>
  </r>
  <r>
    <s v="C231"/>
    <s v="Elsa Lira"/>
    <n v="0"/>
    <n v="0"/>
    <m/>
    <m/>
    <n v="5916"/>
    <n v="29600"/>
    <m/>
    <n v="29600"/>
    <x v="3"/>
    <n v="0"/>
    <d v="2019-10-04T00:00:00"/>
    <s v="Pagado"/>
    <d v="2019-10-14T00:00:00"/>
    <n v="29600"/>
    <s v="Transferencia"/>
    <m/>
    <m/>
    <s v="Itaú"/>
    <m/>
    <m/>
    <m/>
    <m/>
    <m/>
    <s v=""/>
    <s v=""/>
    <m/>
    <n v="24873.949579831933"/>
    <n v="4726.0504201680669"/>
    <s v="Pirque"/>
    <s v="Revista"/>
    <s v="SI"/>
    <m/>
    <m/>
    <x v="0"/>
    <m/>
  </r>
  <r>
    <s v="C401"/>
    <s v="Constanza Bustos"/>
    <n v="0"/>
    <n v="2574"/>
    <m/>
    <m/>
    <n v="5912"/>
    <n v="28100"/>
    <m/>
    <n v="28100"/>
    <x v="3"/>
    <n v="0"/>
    <d v="2019-10-04T00:00:00"/>
    <s v="Pagado"/>
    <d v="2019-10-04T00:00:00"/>
    <n v="28100"/>
    <s v="Transferencia"/>
    <m/>
    <m/>
    <s v="Chile"/>
    <m/>
    <m/>
    <m/>
    <m/>
    <m/>
    <s v=""/>
    <s v=""/>
    <m/>
    <n v="23613.44537815126"/>
    <n v="4486.5546218487398"/>
    <s v="Pirque"/>
    <s v="Conocido"/>
    <s v="SI"/>
    <m/>
    <m/>
    <x v="0"/>
    <m/>
  </r>
  <r>
    <s v="C160"/>
    <s v="Christian Ortiz Hurtado"/>
    <n v="0"/>
    <n v="2576"/>
    <m/>
    <m/>
    <n v="5915"/>
    <n v="20900"/>
    <m/>
    <n v="20900"/>
    <x v="3"/>
    <n v="0"/>
    <d v="2019-10-04T00:00:00"/>
    <s v="Pagado"/>
    <d v="2019-10-14T00:00:00"/>
    <n v="20900"/>
    <s v="Transferencia"/>
    <m/>
    <m/>
    <s v="Scotiabank"/>
    <m/>
    <m/>
    <m/>
    <m/>
    <m/>
    <s v=""/>
    <s v=""/>
    <m/>
    <n v="17563.025210084033"/>
    <n v="3336.9747899159665"/>
    <s v="Pirque"/>
    <s v="Conocido"/>
    <s v="SI"/>
    <m/>
    <m/>
    <x v="0"/>
    <m/>
  </r>
  <r>
    <s v="C503"/>
    <s v="Alvaro Belmar"/>
    <n v="0"/>
    <n v="0"/>
    <m/>
    <m/>
    <n v="5917"/>
    <n v="46100"/>
    <m/>
    <n v="46100"/>
    <x v="3"/>
    <n v="0"/>
    <d v="2019-10-04T00:00:00"/>
    <s v="Pagado"/>
    <d v="2020-01-06T00:00:00"/>
    <n v="46100"/>
    <s v="Efectivo"/>
    <m/>
    <m/>
    <m/>
    <m/>
    <n v="2719729"/>
    <n v="46100"/>
    <d v="2020-01-06T00:00:00"/>
    <s v="Chile"/>
    <s v=""/>
    <s v=""/>
    <m/>
    <n v="38739.495798319331"/>
    <n v="7360.5042016806692"/>
    <s v="Pirque"/>
    <s v="Revista"/>
    <s v="SI"/>
    <m/>
    <m/>
    <x v="0"/>
    <m/>
  </r>
  <r>
    <s v="C021"/>
    <s v="Adelita del Carmen Leon Pizarro"/>
    <n v="2930"/>
    <n v="0"/>
    <n v="264"/>
    <m/>
    <s v="sn"/>
    <n v="91460"/>
    <n v="-26781"/>
    <n v="64679"/>
    <x v="3"/>
    <n v="0"/>
    <d v="2019-10-04T00:00:00"/>
    <s v="Pagado"/>
    <d v="2019-10-04T00:00:00"/>
    <n v="64685"/>
    <s v="Efectivo"/>
    <m/>
    <m/>
    <m/>
    <m/>
    <m/>
    <m/>
    <m/>
    <m/>
    <s v=""/>
    <s v=""/>
    <m/>
    <n v="76857.142857142855"/>
    <n v="14602.857142857145"/>
    <s v="Chada"/>
    <s v="Visita"/>
    <s v="SI"/>
    <m/>
    <m/>
    <x v="1"/>
    <m/>
  </r>
  <r>
    <s v="C062"/>
    <s v="Verena Scholtbach"/>
    <n v="0"/>
    <n v="0"/>
    <m/>
    <m/>
    <n v="5919"/>
    <n v="73850"/>
    <m/>
    <n v="73850"/>
    <x v="4"/>
    <n v="0"/>
    <d v="2019-10-07T00:00:00"/>
    <s v="Pagado"/>
    <d v="2019-10-22T00:00:00"/>
    <n v="73850"/>
    <s v="Transferencia"/>
    <m/>
    <m/>
    <s v="BCI"/>
    <m/>
    <m/>
    <m/>
    <m/>
    <m/>
    <s v=""/>
    <s v=""/>
    <m/>
    <n v="62058.823529411769"/>
    <n v="11791.176470588231"/>
    <s v="Pirque"/>
    <s v="Conocido"/>
    <s v="SI"/>
    <m/>
    <m/>
    <x v="0"/>
    <m/>
  </r>
  <r>
    <s v="C062"/>
    <s v="Verena Scholtbach"/>
    <n v="0"/>
    <n v="0"/>
    <m/>
    <m/>
    <n v="5919"/>
    <n v="21290"/>
    <m/>
    <n v="21290"/>
    <x v="4"/>
    <n v="0"/>
    <d v="2019-10-07T00:00:00"/>
    <s v="Pagado"/>
    <d v="2019-10-22T00:00:00"/>
    <n v="21290"/>
    <s v="Transferencia"/>
    <m/>
    <m/>
    <s v="BCI"/>
    <m/>
    <m/>
    <m/>
    <m/>
    <m/>
    <s v=""/>
    <s v=""/>
    <m/>
    <n v="17890.756302521007"/>
    <n v="3399.2436974789925"/>
    <s v="Pirque"/>
    <s v="Conocido"/>
    <s v="SI"/>
    <m/>
    <m/>
    <x v="0"/>
    <m/>
  </r>
  <r>
    <s v="C062"/>
    <s v="Verena Scholtbach"/>
    <n v="0"/>
    <n v="0"/>
    <m/>
    <m/>
    <s v="sn"/>
    <n v="15600"/>
    <m/>
    <n v="15600"/>
    <x v="4"/>
    <n v="0"/>
    <d v="2019-10-07T00:00:00"/>
    <s v="Pagado"/>
    <d v="2019-10-22T00:00:00"/>
    <n v="15600"/>
    <s v="Transferencia"/>
    <m/>
    <m/>
    <s v="BCI"/>
    <m/>
    <m/>
    <m/>
    <m/>
    <m/>
    <s v=""/>
    <s v=""/>
    <m/>
    <n v="13109.243697478993"/>
    <n v="2490.7563025210075"/>
    <s v="Pirque"/>
    <s v="Conocido"/>
    <s v="SI"/>
    <m/>
    <m/>
    <x v="0"/>
    <m/>
  </r>
  <r>
    <s v="C444"/>
    <s v="Solange Franjola"/>
    <n v="0"/>
    <n v="2579"/>
    <m/>
    <m/>
    <n v="5927"/>
    <n v="19900"/>
    <m/>
    <n v="19900"/>
    <x v="4"/>
    <n v="0"/>
    <d v="2019-10-07T00:00:00"/>
    <s v="Pagado"/>
    <d v="2019-10-08T00:00:00"/>
    <n v="19900"/>
    <s v="Transferencia"/>
    <m/>
    <m/>
    <s v="BCI"/>
    <m/>
    <m/>
    <m/>
    <m/>
    <m/>
    <s v=""/>
    <s v=""/>
    <m/>
    <n v="16722.689075630253"/>
    <n v="3177.3109243697472"/>
    <s v="Pirque"/>
    <s v="Datito"/>
    <s v="SI"/>
    <m/>
    <m/>
    <x v="0"/>
    <m/>
  </r>
  <r>
    <s v="C068"/>
    <s v="Riddellco"/>
    <n v="0"/>
    <n v="0"/>
    <m/>
    <m/>
    <n v="5921"/>
    <n v="8000"/>
    <m/>
    <n v="8000"/>
    <x v="4"/>
    <n v="30"/>
    <d v="2019-11-06T00:00:00"/>
    <s v="Pagado"/>
    <d v="2020-03-11T00:00:00"/>
    <n v="8000"/>
    <s v="Transferencia"/>
    <m/>
    <m/>
    <s v="Estado"/>
    <m/>
    <m/>
    <m/>
    <m/>
    <m/>
    <s v=""/>
    <s v=""/>
    <m/>
    <n v="6722.6890756302528"/>
    <n v="1277.3109243697472"/>
    <s v="Santiago"/>
    <s v="Conocido"/>
    <s v="SI"/>
    <m/>
    <m/>
    <x v="0"/>
    <m/>
  </r>
  <r>
    <s v="C068"/>
    <s v="Riddellco"/>
    <n v="2934"/>
    <n v="0"/>
    <m/>
    <m/>
    <s v="sn"/>
    <n v="19594"/>
    <m/>
    <n v="19594"/>
    <x v="4"/>
    <n v="30"/>
    <d v="2019-11-06T00:00:00"/>
    <s v="Pagado"/>
    <d v="2019-11-25T00:00:00"/>
    <n v="19594"/>
    <s v="Transferencia"/>
    <m/>
    <m/>
    <s v="Estado"/>
    <m/>
    <m/>
    <m/>
    <m/>
    <m/>
    <s v=""/>
    <s v=""/>
    <m/>
    <n v="16465.546218487394"/>
    <n v="3128.4537815126059"/>
    <s v="Santiago"/>
    <s v="Conocido"/>
    <s v="SI"/>
    <m/>
    <m/>
    <x v="1"/>
    <m/>
  </r>
  <r>
    <s v="C510"/>
    <s v="Ricardo Edwards"/>
    <n v="0"/>
    <n v="2581"/>
    <m/>
    <m/>
    <n v="5922"/>
    <n v="66800"/>
    <m/>
    <n v="66800"/>
    <x v="4"/>
    <n v="0"/>
    <d v="2019-10-07T00:00:00"/>
    <s v="Pagado"/>
    <d v="2019-10-09T00:00:00"/>
    <n v="66800"/>
    <s v="Transferencia"/>
    <m/>
    <m/>
    <s v="Chile"/>
    <m/>
    <m/>
    <m/>
    <m/>
    <m/>
    <s v=""/>
    <s v=""/>
    <m/>
    <n v="56134.45378151261"/>
    <n v="10665.54621848739"/>
    <s v="Pirque"/>
    <s v="Revista"/>
    <s v="SI"/>
    <m/>
    <m/>
    <x v="0"/>
    <m/>
  </r>
  <r>
    <s v="C556"/>
    <s v="Patricio Tapia"/>
    <n v="0"/>
    <n v="2582"/>
    <m/>
    <m/>
    <n v="5923"/>
    <n v="14800"/>
    <m/>
    <n v="14800"/>
    <x v="4"/>
    <n v="0"/>
    <d v="2019-10-07T00:00:00"/>
    <s v="Pagado"/>
    <d v="2019-10-08T00:00:00"/>
    <n v="14800"/>
    <s v="Transferencia"/>
    <m/>
    <m/>
    <s v="Chile"/>
    <m/>
    <m/>
    <m/>
    <m/>
    <m/>
    <s v=""/>
    <s v=""/>
    <m/>
    <n v="12436.974789915967"/>
    <n v="2363.0252100840335"/>
    <s v="Pirque"/>
    <s v="Revista"/>
    <s v="SI"/>
    <m/>
    <m/>
    <x v="0"/>
    <m/>
  </r>
  <r>
    <s v="C586"/>
    <s v="Nini Scholtbach"/>
    <n v="0"/>
    <n v="152"/>
    <m/>
    <m/>
    <n v="5918"/>
    <n v="41000"/>
    <m/>
    <n v="41000"/>
    <x v="4"/>
    <n v="0"/>
    <d v="2019-10-07T00:00:00"/>
    <s v="Pagado"/>
    <d v="2019-10-07T00:00:00"/>
    <n v="41000"/>
    <s v="Transbank"/>
    <s v="Debito"/>
    <n v="152"/>
    <m/>
    <m/>
    <m/>
    <m/>
    <m/>
    <m/>
    <s v=""/>
    <s v=""/>
    <m/>
    <n v="34453.781512605041"/>
    <n v="6546.2184873949591"/>
    <s v="Pirque"/>
    <s v="Conocido"/>
    <s v="SI"/>
    <m/>
    <m/>
    <x v="0"/>
    <m/>
  </r>
  <r>
    <s v="C498"/>
    <s v="Javier Nuñez"/>
    <n v="0"/>
    <n v="2578"/>
    <m/>
    <m/>
    <n v="5928"/>
    <n v="21900"/>
    <m/>
    <n v="21900"/>
    <x v="4"/>
    <n v="0"/>
    <d v="2019-10-07T00:00:00"/>
    <s v="Pagado"/>
    <d v="2019-10-08T00:00:00"/>
    <n v="21900"/>
    <s v="Transferencia"/>
    <m/>
    <m/>
    <s v="BCI"/>
    <m/>
    <m/>
    <m/>
    <m/>
    <m/>
    <s v=""/>
    <s v=""/>
    <m/>
    <n v="18403.361344537814"/>
    <n v="3496.6386554621859"/>
    <s v="Pirque"/>
    <s v="Revista"/>
    <s v="SI"/>
    <m/>
    <m/>
    <x v="0"/>
    <m/>
  </r>
  <r>
    <s v="C025"/>
    <s v="Felipe Eduardo Salinas Caro (Equimas)"/>
    <n v="2933"/>
    <n v="0"/>
    <m/>
    <m/>
    <s v="sn"/>
    <n v="265487"/>
    <m/>
    <n v="265487"/>
    <x v="4"/>
    <n v="30"/>
    <d v="2019-11-06T00:00:00"/>
    <s v="Pagado"/>
    <d v="2019-10-28T00:00:00"/>
    <n v="265487"/>
    <s v="Cheque a Fecha"/>
    <m/>
    <n v="9262952"/>
    <s v="Scotiabank"/>
    <d v="2018-10-28T00:00:00"/>
    <m/>
    <m/>
    <m/>
    <m/>
    <s v=""/>
    <s v="Otros"/>
    <m/>
    <n v="223098.31932773109"/>
    <n v="42388.680672268907"/>
    <s v="Pirque"/>
    <s v="Visita"/>
    <s v="SI"/>
    <m/>
    <m/>
    <x v="1"/>
    <m/>
  </r>
  <r>
    <s v="C418"/>
    <s v="Claudia Ormazabal"/>
    <n v="0"/>
    <n v="2577"/>
    <m/>
    <m/>
    <n v="5920"/>
    <n v="29000"/>
    <m/>
    <n v="29000"/>
    <x v="4"/>
    <n v="0"/>
    <d v="2019-10-07T00:00:00"/>
    <s v="Pagado"/>
    <d v="2019-10-07T00:00:00"/>
    <n v="29000"/>
    <s v="Efectivo"/>
    <m/>
    <m/>
    <m/>
    <m/>
    <n v="134087"/>
    <n v="29000"/>
    <d v="2019-10-14T00:00:00"/>
    <s v="Chile"/>
    <s v=""/>
    <s v=""/>
    <m/>
    <n v="24369.747899159665"/>
    <n v="4630.2521008403346"/>
    <s v="Pirque"/>
    <s v="Conocido"/>
    <s v="SI"/>
    <m/>
    <m/>
    <x v="0"/>
    <m/>
  </r>
  <r>
    <s v="C026"/>
    <s v="Loreto Paola Moraga Guerrero"/>
    <n v="0"/>
    <n v="2580"/>
    <m/>
    <m/>
    <n v="5926"/>
    <n v="46000"/>
    <m/>
    <n v="46000"/>
    <x v="5"/>
    <n v="0"/>
    <d v="2019-10-08T00:00:00"/>
    <s v="Pagado"/>
    <d v="2019-11-10T00:00:00"/>
    <n v="46000"/>
    <s v="Transferencia"/>
    <m/>
    <m/>
    <s v="Scotiabank"/>
    <m/>
    <m/>
    <m/>
    <m/>
    <m/>
    <s v=""/>
    <s v=""/>
    <m/>
    <n v="38655.462184873948"/>
    <n v="7344.537815126052"/>
    <s v="Pirque"/>
    <s v="Conocido"/>
    <s v="SI"/>
    <m/>
    <m/>
    <x v="0"/>
    <m/>
  </r>
  <r>
    <s v="C136"/>
    <s v="Lily Caballero"/>
    <n v="0"/>
    <n v="2584"/>
    <m/>
    <m/>
    <n v="5931"/>
    <n v="29600"/>
    <m/>
    <n v="29600"/>
    <x v="5"/>
    <n v="0"/>
    <d v="2019-10-08T00:00:00"/>
    <s v="Pagado"/>
    <d v="2019-10-29T00:00:00"/>
    <n v="29600"/>
    <s v="Transferencia"/>
    <m/>
    <m/>
    <s v="Santander"/>
    <m/>
    <m/>
    <m/>
    <m/>
    <m/>
    <s v=""/>
    <s v=""/>
    <m/>
    <n v="24873.949579831933"/>
    <n v="4726.0504201680669"/>
    <s v="Pirque"/>
    <s v="Conocido"/>
    <s v="SI"/>
    <m/>
    <m/>
    <x v="0"/>
    <m/>
  </r>
  <r>
    <s v="C371"/>
    <s v="Isabel Serrano"/>
    <n v="0"/>
    <n v="2583"/>
    <m/>
    <m/>
    <n v="5932"/>
    <n v="34700"/>
    <m/>
    <n v="34700"/>
    <x v="5"/>
    <n v="0"/>
    <d v="2019-10-08T00:00:00"/>
    <s v="Pagado"/>
    <d v="2019-10-15T00:00:00"/>
    <n v="34700"/>
    <s v="Transferencia"/>
    <m/>
    <m/>
    <s v="Santander"/>
    <m/>
    <m/>
    <m/>
    <m/>
    <m/>
    <s v=""/>
    <s v=""/>
    <m/>
    <n v="29159.663865546219"/>
    <n v="5540.3361344537807"/>
    <s v="Pirque"/>
    <s v="Conocido"/>
    <s v="SI"/>
    <m/>
    <m/>
    <x v="0"/>
    <m/>
  </r>
  <r>
    <s v="C589"/>
    <s v="Divna Curcic "/>
    <n v="0"/>
    <n v="154"/>
    <m/>
    <m/>
    <n v="5940"/>
    <n v="15600"/>
    <m/>
    <n v="15600"/>
    <x v="5"/>
    <n v="0"/>
    <d v="2019-10-08T00:00:00"/>
    <s v="Pagado"/>
    <d v="2019-10-08T00:00:00"/>
    <n v="15600"/>
    <s v="Transbank"/>
    <s v="Debito"/>
    <n v="154"/>
    <m/>
    <m/>
    <m/>
    <m/>
    <m/>
    <m/>
    <s v=""/>
    <s v=""/>
    <m/>
    <n v="13109.243697478993"/>
    <n v="2490.7563025210075"/>
    <s v="Pirque"/>
    <s v="Revista"/>
    <s v="SI"/>
    <m/>
    <m/>
    <x v="0"/>
    <m/>
  </r>
  <r>
    <s v="C587"/>
    <s v="Cecilia Milos"/>
    <n v="0"/>
    <n v="2585"/>
    <m/>
    <m/>
    <n v="5930"/>
    <n v="25500"/>
    <m/>
    <n v="25500"/>
    <x v="5"/>
    <n v="0"/>
    <d v="2019-10-08T00:00:00"/>
    <s v="Pagado"/>
    <d v="2019-10-08T00:00:00"/>
    <n v="25500"/>
    <s v="Efectivo"/>
    <m/>
    <m/>
    <m/>
    <m/>
    <m/>
    <m/>
    <m/>
    <m/>
    <s v=""/>
    <s v=""/>
    <m/>
    <n v="21428.571428571431"/>
    <n v="4071.4285714285688"/>
    <s v="Pirque"/>
    <s v="Revista"/>
    <s v="SI"/>
    <m/>
    <m/>
    <x v="0"/>
    <m/>
  </r>
  <r>
    <s v="C063"/>
    <s v="Andrea Ramirez"/>
    <n v="0"/>
    <n v="153"/>
    <m/>
    <m/>
    <n v="5925"/>
    <n v="28200"/>
    <m/>
    <n v="28200"/>
    <x v="5"/>
    <n v="0"/>
    <d v="2019-10-08T00:00:00"/>
    <s v="Pagado"/>
    <d v="2019-10-08T00:00:00"/>
    <n v="28200"/>
    <s v="Transbank"/>
    <s v="Debito"/>
    <n v="153"/>
    <m/>
    <m/>
    <m/>
    <m/>
    <m/>
    <m/>
    <s v=""/>
    <s v=""/>
    <m/>
    <n v="23697.478991596639"/>
    <n v="4502.5210084033606"/>
    <s v="Pirque"/>
    <s v="Conocido"/>
    <s v="SI"/>
    <m/>
    <m/>
    <x v="0"/>
    <m/>
  </r>
  <r>
    <s v="C082"/>
    <s v="Ximena Uribe"/>
    <n v="0"/>
    <n v="2587"/>
    <m/>
    <m/>
    <n v="5934"/>
    <n v="9600"/>
    <m/>
    <n v="9600"/>
    <x v="6"/>
    <n v="0"/>
    <d v="2019-10-09T00:00:00"/>
    <s v="Pagado"/>
    <d v="2019-10-09T00:00:00"/>
    <n v="9600"/>
    <s v="Efectivo"/>
    <m/>
    <m/>
    <m/>
    <m/>
    <n v="134087"/>
    <n v="9600"/>
    <d v="2019-10-14T00:00:00"/>
    <s v="Chile"/>
    <s v=""/>
    <s v=""/>
    <m/>
    <n v="8067.226890756303"/>
    <n v="1532.773109243697"/>
    <s v="Pirque"/>
    <s v="Conocido"/>
    <s v="SI"/>
    <m/>
    <m/>
    <x v="0"/>
    <m/>
  </r>
  <r>
    <s v="C406"/>
    <s v="Naitana y Kufeke SPA"/>
    <n v="2932"/>
    <n v="0"/>
    <m/>
    <m/>
    <s v="sn"/>
    <n v="29350"/>
    <m/>
    <n v="29350"/>
    <x v="6"/>
    <n v="0"/>
    <d v="2019-10-09T00:00:00"/>
    <s v="Pagado"/>
    <d v="2019-10-15T00:00:00"/>
    <n v="29350"/>
    <s v="Transferencia"/>
    <m/>
    <m/>
    <s v="Santander"/>
    <m/>
    <m/>
    <m/>
    <m/>
    <m/>
    <s v=""/>
    <s v=""/>
    <m/>
    <n v="24663.865546218487"/>
    <n v="4686.134453781513"/>
    <s v="Pirque"/>
    <s v="Visita"/>
    <s v="SI"/>
    <m/>
    <m/>
    <x v="1"/>
    <m/>
  </r>
  <r>
    <s v="C588"/>
    <s v="Juan Pizarro"/>
    <n v="0"/>
    <n v="2588"/>
    <m/>
    <m/>
    <n v="5935"/>
    <n v="19700"/>
    <m/>
    <n v="19700"/>
    <x v="6"/>
    <n v="0"/>
    <d v="2019-10-09T00:00:00"/>
    <s v="Pagado"/>
    <d v="2019-10-09T00:00:00"/>
    <n v="19700"/>
    <s v="Efectivo"/>
    <m/>
    <m/>
    <m/>
    <m/>
    <n v="134087"/>
    <n v="19700"/>
    <d v="2019-10-14T00:00:00"/>
    <s v="Chile"/>
    <s v=""/>
    <s v=""/>
    <m/>
    <n v="16554.621848739498"/>
    <n v="3145.3781512605019"/>
    <s v="Pirque"/>
    <s v="Revista"/>
    <s v="SI"/>
    <m/>
    <m/>
    <x v="0"/>
    <m/>
  </r>
  <r>
    <s v="C263"/>
    <s v="Jeanny Reyes"/>
    <n v="0"/>
    <n v="0"/>
    <m/>
    <m/>
    <n v="5936"/>
    <n v="35200"/>
    <m/>
    <n v="35200"/>
    <x v="6"/>
    <n v="0"/>
    <d v="2019-10-09T00:00:00"/>
    <s v="Pagado"/>
    <d v="2019-10-09T00:00:00"/>
    <n v="35200"/>
    <s v="Efectivo"/>
    <m/>
    <m/>
    <m/>
    <m/>
    <n v="134087"/>
    <n v="35200"/>
    <d v="2019-10-14T00:00:00"/>
    <s v="Chile"/>
    <s v=""/>
    <s v=""/>
    <m/>
    <n v="29579.831932773111"/>
    <n v="5620.1680672268885"/>
    <s v="Pirque"/>
    <s v="Conocido"/>
    <s v="SI"/>
    <m/>
    <m/>
    <x v="0"/>
    <m/>
  </r>
  <r>
    <s v="C003"/>
    <s v="Hector Felipe Ramos Osorio"/>
    <n v="2935"/>
    <n v="0"/>
    <m/>
    <m/>
    <s v="sn"/>
    <n v="153151"/>
    <m/>
    <n v="153151"/>
    <x v="6"/>
    <n v="30"/>
    <d v="2019-11-08T00:00:00"/>
    <s v="Pagado"/>
    <d v="2019-10-09T00:00:00"/>
    <n v="153151"/>
    <s v="Cheque a Fecha"/>
    <m/>
    <n v="7000931"/>
    <s v="Estado"/>
    <d v="2019-11-09T00:00:00"/>
    <m/>
    <m/>
    <m/>
    <m/>
    <s v=""/>
    <s v="Otros"/>
    <m/>
    <n v="128698.31932773109"/>
    <n v="24452.680672268907"/>
    <s v="Cajon"/>
    <s v="Visita"/>
    <s v="SI"/>
    <m/>
    <m/>
    <x v="1"/>
    <m/>
  </r>
  <r>
    <s v="C043"/>
    <s v="Consuelo Andrea Sanchez Bisbal"/>
    <n v="0"/>
    <n v="2589"/>
    <m/>
    <m/>
    <n v="5937"/>
    <n v="20900"/>
    <m/>
    <n v="20900"/>
    <x v="6"/>
    <n v="0"/>
    <d v="2019-10-09T00:00:00"/>
    <s v="Pagado"/>
    <d v="2019-10-09T00:00:00"/>
    <n v="20900"/>
    <s v="Transferencia"/>
    <m/>
    <m/>
    <s v="Falabella"/>
    <m/>
    <m/>
    <m/>
    <m/>
    <m/>
    <s v=""/>
    <s v=""/>
    <m/>
    <n v="17563.025210084033"/>
    <n v="3336.9747899159665"/>
    <s v="Pirque"/>
    <s v="Conocido"/>
    <s v="SI"/>
    <m/>
    <m/>
    <x v="0"/>
    <m/>
  </r>
  <r>
    <s v="C073"/>
    <s v="Celinda Varela"/>
    <n v="0"/>
    <n v="2586"/>
    <m/>
    <m/>
    <n v="5933"/>
    <n v="14200"/>
    <m/>
    <n v="14200"/>
    <x v="6"/>
    <n v="0"/>
    <d v="2019-10-09T00:00:00"/>
    <s v="Pagado"/>
    <d v="2019-10-09T00:00:00"/>
    <n v="14200"/>
    <s v="Efectivo"/>
    <m/>
    <m/>
    <m/>
    <m/>
    <n v="134087"/>
    <n v="14200"/>
    <d v="2019-10-14T00:00:00"/>
    <s v="Chile"/>
    <s v=""/>
    <s v=""/>
    <m/>
    <n v="11932.773109243699"/>
    <n v="2267.2268907563011"/>
    <s v="Pirque"/>
    <s v="Conocido"/>
    <s v="SI"/>
    <m/>
    <m/>
    <x v="0"/>
    <m/>
  </r>
  <r>
    <s v="C558"/>
    <s v="Carola Pardo"/>
    <n v="0"/>
    <n v="0"/>
    <m/>
    <m/>
    <n v="5924"/>
    <n v="19700"/>
    <m/>
    <n v="19700"/>
    <x v="6"/>
    <n v="0"/>
    <d v="2019-10-09T00:00:00"/>
    <s v="Pagado"/>
    <d v="2019-10-09T00:00:00"/>
    <n v="19700"/>
    <s v="Efectivo"/>
    <m/>
    <m/>
    <m/>
    <m/>
    <m/>
    <m/>
    <m/>
    <m/>
    <s v=""/>
    <s v=""/>
    <m/>
    <n v="16554.621848739498"/>
    <n v="3145.3781512605019"/>
    <s v="Pirque"/>
    <s v="Revista"/>
    <s v="SI"/>
    <m/>
    <m/>
    <x v="0"/>
    <m/>
  </r>
  <r>
    <s v="C001"/>
    <s v="Benito Campos y Cia Ltda."/>
    <n v="2936"/>
    <n v="0"/>
    <m/>
    <m/>
    <s v="sn"/>
    <n v="130000"/>
    <m/>
    <n v="130000"/>
    <x v="6"/>
    <n v="30"/>
    <d v="2019-11-08T00:00:00"/>
    <s v="Pagado"/>
    <d v="2019-11-11T00:00:00"/>
    <n v="130000"/>
    <s v="Transferencia"/>
    <m/>
    <m/>
    <s v="Santander"/>
    <m/>
    <m/>
    <m/>
    <m/>
    <m/>
    <s v=""/>
    <s v=""/>
    <m/>
    <n v="109243.6974789916"/>
    <n v="20756.302521008402"/>
    <s v="Cajon"/>
    <s v="Visita"/>
    <s v="SI"/>
    <m/>
    <m/>
    <x v="1"/>
    <m/>
  </r>
  <r>
    <s v="C001"/>
    <s v="Benito Campos y Cia Ltda."/>
    <n v="2937"/>
    <n v="0"/>
    <n v="257"/>
    <m/>
    <s v="sn"/>
    <n v="272950"/>
    <n v="-29581"/>
    <n v="243369"/>
    <x v="6"/>
    <n v="30"/>
    <d v="2019-11-08T00:00:00"/>
    <s v="Pagado"/>
    <d v="2019-11-11T00:00:00"/>
    <n v="243369"/>
    <s v="Transferencia"/>
    <m/>
    <m/>
    <s v="Santander"/>
    <m/>
    <m/>
    <m/>
    <m/>
    <m/>
    <s v=""/>
    <s v=""/>
    <m/>
    <n v="229369.74789915967"/>
    <n v="43580.252100840327"/>
    <s v="Cajon"/>
    <s v="Visita"/>
    <s v="SI"/>
    <m/>
    <m/>
    <x v="1"/>
    <m/>
  </r>
  <r>
    <s v="C001"/>
    <s v="Benito Campos y Cia Ltda."/>
    <n v="2938"/>
    <n v="0"/>
    <m/>
    <m/>
    <s v="sn"/>
    <n v="276467"/>
    <m/>
    <n v="276467"/>
    <x v="6"/>
    <n v="30"/>
    <d v="2019-11-08T00:00:00"/>
    <s v="Pagado"/>
    <d v="2019-11-11T00:00:00"/>
    <n v="276467"/>
    <s v="Transferencia"/>
    <m/>
    <m/>
    <s v="Santander"/>
    <m/>
    <m/>
    <m/>
    <m/>
    <m/>
    <s v=""/>
    <s v=""/>
    <m/>
    <n v="232325.21008403364"/>
    <n v="44141.789915966365"/>
    <s v="Cajon"/>
    <s v="Visita"/>
    <s v="SI"/>
    <m/>
    <m/>
    <x v="1"/>
    <m/>
  </r>
  <r>
    <s v="C001"/>
    <s v="Benito Campos y Cia Ltda."/>
    <n v="2939"/>
    <n v="0"/>
    <m/>
    <m/>
    <s v="sn"/>
    <n v="139215"/>
    <m/>
    <n v="139215"/>
    <x v="6"/>
    <n v="30"/>
    <d v="2019-11-08T00:00:00"/>
    <s v="Pagado"/>
    <d v="2019-11-11T00:00:00"/>
    <n v="139215"/>
    <s v="Transferencia"/>
    <m/>
    <m/>
    <s v="Santander"/>
    <m/>
    <m/>
    <m/>
    <m/>
    <m/>
    <s v=""/>
    <s v=""/>
    <m/>
    <n v="116987.3949579832"/>
    <n v="22227.605042016803"/>
    <s v="Cajon"/>
    <s v="Visita"/>
    <s v="SI"/>
    <m/>
    <m/>
    <x v="1"/>
    <m/>
  </r>
  <r>
    <s v="C037"/>
    <s v="Amelia Cortes"/>
    <n v="0"/>
    <n v="2590"/>
    <m/>
    <m/>
    <n v="5929"/>
    <n v="44700"/>
    <m/>
    <n v="44700"/>
    <x v="6"/>
    <n v="0"/>
    <d v="2019-10-09T00:00:00"/>
    <s v="Pagado"/>
    <d v="2019-10-15T00:00:00"/>
    <n v="44700"/>
    <s v="Transferencia"/>
    <m/>
    <m/>
    <s v="Itaú"/>
    <m/>
    <m/>
    <m/>
    <m/>
    <m/>
    <s v=""/>
    <s v=""/>
    <m/>
    <n v="37563.025210084037"/>
    <n v="7136.9747899159629"/>
    <s v="Cajon"/>
    <s v="Revista"/>
    <s v="SI"/>
    <m/>
    <m/>
    <x v="0"/>
    <m/>
  </r>
  <r>
    <s v="C041"/>
    <s v="Yanet Arriagada"/>
    <n v="0"/>
    <n v="0"/>
    <m/>
    <m/>
    <n v="5939"/>
    <n v="38000"/>
    <m/>
    <n v="38000"/>
    <x v="7"/>
    <n v="0"/>
    <d v="2019-10-10T00:00:00"/>
    <s v="Pagado"/>
    <d v="2019-11-01T00:00:00"/>
    <n v="38000"/>
    <s v="Efectivo"/>
    <m/>
    <m/>
    <m/>
    <m/>
    <m/>
    <m/>
    <m/>
    <m/>
    <s v=""/>
    <s v=""/>
    <m/>
    <n v="31932.773109243699"/>
    <n v="6067.2268907563011"/>
    <s v="Pirque"/>
    <s v="Conocido"/>
    <s v="SI"/>
    <m/>
    <m/>
    <x v="0"/>
    <m/>
  </r>
  <r>
    <s v="C586"/>
    <s v="Nini Scholtbach"/>
    <n v="0"/>
    <n v="155"/>
    <m/>
    <m/>
    <n v="5942"/>
    <n v="18000"/>
    <m/>
    <n v="18000"/>
    <x v="7"/>
    <n v="0"/>
    <d v="2019-10-10T00:00:00"/>
    <s v="Pagado"/>
    <d v="2019-10-11T00:00:00"/>
    <n v="18000"/>
    <s v="Transbank"/>
    <s v="Debito"/>
    <n v="155"/>
    <m/>
    <m/>
    <m/>
    <m/>
    <m/>
    <m/>
    <s v=""/>
    <s v=""/>
    <m/>
    <n v="15126.050420168069"/>
    <n v="2873.9495798319313"/>
    <s v="Pirque"/>
    <s v="Conocido"/>
    <s v="SI"/>
    <m/>
    <m/>
    <x v="0"/>
    <m/>
  </r>
  <r>
    <s v="C535"/>
    <s v="Juan Pablo Garcia"/>
    <n v="0"/>
    <n v="2593"/>
    <m/>
    <m/>
    <n v="5938"/>
    <n v="33000"/>
    <m/>
    <n v="33000"/>
    <x v="7"/>
    <n v="0"/>
    <d v="2019-10-10T00:00:00"/>
    <s v="Pagado"/>
    <d v="2019-10-11T00:00:00"/>
    <n v="33000"/>
    <s v="Transferencia"/>
    <m/>
    <m/>
    <s v="BCI"/>
    <m/>
    <m/>
    <m/>
    <m/>
    <m/>
    <s v=""/>
    <s v=""/>
    <m/>
    <n v="27731.092436974792"/>
    <n v="5268.9075630252082"/>
    <s v="Pirque"/>
    <s v="Revista"/>
    <s v="SI"/>
    <m/>
    <m/>
    <x v="0"/>
    <m/>
  </r>
  <r>
    <s v="C581"/>
    <s v="Jose Aguilar"/>
    <n v="0"/>
    <n v="2592"/>
    <m/>
    <m/>
    <n v="5943"/>
    <n v="14800"/>
    <m/>
    <n v="14800"/>
    <x v="7"/>
    <n v="0"/>
    <d v="2019-10-10T00:00:00"/>
    <s v="Pagado"/>
    <d v="2019-10-11T00:00:00"/>
    <n v="14800"/>
    <s v="Efectivo"/>
    <m/>
    <m/>
    <m/>
    <m/>
    <n v="134087"/>
    <n v="14800"/>
    <d v="2019-10-14T00:00:00"/>
    <s v="Chile"/>
    <s v=""/>
    <s v=""/>
    <m/>
    <n v="12436.974789915967"/>
    <n v="2363.0252100840335"/>
    <s v="Pirque"/>
    <s v="Revista"/>
    <s v="SI"/>
    <m/>
    <m/>
    <x v="0"/>
    <m/>
  </r>
  <r>
    <s v="C073"/>
    <s v="Celinda Varela"/>
    <n v="0"/>
    <n v="2591"/>
    <m/>
    <m/>
    <n v="5941"/>
    <n v="19700"/>
    <m/>
    <n v="19700"/>
    <x v="7"/>
    <n v="0"/>
    <d v="2019-10-10T00:00:00"/>
    <s v="Pagado"/>
    <d v="2019-10-11T00:00:00"/>
    <n v="19700"/>
    <s v="Efectivo"/>
    <m/>
    <m/>
    <m/>
    <m/>
    <n v="134087"/>
    <n v="19700"/>
    <d v="2019-10-14T00:00:00"/>
    <s v="Chile"/>
    <s v=""/>
    <s v=""/>
    <m/>
    <n v="16554.621848739498"/>
    <n v="3145.3781512605019"/>
    <s v="Pirque"/>
    <s v="Conocido"/>
    <s v="SI"/>
    <m/>
    <m/>
    <x v="0"/>
    <m/>
  </r>
  <r>
    <s v="C009"/>
    <s v="Sociedad Comercial y Agricola Chada Ltda"/>
    <n v="2943"/>
    <n v="0"/>
    <n v="258"/>
    <m/>
    <s v="sn"/>
    <n v="137038"/>
    <n v="-1483"/>
    <n v="135555"/>
    <x v="8"/>
    <n v="7"/>
    <d v="2019-10-18T00:00:00"/>
    <s v="Pagado"/>
    <d v="2019-10-11T00:00:00"/>
    <n v="135555"/>
    <s v="Cheque a Fecha"/>
    <m/>
    <s v="741-0"/>
    <s v="Scotiabank"/>
    <d v="2019-10-15T00:00:00"/>
    <n v="134090"/>
    <n v="135555"/>
    <d v="2019-10-15T00:00:00"/>
    <s v="Chile"/>
    <s v=""/>
    <s v="Otros"/>
    <m/>
    <n v="115157.98319327732"/>
    <n v="21880.016806722677"/>
    <s v="Chada"/>
    <s v="Visita"/>
    <s v="SI"/>
    <m/>
    <m/>
    <x v="1"/>
    <m/>
  </r>
  <r>
    <s v="C011"/>
    <s v="Servicios Jorge Hernan Garrido Casanova Ltda"/>
    <n v="2942"/>
    <n v="0"/>
    <m/>
    <m/>
    <s v="sn"/>
    <n v="34623"/>
    <m/>
    <n v="34623"/>
    <x v="8"/>
    <n v="0"/>
    <d v="2019-10-11T00:00:00"/>
    <s v="Pagado"/>
    <d v="2019-10-11T00:00:00"/>
    <n v="34623"/>
    <s v="Efectivo"/>
    <m/>
    <m/>
    <m/>
    <m/>
    <n v="134085"/>
    <n v="34623"/>
    <d v="2019-10-14T00:00:00"/>
    <s v="Chile"/>
    <s v=""/>
    <s v=""/>
    <m/>
    <n v="29094.957983193279"/>
    <n v="5528.0420168067212"/>
    <s v="Chada"/>
    <s v="Visita"/>
    <s v="SI"/>
    <m/>
    <m/>
    <x v="1"/>
    <m/>
  </r>
  <r>
    <s v="C337"/>
    <s v="Petrova Alonso"/>
    <n v="0"/>
    <n v="2594"/>
    <m/>
    <m/>
    <n v="5944"/>
    <n v="23900"/>
    <m/>
    <n v="23900"/>
    <x v="8"/>
    <n v="0"/>
    <d v="2019-10-11T00:00:00"/>
    <s v="Pagado"/>
    <d v="2019-10-11T00:00:00"/>
    <n v="23900"/>
    <s v="Efectivo"/>
    <m/>
    <m/>
    <m/>
    <m/>
    <n v="134087"/>
    <n v="23900"/>
    <d v="2019-10-14T00:00:00"/>
    <s v="Chile"/>
    <s v=""/>
    <s v=""/>
    <m/>
    <n v="20084.033613445379"/>
    <n v="3815.9663865546208"/>
    <s v="Pirque"/>
    <s v="Revista"/>
    <s v="SI"/>
    <m/>
    <m/>
    <x v="0"/>
    <m/>
  </r>
  <r>
    <s v="C342"/>
    <s v="Julio Cesar Contreras"/>
    <n v="0"/>
    <n v="2595"/>
    <m/>
    <m/>
    <n v="5946"/>
    <n v="18700"/>
    <m/>
    <n v="18700"/>
    <x v="8"/>
    <n v="0"/>
    <d v="2019-10-11T00:00:00"/>
    <s v="Pagado"/>
    <d v="2019-10-14T00:00:00"/>
    <n v="18700"/>
    <s v="Transferencia"/>
    <m/>
    <m/>
    <s v="Santander"/>
    <m/>
    <m/>
    <m/>
    <m/>
    <m/>
    <s v=""/>
    <s v=""/>
    <m/>
    <n v="15714.285714285716"/>
    <n v="2985.7142857142844"/>
    <s v="Pirque"/>
    <s v="Revista"/>
    <s v="SI"/>
    <m/>
    <m/>
    <x v="0"/>
    <m/>
  </r>
  <r>
    <s v="C008"/>
    <s v="Juana Rosa Roman Quintanilla"/>
    <s v="sn"/>
    <n v="0"/>
    <m/>
    <m/>
    <s v="sn"/>
    <n v="29747"/>
    <m/>
    <n v="29747"/>
    <x v="8"/>
    <n v="0"/>
    <d v="2019-10-11T00:00:00"/>
    <s v="Pagado"/>
    <d v="2019-10-11T00:00:00"/>
    <n v="29747"/>
    <s v="Efectivo"/>
    <m/>
    <m/>
    <m/>
    <m/>
    <n v="134085"/>
    <n v="29747"/>
    <d v="2019-10-14T00:00:00"/>
    <s v="Chile"/>
    <s v=""/>
    <s v=""/>
    <m/>
    <n v="24997.478991596639"/>
    <n v="4749.5210084033606"/>
    <s v="Chada"/>
    <s v="Visita"/>
    <s v="SI"/>
    <m/>
    <m/>
    <x v="1"/>
    <m/>
  </r>
  <r>
    <s v="C113"/>
    <s v="Alvaro del Carmen Ruiz Farias y Otro (Hornito)"/>
    <n v="2940"/>
    <n v="0"/>
    <m/>
    <m/>
    <s v="sn"/>
    <n v="231196"/>
    <m/>
    <n v="231196"/>
    <x v="8"/>
    <n v="0"/>
    <d v="2019-10-11T00:00:00"/>
    <s v="Pagado"/>
    <d v="2019-10-11T00:00:00"/>
    <n v="231196"/>
    <s v="Efectivo"/>
    <m/>
    <m/>
    <m/>
    <m/>
    <n v="134085"/>
    <n v="231196"/>
    <d v="2019-10-14T00:00:00"/>
    <s v="Chile"/>
    <s v=""/>
    <s v=""/>
    <m/>
    <n v="194282.35294117648"/>
    <n v="36913.647058823524"/>
    <s v="Chada"/>
    <s v="Visita"/>
    <s v="SI"/>
    <m/>
    <m/>
    <x v="1"/>
    <m/>
  </r>
  <r>
    <s v="C113"/>
    <s v="Alvaro del Carmen Ruiz Farias y Otro (Hornito)"/>
    <n v="2941"/>
    <n v="0"/>
    <m/>
    <m/>
    <s v="sn"/>
    <n v="9639"/>
    <m/>
    <n v="9639"/>
    <x v="8"/>
    <n v="0"/>
    <d v="2019-10-11T00:00:00"/>
    <s v="Pagado"/>
    <d v="2019-10-11T00:00:00"/>
    <n v="9639"/>
    <s v="Efectivo"/>
    <m/>
    <m/>
    <m/>
    <m/>
    <n v="134085"/>
    <n v="9639"/>
    <d v="2019-10-14T00:00:00"/>
    <s v="Chile"/>
    <s v=""/>
    <s v=""/>
    <m/>
    <n v="8100"/>
    <n v="1539"/>
    <s v="Chada"/>
    <s v="Visita"/>
    <s v="SI"/>
    <m/>
    <m/>
    <x v="1"/>
    <m/>
  </r>
  <r>
    <s v="C453"/>
    <s v="Alejandro Jorquera"/>
    <n v="0"/>
    <n v="0"/>
    <m/>
    <m/>
    <n v="5945"/>
    <n v="16500"/>
    <m/>
    <n v="16500"/>
    <x v="8"/>
    <n v="0"/>
    <d v="2019-10-11T00:00:00"/>
    <s v="Pagado"/>
    <d v="2019-10-14T00:00:00"/>
    <n v="16500"/>
    <s v="Transferencia"/>
    <m/>
    <m/>
    <s v="Santander"/>
    <m/>
    <m/>
    <m/>
    <m/>
    <m/>
    <s v=""/>
    <s v=""/>
    <m/>
    <n v="13865.546218487396"/>
    <n v="2634.4537815126041"/>
    <s v="Pirque"/>
    <s v="Datito"/>
    <s v="SI"/>
    <m/>
    <m/>
    <x v="0"/>
    <m/>
  </r>
  <r>
    <s v="C246"/>
    <s v="Rosa Paz (Municipalidad Pirque)"/>
    <n v="0"/>
    <n v="2600"/>
    <m/>
    <m/>
    <n v="5949"/>
    <n v="20900"/>
    <m/>
    <n v="20900"/>
    <x v="9"/>
    <n v="0"/>
    <d v="2019-10-14T00:00:00"/>
    <s v="Pagado"/>
    <d v="2019-10-24T00:00:00"/>
    <n v="20900"/>
    <s v="Transferencia"/>
    <m/>
    <m/>
    <s v="Chile"/>
    <m/>
    <m/>
    <m/>
    <m/>
    <m/>
    <s v=""/>
    <s v=""/>
    <m/>
    <n v="17563.025210084033"/>
    <n v="3336.9747899159665"/>
    <s v="Pirque"/>
    <s v="Conocido"/>
    <s v="SI"/>
    <m/>
    <m/>
    <x v="0"/>
    <m/>
  </r>
  <r>
    <s v="C065"/>
    <s v="Peter De Lamare"/>
    <n v="0"/>
    <n v="2598"/>
    <m/>
    <m/>
    <n v="5951"/>
    <n v="27750"/>
    <m/>
    <n v="27750"/>
    <x v="9"/>
    <n v="0"/>
    <d v="2019-10-14T00:00:00"/>
    <s v="Pagado"/>
    <d v="2019-10-14T00:00:00"/>
    <n v="27750"/>
    <s v="Cheque al Día"/>
    <m/>
    <n v="2827017"/>
    <s v="Bice"/>
    <d v="2019-10-15T00:00:00"/>
    <n v="134088"/>
    <n v="27750"/>
    <d v="2019-10-15T00:00:00"/>
    <s v="Chile"/>
    <s v=""/>
    <s v="Otros"/>
    <m/>
    <n v="23319.327731092439"/>
    <n v="4430.6722689075614"/>
    <s v="Pirque"/>
    <s v="Conocido"/>
    <s v="SI"/>
    <m/>
    <m/>
    <x v="0"/>
    <m/>
  </r>
  <r>
    <s v="C591"/>
    <s v="Manuel Vergara Ricci"/>
    <n v="0"/>
    <n v="146"/>
    <m/>
    <m/>
    <n v="5953"/>
    <n v="25000"/>
    <m/>
    <n v="25000"/>
    <x v="9"/>
    <n v="0"/>
    <d v="2019-10-14T00:00:00"/>
    <s v="Pagado"/>
    <d v="2019-10-14T00:00:00"/>
    <n v="25000"/>
    <s v="Transbank"/>
    <s v="Debito"/>
    <n v="146"/>
    <m/>
    <m/>
    <m/>
    <m/>
    <m/>
    <m/>
    <s v=""/>
    <s v=""/>
    <m/>
    <n v="21008.403361344539"/>
    <n v="3991.596638655461"/>
    <s v="Pirque"/>
    <s v="Revista"/>
    <s v="SI"/>
    <m/>
    <m/>
    <x v="0"/>
    <m/>
  </r>
  <r>
    <s v="C590"/>
    <s v="Lorena Sanzana"/>
    <n v="0"/>
    <n v="0"/>
    <m/>
    <m/>
    <n v="5952"/>
    <n v="19700"/>
    <m/>
    <n v="19700"/>
    <x v="9"/>
    <n v="0"/>
    <d v="2019-10-14T00:00:00"/>
    <s v="Pagado"/>
    <d v="2019-10-14T00:00:00"/>
    <n v="19700"/>
    <s v="Transferencia"/>
    <m/>
    <m/>
    <s v="Estado"/>
    <m/>
    <m/>
    <m/>
    <m/>
    <m/>
    <s v=""/>
    <s v=""/>
    <m/>
    <n v="16554.621848739498"/>
    <n v="3145.3781512605019"/>
    <s v="Pirque"/>
    <s v="Revista"/>
    <s v="SI"/>
    <m/>
    <m/>
    <x v="0"/>
    <m/>
  </r>
  <r>
    <s v="C478"/>
    <s v="Hugo Palma"/>
    <n v="0"/>
    <n v="2596"/>
    <m/>
    <m/>
    <n v="5948"/>
    <n v="16500"/>
    <m/>
    <n v="16500"/>
    <x v="9"/>
    <n v="0"/>
    <d v="2019-10-14T00:00:00"/>
    <s v="Pagado"/>
    <d v="2019-10-14T00:00:00"/>
    <n v="16500"/>
    <s v="Efectivo"/>
    <m/>
    <m/>
    <m/>
    <m/>
    <m/>
    <m/>
    <m/>
    <m/>
    <s v=""/>
    <s v=""/>
    <m/>
    <n v="13865.546218487396"/>
    <n v="2634.4537815126041"/>
    <s v="Pirque"/>
    <s v="Revista"/>
    <s v="SI"/>
    <m/>
    <m/>
    <x v="0"/>
    <m/>
  </r>
  <r>
    <s v="C495"/>
    <s v="Felipe Saint Jean Metzen"/>
    <n v="0"/>
    <n v="2599"/>
    <m/>
    <m/>
    <n v="5950"/>
    <n v="16500"/>
    <m/>
    <n v="16500"/>
    <x v="9"/>
    <n v="0"/>
    <d v="2019-10-14T00:00:00"/>
    <s v="Pagado"/>
    <d v="2019-12-09T00:00:00"/>
    <n v="16500"/>
    <s v="Transferencia"/>
    <m/>
    <m/>
    <s v="Estado"/>
    <m/>
    <m/>
    <m/>
    <m/>
    <m/>
    <s v=""/>
    <s v=""/>
    <m/>
    <n v="13865.546218487396"/>
    <n v="2634.4537815126041"/>
    <s v="Pirque"/>
    <s v="Revista"/>
    <s v="SI"/>
    <m/>
    <m/>
    <x v="0"/>
    <m/>
  </r>
  <r>
    <s v="C445"/>
    <s v="Carmen Nuñez"/>
    <n v="0"/>
    <n v="2597"/>
    <m/>
    <m/>
    <n v="5947"/>
    <n v="19700"/>
    <m/>
    <n v="19700"/>
    <x v="9"/>
    <n v="0"/>
    <d v="2019-10-14T00:00:00"/>
    <s v="Pagado"/>
    <d v="2019-10-14T00:00:00"/>
    <n v="19700"/>
    <s v="Efectivo"/>
    <m/>
    <m/>
    <m/>
    <m/>
    <m/>
    <m/>
    <m/>
    <m/>
    <s v=""/>
    <s v=""/>
    <m/>
    <n v="16554.621848739498"/>
    <n v="3145.3781512605019"/>
    <s v="Cajon"/>
    <s v="Conocido"/>
    <s v="SI"/>
    <m/>
    <m/>
    <x v="0"/>
    <m/>
  </r>
  <r>
    <s v="C099"/>
    <s v="Sergio Stange"/>
    <n v="0"/>
    <n v="0"/>
    <m/>
    <m/>
    <n v="5960"/>
    <n v="15600"/>
    <m/>
    <n v="15600"/>
    <x v="10"/>
    <n v="0"/>
    <d v="2019-10-15T00:00:00"/>
    <s v="Pagado"/>
    <d v="2019-10-15T00:00:00"/>
    <n v="15600"/>
    <s v="Transferencia"/>
    <m/>
    <m/>
    <s v="Santander"/>
    <m/>
    <m/>
    <m/>
    <m/>
    <m/>
    <s v=""/>
    <s v=""/>
    <m/>
    <n v="13109.243697478993"/>
    <n v="2490.7563025210075"/>
    <s v="Santiago"/>
    <s v="Conocido"/>
    <s v="SI"/>
    <m/>
    <m/>
    <x v="0"/>
    <m/>
  </r>
  <r>
    <s v="C028"/>
    <s v="Luz María Velasquez"/>
    <n v="0"/>
    <n v="0"/>
    <m/>
    <m/>
    <n v="5955"/>
    <n v="34500"/>
    <m/>
    <n v="34500"/>
    <x v="10"/>
    <n v="0"/>
    <d v="2019-10-15T00:00:00"/>
    <s v="Pagado"/>
    <d v="2019-11-18T00:00:00"/>
    <n v="34500"/>
    <s v="Transferencia"/>
    <m/>
    <m/>
    <s v="Scotiabank"/>
    <m/>
    <m/>
    <m/>
    <m/>
    <m/>
    <s v=""/>
    <s v=""/>
    <m/>
    <n v="28991.596638655465"/>
    <n v="5508.4033613445354"/>
    <s v="Chada"/>
    <s v="Conocido"/>
    <s v="SI"/>
    <m/>
    <m/>
    <x v="0"/>
    <m/>
  </r>
  <r>
    <s v="C032"/>
    <s v="Carlos Jobbe-Duval"/>
    <n v="0"/>
    <n v="0"/>
    <m/>
    <m/>
    <n v="5954"/>
    <n v="40300"/>
    <m/>
    <n v="40300"/>
    <x v="10"/>
    <n v="0"/>
    <d v="2019-10-15T00:00:00"/>
    <s v="Pagado"/>
    <d v="2019-11-20T00:00:00"/>
    <n v="40300"/>
    <s v="Cheque al Día"/>
    <m/>
    <n v="745691"/>
    <s v="BCI"/>
    <d v="2029-11-20T00:00:00"/>
    <n v="133955"/>
    <n v="40300"/>
    <d v="2019-11-20T00:00:00"/>
    <s v="Chile"/>
    <s v=""/>
    <s v="Otros"/>
    <m/>
    <n v="33865.546218487398"/>
    <n v="6434.4537815126023"/>
    <s v="Pirque"/>
    <s v="Conocido"/>
    <s v="SI"/>
    <m/>
    <m/>
    <x v="0"/>
    <m/>
  </r>
  <r>
    <s v="C488"/>
    <s v="Trinidad Siviragol"/>
    <n v="0"/>
    <n v="2605"/>
    <m/>
    <m/>
    <n v="5964"/>
    <n v="29600"/>
    <m/>
    <n v="29600"/>
    <x v="11"/>
    <n v="0"/>
    <d v="2019-10-16T00:00:00"/>
    <s v="Pagado"/>
    <d v="2019-10-17T00:00:00"/>
    <n v="29600"/>
    <s v="Transferencia"/>
    <m/>
    <m/>
    <s v="Chile"/>
    <m/>
    <m/>
    <m/>
    <m/>
    <m/>
    <s v=""/>
    <s v=""/>
    <m/>
    <n v="24873.949579831933"/>
    <n v="4726.0504201680669"/>
    <s v="Pirque"/>
    <s v="Revista"/>
    <s v="SI"/>
    <m/>
    <m/>
    <x v="0"/>
    <m/>
  </r>
  <r>
    <s v="C004"/>
    <s v="Rosa Gladys Vidal Mora"/>
    <n v="2945"/>
    <n v="0"/>
    <m/>
    <m/>
    <s v="sn"/>
    <n v="118240"/>
    <m/>
    <n v="118240"/>
    <x v="11"/>
    <n v="7"/>
    <d v="2019-10-23T00:00:00"/>
    <s v="Pagado"/>
    <d v="2019-10-23T00:00:00"/>
    <n v="118240"/>
    <s v="Cheque a Fecha"/>
    <m/>
    <n v="1115830"/>
    <s v="Santander"/>
    <d v="2019-10-23T00:00:00"/>
    <n v="134215"/>
    <n v="118240"/>
    <d v="2019-10-28T00:00:00"/>
    <s v="Chile"/>
    <s v=""/>
    <s v="Otros"/>
    <m/>
    <n v="99361.344537815137"/>
    <n v="18878.655462184863"/>
    <s v="Cajon"/>
    <s v="Visita"/>
    <s v="SI"/>
    <m/>
    <m/>
    <x v="1"/>
    <m/>
  </r>
  <r>
    <s v="C592"/>
    <s v="Rogelio Castillo"/>
    <n v="0"/>
    <n v="2608"/>
    <m/>
    <m/>
    <n v="5959"/>
    <n v="13400"/>
    <m/>
    <n v="13400"/>
    <x v="11"/>
    <n v="0"/>
    <d v="2019-10-16T00:00:00"/>
    <s v="Pagado"/>
    <d v="2019-10-16T00:00:00"/>
    <n v="13400"/>
    <s v="Efectivo"/>
    <m/>
    <m/>
    <m/>
    <m/>
    <m/>
    <m/>
    <m/>
    <m/>
    <s v=""/>
    <s v=""/>
    <m/>
    <n v="11260.504201680673"/>
    <n v="2139.4957983193272"/>
    <s v="Pirque"/>
    <s v="Revista"/>
    <s v="SI"/>
    <m/>
    <m/>
    <x v="0"/>
    <m/>
  </r>
  <r>
    <s v="C358"/>
    <s v="Patricia Lopez"/>
    <n v="0"/>
    <n v="2607"/>
    <m/>
    <m/>
    <n v="5965"/>
    <n v="14800"/>
    <m/>
    <n v="14800"/>
    <x v="11"/>
    <n v="0"/>
    <d v="2019-10-16T00:00:00"/>
    <s v="Pagado"/>
    <d v="2019-12-09T00:00:00"/>
    <n v="14800"/>
    <s v="Efectivo"/>
    <m/>
    <m/>
    <m/>
    <m/>
    <n v="4955438"/>
    <n v="14800"/>
    <d v="2019-12-11T00:00:00"/>
    <s v="Chile"/>
    <s v=""/>
    <s v=""/>
    <m/>
    <n v="12436.974789915967"/>
    <n v="2363.0252100840335"/>
    <s v="Pirque"/>
    <s v="Conocido"/>
    <s v="SI"/>
    <m/>
    <m/>
    <x v="0"/>
    <m/>
  </r>
  <r>
    <s v="C525"/>
    <s v="Katherine Salfate"/>
    <n v="0"/>
    <n v="2606"/>
    <m/>
    <m/>
    <n v="5962"/>
    <n v="19700"/>
    <m/>
    <n v="19700"/>
    <x v="11"/>
    <n v="0"/>
    <d v="2019-10-16T00:00:00"/>
    <s v="Pagado"/>
    <d v="2019-10-16T00:00:00"/>
    <n v="19700"/>
    <s v="Transferencia"/>
    <m/>
    <m/>
    <s v="Estado"/>
    <m/>
    <m/>
    <m/>
    <m/>
    <m/>
    <s v=""/>
    <s v=""/>
    <m/>
    <n v="16554.621848739498"/>
    <n v="3145.3781512605019"/>
    <s v="Pirque"/>
    <s v="Revista"/>
    <s v="SI"/>
    <m/>
    <m/>
    <x v="0"/>
    <m/>
  </r>
  <r>
    <s v="C005"/>
    <s v="Julia Ines Rebolledo Retamal"/>
    <n v="2944"/>
    <n v="0"/>
    <m/>
    <m/>
    <s v="sn"/>
    <n v="23863"/>
    <m/>
    <n v="23863"/>
    <x v="11"/>
    <n v="7"/>
    <d v="2019-10-23T00:00:00"/>
    <s v="Pagado"/>
    <d v="2019-11-06T00:00:00"/>
    <n v="23863"/>
    <s v="Efectivo"/>
    <m/>
    <m/>
    <m/>
    <m/>
    <m/>
    <m/>
    <m/>
    <m/>
    <s v=""/>
    <s v=""/>
    <m/>
    <n v="20052.941176470587"/>
    <n v="3810.0588235294126"/>
    <s v="Cajon"/>
    <s v="Visita"/>
    <s v="SI"/>
    <m/>
    <m/>
    <x v="1"/>
    <m/>
  </r>
  <r>
    <s v="C389"/>
    <s v="Juan Pinilla"/>
    <n v="0"/>
    <n v="2602"/>
    <m/>
    <m/>
    <n v="5958"/>
    <n v="29000"/>
    <m/>
    <n v="29000"/>
    <x v="11"/>
    <n v="0"/>
    <d v="2019-10-16T00:00:00"/>
    <s v="Pagado"/>
    <d v="2019-11-08T00:00:00"/>
    <n v="29000"/>
    <s v="Transferencia"/>
    <m/>
    <m/>
    <s v="Security"/>
    <m/>
    <m/>
    <m/>
    <m/>
    <m/>
    <s v=""/>
    <s v=""/>
    <m/>
    <n v="24369.747899159665"/>
    <n v="4630.2521008403346"/>
    <s v="Pirque"/>
    <s v="Conocido"/>
    <s v="SI"/>
    <m/>
    <m/>
    <x v="0"/>
    <m/>
  </r>
  <r>
    <s v="C389"/>
    <s v="Juan Pinilla"/>
    <n v="0"/>
    <n v="2602"/>
    <m/>
    <m/>
    <n v="5958"/>
    <n v="3900"/>
    <m/>
    <n v="3900"/>
    <x v="11"/>
    <n v="0"/>
    <d v="2019-10-16T00:00:00"/>
    <s v="Pagado"/>
    <d v="2019-11-08T00:00:00"/>
    <n v="3900"/>
    <s v="Transferencia"/>
    <m/>
    <m/>
    <s v="Security"/>
    <m/>
    <m/>
    <m/>
    <m/>
    <m/>
    <s v=""/>
    <s v=""/>
    <m/>
    <n v="3277.3109243697481"/>
    <n v="622.68907563025186"/>
    <s v="Pirque"/>
    <s v="Conocido"/>
    <s v="SI"/>
    <m/>
    <m/>
    <x v="0"/>
    <m/>
  </r>
  <r>
    <s v="C087"/>
    <s v="Juan Pablo Valdes"/>
    <n v="0"/>
    <n v="2601"/>
    <m/>
    <m/>
    <n v="5957"/>
    <n v="69000"/>
    <m/>
    <n v="69000"/>
    <x v="11"/>
    <n v="0"/>
    <d v="2019-10-16T00:00:00"/>
    <s v="Pagado"/>
    <d v="2019-10-16T00:00:00"/>
    <n v="69000"/>
    <s v="Transferencia"/>
    <m/>
    <m/>
    <s v="Bice"/>
    <m/>
    <m/>
    <m/>
    <m/>
    <m/>
    <s v=""/>
    <s v=""/>
    <m/>
    <n v="57983.193277310929"/>
    <n v="11016.806722689071"/>
    <s v="Pirque"/>
    <s v="Revista"/>
    <s v="SI"/>
    <m/>
    <m/>
    <x v="0"/>
    <m/>
  </r>
  <r>
    <s v="C045"/>
    <s v="Jeanny Andrea Arranz Cordero"/>
    <n v="0"/>
    <n v="2604"/>
    <m/>
    <m/>
    <n v="5963"/>
    <n v="42400"/>
    <m/>
    <n v="42400"/>
    <x v="11"/>
    <n v="0"/>
    <d v="2019-10-16T00:00:00"/>
    <s v="Pagado"/>
    <d v="2019-10-16T00:00:00"/>
    <n v="42400"/>
    <s v="Transferencia"/>
    <m/>
    <m/>
    <s v="Chile"/>
    <m/>
    <m/>
    <m/>
    <m/>
    <m/>
    <s v=""/>
    <s v=""/>
    <m/>
    <n v="35630.252100840335"/>
    <n v="6769.7478991596654"/>
    <s v="Pirque"/>
    <s v="Conocido"/>
    <s v="SI"/>
    <m/>
    <m/>
    <x v="0"/>
    <m/>
  </r>
  <r>
    <s v="C003"/>
    <s v="Hector Felipe Ramos Osorio"/>
    <n v="2946"/>
    <n v="0"/>
    <m/>
    <m/>
    <s v="SN"/>
    <n v="81071"/>
    <m/>
    <n v="81071"/>
    <x v="11"/>
    <n v="30"/>
    <d v="2019-11-15T00:00:00"/>
    <s v="Pagado"/>
    <d v="2019-10-16T00:00:00"/>
    <n v="81071"/>
    <s v="Cheque a Fecha"/>
    <m/>
    <n v="7000965"/>
    <s v="Estado"/>
    <d v="2019-11-16T00:00:00"/>
    <m/>
    <m/>
    <m/>
    <m/>
    <s v=""/>
    <s v="Otros"/>
    <m/>
    <n v="68126.890756302528"/>
    <n v="12944.109243697472"/>
    <s v="Cajon"/>
    <s v="Visita"/>
    <s v="SI"/>
    <m/>
    <m/>
    <x v="1"/>
    <m/>
  </r>
  <r>
    <s v="C453"/>
    <s v="Alejandro Jorquera"/>
    <n v="0"/>
    <n v="2603"/>
    <m/>
    <m/>
    <n v="5956"/>
    <n v="16500"/>
    <m/>
    <n v="16500"/>
    <x v="11"/>
    <n v="0"/>
    <d v="2019-10-16T00:00:00"/>
    <s v="Pagado"/>
    <d v="2019-10-16T00:00:00"/>
    <n v="17000"/>
    <s v="Transferencia"/>
    <m/>
    <m/>
    <s v="Santander"/>
    <m/>
    <m/>
    <m/>
    <m/>
    <m/>
    <s v=""/>
    <s v=""/>
    <m/>
    <n v="13865.546218487396"/>
    <n v="2634.4537815126041"/>
    <s v="Pirque"/>
    <s v="Datito"/>
    <s v="SI"/>
    <m/>
    <m/>
    <x v="0"/>
    <m/>
  </r>
  <r>
    <s v="C046"/>
    <s v="Priscila Umaña"/>
    <n v="0"/>
    <n v="2610"/>
    <m/>
    <m/>
    <n v="5967"/>
    <n v="23000"/>
    <m/>
    <n v="23000"/>
    <x v="12"/>
    <n v="0"/>
    <d v="2019-10-17T00:00:00"/>
    <s v="Pagado"/>
    <d v="2019-12-18T00:00:00"/>
    <n v="23000"/>
    <s v="Transferencia"/>
    <m/>
    <m/>
    <s v="Estado"/>
    <m/>
    <m/>
    <m/>
    <m/>
    <m/>
    <s v=""/>
    <s v=""/>
    <m/>
    <n v="19327.731092436974"/>
    <n v="3672.268907563026"/>
    <s v="Pirque"/>
    <s v="Conocido"/>
    <s v="SI"/>
    <m/>
    <m/>
    <x v="0"/>
    <m/>
  </r>
  <r>
    <s v="C594"/>
    <s v="Noelia Guajardo"/>
    <n v="0"/>
    <n v="2609"/>
    <m/>
    <m/>
    <n v="5966"/>
    <n v="19700"/>
    <m/>
    <n v="19700"/>
    <x v="12"/>
    <n v="0"/>
    <d v="2019-10-17T00:00:00"/>
    <s v="Pagado"/>
    <d v="2019-10-17T00:00:00"/>
    <n v="19700"/>
    <s v="Efectivo"/>
    <m/>
    <m/>
    <m/>
    <m/>
    <m/>
    <m/>
    <m/>
    <m/>
    <s v=""/>
    <s v=""/>
    <m/>
    <n v="16554.621848739498"/>
    <n v="3145.3781512605019"/>
    <s v="Pirque"/>
    <s v="Revista"/>
    <s v="SI"/>
    <m/>
    <m/>
    <x v="0"/>
    <m/>
  </r>
  <r>
    <s v="C588"/>
    <s v="Juan Pizarro"/>
    <n v="0"/>
    <n v="2611"/>
    <m/>
    <m/>
    <n v="5969"/>
    <n v="19700"/>
    <m/>
    <n v="19700"/>
    <x v="12"/>
    <n v="0"/>
    <d v="2019-10-17T00:00:00"/>
    <s v="Pagado"/>
    <d v="2019-10-17T00:00:00"/>
    <n v="19700"/>
    <s v="Efectivo"/>
    <m/>
    <m/>
    <m/>
    <m/>
    <m/>
    <m/>
    <m/>
    <m/>
    <s v=""/>
    <s v=""/>
    <m/>
    <n v="16554.621848739498"/>
    <n v="3145.3781512605019"/>
    <s v="Pirque"/>
    <s v="Revista"/>
    <s v="SI"/>
    <m/>
    <m/>
    <x v="0"/>
    <m/>
  </r>
  <r>
    <s v="C595"/>
    <s v="Juan Neira"/>
    <n v="0"/>
    <n v="0"/>
    <m/>
    <m/>
    <n v="5968"/>
    <n v="19700"/>
    <m/>
    <n v="19700"/>
    <x v="12"/>
    <n v="0"/>
    <d v="2019-10-17T00:00:00"/>
    <s v="Pagado"/>
    <d v="2019-10-17T00:00:00"/>
    <n v="19700"/>
    <s v="Transferencia"/>
    <m/>
    <m/>
    <s v="Estado"/>
    <m/>
    <m/>
    <m/>
    <m/>
    <m/>
    <s v=""/>
    <s v=""/>
    <m/>
    <n v="16554.621848739498"/>
    <n v="3145.3781512605019"/>
    <s v="Pirque"/>
    <s v="Revista"/>
    <s v="SI"/>
    <m/>
    <m/>
    <x v="0"/>
    <m/>
  </r>
  <r>
    <s v="C556"/>
    <s v="Patricio Tapia"/>
    <n v="0"/>
    <n v="2612"/>
    <m/>
    <m/>
    <n v="5974"/>
    <n v="14800"/>
    <m/>
    <n v="14800"/>
    <x v="13"/>
    <n v="0"/>
    <d v="2019-10-18T00:00:00"/>
    <s v="Pagado"/>
    <d v="2019-10-18T00:00:00"/>
    <n v="14800"/>
    <s v="Efectivo"/>
    <m/>
    <m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520"/>
    <s v="Pamela Perez"/>
    <n v="0"/>
    <n v="2616"/>
    <m/>
    <m/>
    <n v="5975"/>
    <n v="14800"/>
    <m/>
    <n v="14800"/>
    <x v="13"/>
    <n v="0"/>
    <d v="2019-10-18T00:00:00"/>
    <s v="Pagado"/>
    <d v="2019-10-18T00:00:00"/>
    <n v="14800"/>
    <s v="Efectivo"/>
    <m/>
    <m/>
    <m/>
    <m/>
    <n v="134213"/>
    <n v="14800"/>
    <d v="2019-10-25T00:00:00"/>
    <s v="Chile"/>
    <s v=""/>
    <s v=""/>
    <m/>
    <n v="12436.974789915967"/>
    <n v="2363.0252100840335"/>
    <s v="Pirque"/>
    <s v="Revista"/>
    <s v="SI"/>
    <m/>
    <m/>
    <x v="0"/>
    <m/>
  </r>
  <r>
    <s v="C520"/>
    <s v="Pamela Perez"/>
    <s v="sn"/>
    <n v="2616"/>
    <m/>
    <m/>
    <n v="5975"/>
    <n v="14800"/>
    <m/>
    <n v="14800"/>
    <x v="13"/>
    <n v="0"/>
    <d v="2019-10-18T00:00:00"/>
    <s v="Pagado"/>
    <d v="2019-10-18T00:00:00"/>
    <n v="14800"/>
    <s v="Efectivo"/>
    <m/>
    <m/>
    <m/>
    <m/>
    <m/>
    <m/>
    <m/>
    <m/>
    <s v=""/>
    <s v=""/>
    <m/>
    <n v="12436.974789915967"/>
    <n v="2363.0252100840335"/>
    <s v="Pirque"/>
    <s v="Revista"/>
    <s v="SI"/>
    <m/>
    <m/>
    <x v="1"/>
    <m/>
  </r>
  <r>
    <s v="C406"/>
    <s v="Naitana y Kufeke SPA"/>
    <n v="2948"/>
    <n v="0"/>
    <m/>
    <m/>
    <s v="sn"/>
    <n v="92884"/>
    <m/>
    <n v="92884"/>
    <x v="13"/>
    <n v="0"/>
    <d v="2019-10-18T00:00:00"/>
    <s v="Pagado"/>
    <d v="2019-11-13T00:00:00"/>
    <n v="92884"/>
    <s v="Transferencia"/>
    <m/>
    <m/>
    <s v="Santander"/>
    <m/>
    <m/>
    <m/>
    <m/>
    <m/>
    <s v=""/>
    <s v=""/>
    <m/>
    <n v="78053.781512605041"/>
    <n v="14830.218487394959"/>
    <s v="Pirque"/>
    <s v="Visita"/>
    <s v="SI"/>
    <m/>
    <m/>
    <x v="1"/>
    <m/>
  </r>
  <r>
    <s v="C508"/>
    <s v="Monica Severino"/>
    <s v="sn"/>
    <n v="2615"/>
    <m/>
    <m/>
    <n v="5971"/>
    <n v="14800"/>
    <m/>
    <n v="14800"/>
    <x v="13"/>
    <n v="0"/>
    <d v="2019-10-18T00:00:00"/>
    <s v="Pagado"/>
    <d v="2019-10-18T00:00:00"/>
    <n v="14800"/>
    <s v="Efectivo"/>
    <m/>
    <m/>
    <m/>
    <m/>
    <n v="134213"/>
    <n v="14800"/>
    <d v="2019-10-25T00:00:00"/>
    <s v="Chile"/>
    <s v=""/>
    <s v=""/>
    <m/>
    <n v="12436.974789915967"/>
    <n v="2363.0252100840335"/>
    <s v="Pirque"/>
    <s v="Conocido"/>
    <s v="SI"/>
    <m/>
    <m/>
    <x v="1"/>
    <m/>
  </r>
  <r>
    <s v="C342"/>
    <s v="Julio Cesar Contreras"/>
    <n v="0"/>
    <n v="2613"/>
    <m/>
    <m/>
    <n v="5970"/>
    <n v="16500"/>
    <m/>
    <n v="16500"/>
    <x v="13"/>
    <n v="0"/>
    <d v="2019-10-18T00:00:00"/>
    <s v="Pagado"/>
    <d v="2019-10-22T00:00:00"/>
    <n v="16500"/>
    <s v="Transferencia"/>
    <m/>
    <m/>
    <s v="Santander"/>
    <m/>
    <m/>
    <m/>
    <m/>
    <m/>
    <s v=""/>
    <s v=""/>
    <m/>
    <n v="13865.546218487396"/>
    <n v="2634.4537815126041"/>
    <s v="Pirque"/>
    <s v="Revista"/>
    <s v="SI"/>
    <m/>
    <m/>
    <x v="0"/>
    <m/>
  </r>
  <r>
    <s v="C035"/>
    <s v="Jimena Isabel Alfaro Navarro"/>
    <n v="2947"/>
    <n v="0"/>
    <m/>
    <m/>
    <s v="sn"/>
    <n v="36080"/>
    <m/>
    <n v="36080"/>
    <x v="13"/>
    <n v="0"/>
    <d v="2019-10-18T00:00:00"/>
    <s v="Pagado"/>
    <d v="2019-10-18T00:00:00"/>
    <n v="36080"/>
    <s v="Efectivo"/>
    <m/>
    <m/>
    <m/>
    <m/>
    <m/>
    <m/>
    <m/>
    <m/>
    <s v=""/>
    <s v=""/>
    <m/>
    <n v="30319.327731092439"/>
    <n v="5760.6722689075614"/>
    <s v="Chada"/>
    <s v="Visita"/>
    <s v="SI"/>
    <m/>
    <m/>
    <x v="1"/>
    <m/>
  </r>
  <r>
    <s v="C063"/>
    <s v="Andrea Ramirez"/>
    <n v="0"/>
    <n v="147"/>
    <m/>
    <m/>
    <n v="5972"/>
    <n v="19900"/>
    <m/>
    <n v="19900"/>
    <x v="13"/>
    <n v="0"/>
    <d v="2019-10-18T00:00:00"/>
    <s v="Pagado"/>
    <d v="2019-10-18T00:00:00"/>
    <n v="19900"/>
    <s v="Transbank"/>
    <s v="Debito"/>
    <n v="147"/>
    <m/>
    <m/>
    <m/>
    <m/>
    <m/>
    <m/>
    <s v=""/>
    <s v=""/>
    <m/>
    <n v="16722.689075630253"/>
    <n v="3177.3109243697472"/>
    <s v="Pirque"/>
    <s v="Conocido"/>
    <s v="SI"/>
    <m/>
    <m/>
    <x v="0"/>
    <m/>
  </r>
  <r>
    <s v="C572"/>
    <s v="Aldo Tapia"/>
    <s v="sn"/>
    <n v="0"/>
    <m/>
    <m/>
    <n v="5973"/>
    <n v="19900"/>
    <m/>
    <n v="19900"/>
    <x v="13"/>
    <n v="0"/>
    <d v="2019-10-18T00:00:00"/>
    <s v="Pagado"/>
    <d v="2019-10-18T00:00:00"/>
    <n v="19900"/>
    <s v="Efectivo"/>
    <m/>
    <m/>
    <m/>
    <m/>
    <m/>
    <m/>
    <m/>
    <m/>
    <s v=""/>
    <s v=""/>
    <m/>
    <n v="16722.689075630253"/>
    <n v="3177.3109243697472"/>
    <s v="Pirque"/>
    <s v="Revista"/>
    <s v="SI"/>
    <m/>
    <m/>
    <x v="1"/>
    <m/>
  </r>
  <r>
    <s v="C572"/>
    <s v="Aldo Tapia"/>
    <n v="0"/>
    <n v="2614"/>
    <m/>
    <m/>
    <n v="5973"/>
    <n v="19900"/>
    <m/>
    <n v="19900"/>
    <x v="13"/>
    <n v="0"/>
    <d v="2019-10-18T00:00:00"/>
    <s v="Pagado"/>
    <d v="2019-10-18T00:00:00"/>
    <n v="19900"/>
    <s v="Efectivo"/>
    <m/>
    <m/>
    <m/>
    <m/>
    <n v="134213"/>
    <n v="19900"/>
    <d v="2019-10-25T00:00:00"/>
    <s v="Chile"/>
    <s v=""/>
    <s v=""/>
    <m/>
    <n v="16722.689075630253"/>
    <n v="3177.3109243697472"/>
    <s v="Pirque"/>
    <s v="Revista"/>
    <s v="SI"/>
    <m/>
    <m/>
    <x v="0"/>
    <m/>
  </r>
  <r>
    <s v="C557"/>
    <s v="Manne Vergara"/>
    <n v="0"/>
    <s v="P"/>
    <m/>
    <m/>
    <n v="5976"/>
    <n v="25000"/>
    <m/>
    <n v="25000"/>
    <x v="14"/>
    <n v="0"/>
    <d v="2019-10-19T00:00:00"/>
    <s v="Pagado"/>
    <d v="2020-01-14T00:00:00"/>
    <n v="25000"/>
    <s v="Transferencia"/>
    <m/>
    <m/>
    <s v="Estado"/>
    <m/>
    <m/>
    <m/>
    <m/>
    <m/>
    <s v=""/>
    <s v=""/>
    <m/>
    <n v="21008.403361344539"/>
    <n v="3991.596638655461"/>
    <s v="Pirque"/>
    <s v="Revista"/>
    <s v="SI"/>
    <m/>
    <m/>
    <x v="0"/>
    <m/>
  </r>
  <r>
    <s v="C557"/>
    <s v="Manne Vergara"/>
    <n v="0"/>
    <s v="P"/>
    <m/>
    <m/>
    <n v="5976"/>
    <n v="25400"/>
    <m/>
    <n v="25400"/>
    <x v="14"/>
    <n v="0"/>
    <d v="2019-10-19T00:00:00"/>
    <s v="Vencido"/>
    <m/>
    <m/>
    <m/>
    <m/>
    <m/>
    <m/>
    <m/>
    <m/>
    <m/>
    <m/>
    <m/>
    <s v=""/>
    <s v=""/>
    <m/>
    <n v="21344.537815126052"/>
    <n v="4055.462184873948"/>
    <s v="Pirque"/>
    <s v="Revista"/>
    <s v="NO"/>
    <m/>
    <m/>
    <x v="0"/>
    <m/>
  </r>
  <r>
    <s v="C549"/>
    <s v="Ma Jesus Arriagada"/>
    <n v="0"/>
    <n v="148"/>
    <m/>
    <m/>
    <n v="5978"/>
    <n v="59700"/>
    <m/>
    <n v="59700"/>
    <x v="14"/>
    <n v="0"/>
    <d v="2019-10-19T00:00:00"/>
    <s v="Pagado"/>
    <d v="2019-10-19T00:00:00"/>
    <n v="59700"/>
    <s v="Transbank"/>
    <s v="Debito"/>
    <n v="148"/>
    <m/>
    <m/>
    <m/>
    <m/>
    <m/>
    <m/>
    <s v=""/>
    <s v=""/>
    <m/>
    <n v="50168.067226890758"/>
    <n v="9531.9327731092417"/>
    <s v="Pirque"/>
    <s v="Conocido"/>
    <s v="SI"/>
    <m/>
    <m/>
    <x v="0"/>
    <m/>
  </r>
  <r>
    <s v="C056"/>
    <s v="Liliana Llanos"/>
    <n v="0"/>
    <n v="0"/>
    <m/>
    <m/>
    <n v="5977"/>
    <n v="11500"/>
    <m/>
    <n v="11500"/>
    <x v="14"/>
    <n v="0"/>
    <d v="2019-10-19T00:00:00"/>
    <s v="Pagado"/>
    <d v="2019-10-19T00:00:00"/>
    <n v="11500"/>
    <s v="Efectivo"/>
    <m/>
    <m/>
    <m/>
    <m/>
    <m/>
    <m/>
    <m/>
    <m/>
    <s v=""/>
    <s v=""/>
    <m/>
    <n v="9663.865546218487"/>
    <n v="1836.134453781513"/>
    <s v="Pirque"/>
    <s v="Conocido"/>
    <s v="SI"/>
    <m/>
    <m/>
    <x v="0"/>
    <m/>
  </r>
  <r>
    <s v="C596"/>
    <s v="Leslie Mora"/>
    <n v="0"/>
    <n v="150"/>
    <m/>
    <m/>
    <n v="5980"/>
    <n v="30100"/>
    <m/>
    <n v="30100"/>
    <x v="14"/>
    <n v="0"/>
    <d v="2019-10-19T00:00:00"/>
    <s v="Pagado"/>
    <d v="2019-10-19T00:00:00"/>
    <n v="30100"/>
    <s v="Transbank"/>
    <s v="Debito"/>
    <n v="150"/>
    <m/>
    <m/>
    <m/>
    <m/>
    <m/>
    <m/>
    <s v=""/>
    <s v=""/>
    <m/>
    <n v="25294.117647058825"/>
    <n v="4805.8823529411748"/>
    <s v="Pirque"/>
    <s v="Revista"/>
    <s v="SI"/>
    <m/>
    <m/>
    <x v="0"/>
    <m/>
  </r>
  <r>
    <s v="C538"/>
    <s v="Katherine Torres"/>
    <n v="0"/>
    <n v="149"/>
    <m/>
    <m/>
    <n v="5981"/>
    <n v="46000"/>
    <m/>
    <n v="46000"/>
    <x v="14"/>
    <n v="0"/>
    <d v="2019-10-19T00:00:00"/>
    <s v="Pagado"/>
    <d v="2019-10-19T00:00:00"/>
    <n v="46000"/>
    <s v="Transbank"/>
    <s v="Debito"/>
    <n v="149"/>
    <m/>
    <m/>
    <m/>
    <m/>
    <m/>
    <m/>
    <s v=""/>
    <s v=""/>
    <m/>
    <n v="38655.462184873948"/>
    <n v="7344.537815126052"/>
    <s v="Pirque"/>
    <s v="Revista"/>
    <s v="SI"/>
    <m/>
    <m/>
    <x v="0"/>
    <m/>
  </r>
  <r>
    <s v="C544"/>
    <s v="Carla Valencoa"/>
    <n v="0"/>
    <n v="151"/>
    <m/>
    <m/>
    <n v="5982"/>
    <n v="23000"/>
    <m/>
    <n v="23000"/>
    <x v="14"/>
    <n v="0"/>
    <d v="2019-10-19T00:00:00"/>
    <s v="Pagado"/>
    <d v="2019-10-19T00:00:00"/>
    <n v="23000"/>
    <s v="Transbank"/>
    <s v="Debito"/>
    <n v="151"/>
    <m/>
    <m/>
    <m/>
    <m/>
    <m/>
    <m/>
    <s v=""/>
    <s v=""/>
    <m/>
    <n v="19327.731092436974"/>
    <n v="3672.268907563026"/>
    <s v="Pirque"/>
    <s v="Revista"/>
    <s v="SI"/>
    <m/>
    <m/>
    <x v="0"/>
    <m/>
  </r>
  <r>
    <s v="C452"/>
    <s v="Camila Zamorano"/>
    <n v="0"/>
    <n v="0"/>
    <m/>
    <m/>
    <n v="5979"/>
    <n v="28700"/>
    <m/>
    <n v="28700"/>
    <x v="14"/>
    <n v="0"/>
    <d v="2019-10-19T00:00:00"/>
    <s v="Pagado"/>
    <d v="2019-10-19T00:00:00"/>
    <n v="28700"/>
    <s v="Efectivo"/>
    <m/>
    <m/>
    <m/>
    <m/>
    <m/>
    <m/>
    <m/>
    <m/>
    <s v=""/>
    <s v=""/>
    <m/>
    <n v="24117.647058823532"/>
    <n v="4582.3529411764684"/>
    <s v="Pirque"/>
    <s v="Revista"/>
    <s v="SI"/>
    <m/>
    <m/>
    <x v="0"/>
    <m/>
  </r>
  <r>
    <s v="C041"/>
    <s v="Yanet Arriagada"/>
    <n v="0"/>
    <n v="0"/>
    <m/>
    <m/>
    <s v="sn"/>
    <n v="22000"/>
    <m/>
    <n v="22000"/>
    <x v="15"/>
    <n v="0"/>
    <d v="2019-10-21T00:00:00"/>
    <s v="Pagado"/>
    <d v="2019-11-01T00:00:00"/>
    <n v="22000"/>
    <s v="Efectivo"/>
    <m/>
    <m/>
    <m/>
    <m/>
    <m/>
    <m/>
    <m/>
    <m/>
    <s v=""/>
    <s v=""/>
    <m/>
    <n v="18487.394957983193"/>
    <n v="3512.6050420168067"/>
    <s v="Pirque"/>
    <s v="Conocido"/>
    <s v="SI"/>
    <m/>
    <m/>
    <x v="0"/>
    <m/>
  </r>
  <r>
    <s v="C091"/>
    <s v="Ricardo Pertuze"/>
    <n v="0"/>
    <n v="2617"/>
    <m/>
    <m/>
    <n v="5992"/>
    <n v="38000"/>
    <m/>
    <n v="38000"/>
    <x v="15"/>
    <n v="0"/>
    <d v="2019-10-21T00:00:00"/>
    <s v="Pagado"/>
    <d v="2019-10-21T00:00:00"/>
    <n v="38000"/>
    <s v="Transferencia"/>
    <m/>
    <m/>
    <s v="Scotiabank"/>
    <m/>
    <m/>
    <m/>
    <m/>
    <m/>
    <s v=""/>
    <s v=""/>
    <m/>
    <n v="31932.773109243699"/>
    <n v="6067.2268907563011"/>
    <s v="Pirque"/>
    <s v="Conocido"/>
    <s v="SI"/>
    <m/>
    <m/>
    <x v="0"/>
    <m/>
  </r>
  <r>
    <s v="C359"/>
    <s v="Manuel Perez"/>
    <n v="0"/>
    <n v="2619"/>
    <m/>
    <m/>
    <n v="5990"/>
    <n v="29900"/>
    <m/>
    <n v="29900"/>
    <x v="15"/>
    <n v="0"/>
    <d v="2019-10-21T00:00:00"/>
    <s v="Pagado"/>
    <d v="2019-10-21T00:00:00"/>
    <n v="29900"/>
    <s v="Transferencia"/>
    <m/>
    <m/>
    <s v="Santander"/>
    <m/>
    <m/>
    <m/>
    <m/>
    <m/>
    <s v=""/>
    <s v=""/>
    <m/>
    <n v="25126.050420168067"/>
    <n v="4773.9495798319331"/>
    <s v="Pirque"/>
    <s v="Conocido"/>
    <s v="SI"/>
    <m/>
    <m/>
    <x v="0"/>
    <m/>
  </r>
  <r>
    <s v="C079"/>
    <s v="Kim Cornely"/>
    <n v="0"/>
    <n v="2618"/>
    <m/>
    <m/>
    <n v="5986"/>
    <n v="30460"/>
    <m/>
    <n v="30460"/>
    <x v="15"/>
    <n v="0"/>
    <d v="2019-10-21T00:00:00"/>
    <s v="Pagado"/>
    <d v="2019-10-21T00:00:00"/>
    <n v="30460"/>
    <s v="Transferencia"/>
    <m/>
    <m/>
    <s v="Chile"/>
    <m/>
    <m/>
    <m/>
    <m/>
    <m/>
    <s v=""/>
    <s v=""/>
    <m/>
    <n v="25596.638655462186"/>
    <n v="4863.3613445378141"/>
    <s v="Pirque"/>
    <s v="Conocido"/>
    <s v="SI"/>
    <m/>
    <m/>
    <x v="0"/>
    <m/>
  </r>
  <r>
    <s v="C597"/>
    <s v="Juani Covarrubias"/>
    <n v="0"/>
    <n v="154"/>
    <m/>
    <m/>
    <n v="5994"/>
    <n v="14800"/>
    <m/>
    <n v="14800"/>
    <x v="15"/>
    <n v="0"/>
    <d v="2019-10-21T00:00:00"/>
    <s v="Pagado"/>
    <d v="2019-10-21T00:00:00"/>
    <n v="14800"/>
    <s v="Transbank"/>
    <s v="Debito"/>
    <n v="154"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534"/>
    <s v="Helga Nagilschmitz"/>
    <n v="0"/>
    <n v="155"/>
    <m/>
    <m/>
    <n v="5993"/>
    <n v="71000"/>
    <m/>
    <n v="71000"/>
    <x v="15"/>
    <n v="0"/>
    <d v="2019-10-21T00:00:00"/>
    <s v="Pagado"/>
    <d v="2019-10-21T00:00:00"/>
    <n v="71000"/>
    <s v="Transbank"/>
    <s v="Debito"/>
    <n v="155"/>
    <m/>
    <m/>
    <m/>
    <m/>
    <m/>
    <m/>
    <s v=""/>
    <s v=""/>
    <m/>
    <n v="59663.865546218491"/>
    <n v="11336.134453781509"/>
    <s v="Pirque"/>
    <s v="Revista"/>
    <s v="SI"/>
    <m/>
    <m/>
    <x v="0"/>
    <m/>
  </r>
  <r>
    <s v="C394"/>
    <s v="Gabriela Ulloa"/>
    <n v="0"/>
    <n v="153"/>
    <m/>
    <m/>
    <n v="5989"/>
    <n v="14800"/>
    <m/>
    <n v="14800"/>
    <x v="15"/>
    <n v="0"/>
    <d v="2019-10-21T00:00:00"/>
    <s v="Pagado"/>
    <d v="2019-10-21T00:00:00"/>
    <n v="14800"/>
    <s v="Transbank"/>
    <s v="Debito"/>
    <n v="153"/>
    <m/>
    <m/>
    <m/>
    <m/>
    <m/>
    <m/>
    <s v=""/>
    <s v=""/>
    <m/>
    <n v="12436.974789915967"/>
    <n v="2363.0252100840335"/>
    <s v="Pirque"/>
    <s v="Conocido"/>
    <s v="SI"/>
    <m/>
    <m/>
    <x v="0"/>
    <m/>
  </r>
  <r>
    <s v="C307"/>
    <s v="Franklin Winston Smart Guevara"/>
    <n v="0"/>
    <n v="2620"/>
    <m/>
    <m/>
    <n v="5991"/>
    <n v="19900"/>
    <m/>
    <n v="19900"/>
    <x v="15"/>
    <n v="0"/>
    <d v="2019-10-21T00:00:00"/>
    <s v="Pagado"/>
    <d v="2019-10-21T00:00:00"/>
    <n v="19900"/>
    <s v="Transferencia"/>
    <m/>
    <m/>
    <s v="Santander"/>
    <m/>
    <m/>
    <m/>
    <m/>
    <m/>
    <s v=""/>
    <s v=""/>
    <m/>
    <n v="16722.689075630253"/>
    <n v="3177.3109243697472"/>
    <s v="Pirque"/>
    <s v="Revista"/>
    <s v="SI"/>
    <m/>
    <m/>
    <x v="0"/>
    <m/>
  </r>
  <r>
    <s v="C038"/>
    <s v="Francisca Gonzalez"/>
    <n v="0"/>
    <n v="0"/>
    <m/>
    <m/>
    <n v="6023"/>
    <n v="20200"/>
    <m/>
    <n v="20200"/>
    <x v="15"/>
    <n v="0"/>
    <d v="2019-10-21T00:00:00"/>
    <s v="Pagado"/>
    <d v="2019-11-25T00:00:00"/>
    <n v="20200"/>
    <s v="Transferencia"/>
    <m/>
    <m/>
    <s v="Chile"/>
    <m/>
    <m/>
    <m/>
    <m/>
    <m/>
    <s v=""/>
    <s v=""/>
    <m/>
    <n v="16974.789915966387"/>
    <n v="3225.2100840336134"/>
    <s v="Pirque"/>
    <s v="Conocido"/>
    <s v="SI"/>
    <m/>
    <m/>
    <x v="0"/>
    <m/>
  </r>
  <r>
    <s v="C430"/>
    <s v="Felipe Muñoz"/>
    <n v="0"/>
    <n v="152"/>
    <m/>
    <m/>
    <n v="5988"/>
    <n v="19700"/>
    <m/>
    <n v="19700"/>
    <x v="15"/>
    <n v="0"/>
    <d v="2019-10-21T00:00:00"/>
    <s v="Pagado"/>
    <d v="2019-10-21T00:00:00"/>
    <n v="19700"/>
    <s v="Transbank"/>
    <s v="Debito"/>
    <n v="152"/>
    <m/>
    <m/>
    <m/>
    <m/>
    <m/>
    <m/>
    <s v=""/>
    <s v=""/>
    <m/>
    <n v="16554.621848739498"/>
    <n v="3145.3781512605019"/>
    <s v="Pirque"/>
    <s v="Conocido"/>
    <s v="SI"/>
    <m/>
    <m/>
    <x v="0"/>
    <m/>
  </r>
  <r>
    <s v="C047"/>
    <s v="Astrid Rauttenberg"/>
    <n v="0"/>
    <n v="0"/>
    <m/>
    <m/>
    <n v="5987"/>
    <n v="23700"/>
    <m/>
    <n v="23700"/>
    <x v="15"/>
    <n v="0"/>
    <d v="2019-10-21T00:00:00"/>
    <s v="Pagado"/>
    <d v="2019-10-22T00:00:00"/>
    <n v="23700"/>
    <s v="Transferencia"/>
    <m/>
    <m/>
    <s v="Estado"/>
    <m/>
    <m/>
    <m/>
    <m/>
    <m/>
    <s v=""/>
    <s v=""/>
    <m/>
    <n v="19915.966386554624"/>
    <n v="3784.0336134453755"/>
    <s v="Pirque"/>
    <s v="Conocido"/>
    <s v="SI"/>
    <m/>
    <m/>
    <x v="0"/>
    <m/>
  </r>
  <r>
    <s v="C453"/>
    <s v="Alejandro Jorquera"/>
    <n v="0"/>
    <n v="0"/>
    <m/>
    <m/>
    <n v="5983"/>
    <n v="15700"/>
    <m/>
    <n v="15700"/>
    <x v="15"/>
    <n v="0"/>
    <d v="2019-10-21T00:00:00"/>
    <s v="Pagado"/>
    <d v="2019-10-22T00:00:00"/>
    <n v="15700"/>
    <s v="Transferencia"/>
    <m/>
    <m/>
    <s v="Santander"/>
    <m/>
    <m/>
    <m/>
    <m/>
    <m/>
    <s v=""/>
    <s v=""/>
    <m/>
    <n v="13193.27731092437"/>
    <n v="2506.7226890756301"/>
    <s v="Pirque"/>
    <s v="Datito"/>
    <s v="SI"/>
    <m/>
    <m/>
    <x v="0"/>
    <m/>
  </r>
  <r>
    <s v="C599"/>
    <s v="Tamara Chavez"/>
    <n v="0"/>
    <n v="2626"/>
    <m/>
    <m/>
    <n v="5998"/>
    <n v="29000"/>
    <m/>
    <n v="29000"/>
    <x v="16"/>
    <n v="0"/>
    <d v="2019-10-22T00:00:00"/>
    <s v="Pagado"/>
    <d v="2019-10-22T00:00:00"/>
    <n v="29000"/>
    <s v="Transferencia"/>
    <m/>
    <m/>
    <s v="Estado"/>
    <m/>
    <m/>
    <m/>
    <m/>
    <m/>
    <s v=""/>
    <s v=""/>
    <m/>
    <n v="24369.747899159665"/>
    <n v="4630.2521008403346"/>
    <s v="Pirque"/>
    <s v="Chat San Juan"/>
    <s v="SI"/>
    <m/>
    <m/>
    <x v="0"/>
    <m/>
  </r>
  <r>
    <s v="C097"/>
    <s v="Natalia Jorquera"/>
    <n v="0"/>
    <n v="0"/>
    <m/>
    <m/>
    <n v="5995"/>
    <n v="19251"/>
    <m/>
    <n v="19251"/>
    <x v="16"/>
    <n v="0"/>
    <d v="2019-10-22T00:00:00"/>
    <s v="Pagado"/>
    <d v="2019-10-22T00:00:00"/>
    <n v="19251"/>
    <s v="Efectivo"/>
    <m/>
    <m/>
    <m/>
    <m/>
    <n v="134214"/>
    <m/>
    <m/>
    <m/>
    <s v=""/>
    <s v=""/>
    <m/>
    <n v="16177.310924369749"/>
    <n v="3073.689075630251"/>
    <s v="Pirque"/>
    <s v="Conocido"/>
    <s v="SI"/>
    <m/>
    <m/>
    <x v="0"/>
    <m/>
  </r>
  <r>
    <s v="C135"/>
    <s v="María Ester Abarca"/>
    <n v="0"/>
    <n v="0"/>
    <m/>
    <m/>
    <n v="5984"/>
    <n v="33000"/>
    <m/>
    <n v="33000"/>
    <x v="16"/>
    <n v="0"/>
    <d v="2019-10-22T00:00:00"/>
    <s v="Pagado"/>
    <d v="2019-10-25T00:00:00"/>
    <n v="33000"/>
    <s v="Transferencia"/>
    <m/>
    <m/>
    <s v="Chile"/>
    <m/>
    <m/>
    <m/>
    <m/>
    <m/>
    <s v=""/>
    <s v=""/>
    <m/>
    <n v="27731.092436974792"/>
    <n v="5268.9075630252082"/>
    <s v="Santiago"/>
    <s v="Conocido"/>
    <s v="SI"/>
    <m/>
    <m/>
    <x v="0"/>
    <m/>
  </r>
  <r>
    <s v="C517"/>
    <s v="Jenny Thomas"/>
    <n v="0"/>
    <n v="157"/>
    <m/>
    <m/>
    <n v="5997"/>
    <n v="45400"/>
    <m/>
    <n v="45400"/>
    <x v="16"/>
    <n v="0"/>
    <d v="2019-10-22T00:00:00"/>
    <s v="Pagado"/>
    <d v="2019-10-22T00:00:00"/>
    <n v="45400"/>
    <s v="Transbank"/>
    <s v="Debito"/>
    <n v="157"/>
    <m/>
    <m/>
    <m/>
    <m/>
    <m/>
    <m/>
    <s v=""/>
    <s v=""/>
    <m/>
    <n v="38151.26050420168"/>
    <n v="7248.7394957983197"/>
    <s v="Pirque"/>
    <s v="Revista"/>
    <s v="SI"/>
    <m/>
    <m/>
    <x v="0"/>
    <m/>
  </r>
  <r>
    <s v="C600"/>
    <s v="Francisco Gutierrez"/>
    <n v="0"/>
    <n v="2627"/>
    <m/>
    <m/>
    <n v="6001"/>
    <n v="16500"/>
    <m/>
    <n v="16500"/>
    <x v="16"/>
    <n v="0"/>
    <d v="2019-10-22T00:00:00"/>
    <s v="Pagado"/>
    <d v="2019-10-22T00:00:00"/>
    <n v="16500"/>
    <s v="Transferencia"/>
    <m/>
    <m/>
    <s v="Santander"/>
    <m/>
    <m/>
    <m/>
    <m/>
    <m/>
    <s v=""/>
    <s v=""/>
    <m/>
    <n v="13865.546218487396"/>
    <n v="2634.4537815126041"/>
    <s v="Pirque"/>
    <s v="Chat whp"/>
    <s v="SI"/>
    <m/>
    <m/>
    <x v="0"/>
    <m/>
  </r>
  <r>
    <s v="C598"/>
    <s v="Francisco Godoy"/>
    <n v="0"/>
    <n v="2628"/>
    <m/>
    <m/>
    <n v="5996"/>
    <n v="45400"/>
    <m/>
    <n v="45400"/>
    <x v="16"/>
    <n v="0"/>
    <d v="2019-10-22T00:00:00"/>
    <s v="Pagado"/>
    <d v="2019-10-22T00:00:00"/>
    <n v="45400"/>
    <s v="Efectivo"/>
    <m/>
    <m/>
    <m/>
    <m/>
    <m/>
    <m/>
    <m/>
    <m/>
    <s v=""/>
    <s v=""/>
    <m/>
    <n v="38151.26050420168"/>
    <n v="7248.7394957983197"/>
    <s v="Pirque"/>
    <s v="Revista"/>
    <s v="SI"/>
    <m/>
    <m/>
    <x v="0"/>
    <m/>
  </r>
  <r>
    <s v="C519"/>
    <s v="Eduardo Contreras"/>
    <n v="0"/>
    <n v="2629"/>
    <m/>
    <m/>
    <n v="6002"/>
    <n v="15500"/>
    <m/>
    <n v="15500"/>
    <x v="16"/>
    <n v="0"/>
    <d v="2019-10-22T00:00:00"/>
    <s v="Pagado"/>
    <d v="2019-10-22T00:00:00"/>
    <n v="15500"/>
    <s v="Efectivo"/>
    <m/>
    <m/>
    <m/>
    <m/>
    <m/>
    <m/>
    <m/>
    <m/>
    <s v=""/>
    <s v=""/>
    <m/>
    <n v="13025.210084033613"/>
    <n v="2474.7899159663866"/>
    <s v="Pirque"/>
    <s v="Revista"/>
    <s v="SI"/>
    <m/>
    <m/>
    <x v="0"/>
    <m/>
  </r>
  <r>
    <s v="C601"/>
    <s v="Claudia Ramos"/>
    <n v="0"/>
    <n v="2624"/>
    <m/>
    <m/>
    <n v="6003"/>
    <n v="22700"/>
    <m/>
    <n v="22700"/>
    <x v="16"/>
    <n v="0"/>
    <d v="2019-10-22T00:00:00"/>
    <s v="Pagado"/>
    <d v="2019-10-22T00:00:00"/>
    <n v="22700"/>
    <s v="Transferencia"/>
    <m/>
    <m/>
    <s v="Santander"/>
    <m/>
    <m/>
    <m/>
    <m/>
    <m/>
    <s v=""/>
    <s v=""/>
    <m/>
    <n v="19075.63025210084"/>
    <n v="3624.3697478991598"/>
    <s v="Pirque"/>
    <s v="Chat whp"/>
    <s v="SI"/>
    <m/>
    <m/>
    <x v="0"/>
    <m/>
  </r>
  <r>
    <s v="C073"/>
    <s v="Celinda Varela"/>
    <n v="0"/>
    <n v="2622"/>
    <m/>
    <m/>
    <n v="6006"/>
    <n v="37800"/>
    <m/>
    <n v="37800"/>
    <x v="16"/>
    <n v="0"/>
    <d v="2019-10-22T00:00:00"/>
    <s v="Pagado"/>
    <d v="2019-10-27T00:00:00"/>
    <n v="37800"/>
    <s v="Efectivo"/>
    <m/>
    <m/>
    <m/>
    <m/>
    <m/>
    <m/>
    <m/>
    <m/>
    <s v=""/>
    <s v=""/>
    <m/>
    <n v="31764.705882352944"/>
    <n v="6035.2941176470558"/>
    <s v="Pirque"/>
    <s v="Conocido"/>
    <s v="SI"/>
    <m/>
    <m/>
    <x v="0"/>
    <m/>
  </r>
  <r>
    <s v="C255"/>
    <s v="Carlos Manzano"/>
    <n v="0"/>
    <n v="157"/>
    <m/>
    <m/>
    <n v="5999"/>
    <n v="23000"/>
    <m/>
    <n v="23000"/>
    <x v="16"/>
    <n v="0"/>
    <d v="2019-10-22T00:00:00"/>
    <s v="Pagado"/>
    <d v="2019-10-22T00:00:00"/>
    <n v="23000"/>
    <s v="Transbank"/>
    <s v="Debito"/>
    <n v="156"/>
    <m/>
    <m/>
    <m/>
    <m/>
    <m/>
    <m/>
    <s v=""/>
    <s v=""/>
    <m/>
    <n v="19327.731092436974"/>
    <n v="3672.268907563026"/>
    <s v="Pirque"/>
    <s v="Revista"/>
    <s v="SI"/>
    <m/>
    <m/>
    <x v="0"/>
    <m/>
  </r>
  <r>
    <s v="C602"/>
    <s v="Benjamin Rebolledo"/>
    <n v="0"/>
    <n v="2625"/>
    <m/>
    <m/>
    <n v="6005"/>
    <n v="19900"/>
    <m/>
    <n v="19900"/>
    <x v="16"/>
    <n v="0"/>
    <d v="2019-10-22T00:00:00"/>
    <s v="Pagado"/>
    <d v="2019-10-22T00:00:00"/>
    <n v="20000"/>
    <s v="Transferencia"/>
    <m/>
    <m/>
    <s v="Estado"/>
    <m/>
    <m/>
    <m/>
    <m/>
    <m/>
    <s v=""/>
    <s v=""/>
    <m/>
    <n v="16722.689075630253"/>
    <n v="3177.3109243697472"/>
    <s v="Pirque"/>
    <s v="Chat whp"/>
    <s v="SI"/>
    <m/>
    <m/>
    <x v="0"/>
    <m/>
  </r>
  <r>
    <s v="C603"/>
    <s v="Arturo Martinez"/>
    <n v="0"/>
    <n v="0"/>
    <m/>
    <m/>
    <n v="6007"/>
    <n v="14200"/>
    <m/>
    <n v="14200"/>
    <x v="16"/>
    <n v="0"/>
    <d v="2019-10-22T00:00:00"/>
    <s v="Pagado"/>
    <d v="2019-10-22T00:00:00"/>
    <n v="14200"/>
    <s v="Efectivo"/>
    <m/>
    <m/>
    <m/>
    <m/>
    <n v="134214"/>
    <m/>
    <m/>
    <m/>
    <s v=""/>
    <s v=""/>
    <m/>
    <n v="11932.773109243699"/>
    <n v="2267.2268907563011"/>
    <s v="Pirque"/>
    <s v="Chat whp"/>
    <s v="SI"/>
    <m/>
    <m/>
    <x v="0"/>
    <m/>
  </r>
  <r>
    <s v="C037"/>
    <s v="Amelia Cortes"/>
    <n v="0"/>
    <n v="2623"/>
    <m/>
    <m/>
    <n v="5985"/>
    <n v="44700"/>
    <m/>
    <n v="44700"/>
    <x v="16"/>
    <n v="0"/>
    <d v="2019-10-22T00:00:00"/>
    <s v="Pagado"/>
    <d v="2019-10-23T00:00:00"/>
    <n v="44700"/>
    <s v="Transferencia"/>
    <m/>
    <m/>
    <s v="Itaú"/>
    <m/>
    <m/>
    <m/>
    <m/>
    <m/>
    <s v=""/>
    <s v=""/>
    <m/>
    <n v="37563.025210084037"/>
    <n v="7136.9747899159629"/>
    <s v="Cajon"/>
    <s v="Revista"/>
    <s v="SI"/>
    <m/>
    <m/>
    <x v="0"/>
    <m/>
  </r>
  <r>
    <s v="C004"/>
    <s v="Rosa Gladys Vidal Mora"/>
    <n v="2956"/>
    <n v="0"/>
    <m/>
    <m/>
    <n v="6015"/>
    <n v="97133"/>
    <m/>
    <n v="97133"/>
    <x v="17"/>
    <n v="7"/>
    <d v="2019-10-30T00:00:00"/>
    <s v="Pagado"/>
    <d v="2019-11-06T00:00:00"/>
    <n v="97133"/>
    <s v="Cheque a Fecha"/>
    <m/>
    <n v="1115889"/>
    <s v="Santander"/>
    <d v="2019-11-11T00:00:00"/>
    <m/>
    <m/>
    <m/>
    <m/>
    <s v=""/>
    <s v="Otros"/>
    <m/>
    <n v="81624.369747899167"/>
    <n v="15508.630252100833"/>
    <s v="Cajon"/>
    <s v="Visita"/>
    <s v="SI"/>
    <m/>
    <m/>
    <x v="1"/>
    <m/>
  </r>
  <r>
    <s v="C573"/>
    <s v="Pamela Avila"/>
    <n v="0"/>
    <n v="160"/>
    <m/>
    <m/>
    <n v="6012"/>
    <n v="53800"/>
    <m/>
    <n v="53800"/>
    <x v="17"/>
    <n v="0"/>
    <d v="2019-10-23T00:00:00"/>
    <s v="Pagado"/>
    <d v="2019-10-23T00:00:00"/>
    <n v="53800"/>
    <s v="Transbank"/>
    <s v="Credito"/>
    <n v="160"/>
    <m/>
    <m/>
    <m/>
    <m/>
    <m/>
    <m/>
    <s v=""/>
    <s v=""/>
    <m/>
    <n v="45210.08403361345"/>
    <n v="8589.9159663865503"/>
    <s v="Pirque"/>
    <s v="Revista"/>
    <s v="SI"/>
    <m/>
    <m/>
    <x v="0"/>
    <m/>
  </r>
  <r>
    <s v="C521"/>
    <s v="Noelia Boved"/>
    <n v="0"/>
    <n v="2630"/>
    <m/>
    <m/>
    <n v="6011"/>
    <n v="15500"/>
    <m/>
    <n v="15500"/>
    <x v="17"/>
    <n v="0"/>
    <d v="2019-10-23T00:00:00"/>
    <s v="Pagado"/>
    <d v="2019-10-23T00:00:00"/>
    <n v="15500"/>
    <s v="Efectivo"/>
    <m/>
    <m/>
    <m/>
    <m/>
    <m/>
    <m/>
    <m/>
    <m/>
    <s v=""/>
    <s v=""/>
    <m/>
    <n v="13025.210084033613"/>
    <n v="2474.7899159663866"/>
    <s v="Pirque"/>
    <s v="Revista"/>
    <s v="SI"/>
    <m/>
    <m/>
    <x v="0"/>
    <m/>
  </r>
  <r>
    <s v="C546"/>
    <s v="Martha Feres"/>
    <n v="0"/>
    <n v="0"/>
    <m/>
    <m/>
    <n v="6004"/>
    <n v="35500"/>
    <m/>
    <n v="35500"/>
    <x v="17"/>
    <n v="0"/>
    <d v="2019-10-23T00:00:00"/>
    <s v="Pagado"/>
    <d v="2019-10-23T00:00:00"/>
    <n v="35500"/>
    <s v="Efectivo"/>
    <m/>
    <m/>
    <m/>
    <m/>
    <m/>
    <m/>
    <m/>
    <m/>
    <s v=""/>
    <s v=""/>
    <m/>
    <n v="29831.932773109245"/>
    <n v="5668.0672268907547"/>
    <s v="Pirque"/>
    <s v="Revista"/>
    <s v="SI"/>
    <m/>
    <m/>
    <x v="0"/>
    <m/>
  </r>
  <r>
    <s v="C026"/>
    <s v="Loreto Paola Moraga Guerrero"/>
    <n v="0"/>
    <n v="2631"/>
    <m/>
    <m/>
    <n v="6013"/>
    <n v="23900"/>
    <m/>
    <n v="23900"/>
    <x v="17"/>
    <n v="0"/>
    <d v="2019-10-23T00:00:00"/>
    <s v="Pagado"/>
    <d v="2019-11-04T00:00:00"/>
    <n v="23900"/>
    <s v="Transferencia"/>
    <m/>
    <m/>
    <s v="Scotiabank"/>
    <m/>
    <m/>
    <m/>
    <m/>
    <m/>
    <s v=""/>
    <s v=""/>
    <m/>
    <n v="20084.033613445379"/>
    <n v="3815.9663865546208"/>
    <s v="Pirque"/>
    <s v="Conocido"/>
    <s v="SI"/>
    <m/>
    <m/>
    <x v="0"/>
    <m/>
  </r>
  <r>
    <s v="C536"/>
    <s v="Katherine Gonzalez"/>
    <n v="0"/>
    <n v="158"/>
    <m/>
    <m/>
    <n v="6000"/>
    <n v="215000"/>
    <m/>
    <n v="215000"/>
    <x v="17"/>
    <n v="0"/>
    <d v="2019-10-23T00:00:00"/>
    <s v="Pagado"/>
    <d v="2019-10-23T00:00:00"/>
    <n v="215000"/>
    <s v="Transbank"/>
    <s v="Debito"/>
    <n v="158"/>
    <m/>
    <m/>
    <m/>
    <m/>
    <m/>
    <m/>
    <s v=""/>
    <s v=""/>
    <m/>
    <n v="180672.26890756303"/>
    <n v="34327.731092436967"/>
    <s v="Pirque"/>
    <s v="Matute Pirque"/>
    <s v="SI"/>
    <m/>
    <m/>
    <x v="0"/>
    <m/>
  </r>
  <r>
    <s v="C389"/>
    <s v="Juan Pinilla"/>
    <n v="0"/>
    <n v="0"/>
    <m/>
    <m/>
    <n v="6014"/>
    <n v="31265"/>
    <m/>
    <n v="31265"/>
    <x v="17"/>
    <n v="0"/>
    <d v="2019-10-23T00:00:00"/>
    <s v="Pagado"/>
    <d v="2019-11-08T00:00:00"/>
    <n v="31265"/>
    <s v="Transferencia"/>
    <m/>
    <m/>
    <s v="Security"/>
    <m/>
    <m/>
    <m/>
    <m/>
    <m/>
    <s v=""/>
    <s v=""/>
    <m/>
    <n v="26273.10924369748"/>
    <n v="4991.8907563025205"/>
    <s v="Pirque"/>
    <s v="Conocido"/>
    <s v="SI"/>
    <m/>
    <m/>
    <x v="0"/>
    <m/>
  </r>
  <r>
    <s v="C476"/>
    <s v="Jose Gonzalez Salinas"/>
    <n v="0"/>
    <n v="2632"/>
    <m/>
    <m/>
    <n v="6010"/>
    <n v="29800"/>
    <m/>
    <n v="29800"/>
    <x v="17"/>
    <n v="0"/>
    <d v="2019-10-23T00:00:00"/>
    <s v="Pagado"/>
    <d v="2019-10-23T00:00:00"/>
    <n v="29800"/>
    <s v="Transferencia"/>
    <m/>
    <m/>
    <s v="Santander"/>
    <m/>
    <m/>
    <m/>
    <m/>
    <m/>
    <s v=""/>
    <s v=""/>
    <m/>
    <n v="25042.016806722691"/>
    <n v="4757.9831932773086"/>
    <s v="Pirque"/>
    <s v="Revista"/>
    <s v="SI"/>
    <m/>
    <m/>
    <x v="0"/>
    <m/>
  </r>
  <r>
    <s v="C527"/>
    <s v="Bercic y Cia Ltda"/>
    <n v="2949"/>
    <n v="0"/>
    <m/>
    <m/>
    <s v="sn"/>
    <n v="674399"/>
    <m/>
    <n v="674399"/>
    <x v="17"/>
    <n v="30"/>
    <d v="2019-11-22T00:00:00"/>
    <s v="Pagado"/>
    <d v="2019-10-23T00:00:00"/>
    <n v="674399"/>
    <s v="Cheque a Fecha"/>
    <m/>
    <n v="4556642"/>
    <s v="BCI"/>
    <d v="2019-10-24T00:00:00"/>
    <n v="134216"/>
    <n v="674399"/>
    <d v="2019-10-28T00:00:00"/>
    <s v="Chile"/>
    <s v=""/>
    <s v="Otros"/>
    <m/>
    <n v="566721.84873949585"/>
    <n v="107677.15126050415"/>
    <s v="Cajon"/>
    <s v="Visita"/>
    <s v="SI"/>
    <m/>
    <m/>
    <x v="1"/>
    <m/>
  </r>
  <r>
    <s v="C001"/>
    <s v="Benito Campos y Cia Ltda."/>
    <n v="2950"/>
    <n v="0"/>
    <m/>
    <m/>
    <n v="1037260"/>
    <n v="190805"/>
    <m/>
    <n v="190805"/>
    <x v="17"/>
    <n v="30"/>
    <d v="2019-11-22T00:00:00"/>
    <s v="Pagado"/>
    <d v="2019-11-28T00:00:00"/>
    <n v="190805"/>
    <s v="Transferencia"/>
    <m/>
    <m/>
    <s v="Santander"/>
    <m/>
    <m/>
    <m/>
    <m/>
    <m/>
    <s v=""/>
    <s v=""/>
    <m/>
    <n v="160340.3361344538"/>
    <n v="30464.663865546201"/>
    <s v="Cajon"/>
    <s v="Visita"/>
    <s v="SI"/>
    <m/>
    <m/>
    <x v="1"/>
    <m/>
  </r>
  <r>
    <s v="C001"/>
    <s v="Benito Campos y Cia Ltda."/>
    <n v="2951"/>
    <n v="0"/>
    <m/>
    <m/>
    <n v="1037260"/>
    <n v="118499"/>
    <m/>
    <n v="118499"/>
    <x v="17"/>
    <n v="30"/>
    <d v="2019-11-22T00:00:00"/>
    <s v="Pagado"/>
    <d v="2019-11-28T00:00:00"/>
    <n v="118499"/>
    <s v="Transferencia"/>
    <m/>
    <m/>
    <s v="Santander"/>
    <m/>
    <m/>
    <m/>
    <m/>
    <m/>
    <s v=""/>
    <s v=""/>
    <m/>
    <n v="99578.991596638662"/>
    <n v="18920.008403361338"/>
    <s v="Cajon"/>
    <s v="Visita"/>
    <s v="SI"/>
    <m/>
    <m/>
    <x v="1"/>
    <m/>
  </r>
  <r>
    <s v="C001"/>
    <s v="Benito Campos y Cia Ltda."/>
    <n v="2952"/>
    <n v="0"/>
    <n v="259"/>
    <m/>
    <n v="1037260"/>
    <n v="355389"/>
    <n v="-12952"/>
    <n v="342437"/>
    <x v="17"/>
    <n v="30"/>
    <d v="2019-11-22T00:00:00"/>
    <s v="Pagado"/>
    <d v="2019-11-28T00:00:00"/>
    <n v="342437"/>
    <s v="Transferencia"/>
    <m/>
    <m/>
    <s v="Santander"/>
    <m/>
    <m/>
    <m/>
    <m/>
    <m/>
    <s v=""/>
    <s v=""/>
    <m/>
    <n v="298646.21848739497"/>
    <n v="56742.781512605026"/>
    <s v="Cajon"/>
    <s v="Visita"/>
    <s v="SI"/>
    <m/>
    <m/>
    <x v="1"/>
    <m/>
  </r>
  <r>
    <s v="C001"/>
    <s v="Benito Campos y Cia Ltda."/>
    <n v="2953"/>
    <n v="0"/>
    <n v="260"/>
    <m/>
    <n v="1037309"/>
    <n v="155820"/>
    <n v="-6069"/>
    <n v="149751"/>
    <x v="17"/>
    <n v="30"/>
    <d v="2019-11-22T00:00:00"/>
    <s v="Pagado"/>
    <d v="2019-11-28T00:00:00"/>
    <n v="149751"/>
    <s v="Transferencia"/>
    <m/>
    <m/>
    <s v="Santander"/>
    <m/>
    <m/>
    <m/>
    <m/>
    <m/>
    <s v=""/>
    <s v=""/>
    <m/>
    <n v="130941.17647058824"/>
    <n v="24878.823529411762"/>
    <s v="Cajon"/>
    <s v="Visita"/>
    <s v="SI"/>
    <m/>
    <m/>
    <x v="1"/>
    <m/>
  </r>
  <r>
    <s v="C001"/>
    <s v="Benito Campos y Cia Ltda."/>
    <n v="2954"/>
    <n v="0"/>
    <m/>
    <m/>
    <s v="sn"/>
    <n v="21587"/>
    <m/>
    <n v="21587"/>
    <x v="17"/>
    <n v="30"/>
    <d v="2019-11-22T00:00:00"/>
    <s v="Pagado"/>
    <d v="2019-11-28T00:00:00"/>
    <n v="21587"/>
    <s v="Transferencia"/>
    <m/>
    <m/>
    <s v="Santander"/>
    <m/>
    <m/>
    <m/>
    <m/>
    <m/>
    <s v=""/>
    <s v=""/>
    <m/>
    <n v="18140.336134453781"/>
    <n v="3446.6638655462193"/>
    <s v="Cajon"/>
    <s v="Visita"/>
    <s v="SI"/>
    <m/>
    <m/>
    <x v="1"/>
    <m/>
  </r>
  <r>
    <s v="C116"/>
    <s v="Angelica Bravo"/>
    <n v="0"/>
    <n v="159"/>
    <m/>
    <m/>
    <n v="6009"/>
    <n v="14800"/>
    <m/>
    <n v="14800"/>
    <x v="17"/>
    <n v="0"/>
    <d v="2019-10-23T00:00:00"/>
    <s v="Pagado"/>
    <d v="2019-10-23T00:00:00"/>
    <n v="14800"/>
    <s v="Transbank"/>
    <s v="Debito"/>
    <n v="159"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062"/>
    <s v="Verena Scholtbach"/>
    <n v="0"/>
    <n v="0"/>
    <m/>
    <m/>
    <n v="6021"/>
    <n v="25700"/>
    <m/>
    <n v="25700"/>
    <x v="18"/>
    <n v="0"/>
    <d v="2019-10-24T00:00:00"/>
    <s v="Pagado"/>
    <d v="2019-12-11T00:00:00"/>
    <n v="25700"/>
    <s v="Transferencia"/>
    <m/>
    <m/>
    <s v="BCI"/>
    <m/>
    <m/>
    <m/>
    <m/>
    <m/>
    <s v=""/>
    <s v=""/>
    <m/>
    <n v="21596.638655462186"/>
    <n v="4103.3613445378141"/>
    <s v="Pirque"/>
    <s v="Conocido"/>
    <s v="SI"/>
    <m/>
    <m/>
    <x v="0"/>
    <m/>
  </r>
  <r>
    <s v="C135"/>
    <s v="María Ester Abarca"/>
    <n v="0"/>
    <n v="0"/>
    <m/>
    <m/>
    <n v="6022"/>
    <n v="15500"/>
    <m/>
    <n v="15500"/>
    <x v="18"/>
    <n v="0"/>
    <d v="2019-10-24T00:00:00"/>
    <s v="Pagado"/>
    <d v="2019-10-25T00:00:00"/>
    <n v="15500"/>
    <s v="Transferencia"/>
    <m/>
    <m/>
    <s v="Chile"/>
    <m/>
    <m/>
    <m/>
    <m/>
    <m/>
    <s v=""/>
    <s v=""/>
    <m/>
    <n v="13025.210084033613"/>
    <n v="2474.7899159663866"/>
    <s v="Santiago"/>
    <s v="Conocido"/>
    <s v="SI"/>
    <m/>
    <m/>
    <x v="0"/>
    <m/>
  </r>
  <r>
    <s v="C557"/>
    <s v="Manne Vergara"/>
    <n v="0"/>
    <n v="2635"/>
    <m/>
    <m/>
    <n v="6019"/>
    <n v="79500"/>
    <m/>
    <n v="79500"/>
    <x v="18"/>
    <n v="0"/>
    <d v="2019-10-24T00:00:00"/>
    <s v="Vencido"/>
    <m/>
    <m/>
    <m/>
    <m/>
    <m/>
    <m/>
    <m/>
    <m/>
    <m/>
    <m/>
    <m/>
    <s v=""/>
    <s v=""/>
    <m/>
    <n v="66806.722689075628"/>
    <n v="12693.277310924372"/>
    <s v="Pirque"/>
    <s v="Revista"/>
    <s v="NO"/>
    <m/>
    <m/>
    <x v="0"/>
    <m/>
  </r>
  <r>
    <s v="C071"/>
    <s v="Jose Beck"/>
    <n v="0"/>
    <n v="2634"/>
    <m/>
    <m/>
    <n v="6020"/>
    <n v="36400"/>
    <m/>
    <n v="36400"/>
    <x v="18"/>
    <n v="0"/>
    <d v="2019-10-24T00:00:00"/>
    <s v="Pagado"/>
    <d v="2019-10-26T00:00:00"/>
    <n v="36400"/>
    <s v="Transferencia"/>
    <m/>
    <m/>
    <s v="Chile"/>
    <m/>
    <m/>
    <m/>
    <m/>
    <m/>
    <m/>
    <s v=""/>
    <m/>
    <n v="30588.235294117647"/>
    <n v="5811.7647058823532"/>
    <s v="Pirque"/>
    <s v="Conocido"/>
    <s v="SI"/>
    <m/>
    <m/>
    <x v="0"/>
    <m/>
  </r>
  <r>
    <s v="C581"/>
    <s v="Jose Aguilar"/>
    <n v="0"/>
    <n v="2621"/>
    <m/>
    <m/>
    <n v="6017"/>
    <n v="14800"/>
    <m/>
    <n v="14800"/>
    <x v="18"/>
    <n v="0"/>
    <d v="2019-10-24T00:00:00"/>
    <s v="Pagado"/>
    <d v="2019-10-24T00:00:00"/>
    <n v="14800"/>
    <s v="Efectivo"/>
    <m/>
    <m/>
    <m/>
    <m/>
    <n v="134214"/>
    <n v="14800"/>
    <m/>
    <m/>
    <s v=""/>
    <s v=""/>
    <m/>
    <n v="12436.974789915967"/>
    <n v="2363.0252100840335"/>
    <s v="Pirque"/>
    <s v="Revista"/>
    <s v="SI"/>
    <m/>
    <m/>
    <x v="0"/>
    <m/>
  </r>
  <r>
    <s v="C401"/>
    <s v="Constanza Bustos"/>
    <n v="0"/>
    <n v="2633"/>
    <m/>
    <m/>
    <n v="6016"/>
    <n v="60800"/>
    <m/>
    <n v="60800"/>
    <x v="18"/>
    <n v="0"/>
    <d v="2019-10-24T00:00:00"/>
    <s v="Pagado"/>
    <d v="2019-10-25T00:00:00"/>
    <n v="60800"/>
    <s v="Transferencia"/>
    <m/>
    <m/>
    <s v="Chile"/>
    <m/>
    <m/>
    <m/>
    <m/>
    <m/>
    <s v=""/>
    <s v=""/>
    <m/>
    <n v="51092.436974789918"/>
    <n v="9707.5630252100818"/>
    <s v="Pirque"/>
    <s v="Conocido"/>
    <s v="SI"/>
    <m/>
    <m/>
    <x v="0"/>
    <m/>
  </r>
  <r>
    <s v="C558"/>
    <s v="Carola Pardo"/>
    <n v="0"/>
    <n v="2636"/>
    <m/>
    <m/>
    <n v="6018"/>
    <n v="19700"/>
    <m/>
    <n v="19700"/>
    <x v="18"/>
    <n v="0"/>
    <d v="2019-10-24T00:00:00"/>
    <s v="Pagado"/>
    <d v="2019-10-24T00:00:00"/>
    <n v="19700"/>
    <s v="Efectivo"/>
    <m/>
    <m/>
    <m/>
    <m/>
    <m/>
    <m/>
    <m/>
    <m/>
    <s v=""/>
    <s v=""/>
    <m/>
    <n v="16554.621848739498"/>
    <n v="3145.3781512605019"/>
    <s v="Pirque"/>
    <s v="Revista"/>
    <s v="SI"/>
    <m/>
    <m/>
    <x v="0"/>
    <m/>
  </r>
  <r>
    <s v="C088"/>
    <s v="Salvador Jesus Maulen Lizana e Hios Ltda"/>
    <n v="2959"/>
    <n v="0"/>
    <m/>
    <m/>
    <s v="sn"/>
    <n v="148037"/>
    <m/>
    <n v="148037"/>
    <x v="19"/>
    <n v="30"/>
    <d v="2019-11-24T00:00:00"/>
    <s v="Pagado"/>
    <d v="2019-10-25T00:00:00"/>
    <n v="148037"/>
    <s v="Efectivo"/>
    <m/>
    <m/>
    <m/>
    <m/>
    <n v="134218"/>
    <n v="147000"/>
    <d v="2019-10-29T00:00:00"/>
    <s v="Chile"/>
    <s v=""/>
    <s v=""/>
    <m/>
    <n v="124400.84033613445"/>
    <n v="23636.159663865546"/>
    <s v="Cajon"/>
    <s v="Visita"/>
    <s v="SI"/>
    <m/>
    <m/>
    <x v="1"/>
    <m/>
  </r>
  <r>
    <s v="C337"/>
    <s v="Petrova Alonso"/>
    <n v="0"/>
    <n v="2638"/>
    <m/>
    <m/>
    <n v="6026"/>
    <n v="45500"/>
    <m/>
    <n v="45500"/>
    <x v="19"/>
    <n v="0"/>
    <d v="2019-10-25T00:00:00"/>
    <s v="Pagado"/>
    <d v="2019-10-25T00:00:00"/>
    <n v="45500"/>
    <s v="Efectivo"/>
    <m/>
    <m/>
    <m/>
    <m/>
    <n v="134217"/>
    <n v="45500"/>
    <m/>
    <m/>
    <s v=""/>
    <s v=""/>
    <m/>
    <n v="38235.294117647063"/>
    <n v="7264.7058823529369"/>
    <s v="Pirque"/>
    <s v="Revista"/>
    <s v="SI"/>
    <m/>
    <m/>
    <x v="0"/>
    <m/>
  </r>
  <r>
    <s v="C064"/>
    <s v="Maria Estela Matte"/>
    <n v="0"/>
    <n v="2637"/>
    <m/>
    <m/>
    <n v="6008"/>
    <n v="24500"/>
    <m/>
    <n v="24500"/>
    <x v="19"/>
    <n v="0"/>
    <d v="2019-10-25T00:00:00"/>
    <s v="Pagado"/>
    <d v="2019-10-25T00:00:00"/>
    <n v="24500"/>
    <s v="Transferencia"/>
    <m/>
    <m/>
    <s v="Itaú"/>
    <m/>
    <m/>
    <m/>
    <m/>
    <m/>
    <s v=""/>
    <s v=""/>
    <m/>
    <n v="20588.235294117647"/>
    <n v="3911.7647058823532"/>
    <s v="Pirque"/>
    <s v="Revista"/>
    <s v="SI"/>
    <m/>
    <m/>
    <x v="0"/>
    <m/>
  </r>
  <r>
    <s v="C056"/>
    <s v="Liliana Llanos"/>
    <n v="0"/>
    <n v="161"/>
    <m/>
    <m/>
    <n v="6031"/>
    <n v="11500"/>
    <m/>
    <n v="11500"/>
    <x v="19"/>
    <n v="0"/>
    <d v="2019-10-25T00:00:00"/>
    <s v="Pagado"/>
    <d v="2019-10-25T00:00:00"/>
    <n v="11500"/>
    <s v="Transbank"/>
    <s v="Credito"/>
    <n v="161"/>
    <m/>
    <m/>
    <m/>
    <m/>
    <m/>
    <m/>
    <s v=""/>
    <s v=""/>
    <m/>
    <n v="9663.865546218487"/>
    <n v="1836.134453781513"/>
    <s v="Pirque"/>
    <s v="Conocido"/>
    <s v="SI"/>
    <m/>
    <m/>
    <x v="0"/>
    <m/>
  </r>
  <r>
    <s v="C538"/>
    <s v="Katherine Torres"/>
    <n v="0"/>
    <n v="164"/>
    <m/>
    <m/>
    <n v="6032"/>
    <n v="15000"/>
    <m/>
    <n v="15000"/>
    <x v="19"/>
    <n v="0"/>
    <d v="2019-10-25T00:00:00"/>
    <s v="Pagado"/>
    <d v="2019-10-25T00:00:00"/>
    <n v="15000"/>
    <s v="Transbank"/>
    <s v="Debito"/>
    <n v="164"/>
    <m/>
    <m/>
    <m/>
    <m/>
    <m/>
    <m/>
    <s v=""/>
    <s v=""/>
    <m/>
    <n v="12605.042016806723"/>
    <n v="2394.957983193277"/>
    <s v="Pirque"/>
    <s v="Revista"/>
    <s v="SI"/>
    <m/>
    <m/>
    <x v="0"/>
    <m/>
  </r>
  <r>
    <s v="C087"/>
    <s v="Juan Pablo Valdes"/>
    <n v="0"/>
    <n v="2641"/>
    <m/>
    <m/>
    <n v="6033"/>
    <n v="69000"/>
    <m/>
    <n v="69000"/>
    <x v="19"/>
    <n v="0"/>
    <d v="2019-10-25T00:00:00"/>
    <s v="Pagado"/>
    <d v="2019-10-25T00:00:00"/>
    <n v="69000"/>
    <s v="Transferencia"/>
    <m/>
    <m/>
    <s v="Bice"/>
    <m/>
    <m/>
    <m/>
    <m/>
    <m/>
    <s v=""/>
    <s v=""/>
    <m/>
    <n v="57983.193277310929"/>
    <n v="11016.806722689071"/>
    <s v="Pirque"/>
    <s v="Revista"/>
    <s v="SI"/>
    <m/>
    <m/>
    <x v="0"/>
    <m/>
  </r>
  <r>
    <s v="C605"/>
    <s v="Juan Navarro"/>
    <n v="0"/>
    <n v="2642"/>
    <m/>
    <m/>
    <n v="6030"/>
    <n v="39200"/>
    <m/>
    <n v="39200"/>
    <x v="19"/>
    <n v="0"/>
    <d v="2019-10-25T00:00:00"/>
    <s v="Pagado"/>
    <d v="2019-10-25T00:00:00"/>
    <n v="39200"/>
    <s v="Efectivo"/>
    <m/>
    <m/>
    <m/>
    <m/>
    <n v="134217"/>
    <n v="39200"/>
    <m/>
    <m/>
    <s v=""/>
    <s v=""/>
    <m/>
    <n v="32941.176470588238"/>
    <n v="6258.8235294117621"/>
    <s v="Pirque"/>
    <s v="Conocido"/>
    <s v="SI"/>
    <m/>
    <m/>
    <x v="0"/>
    <m/>
  </r>
  <r>
    <s v="C158"/>
    <s v="Jose Miguel Osorio"/>
    <n v="0"/>
    <n v="162"/>
    <m/>
    <m/>
    <n v="6034"/>
    <n v="34500"/>
    <m/>
    <n v="34500"/>
    <x v="19"/>
    <n v="0"/>
    <d v="2019-10-25T00:00:00"/>
    <s v="Pagado"/>
    <d v="2019-10-25T00:00:00"/>
    <n v="34500"/>
    <s v="Transbank"/>
    <s v="Debito"/>
    <n v="162"/>
    <m/>
    <m/>
    <m/>
    <m/>
    <m/>
    <m/>
    <s v=""/>
    <s v=""/>
    <m/>
    <n v="28991.596638655465"/>
    <n v="5508.4033613445354"/>
    <s v="Pirque"/>
    <s v="Conocido"/>
    <s v="SI"/>
    <m/>
    <m/>
    <x v="0"/>
    <m/>
  </r>
  <r>
    <s v="C263"/>
    <s v="Jeanny Reyes"/>
    <n v="0"/>
    <n v="2639"/>
    <m/>
    <m/>
    <n v="6028"/>
    <n v="43500"/>
    <m/>
    <n v="43500"/>
    <x v="19"/>
    <n v="0"/>
    <d v="2019-10-25T00:00:00"/>
    <s v="Pagado"/>
    <d v="2019-10-25T00:00:00"/>
    <n v="43500"/>
    <s v="Efectivo"/>
    <m/>
    <m/>
    <m/>
    <m/>
    <n v="134217"/>
    <n v="43500"/>
    <m/>
    <m/>
    <s v=""/>
    <s v=""/>
    <m/>
    <n v="36554.621848739494"/>
    <n v="6945.3781512605055"/>
    <s v="Pirque"/>
    <s v="Conocido"/>
    <s v="SI"/>
    <m/>
    <m/>
    <x v="0"/>
    <m/>
  </r>
  <r>
    <s v="C534"/>
    <s v="Helga Nagilschmitz"/>
    <n v="0"/>
    <n v="163"/>
    <m/>
    <m/>
    <n v="6025"/>
    <n v="71000"/>
    <m/>
    <n v="71000"/>
    <x v="19"/>
    <n v="0"/>
    <d v="2019-10-25T00:00:00"/>
    <s v="Pagado"/>
    <d v="2019-10-25T00:00:00"/>
    <n v="71000"/>
    <s v="Transbank"/>
    <s v="Debito"/>
    <n v="163"/>
    <m/>
    <m/>
    <m/>
    <m/>
    <m/>
    <m/>
    <s v=""/>
    <s v=""/>
    <m/>
    <n v="59663.865546218491"/>
    <n v="11336.134453781509"/>
    <s v="Pirque"/>
    <s v="Revista"/>
    <s v="SI"/>
    <m/>
    <m/>
    <x v="0"/>
    <m/>
  </r>
  <r>
    <s v="C003"/>
    <s v="Hector Felipe Ramos Osorio"/>
    <n v="2957"/>
    <n v="0"/>
    <m/>
    <m/>
    <s v="sn"/>
    <n v="422516"/>
    <m/>
    <n v="422516"/>
    <x v="19"/>
    <n v="30"/>
    <d v="2019-11-24T00:00:00"/>
    <s v="Pagado"/>
    <d v="2019-10-25T00:00:00"/>
    <n v="422516"/>
    <s v="Cheque a Fecha"/>
    <m/>
    <n v="7000980"/>
    <s v="Estado"/>
    <d v="2019-11-25T00:00:00"/>
    <m/>
    <m/>
    <m/>
    <m/>
    <s v=""/>
    <s v="Otros"/>
    <m/>
    <n v="355055.46218487399"/>
    <n v="67460.537815126008"/>
    <s v="Cajon"/>
    <s v="Visita"/>
    <s v="SI"/>
    <m/>
    <m/>
    <x v="1"/>
    <m/>
  </r>
  <r>
    <s v="C001"/>
    <s v="Benito Campos y Cia Ltda."/>
    <n v="2958"/>
    <n v="0"/>
    <m/>
    <m/>
    <s v="sn"/>
    <n v="79053"/>
    <m/>
    <n v="79053"/>
    <x v="19"/>
    <n v="30"/>
    <d v="2019-11-24T00:00:00"/>
    <s v="Pagado"/>
    <d v="2019-11-28T00:00:00"/>
    <n v="79053"/>
    <s v="Transferencia"/>
    <m/>
    <m/>
    <s v="Santander"/>
    <m/>
    <m/>
    <m/>
    <m/>
    <m/>
    <s v=""/>
    <s v=""/>
    <m/>
    <n v="66431.092436974795"/>
    <n v="12621.907563025205"/>
    <s v="Cajon"/>
    <s v="Visita"/>
    <s v="SI"/>
    <m/>
    <m/>
    <x v="1"/>
    <m/>
  </r>
  <r>
    <s v="C604"/>
    <s v="Antonieta Errazuriz"/>
    <n v="0"/>
    <n v="2640"/>
    <m/>
    <m/>
    <n v="6027"/>
    <n v="24500"/>
    <m/>
    <n v="24500"/>
    <x v="19"/>
    <n v="0"/>
    <d v="2019-10-25T00:00:00"/>
    <s v="Pagado"/>
    <d v="2019-10-26T00:00:00"/>
    <n v="24500"/>
    <s v="Transferencia"/>
    <m/>
    <m/>
    <s v="Bice"/>
    <m/>
    <m/>
    <m/>
    <m/>
    <m/>
    <s v=""/>
    <s v=""/>
    <m/>
    <n v="20588.235294117647"/>
    <n v="3911.7647058823532"/>
    <s v="Pirque"/>
    <s v="Chat whp"/>
    <s v="SI"/>
    <m/>
    <m/>
    <x v="0"/>
    <m/>
  </r>
  <r>
    <s v="C584"/>
    <s v="Alejandra Hamame"/>
    <n v="0"/>
    <n v="2643"/>
    <m/>
    <m/>
    <n v="6024"/>
    <n v="79500"/>
    <m/>
    <n v="79500"/>
    <x v="19"/>
    <n v="0"/>
    <d v="2019-10-25T00:00:00"/>
    <s v="Pagado"/>
    <d v="2019-10-25T00:00:00"/>
    <n v="79500"/>
    <s v="Cheque al Día"/>
    <m/>
    <m/>
    <m/>
    <m/>
    <n v="134219"/>
    <n v="79500"/>
    <d v="2019-10-29T00:00:00"/>
    <s v="Chile"/>
    <s v=""/>
    <s v="Otros"/>
    <m/>
    <n v="66806.722689075628"/>
    <n v="12693.277310924372"/>
    <s v="Pirque"/>
    <s v="Revista"/>
    <s v="SI"/>
    <m/>
    <m/>
    <x v="0"/>
    <m/>
  </r>
  <r>
    <s v="C608"/>
    <s v="Solange Villarroel"/>
    <n v="0"/>
    <n v="2647"/>
    <m/>
    <m/>
    <n v="6040"/>
    <n v="19700"/>
    <m/>
    <n v="19700"/>
    <x v="20"/>
    <n v="0"/>
    <d v="2019-10-28T00:00:00"/>
    <s v="Pagado"/>
    <d v="2019-10-28T00:00:00"/>
    <n v="19700"/>
    <s v="Transferencia"/>
    <m/>
    <m/>
    <s v="Falabella"/>
    <m/>
    <m/>
    <m/>
    <m/>
    <m/>
    <s v=""/>
    <s v=""/>
    <m/>
    <n v="16554.621848739498"/>
    <n v="3145.3781512605019"/>
    <s v="Pirque"/>
    <s v="Revista"/>
    <s v="SI"/>
    <m/>
    <m/>
    <x v="0"/>
    <m/>
  </r>
  <r>
    <s v="C593"/>
    <s v="Rene Sanchez "/>
    <n v="0"/>
    <n v="0"/>
    <m/>
    <m/>
    <n v="5961"/>
    <n v="15600"/>
    <m/>
    <n v="15600"/>
    <x v="20"/>
    <n v="0"/>
    <d v="2019-10-28T00:00:00"/>
    <s v="Pagado"/>
    <d v="2019-10-29T00:00:00"/>
    <n v="15600"/>
    <s v="Transferencia"/>
    <m/>
    <m/>
    <s v="BCI"/>
    <m/>
    <m/>
    <m/>
    <m/>
    <m/>
    <s v=""/>
    <s v=""/>
    <m/>
    <n v="13109.243697478993"/>
    <n v="2490.7563025210075"/>
    <s v="Pirque"/>
    <s v="Conocido"/>
    <s v="SI"/>
    <m/>
    <m/>
    <x v="0"/>
    <m/>
  </r>
  <r>
    <s v="C607"/>
    <s v="Marisol Larrain"/>
    <n v="0"/>
    <n v="165"/>
    <m/>
    <m/>
    <n v="6038"/>
    <n v="37200"/>
    <m/>
    <n v="37200"/>
    <x v="20"/>
    <n v="0"/>
    <d v="2019-10-28T00:00:00"/>
    <s v="Pagado"/>
    <d v="2019-10-28T00:00:00"/>
    <n v="37200"/>
    <s v="Transbank"/>
    <s v="Debito"/>
    <n v="165"/>
    <m/>
    <m/>
    <m/>
    <m/>
    <m/>
    <m/>
    <s v=""/>
    <s v=""/>
    <m/>
    <n v="31260.504201680673"/>
    <n v="5939.4957983193272"/>
    <s v="Pirque"/>
    <s v="Revista"/>
    <s v="SI"/>
    <m/>
    <m/>
    <x v="0"/>
    <m/>
  </r>
  <r>
    <s v="C361"/>
    <s v="Marcela Biham"/>
    <n v="0"/>
    <n v="156"/>
    <m/>
    <m/>
    <n v="6043"/>
    <n v="45400"/>
    <m/>
    <n v="45400"/>
    <x v="20"/>
    <n v="0"/>
    <d v="2019-10-28T00:00:00"/>
    <s v="Pagado"/>
    <d v="2019-10-28T00:00:00"/>
    <n v="45400"/>
    <s v="Transbank"/>
    <s v="Credito"/>
    <n v="156"/>
    <m/>
    <m/>
    <m/>
    <m/>
    <m/>
    <m/>
    <s v=""/>
    <s v=""/>
    <m/>
    <n v="38151.26050420168"/>
    <n v="7248.7394957983197"/>
    <s v="Chada"/>
    <s v="Revista"/>
    <s v="SI"/>
    <m/>
    <m/>
    <x v="0"/>
    <m/>
  </r>
  <r>
    <s v="C537"/>
    <s v="Ma Jose Garcia"/>
    <n v="0"/>
    <n v="2645"/>
    <m/>
    <m/>
    <n v="6039"/>
    <n v="22700"/>
    <m/>
    <n v="22700"/>
    <x v="20"/>
    <n v="0"/>
    <d v="2019-10-28T00:00:00"/>
    <s v="Pagado"/>
    <d v="2019-10-27T00:00:00"/>
    <n v="22700"/>
    <s v="Transferencia"/>
    <m/>
    <m/>
    <s v="BCI"/>
    <m/>
    <m/>
    <m/>
    <m/>
    <m/>
    <s v=""/>
    <s v=""/>
    <m/>
    <n v="19075.63025210084"/>
    <n v="3624.3697478991598"/>
    <s v="Pirque"/>
    <s v="Revista"/>
    <s v="SI"/>
    <m/>
    <m/>
    <x v="0"/>
    <m/>
  </r>
  <r>
    <s v="C606"/>
    <s v="Luis Moyano"/>
    <n v="0"/>
    <n v="2646"/>
    <m/>
    <m/>
    <n v="6037"/>
    <n v="46900"/>
    <m/>
    <n v="46900"/>
    <x v="20"/>
    <n v="0"/>
    <d v="2019-10-28T00:00:00"/>
    <s v="Vencido"/>
    <m/>
    <m/>
    <m/>
    <m/>
    <m/>
    <m/>
    <m/>
    <m/>
    <m/>
    <m/>
    <m/>
    <s v=""/>
    <s v=""/>
    <m/>
    <n v="39411.764705882357"/>
    <n v="7488.2352941176432"/>
    <s v="Pirque"/>
    <s v="Revista"/>
    <s v="NO"/>
    <m/>
    <m/>
    <x v="0"/>
    <m/>
  </r>
  <r>
    <s v="C158"/>
    <s v="Jose Miguel Osorio"/>
    <n v="0"/>
    <n v="157"/>
    <m/>
    <m/>
    <n v="6044"/>
    <n v="9600"/>
    <m/>
    <n v="9600"/>
    <x v="20"/>
    <n v="0"/>
    <d v="2019-10-28T00:00:00"/>
    <s v="Pagado"/>
    <d v="2019-10-28T00:00:00"/>
    <n v="9600"/>
    <s v="Transbank"/>
    <s v="Debito"/>
    <n v="157"/>
    <m/>
    <m/>
    <m/>
    <m/>
    <m/>
    <m/>
    <s v=""/>
    <s v=""/>
    <m/>
    <n v="8067.226890756303"/>
    <n v="1532.773109243697"/>
    <s v="Pirque"/>
    <s v="Conocido"/>
    <s v="SI"/>
    <m/>
    <m/>
    <x v="0"/>
    <m/>
  </r>
  <r>
    <s v="C025"/>
    <s v="Felipe Eduardo Salinas Caro (Equimas)"/>
    <n v="2960"/>
    <n v="0"/>
    <m/>
    <m/>
    <s v="sn"/>
    <n v="168597"/>
    <m/>
    <n v="168597"/>
    <x v="20"/>
    <n v="30"/>
    <d v="2019-11-27T00:00:00"/>
    <s v="Pagado"/>
    <d v="2019-11-27T00:00:00"/>
    <n v="168597"/>
    <s v="Cheque a Fecha"/>
    <m/>
    <n v="487810"/>
    <s v="Scotiabank"/>
    <d v="2019-10-28T00:00:00"/>
    <n v="133666"/>
    <n v="168597"/>
    <d v="2019-11-26T00:00:00"/>
    <s v="Chile"/>
    <s v=""/>
    <s v="Otros"/>
    <m/>
    <n v="141678.15126050421"/>
    <n v="26918.848739495792"/>
    <s v="Pirque"/>
    <s v="Visita"/>
    <s v="SI"/>
    <m/>
    <m/>
    <x v="1"/>
    <m/>
  </r>
  <r>
    <s v="C418"/>
    <s v="Claudia Ormazabal"/>
    <n v="0"/>
    <n v="0"/>
    <m/>
    <m/>
    <n v="6035"/>
    <n v="21700"/>
    <m/>
    <n v="21700"/>
    <x v="20"/>
    <n v="0"/>
    <d v="2019-10-28T00:00:00"/>
    <s v="Vencido"/>
    <m/>
    <m/>
    <m/>
    <m/>
    <m/>
    <m/>
    <m/>
    <m/>
    <m/>
    <m/>
    <m/>
    <s v=""/>
    <s v=""/>
    <m/>
    <n v="18235.294117647059"/>
    <n v="3464.7058823529405"/>
    <s v="Pirque"/>
    <s v="Conocido"/>
    <s v="NO"/>
    <m/>
    <m/>
    <x v="0"/>
    <m/>
  </r>
  <r>
    <s v="C456"/>
    <s v="Carolina Muñoz"/>
    <n v="0"/>
    <n v="2644"/>
    <m/>
    <m/>
    <n v="6037"/>
    <n v="14800"/>
    <m/>
    <n v="14800"/>
    <x v="20"/>
    <n v="0"/>
    <d v="2019-10-28T00:00:00"/>
    <s v="Pagado"/>
    <d v="2019-10-28T00:00:00"/>
    <n v="14800"/>
    <s v="Transferencia"/>
    <m/>
    <m/>
    <s v="Itaú"/>
    <m/>
    <m/>
    <m/>
    <m/>
    <m/>
    <s v=""/>
    <s v=""/>
    <m/>
    <n v="12436.974789915967"/>
    <n v="2363.0252100840335"/>
    <s v="Pirque"/>
    <s v="Conocido"/>
    <s v="SI"/>
    <m/>
    <m/>
    <x v="0"/>
    <m/>
  </r>
  <r>
    <s v="C063"/>
    <s v="Andrea Ramirez"/>
    <n v="0"/>
    <n v="166"/>
    <m/>
    <m/>
    <n v="6041"/>
    <n v="10200"/>
    <m/>
    <n v="10200"/>
    <x v="20"/>
    <n v="0"/>
    <d v="2019-10-28T00:00:00"/>
    <s v="Pagado"/>
    <d v="2019-10-28T00:00:00"/>
    <n v="10200"/>
    <s v="Transbank"/>
    <s v="Debito"/>
    <n v="166"/>
    <m/>
    <m/>
    <m/>
    <m/>
    <m/>
    <m/>
    <s v=""/>
    <s v=""/>
    <m/>
    <n v="8571.4285714285725"/>
    <n v="1628.5714285714275"/>
    <s v="Pirque"/>
    <s v="Conocido"/>
    <s v="SI"/>
    <m/>
    <m/>
    <x v="0"/>
    <m/>
  </r>
  <r>
    <s v="C068"/>
    <s v="Riddellco"/>
    <n v="2961"/>
    <n v="0"/>
    <m/>
    <m/>
    <s v="sn"/>
    <n v="19593"/>
    <m/>
    <n v="19593"/>
    <x v="21"/>
    <n v="30"/>
    <d v="2019-11-28T00:00:00"/>
    <s v="Pagado"/>
    <d v="2019-10-29T00:00:00"/>
    <n v="19593"/>
    <s v="Transferencia"/>
    <m/>
    <m/>
    <s v="Estado"/>
    <m/>
    <m/>
    <m/>
    <m/>
    <m/>
    <s v=""/>
    <s v=""/>
    <m/>
    <n v="16464.705882352941"/>
    <n v="3128.2941176470595"/>
    <s v="Santiago"/>
    <s v="Conocido"/>
    <s v="SI"/>
    <m/>
    <m/>
    <x v="1"/>
    <m/>
  </r>
  <r>
    <s v="C105"/>
    <s v="Paulina Andrea Araneda Cancino"/>
    <n v="2964"/>
    <n v="0"/>
    <m/>
    <m/>
    <s v="sn"/>
    <n v="29000"/>
    <m/>
    <n v="29000"/>
    <x v="21"/>
    <n v="0"/>
    <d v="2019-10-29T00:00:00"/>
    <s v="Vencido"/>
    <m/>
    <m/>
    <m/>
    <m/>
    <m/>
    <m/>
    <m/>
    <m/>
    <m/>
    <m/>
    <m/>
    <s v=""/>
    <s v=""/>
    <m/>
    <n v="24369.747899159665"/>
    <n v="4630.2521008403346"/>
    <s v="Chada"/>
    <s v="Visita"/>
    <s v="NO"/>
    <m/>
    <m/>
    <x v="1"/>
    <m/>
  </r>
  <r>
    <s v="C556"/>
    <s v="Patricio Tapia"/>
    <n v="0"/>
    <n v="2649"/>
    <m/>
    <m/>
    <n v="6048"/>
    <n v="38300"/>
    <m/>
    <n v="38300"/>
    <x v="21"/>
    <n v="0"/>
    <d v="2019-10-29T00:00:00"/>
    <s v="Pagado"/>
    <d v="2019-10-29T00:00:00"/>
    <n v="38300"/>
    <s v="Transferencia"/>
    <m/>
    <m/>
    <s v="Chile"/>
    <m/>
    <m/>
    <m/>
    <m/>
    <m/>
    <s v=""/>
    <s v=""/>
    <m/>
    <n v="32184.873949579833"/>
    <n v="6115.1260504201673"/>
    <s v="Pirque"/>
    <s v="Revista"/>
    <s v="SI"/>
    <m/>
    <m/>
    <x v="0"/>
    <m/>
  </r>
  <r>
    <s v="C609"/>
    <s v="Patricio Jardiinero"/>
    <n v="0"/>
    <n v="0"/>
    <m/>
    <m/>
    <n v="6049"/>
    <n v="39900"/>
    <m/>
    <n v="39900"/>
    <x v="21"/>
    <n v="0"/>
    <d v="2019-10-29T00:00:00"/>
    <s v="Pagado"/>
    <d v="2019-10-29T00:00:00"/>
    <n v="43767"/>
    <s v="Efectivo"/>
    <m/>
    <m/>
    <m/>
    <m/>
    <m/>
    <m/>
    <m/>
    <m/>
    <s v=""/>
    <s v=""/>
    <m/>
    <n v="33529.411764705881"/>
    <n v="6370.5882352941189"/>
    <s v="Pirque"/>
    <s v="Conocido"/>
    <s v="SI"/>
    <m/>
    <m/>
    <x v="0"/>
    <m/>
  </r>
  <r>
    <s v="C609"/>
    <s v="Patricio Jardiinero"/>
    <n v="0"/>
    <n v="0"/>
    <m/>
    <m/>
    <n v="6049"/>
    <n v="7400"/>
    <m/>
    <n v="7400"/>
    <x v="21"/>
    <n v="0"/>
    <d v="2019-10-29T00:00:00"/>
    <s v="Pagado"/>
    <d v="2019-10-29T00:00:00"/>
    <n v="7400"/>
    <s v="Efectivo"/>
    <m/>
    <m/>
    <m/>
    <m/>
    <m/>
    <m/>
    <m/>
    <m/>
    <s v=""/>
    <s v=""/>
    <m/>
    <n v="6218.4873949579833"/>
    <n v="1181.5126050420167"/>
    <s v="Pirque"/>
    <s v="Conocido"/>
    <s v="SI"/>
    <m/>
    <m/>
    <x v="0"/>
    <m/>
  </r>
  <r>
    <s v="C609"/>
    <s v="Patricio Jardiinero"/>
    <n v="0"/>
    <n v="0"/>
    <m/>
    <m/>
    <s v="sn"/>
    <n v="14100"/>
    <m/>
    <n v="14100"/>
    <x v="21"/>
    <n v="0"/>
    <d v="2019-10-29T00:00:00"/>
    <s v="Pagado"/>
    <d v="2019-10-29T00:00:00"/>
    <n v="14100"/>
    <s v="Efectivo"/>
    <m/>
    <m/>
    <m/>
    <m/>
    <m/>
    <m/>
    <m/>
    <m/>
    <s v=""/>
    <s v=""/>
    <m/>
    <n v="11848.73949579832"/>
    <n v="2251.2605042016803"/>
    <s v="Pirque"/>
    <s v="Conocido"/>
    <s v="SI"/>
    <m/>
    <m/>
    <x v="0"/>
    <m/>
  </r>
  <r>
    <s v="C554"/>
    <s v="Minimarket Doña Olga SPA"/>
    <n v="2962"/>
    <n v="0"/>
    <m/>
    <m/>
    <s v="sn"/>
    <n v="80993"/>
    <m/>
    <n v="80993"/>
    <x v="21"/>
    <n v="30"/>
    <d v="2019-11-28T00:00:00"/>
    <s v="Abonado"/>
    <d v="2019-10-29T00:00:00"/>
    <n v="79867"/>
    <s v="Cheque a Fecha"/>
    <m/>
    <n v="919"/>
    <s v="Falabella"/>
    <d v="2019-11-29T00:00:00"/>
    <m/>
    <m/>
    <m/>
    <m/>
    <s v=""/>
    <s v="Otros"/>
    <m/>
    <n v="68061.344537815123"/>
    <n v="12931.655462184877"/>
    <s v="Chada"/>
    <s v="Visita"/>
    <s v="NO"/>
    <m/>
    <m/>
    <x v="1"/>
    <m/>
  </r>
  <r>
    <s v="C016"/>
    <s v="Maria Magaly Diaz Espinoza"/>
    <n v="2963"/>
    <n v="0"/>
    <n v="261"/>
    <m/>
    <s v="sn"/>
    <n v="55970"/>
    <n v="-6739"/>
    <n v="49231"/>
    <x v="21"/>
    <n v="0"/>
    <d v="2019-10-29T00:00:00"/>
    <s v="Vencido"/>
    <m/>
    <m/>
    <m/>
    <m/>
    <m/>
    <m/>
    <m/>
    <m/>
    <m/>
    <m/>
    <m/>
    <s v=""/>
    <s v=""/>
    <m/>
    <n v="47033.613445378156"/>
    <n v="8936.386554621844"/>
    <s v="Chada"/>
    <s v="Visita"/>
    <s v="NO"/>
    <m/>
    <m/>
    <x v="1"/>
    <m/>
  </r>
  <r>
    <s v="C370"/>
    <s v="Manuel Monteiro"/>
    <n v="0"/>
    <n v="0"/>
    <m/>
    <m/>
    <n v="6047"/>
    <n v="34500"/>
    <m/>
    <n v="34500"/>
    <x v="21"/>
    <n v="0"/>
    <d v="2019-10-29T00:00:00"/>
    <s v="Pagado"/>
    <d v="2019-10-28T00:00:00"/>
    <n v="34500"/>
    <s v="Transferencia"/>
    <m/>
    <m/>
    <s v="Estado"/>
    <m/>
    <m/>
    <m/>
    <m/>
    <m/>
    <s v=""/>
    <s v=""/>
    <m/>
    <n v="28991.596638655465"/>
    <n v="5508.4033613445354"/>
    <s v="Pirque"/>
    <s v="Conocido"/>
    <s v="SI"/>
    <m/>
    <m/>
    <x v="0"/>
    <m/>
  </r>
  <r>
    <s v="C518"/>
    <s v="Fernando Reyes"/>
    <n v="0"/>
    <n v="2648"/>
    <m/>
    <m/>
    <n v="6046"/>
    <n v="61000"/>
    <m/>
    <n v="61000"/>
    <x v="21"/>
    <n v="0"/>
    <d v="2019-10-29T00:00:00"/>
    <s v="Pagado"/>
    <d v="2019-10-29T00:00:00"/>
    <n v="61000"/>
    <s v="Transferencia"/>
    <m/>
    <m/>
    <s v="Estado"/>
    <m/>
    <m/>
    <m/>
    <m/>
    <m/>
    <s v=""/>
    <s v=""/>
    <m/>
    <n v="51260.504201680676"/>
    <n v="9739.4957983193235"/>
    <s v="Pirque"/>
    <s v="Revista"/>
    <s v="SI"/>
    <m/>
    <m/>
    <x v="0"/>
    <m/>
  </r>
  <r>
    <s v="C025"/>
    <s v="Felipe Eduardo Salinas Caro (Equimas)"/>
    <n v="2965"/>
    <n v="0"/>
    <n v="286"/>
    <m/>
    <s v="sn"/>
    <n v="320509"/>
    <n v="-65629"/>
    <n v="254880"/>
    <x v="21"/>
    <n v="30"/>
    <d v="2019-11-28T00:00:00"/>
    <s v="Pagado"/>
    <d v="2019-11-28T00:00:00"/>
    <n v="320509"/>
    <s v="Cheque a Fecha"/>
    <m/>
    <n v="487812"/>
    <s v="Santander"/>
    <d v="2019-11-28T00:00:00"/>
    <m/>
    <m/>
    <m/>
    <m/>
    <s v=""/>
    <s v="Otros"/>
    <m/>
    <n v="269335.29411764705"/>
    <n v="51173.705882352951"/>
    <s v="Pirque"/>
    <s v="Visita"/>
    <s v="SI"/>
    <m/>
    <m/>
    <x v="1"/>
    <m/>
  </r>
  <r>
    <s v="C396"/>
    <s v="Alejandro Ossandon"/>
    <n v="0"/>
    <n v="158"/>
    <m/>
    <m/>
    <n v="6045"/>
    <n v="59300"/>
    <m/>
    <n v="59300"/>
    <x v="21"/>
    <n v="0"/>
    <d v="2019-10-29T00:00:00"/>
    <s v="Pagado"/>
    <d v="2019-10-29T00:00:00"/>
    <n v="59300"/>
    <s v="Transbank"/>
    <s v="Debito"/>
    <n v="158"/>
    <m/>
    <m/>
    <m/>
    <m/>
    <m/>
    <m/>
    <s v=""/>
    <s v=""/>
    <m/>
    <n v="49831.932773109249"/>
    <n v="9468.067226890751"/>
    <s v="Pirque"/>
    <s v="Conocido"/>
    <s v="SI"/>
    <m/>
    <m/>
    <x v="0"/>
    <m/>
  </r>
  <r>
    <s v="C004"/>
    <s v="Rosa Gladys Vidal Mora"/>
    <n v="2955"/>
    <n v="0"/>
    <n v="263"/>
    <m/>
    <s v="sn"/>
    <n v="155428"/>
    <n v="-18489"/>
    <n v="136939"/>
    <x v="22"/>
    <n v="7"/>
    <d v="2019-11-06T00:00:00"/>
    <s v="Abonado"/>
    <d v="2019-11-06T00:00:00"/>
    <n v="133335"/>
    <s v="Cheque a Fecha"/>
    <m/>
    <n v="1115856"/>
    <s v="Santander"/>
    <d v="2019-11-06T00:00:00"/>
    <n v="133940"/>
    <n v="133335"/>
    <d v="2019-11-06T00:00:00"/>
    <s v="Chile"/>
    <s v=""/>
    <s v="Otros"/>
    <m/>
    <n v="130611.76470588236"/>
    <n v="24816.235294117636"/>
    <s v="Cajon"/>
    <s v="Visita"/>
    <s v="NO"/>
    <m/>
    <m/>
    <x v="1"/>
    <m/>
  </r>
  <r>
    <s v="C004"/>
    <s v="Rosa Gladys Vidal Mora"/>
    <n v="2969"/>
    <n v="0"/>
    <m/>
    <m/>
    <s v="sn"/>
    <n v="68705"/>
    <m/>
    <n v="68705"/>
    <x v="22"/>
    <n v="7"/>
    <d v="2019-11-06T00:00:00"/>
    <s v="Pagado"/>
    <d v="2019-11-06T00:00:00"/>
    <n v="68705"/>
    <s v="Cheque a Fecha"/>
    <m/>
    <n v="1115889"/>
    <s v="Santander"/>
    <d v="2019-11-11T00:00:00"/>
    <m/>
    <m/>
    <m/>
    <m/>
    <s v=""/>
    <s v="Otros"/>
    <m/>
    <n v="57735.294117647063"/>
    <n v="10969.705882352937"/>
    <s v="Cajon"/>
    <s v="Visita"/>
    <s v="SI"/>
    <m/>
    <m/>
    <x v="1"/>
    <m/>
  </r>
  <r>
    <s v="C004"/>
    <s v="Rosa Gladys Vidal Mora"/>
    <s v="sn"/>
    <s v="sn"/>
    <m/>
    <m/>
    <s v="sn"/>
    <n v="5000"/>
    <m/>
    <n v="5000"/>
    <x v="22"/>
    <n v="7"/>
    <d v="2019-11-06T00:00:00"/>
    <s v="Pagado"/>
    <d v="2019-11-06T00:00:00"/>
    <n v="5000"/>
    <s v="Cheque a Fecha"/>
    <m/>
    <n v="1115889"/>
    <s v="Santander"/>
    <d v="2019-11-11T00:00:00"/>
    <m/>
    <m/>
    <m/>
    <m/>
    <m/>
    <s v="Otros"/>
    <m/>
    <n v="4201.680672268908"/>
    <n v="798.31932773109202"/>
    <m/>
    <m/>
    <s v="SI"/>
    <m/>
    <m/>
    <x v="1"/>
    <m/>
  </r>
  <r>
    <s v="C004"/>
    <s v="Rosa Gladys Vidal Mora"/>
    <n v="2955"/>
    <s v="sn"/>
    <m/>
    <m/>
    <m/>
    <n v="3750"/>
    <m/>
    <n v="3750"/>
    <x v="22"/>
    <n v="7"/>
    <d v="2019-11-06T00:00:00"/>
    <s v="Pagado"/>
    <d v="2019-11-06T00:00:00"/>
    <n v="3750"/>
    <s v="Cheque a Fecha"/>
    <m/>
    <n v="1115889"/>
    <s v="Santander"/>
    <d v="2019-11-11T00:00:00"/>
    <m/>
    <m/>
    <m/>
    <m/>
    <m/>
    <s v="Otros"/>
    <m/>
    <n v="3151.2605042016808"/>
    <n v="598.73949579831924"/>
    <m/>
    <m/>
    <s v="SI"/>
    <m/>
    <m/>
    <x v="1"/>
    <m/>
  </r>
  <r>
    <s v="C106"/>
    <s v="Pilar Luan"/>
    <n v="0"/>
    <n v="160"/>
    <m/>
    <m/>
    <n v="6053"/>
    <n v="8800"/>
    <m/>
    <n v="8800"/>
    <x v="22"/>
    <n v="0"/>
    <d v="2019-10-30T00:00:00"/>
    <s v="Pagado"/>
    <d v="2019-10-30T00:00:00"/>
    <n v="8800"/>
    <s v="Transbank"/>
    <s v="Debito"/>
    <n v="159"/>
    <m/>
    <m/>
    <m/>
    <m/>
    <m/>
    <m/>
    <s v=""/>
    <s v=""/>
    <m/>
    <n v="7394.9579831932779"/>
    <n v="1405.0420168067221"/>
    <s v="Pirque"/>
    <s v="Conocido"/>
    <s v="SI"/>
    <m/>
    <m/>
    <x v="0"/>
    <m/>
  </r>
  <r>
    <s v="C552"/>
    <s v="Miguel Cabrera"/>
    <n v="0"/>
    <n v="2651"/>
    <m/>
    <m/>
    <n v="6050"/>
    <n v="11500"/>
    <m/>
    <n v="11500"/>
    <x v="22"/>
    <n v="0"/>
    <d v="2019-10-30T00:00:00"/>
    <s v="Pagado"/>
    <d v="2019-10-30T00:00:00"/>
    <n v="11500"/>
    <s v="Efectivo"/>
    <m/>
    <m/>
    <m/>
    <m/>
    <m/>
    <m/>
    <m/>
    <m/>
    <s v=""/>
    <s v=""/>
    <m/>
    <n v="9663.865546218487"/>
    <n v="1836.134453781513"/>
    <s v="Pirque"/>
    <s v="Revista"/>
    <s v="SI"/>
    <m/>
    <m/>
    <x v="0"/>
    <m/>
  </r>
  <r>
    <s v="C003"/>
    <s v="Hector Felipe Ramos Osorio"/>
    <n v="2970"/>
    <n v="0"/>
    <m/>
    <m/>
    <s v="sn"/>
    <n v="145731"/>
    <m/>
    <n v="145731"/>
    <x v="22"/>
    <n v="30"/>
    <d v="2019-11-29T00:00:00"/>
    <s v="Pagado"/>
    <d v="2019-11-20T00:00:00"/>
    <n v="145731"/>
    <s v="Cheque a Fecha"/>
    <m/>
    <n v="7000992"/>
    <s v="Estado"/>
    <d v="2019-11-30T00:00:00"/>
    <m/>
    <m/>
    <m/>
    <m/>
    <s v=""/>
    <s v="Otros"/>
    <m/>
    <n v="122463.02521008404"/>
    <n v="23267.974789915956"/>
    <s v="Cajon"/>
    <s v="Visita"/>
    <s v="SI"/>
    <m/>
    <m/>
    <x v="1"/>
    <m/>
  </r>
  <r>
    <s v="C115"/>
    <s v="Franca Stipo"/>
    <n v="0"/>
    <n v="0"/>
    <m/>
    <m/>
    <n v="6042"/>
    <n v="20900"/>
    <m/>
    <n v="20900"/>
    <x v="22"/>
    <n v="0"/>
    <d v="2019-10-30T00:00:00"/>
    <s v="Vencido"/>
    <m/>
    <m/>
    <m/>
    <m/>
    <m/>
    <m/>
    <m/>
    <m/>
    <m/>
    <m/>
    <m/>
    <s v=""/>
    <s v=""/>
    <m/>
    <n v="17563.025210084033"/>
    <n v="3336.9747899159665"/>
    <s v="Cajon"/>
    <s v="Revista"/>
    <s v="NO"/>
    <m/>
    <m/>
    <x v="0"/>
    <m/>
  </r>
  <r>
    <s v="C043"/>
    <s v="Consuelo Andrea Sanchez Bisbal"/>
    <n v="0"/>
    <n v="2652"/>
    <m/>
    <m/>
    <n v="6051"/>
    <n v="20900"/>
    <m/>
    <n v="20900"/>
    <x v="22"/>
    <n v="0"/>
    <d v="2019-10-30T00:00:00"/>
    <s v="Pagado"/>
    <d v="2019-11-02T00:00:00"/>
    <n v="20900"/>
    <s v="Transferencia"/>
    <m/>
    <m/>
    <s v="Falabella"/>
    <m/>
    <m/>
    <m/>
    <m/>
    <m/>
    <s v=""/>
    <s v=""/>
    <m/>
    <n v="17563.025210084033"/>
    <n v="3336.9747899159665"/>
    <s v="Pirque"/>
    <s v="Conocido"/>
    <s v="SI"/>
    <m/>
    <m/>
    <x v="0"/>
    <m/>
  </r>
  <r>
    <s v="C001"/>
    <s v="Benito Campos y Cia Ltda."/>
    <n v="2966"/>
    <n v="0"/>
    <m/>
    <m/>
    <s v="sn"/>
    <n v="111402"/>
    <m/>
    <n v="111402"/>
    <x v="22"/>
    <n v="30"/>
    <d v="2019-11-29T00:00:00"/>
    <s v="Pagado"/>
    <d v="2019-12-05T00:00:00"/>
    <n v="111402"/>
    <s v="Transferencia"/>
    <m/>
    <m/>
    <s v="Santander"/>
    <m/>
    <m/>
    <m/>
    <m/>
    <m/>
    <s v=""/>
    <s v=""/>
    <m/>
    <n v="93615.126050420178"/>
    <n v="17786.873949579822"/>
    <s v="Cajon"/>
    <s v="Visita"/>
    <s v="SI"/>
    <m/>
    <m/>
    <x v="1"/>
    <m/>
  </r>
  <r>
    <s v="C001"/>
    <s v="Benito Campos y Cia Ltda."/>
    <n v="2967"/>
    <n v="0"/>
    <m/>
    <m/>
    <n v="1037333"/>
    <n v="104566"/>
    <m/>
    <n v="104566"/>
    <x v="22"/>
    <n v="30"/>
    <d v="2019-11-29T00:00:00"/>
    <s v="Pagado"/>
    <d v="2019-12-05T00:00:00"/>
    <n v="104566"/>
    <s v="Transferencia"/>
    <m/>
    <m/>
    <s v="Santander"/>
    <m/>
    <m/>
    <m/>
    <m/>
    <m/>
    <s v=""/>
    <s v=""/>
    <m/>
    <n v="87870.588235294126"/>
    <n v="16695.411764705874"/>
    <s v="Cajon"/>
    <s v="Visita"/>
    <s v="SI"/>
    <m/>
    <m/>
    <x v="1"/>
    <m/>
  </r>
  <r>
    <s v="C001"/>
    <s v="Benito Campos y Cia Ltda."/>
    <n v="2968"/>
    <n v="0"/>
    <n v="262"/>
    <m/>
    <n v="1037333"/>
    <n v="493209"/>
    <n v="-22047"/>
    <n v="471162"/>
    <x v="22"/>
    <n v="30"/>
    <d v="2019-11-29T00:00:00"/>
    <s v="Pagado"/>
    <d v="2019-12-05T00:00:00"/>
    <n v="471162"/>
    <s v="Transferencia"/>
    <m/>
    <m/>
    <s v="Santander"/>
    <m/>
    <m/>
    <m/>
    <m/>
    <m/>
    <s v=""/>
    <s v=""/>
    <m/>
    <n v="414461.34453781514"/>
    <n v="78747.655462184863"/>
    <s v="Cajon"/>
    <s v="Visita"/>
    <s v="SI"/>
    <m/>
    <m/>
    <x v="1"/>
    <m/>
  </r>
  <r>
    <s v="C453"/>
    <s v="Alejandro Jorquera"/>
    <n v="0"/>
    <n v="159"/>
    <m/>
    <m/>
    <n v="6052"/>
    <n v="16500"/>
    <m/>
    <n v="16500"/>
    <x v="22"/>
    <n v="0"/>
    <d v="2019-10-30T00:00:00"/>
    <s v="Pagado"/>
    <d v="2020-02-04T00:00:00"/>
    <n v="16500"/>
    <s v="Transferencia"/>
    <m/>
    <m/>
    <s v="Santander"/>
    <m/>
    <m/>
    <m/>
    <m/>
    <m/>
    <s v=""/>
    <s v=""/>
    <m/>
    <n v="13865.546218487396"/>
    <n v="2634.4537815126041"/>
    <s v="Pirque"/>
    <s v="Datito"/>
    <s v="SI"/>
    <m/>
    <m/>
    <x v="0"/>
    <m/>
  </r>
  <r>
    <s v="C067"/>
    <s v="Marilu Salazar"/>
    <n v="0"/>
    <n v="2654"/>
    <m/>
    <m/>
    <n v="6055"/>
    <n v="41800"/>
    <m/>
    <n v="41800"/>
    <x v="23"/>
    <n v="0"/>
    <d v="2019-10-31T00:00:00"/>
    <s v="Pagado"/>
    <d v="2019-11-04T00:00:00"/>
    <n v="41800"/>
    <s v="Transferencia"/>
    <m/>
    <m/>
    <s v="Chile"/>
    <m/>
    <m/>
    <m/>
    <m/>
    <m/>
    <s v=""/>
    <s v=""/>
    <m/>
    <n v="35126.050420168067"/>
    <n v="6673.9495798319331"/>
    <s v="Chada"/>
    <s v="Conocido"/>
    <s v="SI"/>
    <m/>
    <m/>
    <x v="0"/>
    <m/>
  </r>
  <r>
    <s v="C610"/>
    <s v="Macarena Guzman"/>
    <n v="0"/>
    <n v="2657"/>
    <m/>
    <m/>
    <n v="6059"/>
    <n v="71400"/>
    <m/>
    <n v="71400"/>
    <x v="23"/>
    <n v="0"/>
    <d v="2019-10-31T00:00:00"/>
    <s v="Pagado"/>
    <d v="2019-10-31T00:00:00"/>
    <n v="71400"/>
    <s v="Transferencia"/>
    <m/>
    <m/>
    <s v="Chile"/>
    <m/>
    <m/>
    <m/>
    <m/>
    <m/>
    <s v=""/>
    <s v=""/>
    <m/>
    <n v="60000"/>
    <n v="11400"/>
    <s v="Chada"/>
    <s v="Conocido"/>
    <s v="SI"/>
    <m/>
    <m/>
    <x v="0"/>
    <m/>
  </r>
  <r>
    <s v="C076"/>
    <s v="Macarena Garcia"/>
    <n v="0"/>
    <n v="2658"/>
    <m/>
    <m/>
    <n v="6057"/>
    <n v="10200"/>
    <m/>
    <n v="10200"/>
    <x v="23"/>
    <n v="0"/>
    <d v="2019-10-31T00:00:00"/>
    <s v="Pagado"/>
    <d v="2019-11-02T00:00:00"/>
    <n v="10200"/>
    <s v="Transferencia"/>
    <m/>
    <m/>
    <s v="Chile"/>
    <m/>
    <m/>
    <m/>
    <m/>
    <m/>
    <s v=""/>
    <s v=""/>
    <m/>
    <n v="8571.4285714285725"/>
    <n v="1628.5714285714275"/>
    <s v="Chada"/>
    <s v="Conocido"/>
    <s v="SI"/>
    <m/>
    <m/>
    <x v="0"/>
    <m/>
  </r>
  <r>
    <s v="C136"/>
    <s v="Lily Caballero"/>
    <n v="0"/>
    <n v="2656"/>
    <m/>
    <m/>
    <n v="6060"/>
    <n v="29600"/>
    <m/>
    <n v="29600"/>
    <x v="23"/>
    <n v="0"/>
    <d v="2019-10-31T00:00:00"/>
    <s v="Pagado"/>
    <d v="2019-11-05T00:00:00"/>
    <n v="29600"/>
    <s v="Transferencia"/>
    <m/>
    <m/>
    <s v="Santander"/>
    <m/>
    <m/>
    <m/>
    <m/>
    <m/>
    <s v=""/>
    <s v=""/>
    <m/>
    <n v="24873.949579831933"/>
    <n v="4726.0504201680669"/>
    <s v="Pirque"/>
    <s v="Conocido"/>
    <s v="SI"/>
    <m/>
    <m/>
    <x v="0"/>
    <m/>
  </r>
  <r>
    <s v="C057"/>
    <s v="Laura Thernan "/>
    <n v="0"/>
    <n v="2655"/>
    <m/>
    <m/>
    <n v="6054"/>
    <n v="31000"/>
    <m/>
    <n v="31000"/>
    <x v="23"/>
    <n v="0"/>
    <d v="2019-10-31T00:00:00"/>
    <s v="Pagado"/>
    <d v="2019-12-16T00:00:00"/>
    <n v="31000"/>
    <s v="Transferencia"/>
    <m/>
    <m/>
    <s v="Santander"/>
    <m/>
    <m/>
    <m/>
    <m/>
    <m/>
    <s v=""/>
    <s v=""/>
    <m/>
    <n v="26050.420168067227"/>
    <n v="4949.5798319327732"/>
    <s v="Chada"/>
    <s v="Conocido"/>
    <s v="SI"/>
    <m/>
    <m/>
    <x v="0"/>
    <m/>
  </r>
  <r>
    <s v="C008"/>
    <s v="Juana Rosa Roman Quintanilla"/>
    <n v="0"/>
    <n v="0"/>
    <m/>
    <m/>
    <s v="sn"/>
    <n v="33542"/>
    <m/>
    <n v="33542"/>
    <x v="23"/>
    <n v="0"/>
    <d v="2019-10-31T00:00:00"/>
    <s v="Vencido"/>
    <m/>
    <m/>
    <m/>
    <m/>
    <m/>
    <m/>
    <m/>
    <m/>
    <m/>
    <m/>
    <m/>
    <s v=""/>
    <s v=""/>
    <m/>
    <n v="28186.55462184874"/>
    <n v="5355.4453781512602"/>
    <s v="Chada"/>
    <s v="Visita"/>
    <s v="NO"/>
    <m/>
    <m/>
    <x v="0"/>
    <m/>
  </r>
  <r>
    <s v="C094"/>
    <s v="Jose Miranda"/>
    <n v="0"/>
    <n v="0"/>
    <m/>
    <m/>
    <n v="6058"/>
    <n v="30000"/>
    <m/>
    <n v="30000"/>
    <x v="23"/>
    <n v="0"/>
    <d v="2019-10-31T00:00:00"/>
    <s v="Vencido"/>
    <m/>
    <m/>
    <m/>
    <m/>
    <m/>
    <m/>
    <m/>
    <m/>
    <m/>
    <m/>
    <m/>
    <s v=""/>
    <s v=""/>
    <m/>
    <n v="25210.084033613446"/>
    <n v="4789.9159663865539"/>
    <s v="Pirque"/>
    <s v="Conocido"/>
    <s v="NO"/>
    <m/>
    <m/>
    <x v="0"/>
    <m/>
  </r>
  <r>
    <s v="C411"/>
    <s v="Henry Ferj Jure"/>
    <n v="0"/>
    <n v="2659"/>
    <m/>
    <m/>
    <n v="6056"/>
    <n v="16800"/>
    <m/>
    <n v="16800"/>
    <x v="23"/>
    <n v="0"/>
    <d v="2019-10-31T00:00:00"/>
    <s v="Vencido"/>
    <m/>
    <m/>
    <m/>
    <m/>
    <m/>
    <m/>
    <m/>
    <m/>
    <m/>
    <m/>
    <m/>
    <s v=""/>
    <s v=""/>
    <m/>
    <n v="14117.64705882353"/>
    <n v="2682.3529411764703"/>
    <s v="Chada"/>
    <s v="Conocido"/>
    <s v="NO"/>
    <m/>
    <m/>
    <x v="0"/>
    <m/>
  </r>
  <r>
    <s v="C127"/>
    <s v="Carmen Gloria Venegas"/>
    <n v="0"/>
    <n v="161"/>
    <m/>
    <m/>
    <n v="6061"/>
    <n v="22800"/>
    <m/>
    <n v="22800"/>
    <x v="23"/>
    <n v="0"/>
    <d v="2019-10-31T00:00:00"/>
    <s v="Pagado"/>
    <d v="2019-10-31T00:00:00"/>
    <n v="22800"/>
    <s v="Transbank"/>
    <s v="Debito"/>
    <n v="161"/>
    <m/>
    <m/>
    <m/>
    <m/>
    <m/>
    <m/>
    <s v=""/>
    <s v=""/>
    <m/>
    <n v="19159.663865546219"/>
    <n v="3640.3361344537807"/>
    <s v="Pirque"/>
    <s v="Revista"/>
    <s v="SI"/>
    <m/>
    <m/>
    <x v="0"/>
    <m/>
  </r>
  <r>
    <s v="C186"/>
    <s v="Monica Valdivieso"/>
    <n v="0"/>
    <n v="162"/>
    <m/>
    <m/>
    <n v="6062"/>
    <n v="24100"/>
    <m/>
    <n v="24100"/>
    <x v="24"/>
    <n v="0"/>
    <d v="2019-11-02T00:00:00"/>
    <s v="Pagado"/>
    <d v="2019-11-02T00:00:00"/>
    <n v="24100"/>
    <s v="Transbank"/>
    <s v="Debito"/>
    <n v="162"/>
    <m/>
    <m/>
    <m/>
    <m/>
    <m/>
    <m/>
    <s v=""/>
    <s v=""/>
    <m/>
    <n v="20252.100840336134"/>
    <n v="3847.8991596638662"/>
    <s v="Pirque"/>
    <s v="Revista"/>
    <s v="SI"/>
    <m/>
    <m/>
    <x v="0"/>
    <m/>
  </r>
  <r>
    <s v="C028"/>
    <s v="Luz María Velasquez"/>
    <n v="0"/>
    <n v="0"/>
    <m/>
    <m/>
    <n v="6064"/>
    <n v="27400"/>
    <m/>
    <n v="27400"/>
    <x v="24"/>
    <n v="0"/>
    <d v="2019-11-02T00:00:00"/>
    <s v="Pagado"/>
    <d v="2019-11-18T00:00:00"/>
    <n v="27400"/>
    <s v="Transferencia"/>
    <m/>
    <m/>
    <s v="Scotiabank"/>
    <m/>
    <m/>
    <m/>
    <m/>
    <m/>
    <s v=""/>
    <s v=""/>
    <m/>
    <n v="23025.210084033613"/>
    <n v="4374.7899159663866"/>
    <s v="Chada"/>
    <s v="Conocido"/>
    <s v="SI"/>
    <m/>
    <m/>
    <x v="0"/>
    <m/>
  </r>
  <r>
    <s v="C611"/>
    <s v="Esmeralda Riveros"/>
    <n v="0"/>
    <n v="2662"/>
    <m/>
    <m/>
    <n v="6065"/>
    <n v="14800"/>
    <m/>
    <n v="14800"/>
    <x v="24"/>
    <n v="0"/>
    <d v="2019-11-02T00:00:00"/>
    <s v="Pagado"/>
    <d v="2019-11-02T00:00:00"/>
    <n v="14800"/>
    <s v="Efectivo"/>
    <m/>
    <m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445"/>
    <s v="Carmen Nuñez"/>
    <n v="0"/>
    <n v="2660"/>
    <m/>
    <m/>
    <n v="6063"/>
    <n v="14800"/>
    <m/>
    <n v="14800"/>
    <x v="24"/>
    <n v="0"/>
    <d v="2019-11-02T00:00:00"/>
    <s v="Pagado"/>
    <d v="2019-11-02T00:00:00"/>
    <n v="14800"/>
    <s v="Efectivo"/>
    <m/>
    <m/>
    <m/>
    <m/>
    <m/>
    <m/>
    <m/>
    <m/>
    <s v=""/>
    <s v=""/>
    <m/>
    <n v="12436.974789915967"/>
    <n v="2363.0252100840335"/>
    <s v="Cajon"/>
    <s v="Conocido"/>
    <s v="SI"/>
    <m/>
    <m/>
    <x v="0"/>
    <m/>
  </r>
  <r>
    <s v="C572"/>
    <s v="Aldo Tapia"/>
    <n v="0"/>
    <n v="2661"/>
    <m/>
    <m/>
    <n v="6066"/>
    <n v="16500"/>
    <m/>
    <n v="16500"/>
    <x v="24"/>
    <n v="0"/>
    <d v="2019-11-02T00:00:00"/>
    <s v="Pagado"/>
    <d v="2019-11-02T00:00:00"/>
    <n v="16500"/>
    <s v="Efectivo"/>
    <m/>
    <m/>
    <m/>
    <m/>
    <m/>
    <m/>
    <m/>
    <m/>
    <s v=""/>
    <s v=""/>
    <m/>
    <n v="13865.546218487396"/>
    <n v="2634.4537815126041"/>
    <s v="Pirque"/>
    <s v="Revista"/>
    <s v="SI"/>
    <m/>
    <m/>
    <x v="0"/>
    <m/>
  </r>
  <r>
    <s v="C501"/>
    <s v="Victor Rodriguez"/>
    <n v="0"/>
    <n v="2671"/>
    <m/>
    <m/>
    <n v="6087"/>
    <n v="22700"/>
    <m/>
    <n v="22700"/>
    <x v="25"/>
    <n v="0"/>
    <d v="2019-11-04T00:00:00"/>
    <s v="Pagado"/>
    <d v="2019-11-06T00:00:00"/>
    <n v="22700"/>
    <s v="Efectivo"/>
    <m/>
    <m/>
    <m/>
    <m/>
    <n v="133946"/>
    <n v="22700"/>
    <d v="2019-11-07T00:00:00"/>
    <s v="Chile"/>
    <s v=""/>
    <s v=""/>
    <m/>
    <n v="19075.63025210084"/>
    <n v="3624.3697478991598"/>
    <s v="Pirque"/>
    <s v="Revista"/>
    <s v="SI"/>
    <m/>
    <m/>
    <x v="0"/>
    <m/>
  </r>
  <r>
    <s v="C020"/>
    <s v="Sabores y Vinos Bernardita Munita EIRL"/>
    <n v="2971"/>
    <n v="0"/>
    <m/>
    <m/>
    <s v="OC 01"/>
    <n v="115592"/>
    <m/>
    <n v="115592"/>
    <x v="25"/>
    <n v="0"/>
    <d v="2019-11-04T00:00:00"/>
    <s v="Pagado"/>
    <d v="2019-11-07T00:00:00"/>
    <n v="115592"/>
    <s v="Transferencia"/>
    <m/>
    <m/>
    <s v="Chile"/>
    <m/>
    <m/>
    <m/>
    <m/>
    <m/>
    <d v="2019-10-01T00:00:00"/>
    <s v=""/>
    <m/>
    <n v="97136.134453781517"/>
    <n v="18455.865546218483"/>
    <s v="Pirque"/>
    <s v="Visita"/>
    <s v="SI"/>
    <m/>
    <m/>
    <x v="1"/>
    <m/>
  </r>
  <r>
    <s v="C020"/>
    <s v="Sabores y Vinos Bernardita Munita EIRL"/>
    <n v="2971"/>
    <n v="0"/>
    <m/>
    <m/>
    <s v="OC 02"/>
    <n v="117027"/>
    <m/>
    <n v="117027"/>
    <x v="25"/>
    <n v="0"/>
    <d v="2019-11-04T00:00:00"/>
    <s v="Pagado"/>
    <d v="2019-11-07T00:00:00"/>
    <n v="117027"/>
    <s v="Transferencia"/>
    <m/>
    <m/>
    <s v="Chile"/>
    <m/>
    <m/>
    <m/>
    <m/>
    <m/>
    <d v="2019-10-07T00:00:00"/>
    <s v=""/>
    <m/>
    <n v="98342.016806722691"/>
    <n v="18684.983193277309"/>
    <s v="Pirque"/>
    <s v="Visita"/>
    <s v="SI"/>
    <m/>
    <m/>
    <x v="1"/>
    <m/>
  </r>
  <r>
    <s v="C020"/>
    <s v="Sabores y Vinos Bernardita Munita EIRL"/>
    <n v="2971"/>
    <n v="0"/>
    <m/>
    <m/>
    <s v="OC 03"/>
    <n v="64472"/>
    <m/>
    <n v="64472"/>
    <x v="25"/>
    <n v="0"/>
    <d v="2019-11-04T00:00:00"/>
    <s v="Pagado"/>
    <d v="2019-11-07T00:00:00"/>
    <n v="64472"/>
    <s v="Transferencia"/>
    <m/>
    <m/>
    <s v="Chile"/>
    <m/>
    <m/>
    <m/>
    <m/>
    <m/>
    <d v="2019-10-14T00:00:00"/>
    <s v=""/>
    <m/>
    <n v="54178.151260504201"/>
    <n v="10293.848739495799"/>
    <s v="Pirque"/>
    <s v="Visita"/>
    <s v="SI"/>
    <m/>
    <m/>
    <x v="1"/>
    <m/>
  </r>
  <r>
    <s v="C020"/>
    <s v="Sabores y Vinos Bernardita Munita EIRL"/>
    <n v="2971"/>
    <n v="0"/>
    <m/>
    <m/>
    <s v="OC 04"/>
    <n v="75099"/>
    <m/>
    <n v="75099"/>
    <x v="25"/>
    <n v="0"/>
    <d v="2019-11-04T00:00:00"/>
    <s v="Pagado"/>
    <d v="2019-11-07T00:00:00"/>
    <n v="75099"/>
    <s v="Transferencia"/>
    <m/>
    <m/>
    <s v="Chile"/>
    <m/>
    <m/>
    <m/>
    <m/>
    <m/>
    <d v="2019-10-18T00:00:00"/>
    <s v=""/>
    <m/>
    <n v="63108.403361344543"/>
    <n v="11990.596638655457"/>
    <s v="Pirque"/>
    <s v="Visita"/>
    <s v="SI"/>
    <m/>
    <m/>
    <x v="1"/>
    <m/>
  </r>
  <r>
    <s v="C020"/>
    <s v="Sabores y Vinos Bernardita Munita EIRL"/>
    <n v="2971"/>
    <n v="0"/>
    <m/>
    <m/>
    <s v="OC 05"/>
    <n v="27688"/>
    <m/>
    <n v="27688"/>
    <x v="25"/>
    <n v="0"/>
    <d v="2019-11-04T00:00:00"/>
    <s v="Pagado"/>
    <d v="2019-11-07T00:00:00"/>
    <n v="27688"/>
    <s v="Transferencia"/>
    <m/>
    <m/>
    <s v="Chile"/>
    <m/>
    <m/>
    <m/>
    <m/>
    <m/>
    <d v="2019-10-25T00:00:00"/>
    <s v=""/>
    <m/>
    <n v="23267.226890756305"/>
    <n v="4420.7731092436952"/>
    <s v="Pirque"/>
    <s v="Visita"/>
    <s v="SI"/>
    <m/>
    <m/>
    <x v="1"/>
    <m/>
  </r>
  <r>
    <s v="C065"/>
    <s v="Peter De Lamare"/>
    <n v="0"/>
    <n v="2666"/>
    <m/>
    <m/>
    <n v="6077"/>
    <n v="31950"/>
    <m/>
    <n v="31950"/>
    <x v="25"/>
    <n v="0"/>
    <d v="2019-11-04T00:00:00"/>
    <s v="Pagado"/>
    <d v="2019-11-04T00:00:00"/>
    <n v="37000"/>
    <s v="Cheque a Fecha"/>
    <m/>
    <n v="2827025"/>
    <s v="Bice"/>
    <d v="2019-10-21T00:00:00"/>
    <n v="134220"/>
    <n v="36450"/>
    <d v="2019-10-29T00:00:00"/>
    <s v="Chile"/>
    <s v=""/>
    <s v="Otros"/>
    <m/>
    <n v="26848.73949579832"/>
    <n v="5101.2605042016803"/>
    <s v="Pirque"/>
    <s v="Conocido"/>
    <s v="SI"/>
    <m/>
    <m/>
    <x v="0"/>
    <m/>
  </r>
  <r>
    <s v="C520"/>
    <s v="Pamela Perez"/>
    <n v="0"/>
    <n v="164"/>
    <m/>
    <m/>
    <n v="6078"/>
    <n v="14800"/>
    <m/>
    <n v="14800"/>
    <x v="25"/>
    <n v="0"/>
    <d v="2019-11-04T00:00:00"/>
    <s v="Pagado"/>
    <d v="2019-11-04T00:00:00"/>
    <n v="14800"/>
    <s v="Efectivo"/>
    <m/>
    <m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570"/>
    <s v="Miguel Diaz"/>
    <n v="0"/>
    <n v="2667"/>
    <m/>
    <m/>
    <n v="6076"/>
    <n v="14800"/>
    <m/>
    <n v="14800"/>
    <x v="25"/>
    <n v="0"/>
    <d v="2019-11-04T00:00:00"/>
    <s v="Pagado"/>
    <d v="2019-11-04T00:00:00"/>
    <n v="14800"/>
    <s v="Efectivo"/>
    <m/>
    <m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612"/>
    <s v="Manuel Ponce"/>
    <n v="0"/>
    <n v="163"/>
    <m/>
    <m/>
    <n v="6075"/>
    <n v="27900"/>
    <m/>
    <n v="27900"/>
    <x v="25"/>
    <n v="0"/>
    <d v="2019-11-04T00:00:00"/>
    <s v="Pagado"/>
    <d v="2019-11-04T00:00:00"/>
    <n v="27900"/>
    <s v="Transbank"/>
    <s v="Credito"/>
    <n v="163"/>
    <m/>
    <m/>
    <m/>
    <m/>
    <m/>
    <m/>
    <s v=""/>
    <s v=""/>
    <m/>
    <n v="23445.378151260506"/>
    <n v="4454.6218487394945"/>
    <s v="Pirque"/>
    <s v="Revista"/>
    <s v="SI"/>
    <m/>
    <m/>
    <x v="0"/>
    <m/>
  </r>
  <r>
    <s v="C026"/>
    <s v="Loreto Paola Moraga Guerrero"/>
    <n v="0"/>
    <n v="2663"/>
    <m/>
    <m/>
    <n v="6071"/>
    <n v="79500"/>
    <m/>
    <n v="79500"/>
    <x v="25"/>
    <n v="0"/>
    <d v="2019-11-04T00:00:00"/>
    <s v="Pagado"/>
    <d v="2019-11-04T00:00:00"/>
    <n v="79500"/>
    <s v="Transferencia"/>
    <m/>
    <m/>
    <s v="Scotiabank"/>
    <m/>
    <m/>
    <m/>
    <m/>
    <m/>
    <s v=""/>
    <s v=""/>
    <m/>
    <n v="66806.722689075628"/>
    <n v="12693.277310924372"/>
    <s v="Pirque"/>
    <s v="Conocido"/>
    <s v="SI"/>
    <m/>
    <m/>
    <x v="0"/>
    <m/>
  </r>
  <r>
    <s v="C364"/>
    <s v="Herminda Arriagada"/>
    <n v="0"/>
    <s v="sn"/>
    <m/>
    <m/>
    <n v="6068"/>
    <n v="14800"/>
    <m/>
    <n v="14800"/>
    <x v="25"/>
    <n v="0"/>
    <d v="2019-11-04T00:00:00"/>
    <s v="Pagado"/>
    <d v="2019-11-04T00:00:00"/>
    <n v="14800"/>
    <s v="Transferencia"/>
    <m/>
    <m/>
    <s v="Estado"/>
    <m/>
    <m/>
    <m/>
    <m/>
    <m/>
    <s v=""/>
    <s v=""/>
    <m/>
    <n v="12436.974789915967"/>
    <n v="2363.0252100840335"/>
    <s v="Pirque"/>
    <s v="Conocido"/>
    <s v="SI"/>
    <m/>
    <m/>
    <x v="0"/>
    <m/>
  </r>
  <r>
    <s v="C495"/>
    <s v="Felipe Saint Jean Metzen"/>
    <n v="0"/>
    <n v="2664"/>
    <m/>
    <m/>
    <n v="6073"/>
    <n v="16500"/>
    <m/>
    <n v="16500"/>
    <x v="25"/>
    <n v="0"/>
    <d v="2019-11-04T00:00:00"/>
    <s v="Pagado"/>
    <d v="2019-11-06T00:00:00"/>
    <n v="16500"/>
    <s v="Transferencia"/>
    <m/>
    <m/>
    <s v="Estado"/>
    <m/>
    <m/>
    <m/>
    <m/>
    <m/>
    <s v=""/>
    <s v=""/>
    <m/>
    <n v="13865.546218487396"/>
    <n v="2634.4537815126041"/>
    <s v="Pirque"/>
    <s v="Revista"/>
    <s v="SI"/>
    <m/>
    <m/>
    <x v="0"/>
    <m/>
  </r>
  <r>
    <s v="C451"/>
    <s v="Enrique Montero"/>
    <n v="0"/>
    <n v="2665"/>
    <m/>
    <m/>
    <n v="6072"/>
    <n v="17600"/>
    <m/>
    <n v="17600"/>
    <x v="25"/>
    <n v="0"/>
    <d v="2019-11-04T00:00:00"/>
    <s v="Pagado"/>
    <d v="2019-11-04T00:00:00"/>
    <n v="17600"/>
    <s v="Transferencia"/>
    <m/>
    <m/>
    <s v="BCI"/>
    <m/>
    <m/>
    <m/>
    <m/>
    <m/>
    <s v=""/>
    <s v=""/>
    <m/>
    <n v="14789.915966386556"/>
    <n v="2810.0840336134443"/>
    <s v="Pirque"/>
    <s v="Conocido"/>
    <s v="SI"/>
    <m/>
    <m/>
    <x v="0"/>
    <m/>
  </r>
  <r>
    <s v="C452"/>
    <s v="Camila Zamorano"/>
    <n v="0"/>
    <s v="sn"/>
    <m/>
    <m/>
    <n v="6067"/>
    <n v="14800"/>
    <m/>
    <n v="14800"/>
    <x v="25"/>
    <n v="0"/>
    <d v="2019-11-04T00:00:00"/>
    <s v="Pagado"/>
    <d v="2019-11-04T00:00:00"/>
    <n v="14800"/>
    <s v="Transferencia"/>
    <m/>
    <m/>
    <s v="Estado"/>
    <m/>
    <m/>
    <m/>
    <m/>
    <m/>
    <s v=""/>
    <s v=""/>
    <m/>
    <n v="12436.974789915967"/>
    <n v="2363.0252100840335"/>
    <s v="Pirque"/>
    <s v="Revista"/>
    <s v="SI"/>
    <m/>
    <m/>
    <x v="0"/>
    <m/>
  </r>
  <r>
    <s v="C508"/>
    <s v="Monica Severino"/>
    <n v="0"/>
    <n v="2669"/>
    <m/>
    <m/>
    <n v="6080"/>
    <n v="14800"/>
    <m/>
    <n v="14800"/>
    <x v="26"/>
    <n v="0"/>
    <d v="2019-11-05T00:00:00"/>
    <s v="Pagado"/>
    <d v="2019-11-05T00:00:00"/>
    <n v="14800"/>
    <s v="Efectivo"/>
    <m/>
    <m/>
    <m/>
    <m/>
    <m/>
    <m/>
    <m/>
    <m/>
    <s v=""/>
    <s v=""/>
    <m/>
    <n v="12436.974789915967"/>
    <n v="2363.0252100840335"/>
    <s v="Pirque"/>
    <s v="Conocido"/>
    <s v="SI"/>
    <m/>
    <m/>
    <x v="0"/>
    <m/>
  </r>
  <r>
    <s v="C525"/>
    <s v="Katherine Salfate"/>
    <n v="0"/>
    <n v="2675"/>
    <m/>
    <m/>
    <n v="6082"/>
    <n v="19700"/>
    <m/>
    <n v="19700"/>
    <x v="26"/>
    <n v="0"/>
    <d v="2019-11-05T00:00:00"/>
    <s v="Vencido"/>
    <m/>
    <m/>
    <m/>
    <m/>
    <m/>
    <m/>
    <m/>
    <m/>
    <m/>
    <m/>
    <m/>
    <s v=""/>
    <s v=""/>
    <m/>
    <n v="16554.621848739498"/>
    <n v="3145.3781512605019"/>
    <s v="Pirque"/>
    <s v="Revista"/>
    <s v="NO"/>
    <m/>
    <m/>
    <x v="0"/>
    <m/>
  </r>
  <r>
    <s v="C045"/>
    <s v="Jeanny Andrea Arranz Cordero"/>
    <n v="0"/>
    <n v="2670"/>
    <m/>
    <m/>
    <n v="6081"/>
    <n v="47800"/>
    <m/>
    <n v="47800"/>
    <x v="26"/>
    <n v="0"/>
    <d v="2019-11-05T00:00:00"/>
    <s v="Pagado"/>
    <d v="2019-10-29T00:00:00"/>
    <n v="47800"/>
    <s v="Transferencia"/>
    <m/>
    <m/>
    <s v="Chile"/>
    <m/>
    <m/>
    <m/>
    <m/>
    <m/>
    <s v=""/>
    <s v=""/>
    <m/>
    <n v="40168.067226890758"/>
    <n v="7631.9327731092417"/>
    <s v="Pirque"/>
    <s v="Conocido"/>
    <s v="SI"/>
    <m/>
    <m/>
    <x v="0"/>
    <m/>
  </r>
  <r>
    <s v="C160"/>
    <s v="Christian Ortiz Hurtado"/>
    <n v="0"/>
    <n v="2676"/>
    <m/>
    <m/>
    <n v="6079"/>
    <n v="31400"/>
    <m/>
    <n v="31400"/>
    <x v="26"/>
    <n v="0"/>
    <d v="2019-11-05T00:00:00"/>
    <s v="Pagado"/>
    <d v="2020-01-16T00:00:00"/>
    <n v="31400"/>
    <s v="Transferencia"/>
    <m/>
    <m/>
    <s v="Scotiabank"/>
    <m/>
    <m/>
    <m/>
    <m/>
    <m/>
    <s v=""/>
    <s v=""/>
    <m/>
    <n v="26386.55462184874"/>
    <n v="5013.4453781512602"/>
    <s v="Pirque"/>
    <s v="Conocido"/>
    <s v="SI"/>
    <m/>
    <m/>
    <x v="0"/>
    <m/>
  </r>
  <r>
    <s v="C004"/>
    <s v="Rosa Gladys Vidal Mora"/>
    <n v="2974"/>
    <n v="0"/>
    <n v="265"/>
    <m/>
    <s v="sn"/>
    <n v="116339"/>
    <n v="-3215"/>
    <n v="113124"/>
    <x v="27"/>
    <n v="7"/>
    <d v="2019-11-13T00:00:00"/>
    <s v="Pagado"/>
    <d v="2019-10-30T00:00:00"/>
    <n v="113124"/>
    <s v="Cheque al Día"/>
    <m/>
    <n v="1115927"/>
    <s v="Santander"/>
    <d v="2019-01-18T00:00:00"/>
    <n v="133950"/>
    <n v="113124"/>
    <d v="2019-11-18T00:00:00"/>
    <s v="Chile"/>
    <s v=""/>
    <s v="Otros"/>
    <m/>
    <n v="97763.865546218498"/>
    <n v="18575.134453781502"/>
    <s v="Cajon"/>
    <s v="Visita"/>
    <s v="SI"/>
    <m/>
    <m/>
    <x v="1"/>
    <m/>
  </r>
  <r>
    <s v="C186"/>
    <s v="Monica Valdivieso"/>
    <n v="0"/>
    <s v="sn"/>
    <m/>
    <m/>
    <n v="6085"/>
    <n v="24000"/>
    <m/>
    <n v="24000"/>
    <x v="27"/>
    <n v="0"/>
    <d v="2019-11-06T00:00:00"/>
    <s v="Pagado"/>
    <d v="2019-11-06T00:00:00"/>
    <n v="24000"/>
    <s v="Efectivo"/>
    <m/>
    <m/>
    <m/>
    <m/>
    <n v="133946"/>
    <n v="12000"/>
    <d v="2019-11-07T00:00:00"/>
    <s v="Chile"/>
    <s v=""/>
    <s v=""/>
    <m/>
    <n v="20168.067226890758"/>
    <n v="3831.9327731092417"/>
    <s v="Pirque"/>
    <s v="Revista"/>
    <s v="SI"/>
    <m/>
    <m/>
    <x v="0"/>
    <m/>
  </r>
  <r>
    <s v="C570"/>
    <s v="Miguel Diaz"/>
    <n v="0"/>
    <n v="2673"/>
    <m/>
    <m/>
    <n v="6086"/>
    <n v="23000"/>
    <m/>
    <n v="23000"/>
    <x v="27"/>
    <n v="0"/>
    <d v="2019-11-06T00:00:00"/>
    <s v="Pagado"/>
    <d v="2019-11-06T00:00:00"/>
    <n v="23000"/>
    <s v="Efectivo"/>
    <m/>
    <m/>
    <m/>
    <m/>
    <n v="1333946"/>
    <n v="23000"/>
    <d v="2019-11-07T00:00:00"/>
    <s v="Chile"/>
    <s v=""/>
    <s v=""/>
    <m/>
    <n v="19327.731092436974"/>
    <n v="3672.268907563026"/>
    <s v="Pirque"/>
    <s v="Revista"/>
    <s v="SI"/>
    <m/>
    <m/>
    <x v="0"/>
    <m/>
  </r>
  <r>
    <s v="C025"/>
    <s v="Felipe Eduardo Salinas Caro (Equimas)"/>
    <n v="2972"/>
    <n v="0"/>
    <m/>
    <m/>
    <s v="sn"/>
    <n v="132742"/>
    <m/>
    <n v="132742"/>
    <x v="27"/>
    <n v="30"/>
    <d v="2019-12-06T00:00:00"/>
    <s v="Pagado"/>
    <d v="2019-12-06T00:00:00"/>
    <n v="132742"/>
    <s v="Cheque a Fecha"/>
    <m/>
    <n v="487814"/>
    <s v="Santander"/>
    <d v="2019-12-06T00:00:00"/>
    <n v="2270734"/>
    <n v="132742"/>
    <d v="2019-12-16T00:00:00"/>
    <s v="Chile"/>
    <s v=""/>
    <s v="Otros"/>
    <m/>
    <n v="111547.89915966387"/>
    <n v="21194.100840336134"/>
    <s v="Pirque"/>
    <s v="Visita"/>
    <s v="SI"/>
    <m/>
    <m/>
    <x v="1"/>
    <m/>
  </r>
  <r>
    <s v="C614"/>
    <s v="Elizabeth Reyes"/>
    <n v="0"/>
    <n v="2674"/>
    <m/>
    <m/>
    <n v="6083"/>
    <n v="23000"/>
    <m/>
    <n v="23000"/>
    <x v="27"/>
    <n v="0"/>
    <d v="2019-11-06T00:00:00"/>
    <s v="Pagado"/>
    <d v="2019-11-06T00:00:00"/>
    <n v="23000"/>
    <s v="Efectivo"/>
    <m/>
    <m/>
    <m/>
    <m/>
    <n v="133946"/>
    <n v="23000"/>
    <d v="2019-11-07T00:00:00"/>
    <s v="Chile"/>
    <s v=""/>
    <s v=""/>
    <m/>
    <n v="19327.731092436974"/>
    <n v="3672.268907563026"/>
    <s v="Pirque"/>
    <s v="Revista"/>
    <s v="SI"/>
    <m/>
    <m/>
    <x v="0"/>
    <m/>
  </r>
  <r>
    <s v="C558"/>
    <s v="Carola Pardo"/>
    <n v="0"/>
    <n v="2672"/>
    <m/>
    <m/>
    <n v="6084"/>
    <n v="19700"/>
    <m/>
    <n v="19700"/>
    <x v="27"/>
    <n v="0"/>
    <d v="2019-11-06T00:00:00"/>
    <s v="Pagado"/>
    <d v="2019-11-06T00:00:00"/>
    <n v="19700"/>
    <s v="Efectivo"/>
    <m/>
    <m/>
    <m/>
    <m/>
    <n v="133946"/>
    <n v="19700"/>
    <d v="2019-11-07T00:00:00"/>
    <s v="Chile"/>
    <s v=""/>
    <s v=""/>
    <m/>
    <n v="16554.621848739498"/>
    <n v="3145.3781512605019"/>
    <s v="Pirque"/>
    <s v="Revista"/>
    <s v="SI"/>
    <m/>
    <m/>
    <x v="0"/>
    <m/>
  </r>
  <r>
    <s v="C001"/>
    <s v="Benito Campos y Cia Ltda."/>
    <n v="2973"/>
    <n v="0"/>
    <m/>
    <m/>
    <n v="1037449"/>
    <n v="578784"/>
    <m/>
    <n v="578784"/>
    <x v="27"/>
    <n v="30"/>
    <d v="2019-12-06T00:00:00"/>
    <s v="Pagado"/>
    <d v="2019-12-09T00:00:00"/>
    <n v="578784"/>
    <s v="Transferencia"/>
    <m/>
    <m/>
    <s v="Santander"/>
    <m/>
    <m/>
    <m/>
    <m/>
    <m/>
    <s v=""/>
    <s v=""/>
    <m/>
    <n v="486373.10924369749"/>
    <n v="92410.890756302513"/>
    <s v="Cajon"/>
    <s v="Visita"/>
    <s v="SI"/>
    <m/>
    <m/>
    <x v="1"/>
    <m/>
  </r>
  <r>
    <s v="C510"/>
    <s v="Ricardo Edwards"/>
    <n v="0"/>
    <n v="2678"/>
    <m/>
    <m/>
    <n v="6091"/>
    <n v="29600"/>
    <m/>
    <n v="29600"/>
    <x v="28"/>
    <n v="0"/>
    <d v="2019-11-07T00:00:00"/>
    <s v="Pagado"/>
    <d v="2019-11-12T00:00:00"/>
    <n v="29600"/>
    <s v="Transferencia"/>
    <m/>
    <m/>
    <s v="Chile"/>
    <m/>
    <m/>
    <m/>
    <m/>
    <m/>
    <s v=""/>
    <s v=""/>
    <m/>
    <n v="24873.949579831933"/>
    <n v="4726.0504201680669"/>
    <s v="Pirque"/>
    <s v="Revista"/>
    <s v="SI"/>
    <m/>
    <m/>
    <x v="0"/>
    <m/>
  </r>
  <r>
    <s v="C406"/>
    <s v="Naitana y Kufeke SPA"/>
    <n v="2975"/>
    <n v="0"/>
    <m/>
    <m/>
    <s v="sn"/>
    <n v="74951"/>
    <m/>
    <n v="74951"/>
    <x v="28"/>
    <n v="0"/>
    <d v="2019-11-07T00:00:00"/>
    <s v="Pagado"/>
    <d v="2019-11-26T00:00:00"/>
    <n v="74951"/>
    <s v="Transferencia"/>
    <m/>
    <m/>
    <s v="Santander"/>
    <m/>
    <m/>
    <m/>
    <m/>
    <m/>
    <s v=""/>
    <s v=""/>
    <m/>
    <n v="62984.033613445383"/>
    <n v="11966.966386554617"/>
    <s v="Pirque"/>
    <s v="Visita"/>
    <s v="SI"/>
    <m/>
    <m/>
    <x v="1"/>
    <m/>
  </r>
  <r>
    <s v="C558"/>
    <s v="Carola Pardo"/>
    <n v="0"/>
    <n v="2677"/>
    <m/>
    <m/>
    <n v="6089"/>
    <n v="10200"/>
    <m/>
    <n v="10200"/>
    <x v="28"/>
    <n v="0"/>
    <d v="2019-11-07T00:00:00"/>
    <s v="Pagado"/>
    <d v="2019-11-07T00:00:00"/>
    <n v="10200"/>
    <s v="Efectivo"/>
    <m/>
    <m/>
    <m/>
    <m/>
    <m/>
    <m/>
    <m/>
    <m/>
    <s v=""/>
    <s v=""/>
    <m/>
    <n v="8571.4285714285725"/>
    <n v="1628.5714285714275"/>
    <s v="Pirque"/>
    <s v="Revista"/>
    <s v="SI"/>
    <m/>
    <m/>
    <x v="0"/>
    <m/>
  </r>
  <r>
    <s v="C063"/>
    <s v="Andrea Ramirez"/>
    <n v="0"/>
    <n v="2679"/>
    <m/>
    <m/>
    <n v="6088"/>
    <n v="25500"/>
    <m/>
    <n v="25500"/>
    <x v="28"/>
    <n v="0"/>
    <d v="2019-11-07T00:00:00"/>
    <s v="Pagado"/>
    <d v="2019-11-11T00:00:00"/>
    <n v="25500"/>
    <s v="Transferencia"/>
    <m/>
    <m/>
    <s v="Santander"/>
    <m/>
    <m/>
    <m/>
    <m/>
    <m/>
    <s v=""/>
    <s v=""/>
    <m/>
    <n v="21428.571428571431"/>
    <n v="4071.4285714285688"/>
    <s v="Pirque"/>
    <s v="Conocido"/>
    <s v="SI"/>
    <m/>
    <m/>
    <x v="0"/>
    <m/>
  </r>
  <r>
    <s v="C062"/>
    <s v="Verena Scholtbach"/>
    <n v="0"/>
    <n v="0"/>
    <m/>
    <m/>
    <s v="sn"/>
    <n v="15600"/>
    <m/>
    <n v="15600"/>
    <x v="29"/>
    <n v="0"/>
    <d v="2019-11-08T00:00:00"/>
    <s v="Pagado"/>
    <d v="2019-12-11T00:00:00"/>
    <n v="15600"/>
    <s v="Transferencia"/>
    <m/>
    <m/>
    <s v="BCI"/>
    <m/>
    <m/>
    <m/>
    <m/>
    <m/>
    <s v=""/>
    <s v=""/>
    <m/>
    <n v="13109.243697478993"/>
    <n v="2490.7563025210075"/>
    <s v="Pirque"/>
    <s v="Conocido"/>
    <s v="SI"/>
    <m/>
    <m/>
    <x v="0"/>
    <m/>
  </r>
  <r>
    <s v="C062"/>
    <s v="Verena Scholtbach"/>
    <n v="0"/>
    <n v="0"/>
    <m/>
    <m/>
    <n v="6092"/>
    <n v="20200"/>
    <m/>
    <n v="20200"/>
    <x v="29"/>
    <n v="0"/>
    <d v="2019-11-08T00:00:00"/>
    <s v="Pagado"/>
    <d v="2019-12-11T00:00:00"/>
    <n v="20200"/>
    <s v="Transferencia"/>
    <m/>
    <m/>
    <s v="BCI"/>
    <m/>
    <m/>
    <m/>
    <m/>
    <m/>
    <s v=""/>
    <s v=""/>
    <m/>
    <n v="16974.789915966387"/>
    <n v="3225.2100840336134"/>
    <s v="Pirque"/>
    <s v="Conocido"/>
    <s v="SI"/>
    <m/>
    <m/>
    <x v="0"/>
    <m/>
  </r>
  <r>
    <s v="C009"/>
    <s v="Sociedad Comercial y Agricola Chada Ltda"/>
    <n v="2976"/>
    <n v="0"/>
    <n v="267"/>
    <m/>
    <s v="sn"/>
    <n v="155826"/>
    <n v="-1660"/>
    <n v="154166"/>
    <x v="29"/>
    <n v="7"/>
    <d v="2019-11-15T00:00:00"/>
    <s v="Pagado"/>
    <d v="2019-11-08T00:00:00"/>
    <n v="154166"/>
    <s v="Cheque a Fecha"/>
    <m/>
    <s v="1091-1"/>
    <s v="Scotiabank"/>
    <d v="2019-11-15T00:00:00"/>
    <m/>
    <m/>
    <m/>
    <m/>
    <s v=""/>
    <s v="Otros"/>
    <m/>
    <n v="130946.21848739496"/>
    <n v="24879.781512605041"/>
    <s v="Chada"/>
    <s v="Visita"/>
    <s v="SI"/>
    <m/>
    <m/>
    <x v="1"/>
    <m/>
  </r>
  <r>
    <s v="C009"/>
    <s v="Sociedad Comercial y Agricola Chada Ltda"/>
    <n v="2977"/>
    <n v="0"/>
    <m/>
    <m/>
    <s v="sn"/>
    <n v="28988"/>
    <m/>
    <n v="28988"/>
    <x v="29"/>
    <n v="7"/>
    <d v="2019-11-15T00:00:00"/>
    <s v="Vencido"/>
    <m/>
    <m/>
    <m/>
    <m/>
    <m/>
    <m/>
    <m/>
    <m/>
    <m/>
    <m/>
    <m/>
    <m/>
    <s v=""/>
    <m/>
    <n v="24359.663865546219"/>
    <n v="4628.3361344537807"/>
    <s v="Chada"/>
    <s v="Visita"/>
    <s v="NO"/>
    <m/>
    <m/>
    <x v="1"/>
    <m/>
  </r>
  <r>
    <s v="C105"/>
    <s v="Paulina Andrea Araneda Cancino"/>
    <n v="2978"/>
    <n v="0"/>
    <m/>
    <m/>
    <s v="sn"/>
    <n v="29000"/>
    <m/>
    <n v="29000"/>
    <x v="29"/>
    <n v="0"/>
    <d v="2019-11-08T00:00:00"/>
    <s v="Pagado"/>
    <d v="2019-11-08T00:00:00"/>
    <n v="29000"/>
    <s v="Efectivo"/>
    <m/>
    <m/>
    <m/>
    <m/>
    <m/>
    <m/>
    <m/>
    <m/>
    <s v=""/>
    <s v=""/>
    <m/>
    <n v="24369.747899159665"/>
    <n v="4630.2521008403346"/>
    <s v="Chada"/>
    <s v="Visita"/>
    <s v="SI"/>
    <m/>
    <m/>
    <x v="1"/>
    <m/>
  </r>
  <r>
    <s v="C016"/>
    <s v="Maria Magaly Diaz Espinoza"/>
    <n v="2979"/>
    <n v="0"/>
    <n v="266"/>
    <m/>
    <s v="sn"/>
    <n v="64139"/>
    <n v="-22094"/>
    <n v="42045"/>
    <x v="29"/>
    <n v="0"/>
    <d v="2019-11-08T00:00:00"/>
    <s v="Pagado"/>
    <d v="2019-11-08T00:00:00"/>
    <n v="42050"/>
    <s v="Efectivo"/>
    <m/>
    <m/>
    <m/>
    <m/>
    <m/>
    <m/>
    <m/>
    <m/>
    <s v=""/>
    <s v=""/>
    <m/>
    <n v="53898.319327731093"/>
    <n v="10240.680672268907"/>
    <s v="Chada"/>
    <s v="Visita"/>
    <s v="SI"/>
    <m/>
    <m/>
    <x v="1"/>
    <m/>
  </r>
  <r>
    <s v="C016"/>
    <s v="Maria Magaly Diaz Espinoza"/>
    <n v="2980"/>
    <n v="0"/>
    <m/>
    <m/>
    <s v="sn"/>
    <n v="28988"/>
    <m/>
    <n v="28988"/>
    <x v="29"/>
    <n v="0"/>
    <d v="2019-11-08T00:00:00"/>
    <s v="Pagado"/>
    <d v="2019-12-13T00:00:00"/>
    <n v="28988"/>
    <s v="Efectivo"/>
    <m/>
    <m/>
    <m/>
    <m/>
    <m/>
    <m/>
    <m/>
    <m/>
    <m/>
    <s v=""/>
    <m/>
    <n v="24359.663865546219"/>
    <n v="4628.3361344537807"/>
    <s v="Chada"/>
    <s v="Visita"/>
    <s v="SI"/>
    <m/>
    <m/>
    <x v="1"/>
    <m/>
  </r>
  <r>
    <s v="C064"/>
    <s v="Maria Estela Matte"/>
    <n v="0"/>
    <n v="2680"/>
    <m/>
    <m/>
    <n v="6090"/>
    <n v="45400"/>
    <m/>
    <n v="45400"/>
    <x v="29"/>
    <n v="0"/>
    <d v="2019-11-08T00:00:00"/>
    <s v="Pagado"/>
    <d v="2019-11-10T00:00:00"/>
    <n v="45400"/>
    <s v="Transferencia"/>
    <m/>
    <m/>
    <s v="Itaú"/>
    <m/>
    <m/>
    <m/>
    <m/>
    <m/>
    <s v=""/>
    <s v=""/>
    <m/>
    <n v="38151.26050420168"/>
    <n v="7248.7394957983197"/>
    <s v="Pirque"/>
    <s v="Revista"/>
    <s v="SI"/>
    <m/>
    <m/>
    <x v="0"/>
    <m/>
  </r>
  <r>
    <s v="C008"/>
    <s v="Juana Rosa Roman Quintanilla"/>
    <n v="0"/>
    <n v="0"/>
    <m/>
    <m/>
    <s v="sn"/>
    <n v="24878"/>
    <m/>
    <n v="24878"/>
    <x v="29"/>
    <n v="0"/>
    <d v="2019-11-08T00:00:00"/>
    <s v="Vencido"/>
    <m/>
    <m/>
    <m/>
    <m/>
    <m/>
    <m/>
    <m/>
    <m/>
    <m/>
    <m/>
    <m/>
    <s v=""/>
    <s v=""/>
    <m/>
    <n v="20905.882352941178"/>
    <n v="3972.1176470588216"/>
    <s v="Chada"/>
    <s v="Visita"/>
    <s v="NO"/>
    <m/>
    <m/>
    <x v="0"/>
    <m/>
  </r>
  <r>
    <s v="C041"/>
    <s v="Yanet Arriagada"/>
    <n v="0"/>
    <n v="0"/>
    <m/>
    <m/>
    <n v="6097"/>
    <n v="48800"/>
    <m/>
    <n v="48800"/>
    <x v="30"/>
    <n v="0"/>
    <d v="2019-11-09T00:00:00"/>
    <s v="Pagado"/>
    <d v="2019-12-05T00:00:00"/>
    <n v="48800"/>
    <s v="Efectivo"/>
    <m/>
    <m/>
    <m/>
    <m/>
    <m/>
    <m/>
    <m/>
    <m/>
    <s v=""/>
    <s v=""/>
    <m/>
    <n v="41008.403361344543"/>
    <n v="7791.5966386554574"/>
    <s v="Pirque"/>
    <s v="Conocido"/>
    <s v="SI"/>
    <m/>
    <m/>
    <x v="0"/>
    <m/>
  </r>
  <r>
    <s v="C488"/>
    <s v="Trinidad Siviragol"/>
    <n v="0"/>
    <n v="2687"/>
    <m/>
    <m/>
    <n v="6102"/>
    <n v="29600"/>
    <m/>
    <n v="29600"/>
    <x v="30"/>
    <n v="0"/>
    <d v="2019-11-09T00:00:00"/>
    <s v="Pagado"/>
    <d v="2019-11-11T00:00:00"/>
    <n v="29600"/>
    <s v="Transferencia"/>
    <m/>
    <m/>
    <s v="Chile"/>
    <m/>
    <m/>
    <m/>
    <m/>
    <m/>
    <s v=""/>
    <s v=""/>
    <m/>
    <n v="24873.949579831933"/>
    <n v="4726.0504201680669"/>
    <s v="Pirque"/>
    <s v="Revista"/>
    <s v="SI"/>
    <m/>
    <m/>
    <x v="0"/>
    <m/>
  </r>
  <r>
    <s v="C556"/>
    <s v="Patricio Tapia"/>
    <n v="0"/>
    <n v="2685"/>
    <m/>
    <m/>
    <n v="6098"/>
    <n v="26300"/>
    <m/>
    <n v="26300"/>
    <x v="30"/>
    <n v="0"/>
    <d v="2019-11-09T00:00:00"/>
    <s v="Pagado"/>
    <d v="2019-11-11T00:00:00"/>
    <n v="26300"/>
    <s v="Transferencia"/>
    <m/>
    <m/>
    <s v="Chile"/>
    <m/>
    <m/>
    <m/>
    <m/>
    <m/>
    <s v=""/>
    <s v=""/>
    <m/>
    <n v="22100.840336134454"/>
    <n v="4199.1596638655465"/>
    <s v="Pirque"/>
    <s v="Revista"/>
    <s v="SI"/>
    <m/>
    <m/>
    <x v="0"/>
    <m/>
  </r>
  <r>
    <s v="C616"/>
    <s v="Patricia Sandoval"/>
    <n v="0"/>
    <n v="2686"/>
    <m/>
    <m/>
    <n v="6101"/>
    <n v="11500"/>
    <m/>
    <n v="11500"/>
    <x v="30"/>
    <n v="0"/>
    <d v="2019-11-09T00:00:00"/>
    <s v="Pagado"/>
    <d v="2019-11-09T00:00:00"/>
    <n v="11500"/>
    <s v="Efectivo"/>
    <m/>
    <m/>
    <m/>
    <m/>
    <m/>
    <m/>
    <m/>
    <m/>
    <s v=""/>
    <s v=""/>
    <m/>
    <n v="9663.865546218487"/>
    <n v="1836.134453781513"/>
    <s v="Pirque"/>
    <s v="Revista"/>
    <s v="SI"/>
    <m/>
    <m/>
    <x v="0"/>
    <m/>
  </r>
  <r>
    <s v="C537"/>
    <s v="Ma Jose Garcia"/>
    <n v="0"/>
    <n v="166"/>
    <m/>
    <m/>
    <n v="6100"/>
    <n v="22700"/>
    <m/>
    <n v="22700"/>
    <x v="30"/>
    <n v="0"/>
    <d v="2019-11-09T00:00:00"/>
    <s v="Pagado"/>
    <d v="2019-11-09T00:00:00"/>
    <n v="22700"/>
    <s v="Transbank"/>
    <s v="Credito"/>
    <n v="166"/>
    <m/>
    <m/>
    <m/>
    <m/>
    <m/>
    <m/>
    <s v=""/>
    <s v=""/>
    <m/>
    <n v="19075.63025210084"/>
    <n v="3624.3697478991598"/>
    <s v="Pirque"/>
    <s v="Revista"/>
    <s v="SI"/>
    <m/>
    <m/>
    <x v="0"/>
    <m/>
  </r>
  <r>
    <s v="C538"/>
    <s v="Katherine Torres"/>
    <n v="0"/>
    <n v="167"/>
    <m/>
    <m/>
    <n v="6095"/>
    <n v="46000"/>
    <m/>
    <n v="46000"/>
    <x v="30"/>
    <n v="0"/>
    <d v="2019-11-09T00:00:00"/>
    <s v="Pagado"/>
    <d v="2019-11-09T00:00:00"/>
    <n v="46000"/>
    <s v="Transbank"/>
    <s v="Debito"/>
    <n v="167"/>
    <m/>
    <m/>
    <m/>
    <m/>
    <m/>
    <m/>
    <s v=""/>
    <s v=""/>
    <m/>
    <n v="38655.462184873948"/>
    <n v="7344.537815126052"/>
    <s v="Pirque"/>
    <s v="Revista"/>
    <s v="SI"/>
    <m/>
    <m/>
    <x v="0"/>
    <m/>
  </r>
  <r>
    <s v="C342"/>
    <s v="Julio Cesar Contreras"/>
    <n v="0"/>
    <n v="2682"/>
    <m/>
    <m/>
    <n v="6094"/>
    <n v="33000"/>
    <m/>
    <n v="33000"/>
    <x v="30"/>
    <n v="0"/>
    <d v="2019-11-09T00:00:00"/>
    <s v="Pagado"/>
    <d v="2019-11-12T00:00:00"/>
    <n v="33000"/>
    <s v="Transferencia"/>
    <m/>
    <m/>
    <s v="Santander"/>
    <m/>
    <m/>
    <m/>
    <m/>
    <m/>
    <s v=""/>
    <s v=""/>
    <m/>
    <n v="27731.092436974792"/>
    <n v="5268.9075630252082"/>
    <s v="Pirque"/>
    <s v="Revista"/>
    <s v="SI"/>
    <m/>
    <m/>
    <x v="0"/>
    <m/>
  </r>
  <r>
    <s v="C535"/>
    <s v="Juan Pablo Garcia"/>
    <n v="0"/>
    <n v="2683"/>
    <m/>
    <m/>
    <n v="6099"/>
    <n v="37400"/>
    <m/>
    <n v="37400"/>
    <x v="30"/>
    <n v="0"/>
    <d v="2019-11-09T00:00:00"/>
    <s v="Pagado"/>
    <d v="2019-11-12T00:00:00"/>
    <n v="37400"/>
    <s v="Transferencia"/>
    <m/>
    <m/>
    <s v="BCI"/>
    <m/>
    <m/>
    <m/>
    <m/>
    <m/>
    <s v=""/>
    <s v=""/>
    <m/>
    <n v="31428.571428571431"/>
    <n v="5971.4285714285688"/>
    <s v="Pirque"/>
    <s v="Revista"/>
    <s v="SI"/>
    <m/>
    <m/>
    <x v="0"/>
    <m/>
  </r>
  <r>
    <s v="C595"/>
    <s v="Juan Neira"/>
    <n v="0"/>
    <n v="2681"/>
    <m/>
    <m/>
    <n v="6093"/>
    <n v="39400"/>
    <m/>
    <n v="39400"/>
    <x v="30"/>
    <n v="0"/>
    <d v="2019-11-09T00:00:00"/>
    <s v="Pagado"/>
    <d v="2019-11-08T00:00:00"/>
    <n v="39400"/>
    <s v="Transferencia"/>
    <m/>
    <m/>
    <s v="Estado"/>
    <m/>
    <m/>
    <m/>
    <m/>
    <m/>
    <s v=""/>
    <s v=""/>
    <m/>
    <n v="33109.243697478996"/>
    <n v="6290.7563025210038"/>
    <s v="Pirque"/>
    <s v="Revista"/>
    <s v="SI"/>
    <m/>
    <m/>
    <x v="0"/>
    <m/>
  </r>
  <r>
    <s v="C615"/>
    <s v="Gabriela Ordoñez"/>
    <n v="0"/>
    <n v="165"/>
    <m/>
    <m/>
    <n v="6096"/>
    <n v="16500"/>
    <m/>
    <n v="16500"/>
    <x v="30"/>
    <n v="0"/>
    <d v="2019-11-09T00:00:00"/>
    <s v="Pagado"/>
    <d v="2019-11-09T00:00:00"/>
    <n v="16500"/>
    <s v="Transbank"/>
    <s v="Debito"/>
    <n v="165"/>
    <m/>
    <m/>
    <m/>
    <m/>
    <m/>
    <m/>
    <s v=""/>
    <s v=""/>
    <m/>
    <n v="13865.546218487396"/>
    <n v="2634.4537815126041"/>
    <s v="Pirque"/>
    <s v="Revista"/>
    <s v="SI"/>
    <m/>
    <m/>
    <x v="0"/>
    <m/>
  </r>
  <r>
    <s v="C025"/>
    <s v="Felipe Eduardo Salinas Caro (Equimas)"/>
    <n v="2981"/>
    <n v="0"/>
    <m/>
    <m/>
    <s v="sn"/>
    <n v="199114"/>
    <m/>
    <n v="199114"/>
    <x v="30"/>
    <n v="30"/>
    <d v="2019-12-09T00:00:00"/>
    <s v="Pagado"/>
    <d v="2019-11-26T00:00:00"/>
    <n v="199114"/>
    <s v="Cheque a Fecha"/>
    <m/>
    <n v="487821"/>
    <s v="Santander"/>
    <d v="2019-12-09T00:00:00"/>
    <m/>
    <m/>
    <m/>
    <m/>
    <s v=""/>
    <s v="Otros"/>
    <m/>
    <n v="167322.68907563025"/>
    <n v="31791.310924369755"/>
    <s v="Pirque"/>
    <s v="Visita"/>
    <s v="SI"/>
    <m/>
    <m/>
    <x v="1"/>
    <m/>
  </r>
  <r>
    <s v="C025"/>
    <s v="Felipe Eduardo Salinas Caro (Equimas)"/>
    <n v="0"/>
    <n v="2684"/>
    <m/>
    <m/>
    <s v="sn"/>
    <n v="15600"/>
    <m/>
    <n v="15600"/>
    <x v="30"/>
    <n v="30"/>
    <d v="2019-12-09T00:00:00"/>
    <s v="Vencido"/>
    <m/>
    <m/>
    <m/>
    <m/>
    <m/>
    <m/>
    <m/>
    <m/>
    <m/>
    <m/>
    <m/>
    <s v=""/>
    <s v=""/>
    <m/>
    <n v="13109.243697478993"/>
    <n v="2490.7563025210075"/>
    <s v="Pirque"/>
    <s v="Visita"/>
    <s v="NO"/>
    <m/>
    <m/>
    <x v="0"/>
    <m/>
  </r>
  <r>
    <s v="C010"/>
    <s v="Supermercado El Valle Ltda"/>
    <n v="2982"/>
    <n v="0"/>
    <m/>
    <m/>
    <s v="sn"/>
    <n v="54490"/>
    <m/>
    <n v="54490"/>
    <x v="31"/>
    <n v="30"/>
    <d v="2019-12-11T00:00:00"/>
    <s v="Pagado"/>
    <d v="2019-11-11T00:00:00"/>
    <n v="54490"/>
    <s v="Transferencia"/>
    <m/>
    <m/>
    <s v="Chile"/>
    <m/>
    <m/>
    <m/>
    <m/>
    <m/>
    <m/>
    <s v=""/>
    <m/>
    <n v="45789.915966386558"/>
    <n v="8700.0840336134424"/>
    <s v="Chada"/>
    <s v="Visita"/>
    <s v="SI"/>
    <m/>
    <m/>
    <x v="1"/>
    <m/>
  </r>
  <r>
    <s v="C358"/>
    <s v="Patricia Lopez"/>
    <n v="0"/>
    <n v="0"/>
    <m/>
    <m/>
    <n v="6106"/>
    <n v="14800"/>
    <m/>
    <n v="14800"/>
    <x v="31"/>
    <n v="0"/>
    <d v="2019-11-11T00:00:00"/>
    <s v="Pagado"/>
    <d v="2019-11-11T00:00:00"/>
    <n v="14800"/>
    <s v="Efectivo"/>
    <m/>
    <m/>
    <m/>
    <m/>
    <m/>
    <m/>
    <m/>
    <m/>
    <s v=""/>
    <s v=""/>
    <m/>
    <n v="12436.974789915967"/>
    <n v="2363.0252100840335"/>
    <s v="Pirque"/>
    <s v="Conocido"/>
    <s v="SI"/>
    <m/>
    <m/>
    <x v="0"/>
    <m/>
  </r>
  <r>
    <s v="C066"/>
    <s v="Marisol Ximena Ibarra Medina"/>
    <n v="0"/>
    <n v="2691"/>
    <m/>
    <m/>
    <n v="6105"/>
    <n v="56200"/>
    <m/>
    <n v="56200"/>
    <x v="31"/>
    <n v="0"/>
    <d v="2019-11-11T00:00:00"/>
    <s v="Pagado"/>
    <d v="2019-11-11T00:00:00"/>
    <n v="56200"/>
    <s v="Transferencia"/>
    <m/>
    <m/>
    <s v="Santander"/>
    <m/>
    <m/>
    <m/>
    <m/>
    <m/>
    <s v=""/>
    <s v=""/>
    <m/>
    <n v="47226.89075630252"/>
    <n v="8973.1092436974795"/>
    <s v="Pirque"/>
    <s v="Conocido"/>
    <s v="SI"/>
    <m/>
    <m/>
    <x v="0"/>
    <m/>
  </r>
  <r>
    <s v="C243"/>
    <s v="Loreto Rojas"/>
    <n v="0"/>
    <n v="2688"/>
    <m/>
    <m/>
    <n v="6104"/>
    <n v="29900"/>
    <m/>
    <n v="29900"/>
    <x v="31"/>
    <n v="0"/>
    <d v="2019-11-11T00:00:00"/>
    <s v="Pagado"/>
    <d v="2019-11-12T00:00:00"/>
    <n v="29900"/>
    <s v="Transferencia"/>
    <m/>
    <m/>
    <s v="Chile"/>
    <m/>
    <m/>
    <m/>
    <m/>
    <m/>
    <s v=""/>
    <s v=""/>
    <m/>
    <n v="25126.050420168067"/>
    <n v="4773.9495798319331"/>
    <s v="Pirque"/>
    <s v="Revista"/>
    <s v="SI"/>
    <m/>
    <m/>
    <x v="0"/>
    <m/>
  </r>
  <r>
    <s v="C243"/>
    <s v="Loreto Rojas"/>
    <n v="0"/>
    <n v="2689"/>
    <m/>
    <m/>
    <n v="6112"/>
    <n v="23000"/>
    <m/>
    <n v="23000"/>
    <x v="31"/>
    <n v="0"/>
    <d v="2019-11-11T00:00:00"/>
    <s v="Pagado"/>
    <d v="2019-11-12T00:00:00"/>
    <n v="23000"/>
    <s v="Transferencia"/>
    <m/>
    <m/>
    <s v="Chile"/>
    <m/>
    <m/>
    <m/>
    <m/>
    <m/>
    <s v=""/>
    <s v=""/>
    <m/>
    <n v="19327.731092436974"/>
    <n v="3672.268907563026"/>
    <s v="Pirque"/>
    <s v="Revista"/>
    <s v="SI"/>
    <m/>
    <m/>
    <x v="0"/>
    <m/>
  </r>
  <r>
    <s v="C079"/>
    <s v="Kim Cornely"/>
    <n v="0"/>
    <n v="2693"/>
    <m/>
    <m/>
    <n v="6113"/>
    <n v="81600"/>
    <m/>
    <n v="81600"/>
    <x v="31"/>
    <n v="0"/>
    <d v="2019-11-11T00:00:00"/>
    <s v="Pagado"/>
    <d v="2019-11-12T00:00:00"/>
    <n v="81600"/>
    <s v="Transferencia"/>
    <m/>
    <m/>
    <s v="Chile"/>
    <m/>
    <m/>
    <m/>
    <m/>
    <m/>
    <s v=""/>
    <s v=""/>
    <m/>
    <n v="68571.42857142858"/>
    <n v="13028.57142857142"/>
    <s v="Pirque"/>
    <s v="Conocido"/>
    <s v="SI"/>
    <m/>
    <m/>
    <x v="0"/>
    <m/>
  </r>
  <r>
    <s v="C263"/>
    <s v="Jeanny Reyes"/>
    <n v="0"/>
    <n v="2692"/>
    <m/>
    <m/>
    <n v="6108"/>
    <n v="29000"/>
    <m/>
    <n v="29000"/>
    <x v="31"/>
    <n v="0"/>
    <d v="2019-11-11T00:00:00"/>
    <s v="Pagado"/>
    <d v="2019-11-11T00:00:00"/>
    <n v="29000"/>
    <s v="Efectivo"/>
    <m/>
    <m/>
    <m/>
    <m/>
    <m/>
    <m/>
    <m/>
    <m/>
    <s v=""/>
    <s v=""/>
    <m/>
    <n v="24369.747899159665"/>
    <n v="4630.2521008403346"/>
    <s v="Pirque"/>
    <s v="Conocido"/>
    <s v="SI"/>
    <m/>
    <m/>
    <x v="0"/>
    <m/>
  </r>
  <r>
    <s v="C025"/>
    <s v="Felipe Eduardo Salinas Caro (Equimas)"/>
    <n v="2983"/>
    <n v="0"/>
    <m/>
    <m/>
    <s v="sn"/>
    <n v="225077"/>
    <m/>
    <n v="225077"/>
    <x v="31"/>
    <n v="30"/>
    <d v="2019-12-11T00:00:00"/>
    <s v="Pagado"/>
    <d v="2019-11-26T00:00:00"/>
    <n v="225077"/>
    <s v="Cheque a Fecha"/>
    <m/>
    <n v="487822"/>
    <s v="Santander"/>
    <d v="2019-12-11T00:00:00"/>
    <n v="2270732"/>
    <n v="225077"/>
    <d v="2019-12-16T00:00:00"/>
    <s v="Chile"/>
    <s v=""/>
    <s v="Otros"/>
    <m/>
    <n v="189140.3361344538"/>
    <n v="35936.663865546201"/>
    <s v="Pirque"/>
    <s v="Visita"/>
    <s v="SI"/>
    <m/>
    <m/>
    <x v="1"/>
    <m/>
  </r>
  <r>
    <s v="C209"/>
    <s v="David Le May"/>
    <n v="0"/>
    <n v="2690"/>
    <m/>
    <m/>
    <n v="6069"/>
    <n v="22800"/>
    <m/>
    <n v="22800"/>
    <x v="31"/>
    <n v="0"/>
    <d v="2019-11-11T00:00:00"/>
    <s v="Pagado"/>
    <d v="2019-11-11T00:00:00"/>
    <n v="22800"/>
    <s v="Transferencia"/>
    <m/>
    <m/>
    <s v="Chile"/>
    <m/>
    <m/>
    <m/>
    <m/>
    <m/>
    <s v=""/>
    <s v=""/>
    <m/>
    <n v="19159.663865546219"/>
    <n v="3640.3361344537807"/>
    <s v="Pirque"/>
    <s v="Revista"/>
    <s v="SI"/>
    <m/>
    <m/>
    <x v="0"/>
    <m/>
  </r>
  <r>
    <s v="C617"/>
    <s v="Daniel Corro"/>
    <n v="0"/>
    <n v="169"/>
    <m/>
    <m/>
    <n v="6107"/>
    <n v="9900"/>
    <m/>
    <n v="9900"/>
    <x v="31"/>
    <n v="0"/>
    <d v="2019-11-11T00:00:00"/>
    <s v="Pagado"/>
    <d v="2019-11-12T00:00:00"/>
    <n v="9900"/>
    <s v="Transbank"/>
    <s v="Debito"/>
    <n v="169"/>
    <m/>
    <m/>
    <m/>
    <m/>
    <m/>
    <m/>
    <s v=""/>
    <s v=""/>
    <m/>
    <n v="8319.3277310924368"/>
    <n v="1580.6722689075632"/>
    <s v="Pirque"/>
    <s v="Conocido"/>
    <s v="SI"/>
    <m/>
    <m/>
    <x v="0"/>
    <m/>
  </r>
  <r>
    <s v="C063"/>
    <s v="Andrea Ramirez"/>
    <n v="0"/>
    <n v="168"/>
    <m/>
    <m/>
    <n v="6103"/>
    <n v="22700"/>
    <m/>
    <n v="22700"/>
    <x v="31"/>
    <n v="0"/>
    <d v="2019-11-11T00:00:00"/>
    <s v="Pagado"/>
    <d v="2019-11-11T00:00:00"/>
    <n v="22700"/>
    <s v="Transbank"/>
    <s v="Debito"/>
    <n v="168"/>
    <m/>
    <m/>
    <m/>
    <m/>
    <m/>
    <m/>
    <s v=""/>
    <s v=""/>
    <m/>
    <n v="19075.63025210084"/>
    <n v="3624.3697478991598"/>
    <s v="Pirque"/>
    <s v="Conocido"/>
    <s v="SI"/>
    <m/>
    <m/>
    <x v="0"/>
    <m/>
  </r>
  <r>
    <s v="C510"/>
    <s v="Ricardo Edwards"/>
    <n v="0"/>
    <n v="2695"/>
    <m/>
    <m/>
    <n v="6111"/>
    <n v="29600"/>
    <m/>
    <n v="29600"/>
    <x v="32"/>
    <n v="0"/>
    <d v="2019-11-12T00:00:00"/>
    <s v="Pagado"/>
    <d v="2019-11-12T00:00:00"/>
    <n v="29600"/>
    <s v="Transferencia"/>
    <m/>
    <m/>
    <s v="Chile"/>
    <m/>
    <m/>
    <m/>
    <m/>
    <m/>
    <s v=""/>
    <s v=""/>
    <m/>
    <n v="24873.949579831933"/>
    <n v="4726.0504201680669"/>
    <s v="Pirque"/>
    <s v="Revista"/>
    <s v="SI"/>
    <m/>
    <m/>
    <x v="0"/>
    <m/>
  </r>
  <r>
    <s v="C071"/>
    <s v="Jose Beck"/>
    <n v="0"/>
    <n v="0"/>
    <m/>
    <m/>
    <n v="6109"/>
    <n v="16000"/>
    <m/>
    <n v="16000"/>
    <x v="32"/>
    <n v="0"/>
    <d v="2019-11-12T00:00:00"/>
    <s v="Pagado"/>
    <d v="2019-11-13T00:00:00"/>
    <n v="16000"/>
    <s v="Transferencia"/>
    <m/>
    <m/>
    <s v="Chile"/>
    <m/>
    <m/>
    <m/>
    <m/>
    <m/>
    <s v=""/>
    <s v=""/>
    <m/>
    <n v="13445.378151260506"/>
    <n v="2554.6218487394945"/>
    <s v="Pirque"/>
    <s v="Conocido"/>
    <s v="SI"/>
    <m/>
    <m/>
    <x v="0"/>
    <m/>
  </r>
  <r>
    <s v="C071"/>
    <s v="Jose Beck"/>
    <n v="0"/>
    <n v="0"/>
    <m/>
    <m/>
    <n v="6109"/>
    <n v="23000"/>
    <m/>
    <n v="23000"/>
    <x v="32"/>
    <n v="0"/>
    <d v="2019-11-12T00:00:00"/>
    <s v="Pagado"/>
    <d v="2019-11-13T00:00:00"/>
    <n v="23000"/>
    <s v="Transferencia"/>
    <m/>
    <m/>
    <s v="Chile"/>
    <m/>
    <m/>
    <m/>
    <m/>
    <m/>
    <s v=""/>
    <s v=""/>
    <m/>
    <n v="19327.731092436974"/>
    <n v="3672.268907563026"/>
    <s v="Pirque"/>
    <s v="Conocido"/>
    <s v="SI"/>
    <m/>
    <m/>
    <x v="0"/>
    <m/>
  </r>
  <r>
    <s v="C517"/>
    <s v="Jenny Thomas"/>
    <n v="0"/>
    <n v="171"/>
    <m/>
    <m/>
    <n v="6117"/>
    <n v="45400"/>
    <m/>
    <n v="45400"/>
    <x v="32"/>
    <n v="0"/>
    <d v="2019-11-12T00:00:00"/>
    <s v="Pagado"/>
    <d v="2019-11-12T00:00:00"/>
    <n v="45400"/>
    <s v="Transbank"/>
    <s v="Debito"/>
    <n v="171"/>
    <m/>
    <m/>
    <m/>
    <m/>
    <m/>
    <m/>
    <s v=""/>
    <s v=""/>
    <m/>
    <n v="38151.26050420168"/>
    <n v="7248.7394957983197"/>
    <s v="Pirque"/>
    <s v="Revista"/>
    <s v="SI"/>
    <m/>
    <m/>
    <x v="0"/>
    <m/>
  </r>
  <r>
    <s v="C047"/>
    <s v="Astrid Rauttenberg"/>
    <n v="0"/>
    <n v="0"/>
    <m/>
    <m/>
    <n v="6116"/>
    <n v="24300"/>
    <m/>
    <n v="24300"/>
    <x v="32"/>
    <n v="0"/>
    <d v="2019-11-12T00:00:00"/>
    <s v="Pagado"/>
    <d v="2019-11-18T00:00:00"/>
    <n v="24300"/>
    <s v="Transferencia"/>
    <m/>
    <m/>
    <s v="Estado"/>
    <m/>
    <m/>
    <m/>
    <m/>
    <m/>
    <s v=""/>
    <s v=""/>
    <m/>
    <n v="20420.168067226892"/>
    <n v="3879.8319327731078"/>
    <s v="Pirque"/>
    <s v="Conocido"/>
    <s v="SI"/>
    <m/>
    <m/>
    <x v="0"/>
    <m/>
  </r>
  <r>
    <s v="C116"/>
    <s v="Angelica Bravo"/>
    <n v="0"/>
    <n v="170"/>
    <m/>
    <m/>
    <n v="6115"/>
    <n v="14800"/>
    <m/>
    <n v="14800"/>
    <x v="32"/>
    <n v="0"/>
    <d v="2019-11-12T00:00:00"/>
    <s v="Pagado"/>
    <d v="2019-11-12T00:00:00"/>
    <n v="14800"/>
    <s v="Transbank"/>
    <s v="Debito"/>
    <n v="170"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001"/>
    <s v="Benito Campos y Cia Ltda."/>
    <n v="2990"/>
    <n v="0"/>
    <m/>
    <m/>
    <s v="sn"/>
    <n v="96635"/>
    <m/>
    <n v="96635"/>
    <x v="33"/>
    <n v="30"/>
    <d v="2019-12-13T00:00:00"/>
    <s v="Pagado"/>
    <d v="2019-12-19T00:00:00"/>
    <n v="96635"/>
    <s v="Transferencia"/>
    <m/>
    <m/>
    <s v="Santander"/>
    <m/>
    <m/>
    <m/>
    <m/>
    <m/>
    <m/>
    <s v=""/>
    <m/>
    <n v="81205.882352941175"/>
    <n v="15429.117647058825"/>
    <s v="Cajon"/>
    <s v="Visita"/>
    <s v="SI"/>
    <m/>
    <m/>
    <x v="1"/>
    <m/>
  </r>
  <r>
    <s v="C088"/>
    <s v="Salvador Jesus Maulen Lizana e Hios Ltda"/>
    <n v="2987"/>
    <n v="0"/>
    <m/>
    <m/>
    <s v="sn"/>
    <n v="85680"/>
    <m/>
    <n v="85680"/>
    <x v="34"/>
    <n v="30"/>
    <d v="2019-12-14T00:00:00"/>
    <s v="Vencido"/>
    <m/>
    <m/>
    <m/>
    <m/>
    <m/>
    <m/>
    <m/>
    <m/>
    <m/>
    <m/>
    <m/>
    <s v=""/>
    <s v=""/>
    <m/>
    <n v="72000"/>
    <n v="13680"/>
    <s v="Cajon"/>
    <s v="Visita"/>
    <s v="NO"/>
    <m/>
    <m/>
    <x v="1"/>
    <m/>
  </r>
  <r>
    <s v="C004"/>
    <s v="Rosa Gladys Vidal Mora"/>
    <n v="2984"/>
    <n v="0"/>
    <n v="268"/>
    <m/>
    <s v="sn"/>
    <n v="121977"/>
    <n v="-4418"/>
    <n v="117559"/>
    <x v="34"/>
    <n v="7"/>
    <d v="2019-11-21T00:00:00"/>
    <s v="Pagado"/>
    <d v="2019-11-13T00:00:00"/>
    <n v="117559"/>
    <s v="Cheque a Fecha"/>
    <m/>
    <n v="1115959"/>
    <s v="Santander"/>
    <d v="1919-11-25T00:00:00"/>
    <n v="133661"/>
    <n v="117559"/>
    <d v="2019-11-25T00:00:00"/>
    <s v="Chile"/>
    <s v=""/>
    <s v="Otros"/>
    <m/>
    <n v="102501.68067226891"/>
    <n v="19475.319327731093"/>
    <s v="Cajon"/>
    <s v="Visita"/>
    <s v="SI"/>
    <m/>
    <m/>
    <x v="1"/>
    <m/>
  </r>
  <r>
    <s v="C618"/>
    <s v="Paulo Rodriguez"/>
    <n v="0"/>
    <n v="168"/>
    <m/>
    <m/>
    <n v="6122"/>
    <n v="30600"/>
    <m/>
    <n v="30600"/>
    <x v="34"/>
    <n v="0"/>
    <d v="2019-11-14T00:00:00"/>
    <s v="Pagado"/>
    <d v="2019-11-14T00:00:00"/>
    <n v="30600"/>
    <s v="Transbank"/>
    <s v="Debito"/>
    <n v="168"/>
    <m/>
    <m/>
    <m/>
    <m/>
    <m/>
    <m/>
    <s v=""/>
    <s v=""/>
    <m/>
    <n v="25714.285714285714"/>
    <n v="4885.7142857142862"/>
    <s v="Pirque"/>
    <s v="Revista"/>
    <s v="SI"/>
    <m/>
    <m/>
    <x v="0"/>
    <m/>
  </r>
  <r>
    <s v="C395"/>
    <s v="Monica Meza"/>
    <n v="0"/>
    <n v="0"/>
    <m/>
    <m/>
    <n v="6125"/>
    <n v="14800"/>
    <m/>
    <n v="14800"/>
    <x v="34"/>
    <n v="0"/>
    <d v="2019-11-14T00:00:00"/>
    <s v="Pagado"/>
    <d v="2019-11-14T00:00:00"/>
    <n v="14800"/>
    <s v="Efectivo"/>
    <m/>
    <m/>
    <m/>
    <m/>
    <m/>
    <m/>
    <m/>
    <m/>
    <s v=""/>
    <s v=""/>
    <m/>
    <n v="12436.974789915967"/>
    <n v="2363.0252100840335"/>
    <s v="Pirque"/>
    <s v="Revista"/>
    <s v="SI"/>
    <m/>
    <m/>
    <x v="0"/>
    <m/>
  </r>
  <r>
    <s v="C338"/>
    <s v="Manuel Marcos Fuenzalida Alfaro (Cafe Eden)"/>
    <n v="2988"/>
    <n v="0"/>
    <m/>
    <m/>
    <s v="sn"/>
    <n v="28099"/>
    <m/>
    <n v="28099"/>
    <x v="34"/>
    <n v="0"/>
    <d v="2019-11-14T00:00:00"/>
    <s v="Pagado"/>
    <d v="2019-11-20T00:00:00"/>
    <n v="28099"/>
    <s v="Transferencia"/>
    <m/>
    <m/>
    <s v="BCI"/>
    <m/>
    <m/>
    <m/>
    <m/>
    <m/>
    <s v=""/>
    <s v=""/>
    <m/>
    <n v="23612.605042016807"/>
    <n v="4486.3949579831933"/>
    <s v="Cajon"/>
    <s v="Visita"/>
    <s v="SI"/>
    <m/>
    <m/>
    <x v="1"/>
    <m/>
  </r>
  <r>
    <s v="C005"/>
    <s v="Julia Ines Rebolledo Retamal"/>
    <n v="2986"/>
    <n v="0"/>
    <m/>
    <m/>
    <s v="sn"/>
    <n v="114677"/>
    <m/>
    <n v="114677"/>
    <x v="34"/>
    <n v="7"/>
    <d v="2019-11-21T00:00:00"/>
    <s v="Abonado"/>
    <d v="2019-11-20T00:00:00"/>
    <n v="91177"/>
    <s v="Efectivo"/>
    <m/>
    <m/>
    <m/>
    <m/>
    <n v="133658"/>
    <n v="69000"/>
    <d v="2019-11-21T00:00:00"/>
    <s v="Chile"/>
    <s v=""/>
    <s v=""/>
    <m/>
    <n v="96367.226890756312"/>
    <n v="18309.773109243688"/>
    <s v="Cajon"/>
    <s v="Visita"/>
    <s v="NO"/>
    <m/>
    <m/>
    <x v="1"/>
    <m/>
  </r>
  <r>
    <s v="C094"/>
    <s v="Jose Miranda"/>
    <n v="0"/>
    <n v="2694"/>
    <m/>
    <m/>
    <n v="6120"/>
    <n v="8000"/>
    <m/>
    <n v="8000"/>
    <x v="34"/>
    <n v="0"/>
    <d v="2019-11-14T00:00:00"/>
    <s v="Vencido"/>
    <m/>
    <m/>
    <m/>
    <m/>
    <m/>
    <m/>
    <m/>
    <m/>
    <m/>
    <m/>
    <m/>
    <s v=""/>
    <s v=""/>
    <m/>
    <n v="6722.6890756302528"/>
    <n v="1277.3109243697472"/>
    <s v="Pirque"/>
    <s v="Conocido"/>
    <s v="NO"/>
    <m/>
    <m/>
    <x v="0"/>
    <m/>
  </r>
  <r>
    <s v="C158"/>
    <s v="Jose Miguel Osorio"/>
    <n v="0"/>
    <n v="167"/>
    <m/>
    <m/>
    <n v="6124"/>
    <n v="34500"/>
    <m/>
    <n v="34500"/>
    <x v="34"/>
    <n v="0"/>
    <d v="2019-11-14T00:00:00"/>
    <s v="Pagado"/>
    <d v="2019-11-14T00:00:00"/>
    <n v="34500"/>
    <s v="Transbank"/>
    <s v="Debito"/>
    <n v="167"/>
    <m/>
    <m/>
    <m/>
    <m/>
    <m/>
    <m/>
    <s v=""/>
    <s v=""/>
    <m/>
    <n v="28991.596638655465"/>
    <n v="5508.4033613445354"/>
    <s v="Pirque"/>
    <s v="Conocido"/>
    <s v="SI"/>
    <m/>
    <m/>
    <x v="0"/>
    <m/>
  </r>
  <r>
    <s v="C003"/>
    <s v="Hector Felipe Ramos Osorio"/>
    <n v="2985"/>
    <n v="0"/>
    <m/>
    <m/>
    <s v="n"/>
    <n v="166932"/>
    <m/>
    <n v="166932"/>
    <x v="34"/>
    <n v="30"/>
    <d v="2019-12-14T00:00:00"/>
    <s v="Pagado"/>
    <d v="2019-11-20T00:00:00"/>
    <n v="166932"/>
    <s v="Cheque a Fecha"/>
    <m/>
    <n v="20"/>
    <s v="Falabella"/>
    <d v="2019-12-14T00:00:00"/>
    <m/>
    <m/>
    <m/>
    <m/>
    <s v=""/>
    <s v="Otros"/>
    <m/>
    <n v="140278.99159663866"/>
    <n v="26653.008403361338"/>
    <s v="Cajon"/>
    <s v="Visita"/>
    <s v="SI"/>
    <m/>
    <m/>
    <x v="1"/>
    <m/>
  </r>
  <r>
    <s v="C394"/>
    <s v="Gabriela Ulloa"/>
    <n v="0"/>
    <n v="0"/>
    <m/>
    <m/>
    <n v="6119"/>
    <n v="14800"/>
    <m/>
    <n v="14800"/>
    <x v="34"/>
    <n v="0"/>
    <d v="2019-11-14T00:00:00"/>
    <s v="Pagado"/>
    <d v="2019-11-14T00:00:00"/>
    <n v="14800"/>
    <s v="Efectivo"/>
    <m/>
    <m/>
    <m/>
    <m/>
    <m/>
    <m/>
    <m/>
    <m/>
    <s v=""/>
    <s v=""/>
    <m/>
    <n v="12436.974789915967"/>
    <n v="2363.0252100840335"/>
    <s v="Pirque"/>
    <s v="Conocido"/>
    <s v="SI"/>
    <m/>
    <m/>
    <x v="0"/>
    <m/>
  </r>
  <r>
    <s v="C452"/>
    <s v="Camila Zamorano"/>
    <n v="0"/>
    <n v="2696"/>
    <m/>
    <m/>
    <n v="6118"/>
    <n v="29600"/>
    <m/>
    <n v="29600"/>
    <x v="34"/>
    <n v="0"/>
    <d v="2019-11-14T00:00:00"/>
    <s v="Pagado"/>
    <d v="2019-11-13T00:00:00"/>
    <n v="29600"/>
    <s v="Transferencia"/>
    <m/>
    <m/>
    <s v="Estado"/>
    <m/>
    <m/>
    <m/>
    <m/>
    <m/>
    <s v=""/>
    <s v=""/>
    <m/>
    <n v="24873.949579831933"/>
    <n v="4726.0504201680669"/>
    <s v="Pirque"/>
    <s v="Revista"/>
    <s v="SI"/>
    <m/>
    <m/>
    <x v="0"/>
    <m/>
  </r>
  <r>
    <s v="C001"/>
    <s v="Benito Campos y Cia Ltda."/>
    <n v="2989"/>
    <n v="0"/>
    <n v="269"/>
    <m/>
    <n v="1037495"/>
    <n v="130178"/>
    <n v="-10104"/>
    <n v="120074"/>
    <x v="34"/>
    <n v="30"/>
    <d v="2019-12-14T00:00:00"/>
    <s v="Abonado"/>
    <d v="2019-12-19T00:00:00"/>
    <n v="20074"/>
    <s v="Transferencia"/>
    <m/>
    <m/>
    <s v="Santander"/>
    <m/>
    <m/>
    <m/>
    <m/>
    <m/>
    <s v=""/>
    <s v=""/>
    <m/>
    <n v="109393.27731092437"/>
    <n v="20784.722689075628"/>
    <s v="Cajon"/>
    <s v="Visita"/>
    <s v="NO"/>
    <m/>
    <m/>
    <x v="1"/>
    <m/>
  </r>
  <r>
    <s v="C001"/>
    <s v="Benito Campos y Cia Ltda."/>
    <n v="2992"/>
    <n v="0"/>
    <m/>
    <m/>
    <n v="1037524"/>
    <n v="333900"/>
    <m/>
    <n v="333900"/>
    <x v="34"/>
    <n v="30"/>
    <d v="2019-12-14T00:00:00"/>
    <s v="Pagado"/>
    <d v="2019-12-19T00:00:00"/>
    <n v="333900"/>
    <s v="Transferencia"/>
    <m/>
    <m/>
    <s v="Santander"/>
    <m/>
    <m/>
    <m/>
    <m/>
    <m/>
    <s v=""/>
    <s v=""/>
    <m/>
    <n v="280588.23529411765"/>
    <n v="53311.76470588235"/>
    <s v="Cajon"/>
    <s v="Visita"/>
    <s v="SI"/>
    <m/>
    <m/>
    <x v="1"/>
    <m/>
  </r>
  <r>
    <s v="C037"/>
    <s v="Amelia Cortes"/>
    <n v="0"/>
    <s v="sn"/>
    <m/>
    <m/>
    <n v="6110"/>
    <n v="44700"/>
    <m/>
    <n v="44700"/>
    <x v="34"/>
    <n v="0"/>
    <d v="2019-11-14T00:00:00"/>
    <s v="Pagado"/>
    <d v="2019-12-13T00:00:00"/>
    <n v="44700"/>
    <s v="Transferencia"/>
    <m/>
    <m/>
    <s v="Itaú"/>
    <m/>
    <m/>
    <m/>
    <m/>
    <m/>
    <s v=""/>
    <s v=""/>
    <m/>
    <n v="37563.025210084037"/>
    <n v="7136.9747899159629"/>
    <s v="Cajon"/>
    <s v="Revista"/>
    <s v="SI"/>
    <m/>
    <m/>
    <x v="0"/>
    <m/>
  </r>
  <r>
    <s v="C572"/>
    <s v="Aldo Tapia"/>
    <n v="0"/>
    <n v="2697"/>
    <m/>
    <m/>
    <n v="6121"/>
    <n v="20900"/>
    <m/>
    <n v="20900"/>
    <x v="34"/>
    <n v="0"/>
    <d v="2019-11-14T00:00:00"/>
    <s v="Pagado"/>
    <d v="2019-11-14T00:00:00"/>
    <n v="20900"/>
    <s v="Efectivo"/>
    <m/>
    <m/>
    <m/>
    <m/>
    <m/>
    <m/>
    <m/>
    <m/>
    <s v=""/>
    <s v=""/>
    <m/>
    <n v="17563.025210084033"/>
    <n v="3336.9747899159665"/>
    <s v="Pirque"/>
    <s v="Revista"/>
    <s v="SI"/>
    <m/>
    <m/>
    <x v="0"/>
    <m/>
  </r>
  <r>
    <s v="C072"/>
    <s v="Walter Folch"/>
    <n v="0"/>
    <n v="0"/>
    <m/>
    <m/>
    <n v="6135"/>
    <n v="26700"/>
    <m/>
    <n v="26700"/>
    <x v="35"/>
    <n v="0"/>
    <d v="2019-11-15T00:00:00"/>
    <s v="Pagado"/>
    <d v="2019-11-16T00:00:00"/>
    <n v="26700"/>
    <s v="Transferencia"/>
    <m/>
    <m/>
    <s v="Santander"/>
    <m/>
    <m/>
    <m/>
    <m/>
    <m/>
    <s v=""/>
    <s v=""/>
    <m/>
    <n v="22436.974789915967"/>
    <n v="4263.0252100840335"/>
    <s v="Pirque"/>
    <s v="Conocido"/>
    <s v="SI"/>
    <m/>
    <m/>
    <x v="0"/>
    <m/>
  </r>
  <r>
    <s v="C444"/>
    <s v="Solange Franjola"/>
    <n v="0"/>
    <n v="2700"/>
    <m/>
    <m/>
    <n v="6128"/>
    <n v="19900"/>
    <m/>
    <n v="19900"/>
    <x v="35"/>
    <n v="0"/>
    <d v="2019-11-15T00:00:00"/>
    <s v="Pagado"/>
    <d v="2019-11-15T00:00:00"/>
    <n v="19900"/>
    <s v="Transferencia"/>
    <m/>
    <m/>
    <s v="BCI"/>
    <m/>
    <m/>
    <m/>
    <m/>
    <m/>
    <s v=""/>
    <s v=""/>
    <m/>
    <n v="16722.689075630253"/>
    <n v="3177.3109243697472"/>
    <s v="Pirque"/>
    <s v="Datito"/>
    <s v="SI"/>
    <m/>
    <m/>
    <x v="0"/>
    <m/>
  </r>
  <r>
    <s v="C085"/>
    <s v="Sandra Paola Rojas Orellana"/>
    <n v="2995"/>
    <n v="0"/>
    <m/>
    <m/>
    <s v="sn"/>
    <n v="37529"/>
    <m/>
    <n v="37529"/>
    <x v="35"/>
    <n v="0"/>
    <d v="2019-11-15T00:00:00"/>
    <s v="Pagado"/>
    <d v="2019-11-15T00:00:00"/>
    <n v="37529"/>
    <s v="Efectivo"/>
    <m/>
    <m/>
    <m/>
    <m/>
    <m/>
    <m/>
    <m/>
    <m/>
    <s v=""/>
    <s v=""/>
    <m/>
    <n v="31536.974789915967"/>
    <n v="5992.0252100840335"/>
    <s v="Chada"/>
    <s v="Visita"/>
    <s v="SI"/>
    <m/>
    <m/>
    <x v="1"/>
    <m/>
  </r>
  <r>
    <s v="C246"/>
    <s v="Rosa Paz (Municipalidad Pirque)"/>
    <n v="0"/>
    <n v="2701"/>
    <m/>
    <m/>
    <n v="6123"/>
    <n v="32900"/>
    <m/>
    <n v="32900"/>
    <x v="35"/>
    <n v="0"/>
    <d v="2019-11-15T00:00:00"/>
    <s v="Pagado"/>
    <d v="2019-01-15T00:00:00"/>
    <n v="32900"/>
    <s v="Efectivo"/>
    <m/>
    <m/>
    <s v="Chile"/>
    <m/>
    <n v="4951439"/>
    <n v="32900"/>
    <d v="2019-11-15T00:00:00"/>
    <s v="Chile"/>
    <s v=""/>
    <s v=""/>
    <m/>
    <n v="27647.058823529413"/>
    <n v="5252.9411764705874"/>
    <s v="Pirque"/>
    <s v="Conocido"/>
    <s v="SI"/>
    <m/>
    <m/>
    <x v="0"/>
    <m/>
  </r>
  <r>
    <s v="C105"/>
    <s v="Paulina Andrea Araneda Cancino"/>
    <n v="2996"/>
    <n v="0"/>
    <m/>
    <m/>
    <s v="sn"/>
    <n v="29000"/>
    <m/>
    <n v="29000"/>
    <x v="35"/>
    <n v="0"/>
    <d v="2019-11-15T00:00:00"/>
    <s v="Pagado"/>
    <d v="2019-11-15T00:00:00"/>
    <n v="29000"/>
    <s v="Efectivo"/>
    <m/>
    <m/>
    <m/>
    <m/>
    <m/>
    <m/>
    <m/>
    <m/>
    <s v=""/>
    <s v=""/>
    <m/>
    <n v="24369.747899159665"/>
    <n v="4630.2521008403346"/>
    <s v="Chada"/>
    <s v="Visita"/>
    <s v="SI"/>
    <m/>
    <m/>
    <x v="1"/>
    <m/>
  </r>
  <r>
    <s v="C105"/>
    <s v="Paulina Andrea Araneda Cancino"/>
    <n v="2997"/>
    <n v="0"/>
    <m/>
    <m/>
    <s v="sn"/>
    <n v="14500"/>
    <m/>
    <n v="14500"/>
    <x v="35"/>
    <n v="0"/>
    <d v="2019-11-15T00:00:00"/>
    <s v="Pagado"/>
    <d v="2019-11-15T00:00:00"/>
    <n v="14500"/>
    <s v="Efectivo"/>
    <m/>
    <m/>
    <m/>
    <m/>
    <m/>
    <m/>
    <m/>
    <m/>
    <s v=""/>
    <s v=""/>
    <m/>
    <n v="12184.873949579833"/>
    <n v="2315.1260504201673"/>
    <s v="Chada"/>
    <s v="Visita"/>
    <s v="SI"/>
    <m/>
    <m/>
    <x v="1"/>
    <m/>
  </r>
  <r>
    <s v="C215"/>
    <s v="Miriam Gonzalez"/>
    <n v="0"/>
    <s v="sn"/>
    <m/>
    <m/>
    <n v="6132"/>
    <n v="19697"/>
    <m/>
    <n v="19697"/>
    <x v="35"/>
    <n v="0"/>
    <d v="2019-11-15T00:00:00"/>
    <s v="Pagado"/>
    <d v="2019-11-15T00:00:00"/>
    <n v="20000"/>
    <s v="Efectivo"/>
    <m/>
    <m/>
    <m/>
    <m/>
    <m/>
    <m/>
    <m/>
    <m/>
    <s v=""/>
    <s v=""/>
    <m/>
    <n v="16552.100840336134"/>
    <n v="3144.8991596638662"/>
    <s v="Pirque"/>
    <s v="Conocido"/>
    <s v="SI"/>
    <m/>
    <m/>
    <x v="0"/>
    <m/>
  </r>
  <r>
    <s v="C554"/>
    <s v="Minimarket Doña Olga SPA"/>
    <n v="2994"/>
    <n v="0"/>
    <m/>
    <m/>
    <s v="sn"/>
    <n v="67093"/>
    <m/>
    <n v="67093"/>
    <x v="35"/>
    <n v="30"/>
    <d v="2019-12-15T00:00:00"/>
    <s v="Pagado"/>
    <d v="2019-12-20T00:00:00"/>
    <n v="67093"/>
    <s v="Cheque a Fecha"/>
    <m/>
    <n v="961"/>
    <s v="Falabella"/>
    <d v="2019-12-25T00:00:00"/>
    <m/>
    <m/>
    <m/>
    <m/>
    <s v=""/>
    <s v="Otros"/>
    <m/>
    <n v="56380.672268907569"/>
    <n v="10712.327731092431"/>
    <s v="Chada"/>
    <s v="Visita"/>
    <s v="SI"/>
    <m/>
    <m/>
    <x v="1"/>
    <m/>
  </r>
  <r>
    <s v="C008"/>
    <s v="Juana Rosa Roman Quintanilla"/>
    <s v="sn"/>
    <n v="0"/>
    <m/>
    <m/>
    <s v="sn"/>
    <n v="6151"/>
    <m/>
    <n v="6151"/>
    <x v="35"/>
    <n v="0"/>
    <d v="2019-11-15T00:00:00"/>
    <s v="Pagado"/>
    <d v="2019-11-15T00:00:00"/>
    <n v="6151"/>
    <s v="Efectivo"/>
    <m/>
    <m/>
    <m/>
    <m/>
    <m/>
    <m/>
    <m/>
    <m/>
    <s v=""/>
    <s v=""/>
    <m/>
    <n v="5168.90756302521"/>
    <n v="982.09243697478996"/>
    <s v="Chada"/>
    <s v="Visita"/>
    <s v="SI"/>
    <m/>
    <m/>
    <x v="1"/>
    <m/>
  </r>
  <r>
    <s v="C025"/>
    <s v="Felipe Eduardo Salinas Caro (Equimas)"/>
    <n v="0"/>
    <n v="2699"/>
    <m/>
    <m/>
    <n v="6127"/>
    <n v="62400"/>
    <m/>
    <n v="62400"/>
    <x v="35"/>
    <n v="30"/>
    <d v="2019-12-15T00:00:00"/>
    <s v="Vencido"/>
    <m/>
    <m/>
    <m/>
    <m/>
    <m/>
    <m/>
    <m/>
    <m/>
    <m/>
    <m/>
    <m/>
    <s v=""/>
    <s v=""/>
    <m/>
    <n v="52436.97478991597"/>
    <n v="9963.0252100840298"/>
    <s v="Pirque"/>
    <s v="Visita"/>
    <s v="NO"/>
    <m/>
    <m/>
    <x v="0"/>
    <m/>
  </r>
  <r>
    <s v="C374"/>
    <s v="Dini Overeem Beukel"/>
    <n v="0"/>
    <n v="172"/>
    <m/>
    <m/>
    <n v="6130"/>
    <n v="24500"/>
    <m/>
    <n v="24500"/>
    <x v="35"/>
    <n v="0"/>
    <d v="2019-11-15T00:00:00"/>
    <s v="Pagado"/>
    <d v="2019-11-15T00:00:00"/>
    <n v="24500"/>
    <s v="Transbank"/>
    <s v="Debito"/>
    <n v="172"/>
    <m/>
    <m/>
    <m/>
    <m/>
    <m/>
    <m/>
    <s v=""/>
    <s v=""/>
    <m/>
    <n v="20588.235294117647"/>
    <n v="3911.7647058823532"/>
    <s v="Pirque"/>
    <s v="Conocido"/>
    <s v="SI"/>
    <m/>
    <m/>
    <x v="0"/>
    <m/>
  </r>
  <r>
    <s v="C108"/>
    <s v="Denisse Marti"/>
    <n v="0"/>
    <n v="2702"/>
    <m/>
    <m/>
    <n v="6129"/>
    <n v="28600"/>
    <m/>
    <n v="28600"/>
    <x v="35"/>
    <n v="0"/>
    <d v="2019-11-15T00:00:00"/>
    <s v="Pagado"/>
    <d v="2019-11-19T00:00:00"/>
    <n v="28600"/>
    <s v="Transferencia"/>
    <m/>
    <m/>
    <s v="Santander"/>
    <m/>
    <m/>
    <m/>
    <m/>
    <m/>
    <s v=""/>
    <s v=""/>
    <m/>
    <n v="24033.613445378152"/>
    <n v="4566.3865546218476"/>
    <s v="Pirque"/>
    <s v="Revista"/>
    <s v="SI"/>
    <m/>
    <m/>
    <x v="0"/>
    <m/>
  </r>
  <r>
    <s v="C027"/>
    <s v="Comercial Alpam SPA"/>
    <n v="2991"/>
    <n v="0"/>
    <n v="270"/>
    <m/>
    <s v="sn"/>
    <n v="175352"/>
    <n v="-79274"/>
    <n v="96078"/>
    <x v="35"/>
    <n v="0"/>
    <d v="2019-11-15T00:00:00"/>
    <s v="Abonado"/>
    <d v="2019-11-15T00:00:00"/>
    <n v="94391"/>
    <s v="Efectivo"/>
    <m/>
    <m/>
    <m/>
    <m/>
    <m/>
    <m/>
    <m/>
    <m/>
    <s v=""/>
    <s v=""/>
    <m/>
    <n v="147354.62184873951"/>
    <n v="27997.378151260491"/>
    <s v="Chada"/>
    <s v="Visita"/>
    <s v="NO"/>
    <m/>
    <m/>
    <x v="1"/>
    <m/>
  </r>
  <r>
    <s v="C027"/>
    <s v="Comercial Alpam SPA"/>
    <n v="2993"/>
    <n v="0"/>
    <s v="271/272"/>
    <m/>
    <s v="sn"/>
    <n v="51148"/>
    <n v="-4256"/>
    <n v="46892"/>
    <x v="35"/>
    <n v="0"/>
    <d v="2019-11-15T00:00:00"/>
    <s v="Pagado"/>
    <d v="2019-11-15T00:00:00"/>
    <n v="49443"/>
    <s v="Efectivo"/>
    <m/>
    <m/>
    <m/>
    <m/>
    <m/>
    <m/>
    <m/>
    <m/>
    <s v=""/>
    <s v=""/>
    <m/>
    <n v="42981.512605042022"/>
    <n v="8166.4873949579778"/>
    <s v="Chada"/>
    <s v="Visita"/>
    <s v="SI"/>
    <m/>
    <m/>
    <x v="1"/>
    <m/>
  </r>
  <r>
    <s v="C032"/>
    <s v="Carlos Jobbe-Duval"/>
    <n v="0"/>
    <s v="sn"/>
    <m/>
    <m/>
    <n v="6131"/>
    <n v="39263"/>
    <m/>
    <n v="39263"/>
    <x v="35"/>
    <n v="0"/>
    <d v="2019-11-15T00:00:00"/>
    <s v="Pagado"/>
    <d v="2019-11-20T00:00:00"/>
    <n v="39263"/>
    <s v="Cheque al Día"/>
    <m/>
    <n v="745691"/>
    <s v="BCI"/>
    <d v="2019-11-20T00:00:00"/>
    <n v="133955"/>
    <n v="39263"/>
    <d v="2019-11-20T00:00:00"/>
    <s v="Chile"/>
    <s v=""/>
    <s v="Otros"/>
    <m/>
    <n v="32994.117647058825"/>
    <n v="6268.8823529411748"/>
    <s v="Pirque"/>
    <s v="Conocido"/>
    <s v="SI"/>
    <m/>
    <m/>
    <x v="0"/>
    <m/>
  </r>
  <r>
    <s v="C307"/>
    <s v="Franklin Winston Smart Guevara"/>
    <n v="0"/>
    <n v="2703"/>
    <m/>
    <m/>
    <n v="6134"/>
    <n v="25300"/>
    <m/>
    <n v="25300"/>
    <x v="36"/>
    <n v="0"/>
    <d v="2019-11-16T00:00:00"/>
    <s v="Pagado"/>
    <d v="2019-11-16T00:00:00"/>
    <n v="25300"/>
    <s v="Transferencia"/>
    <m/>
    <m/>
    <s v="Santander"/>
    <m/>
    <m/>
    <m/>
    <m/>
    <m/>
    <s v=""/>
    <s v=""/>
    <m/>
    <n v="21260.504201680673"/>
    <n v="4039.4957983193272"/>
    <s v="Pirque"/>
    <s v="Revista"/>
    <s v="SI"/>
    <m/>
    <m/>
    <x v="0"/>
    <m/>
  </r>
  <r>
    <s v="C255"/>
    <s v="Carlos Manzano"/>
    <n v="0"/>
    <n v="173"/>
    <m/>
    <m/>
    <n v="6133"/>
    <n v="23000"/>
    <m/>
    <n v="23000"/>
    <x v="36"/>
    <n v="0"/>
    <d v="2019-11-16T00:00:00"/>
    <s v="Vencido"/>
    <m/>
    <m/>
    <m/>
    <m/>
    <m/>
    <m/>
    <m/>
    <m/>
    <m/>
    <m/>
    <m/>
    <s v=""/>
    <s v=""/>
    <m/>
    <n v="19327.731092436974"/>
    <n v="3672.268907563026"/>
    <s v="Pirque"/>
    <s v="Revista"/>
    <s v="NO"/>
    <m/>
    <m/>
    <x v="0"/>
    <m/>
  </r>
  <r>
    <s v="C359"/>
    <s v="Manuel Perez"/>
    <n v="0"/>
    <n v="2706"/>
    <m/>
    <m/>
    <n v="6138"/>
    <n v="33900"/>
    <m/>
    <n v="33900"/>
    <x v="37"/>
    <n v="0"/>
    <d v="2019-11-18T00:00:00"/>
    <s v="Pagado"/>
    <d v="2019-11-21T00:00:00"/>
    <n v="33900"/>
    <s v="Transferencia"/>
    <m/>
    <m/>
    <s v="Santander"/>
    <m/>
    <m/>
    <m/>
    <m/>
    <m/>
    <s v=""/>
    <s v=""/>
    <m/>
    <n v="28487.394957983193"/>
    <n v="5412.6050420168067"/>
    <s v="Pirque"/>
    <s v="Conocido"/>
    <s v="SI"/>
    <m/>
    <m/>
    <x v="0"/>
    <m/>
  </r>
  <r>
    <s v="C349"/>
    <s v="Elaine Pratt"/>
    <n v="0"/>
    <n v="2705"/>
    <m/>
    <m/>
    <n v="6139"/>
    <n v="22800"/>
    <m/>
    <n v="22800"/>
    <x v="37"/>
    <n v="0"/>
    <d v="2019-11-18T00:00:00"/>
    <s v="Pagado"/>
    <d v="2019-11-17T00:00:00"/>
    <n v="22800"/>
    <s v="Efectivo"/>
    <m/>
    <m/>
    <m/>
    <m/>
    <n v="133671"/>
    <n v="22800"/>
    <d v="2019-11-29T00:00:00"/>
    <s v="Chile"/>
    <s v=""/>
    <s v=""/>
    <m/>
    <n v="19159.663865546219"/>
    <n v="3640.3361344537807"/>
    <s v="Pirque"/>
    <s v="Conocido"/>
    <s v="SI"/>
    <m/>
    <m/>
    <x v="0"/>
    <m/>
  </r>
  <r>
    <s v="C033"/>
    <s v="Catalina Daniela Peña Royo"/>
    <n v="0"/>
    <n v="2704"/>
    <m/>
    <m/>
    <n v="6136"/>
    <n v="31400"/>
    <m/>
    <n v="31400"/>
    <x v="37"/>
    <n v="0"/>
    <d v="2019-11-18T00:00:00"/>
    <s v="Pagado"/>
    <d v="2019-11-18T00:00:00"/>
    <n v="31400"/>
    <s v="Transferencia"/>
    <m/>
    <m/>
    <s v="Itaú"/>
    <m/>
    <m/>
    <m/>
    <m/>
    <m/>
    <s v=""/>
    <s v=""/>
    <m/>
    <n v="26386.55462184874"/>
    <n v="5013.4453781512602"/>
    <s v="Chada"/>
    <s v="Conocido"/>
    <s v="SI"/>
    <m/>
    <m/>
    <x v="0"/>
    <m/>
  </r>
  <r>
    <s v="C544"/>
    <s v="Carla Valencoa"/>
    <n v="0"/>
    <n v="174"/>
    <m/>
    <m/>
    <n v="6137"/>
    <n v="23000"/>
    <m/>
    <n v="23000"/>
    <x v="37"/>
    <n v="0"/>
    <d v="2019-11-18T00:00:00"/>
    <s v="Pagado"/>
    <d v="2019-11-18T00:00:00"/>
    <n v="23000"/>
    <s v="Transbank"/>
    <s v="Debito"/>
    <n v="174"/>
    <m/>
    <m/>
    <m/>
    <m/>
    <m/>
    <m/>
    <s v=""/>
    <s v=""/>
    <m/>
    <n v="19327.731092436974"/>
    <n v="3672.268907563026"/>
    <s v="Pirque"/>
    <s v="Revista"/>
    <s v="SI"/>
    <m/>
    <m/>
    <x v="0"/>
    <m/>
  </r>
  <r>
    <s v="C390"/>
    <s v="Auria Villanueva"/>
    <n v="0"/>
    <n v="169"/>
    <m/>
    <m/>
    <n v="6141"/>
    <n v="45200"/>
    <m/>
    <n v="45200"/>
    <x v="37"/>
    <n v="0"/>
    <d v="2019-11-18T00:00:00"/>
    <s v="Pagado"/>
    <d v="2019-11-18T00:00:00"/>
    <n v="45200"/>
    <s v="Transbank"/>
    <s v="Debito"/>
    <n v="169"/>
    <m/>
    <m/>
    <m/>
    <m/>
    <m/>
    <m/>
    <s v=""/>
    <s v=""/>
    <m/>
    <n v="37983.193277310929"/>
    <n v="7216.8067226890707"/>
    <s v="Pirque"/>
    <s v="Revista"/>
    <s v="SI"/>
    <m/>
    <m/>
    <x v="0"/>
    <m/>
  </r>
  <r>
    <s v="C135"/>
    <s v="María Ester Abarca"/>
    <n v="0"/>
    <n v="2709"/>
    <m/>
    <m/>
    <n v="6143"/>
    <n v="33000"/>
    <m/>
    <n v="33000"/>
    <x v="38"/>
    <n v="0"/>
    <d v="2019-11-19T00:00:00"/>
    <s v="Pagado"/>
    <d v="2019-11-20T00:00:00"/>
    <n v="33000"/>
    <s v="Transferencia"/>
    <m/>
    <m/>
    <s v="Chile"/>
    <m/>
    <m/>
    <m/>
    <m/>
    <m/>
    <s v=""/>
    <s v=""/>
    <m/>
    <n v="27731.092436974792"/>
    <n v="5268.9075630252082"/>
    <s v="Santiago"/>
    <s v="Conocido"/>
    <s v="SI"/>
    <m/>
    <m/>
    <x v="0"/>
    <m/>
  </r>
  <r>
    <s v="C619"/>
    <s v="Luz Maria Streeter"/>
    <n v="0"/>
    <n v="2708"/>
    <m/>
    <m/>
    <n v="6144"/>
    <n v="33000"/>
    <m/>
    <n v="33000"/>
    <x v="38"/>
    <n v="0"/>
    <d v="2019-11-19T00:00:00"/>
    <s v="Pagado"/>
    <d v="2019-11-20T00:00:00"/>
    <n v="33000"/>
    <s v="Transferencia"/>
    <m/>
    <m/>
    <s v="Chile"/>
    <m/>
    <m/>
    <m/>
    <m/>
    <m/>
    <s v=""/>
    <s v=""/>
    <m/>
    <n v="27731.092436974792"/>
    <n v="5268.9075630252082"/>
    <s v="Pirque"/>
    <s v="Revista"/>
    <s v="SI"/>
    <m/>
    <m/>
    <x v="0"/>
    <m/>
  </r>
  <r>
    <s v="C620"/>
    <s v="Luz Maria Ossandon"/>
    <n v="0"/>
    <n v="2710"/>
    <m/>
    <m/>
    <n v="6148"/>
    <n v="19700"/>
    <m/>
    <n v="19700"/>
    <x v="38"/>
    <n v="0"/>
    <d v="2019-11-19T00:00:00"/>
    <s v="Pagado"/>
    <d v="2019-11-19T00:00:00"/>
    <n v="19700"/>
    <s v="Efectivo"/>
    <m/>
    <m/>
    <m/>
    <m/>
    <n v="133664"/>
    <n v="19700"/>
    <d v="2019-11-26T00:00:00"/>
    <s v="Chile"/>
    <s v=""/>
    <s v=""/>
    <m/>
    <n v="16554.621848739498"/>
    <n v="3145.3781512605019"/>
    <s v="Pirque"/>
    <s v="Conocido"/>
    <s v="SI"/>
    <m/>
    <m/>
    <x v="0"/>
    <m/>
  </r>
  <r>
    <s v="C071"/>
    <s v="Jose Beck"/>
    <n v="0"/>
    <n v="2711"/>
    <m/>
    <m/>
    <n v="6149"/>
    <n v="21400"/>
    <m/>
    <n v="21400"/>
    <x v="38"/>
    <n v="0"/>
    <d v="2019-11-19T00:00:00"/>
    <s v="Pagado"/>
    <d v="2019-11-20T00:00:00"/>
    <n v="21400"/>
    <s v="Transferencia"/>
    <m/>
    <m/>
    <s v="Chile"/>
    <m/>
    <m/>
    <m/>
    <m/>
    <m/>
    <s v=""/>
    <s v=""/>
    <m/>
    <n v="17983.193277310926"/>
    <n v="3416.8067226890744"/>
    <s v="Pirque"/>
    <s v="Conocido"/>
    <s v="SI"/>
    <m/>
    <m/>
    <x v="0"/>
    <m/>
  </r>
  <r>
    <s v="C263"/>
    <s v="Jeanny Reyes"/>
    <n v="0"/>
    <n v="2707"/>
    <m/>
    <m/>
    <n v="6142"/>
    <n v="39100"/>
    <m/>
    <n v="39100"/>
    <x v="38"/>
    <n v="0"/>
    <d v="2019-11-19T00:00:00"/>
    <s v="Pagado"/>
    <d v="2019-11-19T00:00:00"/>
    <n v="39100"/>
    <s v="Efectivo"/>
    <m/>
    <m/>
    <m/>
    <m/>
    <n v="133664"/>
    <n v="39100"/>
    <d v="2019-11-26T00:00:00"/>
    <s v="Chile"/>
    <s v=""/>
    <s v=""/>
    <m/>
    <n v="32857.142857142855"/>
    <n v="6242.8571428571449"/>
    <s v="Pirque"/>
    <s v="Conocido"/>
    <s v="SI"/>
    <m/>
    <m/>
    <x v="0"/>
    <m/>
  </r>
  <r>
    <s v="C053"/>
    <s v="Jacqueline Bani Peralta Jimenez"/>
    <n v="0"/>
    <n v="0"/>
    <m/>
    <m/>
    <n v="6145"/>
    <n v="23500"/>
    <m/>
    <n v="23500"/>
    <x v="38"/>
    <n v="0"/>
    <d v="2019-11-19T00:00:00"/>
    <s v="Pagado"/>
    <d v="2019-11-19T00:00:00"/>
    <n v="23500"/>
    <s v="Transferencia"/>
    <m/>
    <m/>
    <s v="Falabella"/>
    <m/>
    <m/>
    <m/>
    <m/>
    <m/>
    <s v=""/>
    <s v=""/>
    <m/>
    <n v="19747.899159663866"/>
    <n v="3752.1008403361338"/>
    <s v="Pirque"/>
    <s v="Revista"/>
    <s v="SI"/>
    <m/>
    <m/>
    <x v="0"/>
    <m/>
  </r>
  <r>
    <s v="C038"/>
    <s v="Francisca Gonzalez"/>
    <n v="0"/>
    <n v="0"/>
    <m/>
    <m/>
    <n v="6146"/>
    <n v="42600"/>
    <m/>
    <n v="42600"/>
    <x v="38"/>
    <n v="0"/>
    <d v="2019-11-19T00:00:00"/>
    <s v="Pagado"/>
    <d v="2019-12-27T00:00:00"/>
    <n v="42600"/>
    <s v="Transferencia"/>
    <m/>
    <m/>
    <s v="Chile"/>
    <m/>
    <m/>
    <m/>
    <m/>
    <m/>
    <s v=""/>
    <s v=""/>
    <m/>
    <n v="35798.319327731093"/>
    <n v="6801.6806722689071"/>
    <s v="Pirque"/>
    <s v="Conocido"/>
    <s v="SI"/>
    <m/>
    <m/>
    <x v="0"/>
    <m/>
  </r>
  <r>
    <s v="C063"/>
    <s v="Andrea Ramirez"/>
    <n v="0"/>
    <n v="175"/>
    <m/>
    <m/>
    <n v="6147"/>
    <n v="16500"/>
    <m/>
    <n v="16500"/>
    <x v="38"/>
    <n v="0"/>
    <d v="2019-11-19T00:00:00"/>
    <s v="Pagado"/>
    <d v="2019-11-19T00:00:00"/>
    <n v="16500"/>
    <s v="Transbank"/>
    <s v="Debito"/>
    <n v="175"/>
    <m/>
    <m/>
    <m/>
    <m/>
    <m/>
    <m/>
    <s v=""/>
    <s v=""/>
    <m/>
    <n v="13865.546218487396"/>
    <n v="2634.4537815126041"/>
    <s v="Pirque"/>
    <s v="Conocido"/>
    <s v="SI"/>
    <m/>
    <m/>
    <x v="0"/>
    <m/>
  </r>
  <r>
    <s v="C088"/>
    <s v="Salvador Jesus Maulen Lizana e Hios Ltda"/>
    <n v="0"/>
    <n v="0"/>
    <m/>
    <m/>
    <s v="sn"/>
    <n v="58832"/>
    <n v="-58832"/>
    <n v="0"/>
    <x v="39"/>
    <n v="30"/>
    <d v="2019-12-20T00:00:00"/>
    <s v="Nulo"/>
    <m/>
    <m/>
    <m/>
    <m/>
    <m/>
    <m/>
    <m/>
    <m/>
    <m/>
    <m/>
    <m/>
    <s v=""/>
    <s v=""/>
    <m/>
    <n v="49438.655462184877"/>
    <n v="9393.3445378151227"/>
    <s v="Cajon"/>
    <s v="Visita"/>
    <s v="SI"/>
    <m/>
    <m/>
    <x v="0"/>
    <m/>
  </r>
  <r>
    <s v="C004"/>
    <s v="Rosa Gladys Vidal Mora"/>
    <n v="3001"/>
    <n v="0"/>
    <m/>
    <m/>
    <s v="sn"/>
    <n v="96075"/>
    <m/>
    <n v="96075"/>
    <x v="39"/>
    <n v="7"/>
    <d v="2019-11-27T00:00:00"/>
    <s v="Pagado"/>
    <d v="2019-11-27T00:00:00"/>
    <n v="96075"/>
    <s v="Cheque a Fecha"/>
    <m/>
    <n v="1115993"/>
    <s v="Santander"/>
    <d v="2019-12-02T00:00:00"/>
    <m/>
    <m/>
    <m/>
    <m/>
    <s v=""/>
    <s v="Otros"/>
    <m/>
    <n v="80735.294117647063"/>
    <n v="15339.705882352937"/>
    <s v="Cajon"/>
    <s v="Visita"/>
    <s v="SI"/>
    <m/>
    <m/>
    <x v="1"/>
    <m/>
  </r>
  <r>
    <s v="C406"/>
    <s v="Naitana y Kufeke SPA"/>
    <n v="3002"/>
    <n v="0"/>
    <n v="274"/>
    <m/>
    <s v="sn"/>
    <n v="149758"/>
    <n v="-149758"/>
    <n v="0"/>
    <x v="39"/>
    <n v="0"/>
    <d v="2019-11-20T00:00:00"/>
    <s v="Nulo"/>
    <m/>
    <m/>
    <m/>
    <m/>
    <m/>
    <m/>
    <m/>
    <m/>
    <m/>
    <m/>
    <m/>
    <m/>
    <s v=""/>
    <m/>
    <n v="125847.05882352941"/>
    <n v="23910.941176470587"/>
    <s v="Pirque"/>
    <s v="Visita"/>
    <s v="SI"/>
    <m/>
    <m/>
    <x v="1"/>
    <m/>
  </r>
  <r>
    <s v="C338"/>
    <s v="Manuel Marcos Fuenzalida Alfaro (Cafe Eden)"/>
    <n v="3000"/>
    <n v="0"/>
    <m/>
    <m/>
    <s v="sn"/>
    <n v="12670"/>
    <m/>
    <n v="12670"/>
    <x v="39"/>
    <n v="0"/>
    <d v="2019-11-20T00:00:00"/>
    <s v="Pagado"/>
    <d v="2019-11-20T00:00:00"/>
    <n v="12670"/>
    <s v="Transferencia"/>
    <m/>
    <m/>
    <m/>
    <m/>
    <m/>
    <m/>
    <m/>
    <m/>
    <s v=""/>
    <s v=""/>
    <m/>
    <n v="10647.058823529413"/>
    <n v="2022.9411764705874"/>
    <s v="Cajon"/>
    <s v="Visita"/>
    <s v="SI"/>
    <m/>
    <m/>
    <x v="1"/>
    <m/>
  </r>
  <r>
    <s v="C590"/>
    <s v="Lorena Sanzana"/>
    <n v="0"/>
    <n v="2714"/>
    <m/>
    <m/>
    <n v="6153"/>
    <n v="19700"/>
    <m/>
    <n v="19700"/>
    <x v="39"/>
    <n v="0"/>
    <d v="2019-11-20T00:00:00"/>
    <s v="Pagado"/>
    <d v="2019-11-21T00:00:00"/>
    <n v="19700"/>
    <s v="Efectivo"/>
    <m/>
    <m/>
    <m/>
    <m/>
    <n v="133664"/>
    <n v="20000"/>
    <d v="2019-11-26T00:00:00"/>
    <m/>
    <s v=""/>
    <s v=""/>
    <m/>
    <n v="16554.621848739498"/>
    <n v="3145.3781512605019"/>
    <s v="Pirque"/>
    <s v="Revista"/>
    <s v="SI"/>
    <m/>
    <m/>
    <x v="0"/>
    <m/>
  </r>
  <r>
    <s v="C005"/>
    <s v="Julia Ines Rebolledo Retamal"/>
    <n v="2999"/>
    <n v="0"/>
    <m/>
    <m/>
    <s v="sn"/>
    <n v="107952"/>
    <m/>
    <n v="107952"/>
    <x v="39"/>
    <n v="7"/>
    <d v="2019-11-27T00:00:00"/>
    <s v="Pagado"/>
    <d v="2019-11-27T00:00:00"/>
    <n v="107952"/>
    <s v="Efectivo"/>
    <m/>
    <m/>
    <m/>
    <m/>
    <n v="133670"/>
    <n v="107952"/>
    <d v="2019-11-29T00:00:00"/>
    <s v="Chile"/>
    <s v=""/>
    <s v=""/>
    <m/>
    <n v="90715.966386554632"/>
    <n v="17236.033613445368"/>
    <s v="Cajon"/>
    <s v="Visita"/>
    <s v="SI"/>
    <m/>
    <m/>
    <x v="1"/>
    <m/>
  </r>
  <r>
    <s v="C389"/>
    <s v="Juan Pinilla"/>
    <n v="0"/>
    <n v="2715"/>
    <m/>
    <m/>
    <n v="6150"/>
    <n v="29000"/>
    <m/>
    <n v="29000"/>
    <x v="39"/>
    <n v="0"/>
    <d v="2019-11-20T00:00:00"/>
    <s v="Pagado"/>
    <d v="2019-11-21T00:00:00"/>
    <n v="29000"/>
    <s v="Transferencia"/>
    <m/>
    <m/>
    <s v="Security"/>
    <m/>
    <m/>
    <m/>
    <m/>
    <m/>
    <s v=""/>
    <s v=""/>
    <m/>
    <n v="24369.747899159665"/>
    <n v="4630.2521008403346"/>
    <s v="Pirque"/>
    <s v="Conocido"/>
    <s v="SI"/>
    <m/>
    <m/>
    <x v="0"/>
    <m/>
  </r>
  <r>
    <s v="C087"/>
    <s v="Juan Pablo Valdes"/>
    <n v="0"/>
    <n v="2712"/>
    <m/>
    <m/>
    <n v="6154"/>
    <n v="69000"/>
    <m/>
    <n v="69000"/>
    <x v="39"/>
    <n v="0"/>
    <d v="2019-11-20T00:00:00"/>
    <s v="Pagado"/>
    <d v="2019-11-20T00:00:00"/>
    <n v="69000"/>
    <s v="Transferencia"/>
    <m/>
    <m/>
    <s v="Bice"/>
    <m/>
    <m/>
    <m/>
    <m/>
    <m/>
    <s v=""/>
    <s v=""/>
    <m/>
    <n v="57983.193277310929"/>
    <n v="11016.806722689071"/>
    <s v="Pirque"/>
    <s v="Revista"/>
    <s v="SI"/>
    <m/>
    <m/>
    <x v="0"/>
    <m/>
  </r>
  <r>
    <s v="C003"/>
    <s v="Hector Felipe Ramos Osorio"/>
    <n v="2998"/>
    <n v="0"/>
    <n v="273"/>
    <m/>
    <s v="sn"/>
    <n v="183343"/>
    <n v="-32892"/>
    <n v="150451"/>
    <x v="39"/>
    <n v="30"/>
    <d v="2019-12-20T00:00:00"/>
    <s v="Pagado"/>
    <m/>
    <n v="150451"/>
    <s v="Cheque a Fecha"/>
    <m/>
    <n v="21"/>
    <s v="Falabella"/>
    <d v="2019-12-20T00:00:00"/>
    <n v="2270742"/>
    <n v="150451"/>
    <d v="2019-12-20T00:00:00"/>
    <s v="Chile"/>
    <s v=""/>
    <s v="Otros"/>
    <m/>
    <n v="154069.74789915967"/>
    <n v="29273.252100840327"/>
    <s v="Cajon"/>
    <s v="Visita"/>
    <s v="SI"/>
    <m/>
    <m/>
    <x v="1"/>
    <m/>
  </r>
  <r>
    <s v="C043"/>
    <s v="Consuelo Andrea Sanchez Bisbal"/>
    <n v="0"/>
    <n v="2713"/>
    <m/>
    <m/>
    <n v="6152"/>
    <n v="24700"/>
    <m/>
    <n v="24700"/>
    <x v="39"/>
    <n v="0"/>
    <d v="2019-11-20T00:00:00"/>
    <s v="Pagado"/>
    <d v="2019-11-20T00:00:00"/>
    <n v="24700"/>
    <s v="Transferencia"/>
    <m/>
    <m/>
    <s v="Falabella"/>
    <m/>
    <m/>
    <m/>
    <m/>
    <m/>
    <s v=""/>
    <s v=""/>
    <m/>
    <n v="20756.302521008405"/>
    <n v="3943.6974789915948"/>
    <s v="Pirque"/>
    <s v="Revista"/>
    <s v="SI"/>
    <m/>
    <m/>
    <x v="0"/>
    <m/>
  </r>
  <r>
    <s v="C449"/>
    <s v="Alejandra Picasso"/>
    <n v="0"/>
    <n v="2716"/>
    <m/>
    <m/>
    <n v="6151"/>
    <n v="104000"/>
    <m/>
    <n v="104000"/>
    <x v="39"/>
    <n v="30"/>
    <d v="2019-12-20T00:00:00"/>
    <s v="Pagado"/>
    <d v="2019-11-20T00:00:00"/>
    <n v="104000"/>
    <s v="Transferencia"/>
    <m/>
    <m/>
    <s v="Bice"/>
    <m/>
    <m/>
    <m/>
    <m/>
    <m/>
    <s v=""/>
    <s v=""/>
    <m/>
    <n v="87394.957983193279"/>
    <n v="16605.042016806721"/>
    <s v="Pirque"/>
    <s v="Conocido"/>
    <s v="SI"/>
    <m/>
    <m/>
    <x v="0"/>
    <m/>
  </r>
  <r>
    <s v="C072"/>
    <s v="Walter Folch"/>
    <n v="0"/>
    <n v="0"/>
    <m/>
    <m/>
    <n v="6164"/>
    <n v="56670"/>
    <n v="-4800"/>
    <n v="51870"/>
    <x v="40"/>
    <n v="0"/>
    <d v="2019-11-21T00:00:00"/>
    <s v="Pagado"/>
    <d v="2019-12-10T00:00:00"/>
    <n v="52000"/>
    <s v="Transferencia"/>
    <m/>
    <m/>
    <s v="Santander"/>
    <m/>
    <m/>
    <m/>
    <m/>
    <m/>
    <s v=""/>
    <s v=""/>
    <m/>
    <n v="47621.848739495799"/>
    <n v="9048.1512605042008"/>
    <s v="Pirque"/>
    <s v="Conocido"/>
    <s v="SI"/>
    <m/>
    <m/>
    <x v="0"/>
    <m/>
  </r>
  <r>
    <s v="C406"/>
    <s v="Naitana y Kufeke SPA"/>
    <n v="3003"/>
    <n v="0"/>
    <m/>
    <m/>
    <s v="sn"/>
    <n v="141879"/>
    <m/>
    <n v="141879"/>
    <x v="40"/>
    <n v="0"/>
    <d v="2019-11-21T00:00:00"/>
    <s v="Pagado"/>
    <d v="2019-12-03T00:00:00"/>
    <n v="141879"/>
    <s v="Transferencia"/>
    <m/>
    <m/>
    <s v="Santander"/>
    <m/>
    <m/>
    <m/>
    <m/>
    <m/>
    <s v=""/>
    <s v=""/>
    <m/>
    <n v="119226.05042016807"/>
    <n v="22652.949579831926"/>
    <s v="Pirque"/>
    <s v="Visita"/>
    <s v="SI"/>
    <m/>
    <m/>
    <x v="1"/>
    <m/>
  </r>
  <r>
    <s v="C406"/>
    <s v="Naitana y Kufeke SPA"/>
    <n v="3004"/>
    <n v="0"/>
    <n v="275"/>
    <m/>
    <s v="sn"/>
    <n v="20963"/>
    <n v="-20963"/>
    <n v="0"/>
    <x v="40"/>
    <n v="0"/>
    <d v="2019-11-21T00:00:00"/>
    <s v="Nulo"/>
    <m/>
    <m/>
    <m/>
    <m/>
    <m/>
    <m/>
    <m/>
    <m/>
    <m/>
    <m/>
    <m/>
    <m/>
    <s v=""/>
    <m/>
    <n v="17615.966386554621"/>
    <n v="3347.0336134453792"/>
    <s v="Pirque"/>
    <s v="Visita"/>
    <s v="SI"/>
    <m/>
    <m/>
    <x v="1"/>
    <m/>
  </r>
  <r>
    <s v="C621"/>
    <s v="Luz Troncoso"/>
    <n v="0"/>
    <n v="2718"/>
    <m/>
    <m/>
    <n v="6157"/>
    <n v="24500"/>
    <m/>
    <n v="24500"/>
    <x v="40"/>
    <n v="0"/>
    <d v="2019-11-21T00:00:00"/>
    <s v="Pagado"/>
    <d v="2019-11-21T00:00:00"/>
    <n v="24500"/>
    <s v="Transferencia"/>
    <m/>
    <m/>
    <s v="Chile"/>
    <m/>
    <m/>
    <m/>
    <m/>
    <m/>
    <s v=""/>
    <s v=""/>
    <m/>
    <n v="20588.235294117647"/>
    <n v="3911.7647058823532"/>
    <s v="Pirque"/>
    <s v="Manne"/>
    <s v="SI"/>
    <m/>
    <m/>
    <x v="0"/>
    <m/>
  </r>
  <r>
    <s v="C335"/>
    <s v="Alejandro Astorga"/>
    <n v="0"/>
    <n v="176"/>
    <m/>
    <m/>
    <n v="6140"/>
    <n v="108000"/>
    <m/>
    <n v="108000"/>
    <x v="40"/>
    <n v="0"/>
    <d v="2019-11-21T00:00:00"/>
    <s v="Pagado"/>
    <d v="2019-11-21T00:00:00"/>
    <n v="108000"/>
    <s v="Transbank"/>
    <s v="Debito"/>
    <n v="176"/>
    <m/>
    <m/>
    <m/>
    <m/>
    <m/>
    <m/>
    <s v=""/>
    <s v=""/>
    <m/>
    <n v="90756.302521008402"/>
    <n v="17243.697478991598"/>
    <s v="Pirque"/>
    <s v="Revsita"/>
    <s v="SI"/>
    <m/>
    <m/>
    <x v="0"/>
    <m/>
  </r>
  <r>
    <s v="C016"/>
    <s v="Maria Magaly Diaz Espinoza"/>
    <n v="3006"/>
    <n v="0"/>
    <m/>
    <m/>
    <s v="sn"/>
    <n v="34285"/>
    <m/>
    <n v="34285"/>
    <x v="41"/>
    <n v="0"/>
    <d v="2019-11-22T00:00:00"/>
    <s v="Pagado"/>
    <d v="2019-12-13T00:00:00"/>
    <n v="34285"/>
    <s v="Efectivo"/>
    <m/>
    <m/>
    <m/>
    <m/>
    <m/>
    <m/>
    <m/>
    <m/>
    <s v=""/>
    <s v=""/>
    <m/>
    <n v="28810.9243697479"/>
    <n v="5474.0756302521004"/>
    <s v="Chada"/>
    <s v="Visita"/>
    <s v="SI"/>
    <m/>
    <m/>
    <x v="1"/>
    <m/>
  </r>
  <r>
    <s v="C361"/>
    <s v="Marcela Biham"/>
    <n v="0"/>
    <s v="sn"/>
    <m/>
    <m/>
    <n v="6160"/>
    <n v="45400"/>
    <m/>
    <n v="45400"/>
    <x v="41"/>
    <n v="0"/>
    <d v="2019-11-22T00:00:00"/>
    <s v="Pagado"/>
    <d v="2019-11-25T00:00:00"/>
    <n v="45400"/>
    <s v="Transferencia"/>
    <m/>
    <m/>
    <s v="Chile"/>
    <m/>
    <m/>
    <m/>
    <m/>
    <m/>
    <s v=""/>
    <s v=""/>
    <m/>
    <n v="38151.26050420168"/>
    <n v="7248.7394957983197"/>
    <s v="Chada"/>
    <s v="Revista"/>
    <s v="SI"/>
    <m/>
    <m/>
    <x v="0"/>
    <m/>
  </r>
  <r>
    <s v="C557"/>
    <s v="Manne Vergara"/>
    <n v="0"/>
    <n v="0"/>
    <m/>
    <m/>
    <n v="6169"/>
    <n v="37200"/>
    <m/>
    <n v="37200"/>
    <x v="41"/>
    <n v="0"/>
    <d v="2019-11-22T00:00:00"/>
    <s v="Pagado"/>
    <d v="2019-11-22T00:00:00"/>
    <n v="37200"/>
    <s v="Efectivo"/>
    <m/>
    <m/>
    <m/>
    <m/>
    <n v="133664"/>
    <n v="37200"/>
    <d v="2019-11-26T00:00:00"/>
    <s v="Chile"/>
    <s v=""/>
    <s v=""/>
    <m/>
    <n v="31260.504201680673"/>
    <n v="5939.4957983193272"/>
    <s v="Pirque"/>
    <s v="Revista"/>
    <s v="SI"/>
    <m/>
    <m/>
    <x v="0"/>
    <m/>
  </r>
  <r>
    <s v="C028"/>
    <s v="Luz María Velasquez"/>
    <n v="0"/>
    <s v="sn"/>
    <m/>
    <m/>
    <n v="6168"/>
    <n v="51600"/>
    <m/>
    <n v="51600"/>
    <x v="41"/>
    <n v="0"/>
    <d v="2019-11-22T00:00:00"/>
    <s v="Pagado"/>
    <d v="2019-12-11T00:00:00"/>
    <n v="51600"/>
    <s v="Transferencia"/>
    <m/>
    <m/>
    <s v="Scotiabank"/>
    <m/>
    <m/>
    <m/>
    <m/>
    <m/>
    <s v=""/>
    <s v=""/>
    <m/>
    <n v="43361.34453781513"/>
    <n v="8238.65546218487"/>
    <s v="Chada"/>
    <s v="Conocido"/>
    <s v="SI"/>
    <m/>
    <m/>
    <x v="0"/>
    <m/>
  </r>
  <r>
    <s v="C136"/>
    <s v="Lily Caballero"/>
    <n v="0"/>
    <n v="2720"/>
    <m/>
    <m/>
    <s v="sn"/>
    <n v="37600"/>
    <m/>
    <n v="37600"/>
    <x v="41"/>
    <n v="0"/>
    <d v="2019-11-22T00:00:00"/>
    <s v="Pagado"/>
    <d v="2019-12-02T00:00:00"/>
    <n v="37600"/>
    <s v="Transferencia"/>
    <m/>
    <m/>
    <s v="Santander"/>
    <m/>
    <m/>
    <m/>
    <m/>
    <m/>
    <s v=""/>
    <s v=""/>
    <m/>
    <n v="31596.638655462186"/>
    <n v="6003.3613445378141"/>
    <s v="Pirque"/>
    <s v="Conocido"/>
    <s v="SI"/>
    <m/>
    <m/>
    <x v="0"/>
    <m/>
  </r>
  <r>
    <s v="C056"/>
    <s v="Liliana Llanos"/>
    <n v="0"/>
    <n v="177"/>
    <m/>
    <m/>
    <n v="6165"/>
    <n v="39900"/>
    <m/>
    <n v="39900"/>
    <x v="41"/>
    <n v="0"/>
    <d v="2019-11-22T00:00:00"/>
    <s v="Pagado"/>
    <d v="2019-11-22T00:00:00"/>
    <n v="39900"/>
    <s v="Transbank"/>
    <s v="Credito"/>
    <n v="177"/>
    <m/>
    <m/>
    <m/>
    <m/>
    <m/>
    <m/>
    <s v=""/>
    <s v=""/>
    <m/>
    <n v="33529.411764705881"/>
    <n v="6370.5882352941189"/>
    <s v="Pirque"/>
    <s v="Conocido"/>
    <s v="SI"/>
    <m/>
    <m/>
    <x v="0"/>
    <m/>
  </r>
  <r>
    <s v="C623"/>
    <s v="Lautaro Yanquez"/>
    <n v="0"/>
    <n v="179"/>
    <m/>
    <m/>
    <n v="6170"/>
    <n v="23000"/>
    <m/>
    <n v="23000"/>
    <x v="41"/>
    <n v="0"/>
    <d v="2019-11-22T00:00:00"/>
    <s v="Pagado"/>
    <d v="2019-11-22T00:00:00"/>
    <n v="23000"/>
    <s v="Transbank"/>
    <s v="Debito"/>
    <n v="179"/>
    <m/>
    <m/>
    <m/>
    <m/>
    <m/>
    <m/>
    <s v=""/>
    <s v=""/>
    <m/>
    <n v="19327.731092436974"/>
    <n v="3672.268907563026"/>
    <s v="Pirque"/>
    <s v="Manne"/>
    <s v="SI"/>
    <m/>
    <m/>
    <x v="0"/>
    <m/>
  </r>
  <r>
    <s v="C008"/>
    <s v="Juana Rosa Roman Quintanilla"/>
    <s v="sn"/>
    <n v="0"/>
    <m/>
    <m/>
    <s v="sn"/>
    <n v="18127"/>
    <m/>
    <n v="18127"/>
    <x v="41"/>
    <n v="0"/>
    <d v="2019-11-22T00:00:00"/>
    <s v="Pagado"/>
    <d v="2019-01-22T00:00:00"/>
    <n v="18127"/>
    <s v="Efectivo"/>
    <m/>
    <m/>
    <m/>
    <m/>
    <m/>
    <m/>
    <m/>
    <m/>
    <s v=""/>
    <s v=""/>
    <m/>
    <n v="15232.773109243699"/>
    <n v="2894.2268907563011"/>
    <s v="Chada"/>
    <s v="Visita"/>
    <s v="SI"/>
    <m/>
    <m/>
    <x v="1"/>
    <m/>
  </r>
  <r>
    <s v="C560"/>
    <s v="Guillermo Garces"/>
    <n v="0"/>
    <n v="178"/>
    <m/>
    <m/>
    <n v="6163"/>
    <n v="38600"/>
    <m/>
    <n v="38600"/>
    <x v="41"/>
    <n v="0"/>
    <d v="2019-11-22T00:00:00"/>
    <s v="Pagado"/>
    <d v="2019-11-22T00:00:00"/>
    <n v="38600"/>
    <s v="Transbank"/>
    <s v="Debito"/>
    <n v="178"/>
    <m/>
    <m/>
    <m/>
    <m/>
    <m/>
    <m/>
    <s v=""/>
    <s v=""/>
    <m/>
    <n v="32436.974789915967"/>
    <n v="6163.0252100840335"/>
    <s v="Pirque"/>
    <s v="Revista"/>
    <s v="SI"/>
    <m/>
    <m/>
    <x v="0"/>
    <m/>
  </r>
  <r>
    <s v="C518"/>
    <s v="Fernando Reyes"/>
    <n v="0"/>
    <n v="2724"/>
    <m/>
    <m/>
    <n v="6161"/>
    <n v="61000"/>
    <m/>
    <n v="61000"/>
    <x v="41"/>
    <n v="0"/>
    <d v="2019-11-22T00:00:00"/>
    <s v="Pagado"/>
    <d v="2019-11-25T00:00:00"/>
    <n v="61000"/>
    <s v="Transferencia"/>
    <m/>
    <m/>
    <s v="Estado"/>
    <m/>
    <m/>
    <m/>
    <m/>
    <m/>
    <s v=""/>
    <s v=""/>
    <m/>
    <n v="51260.504201680676"/>
    <n v="9739.4957983193235"/>
    <s v="Pirque"/>
    <s v="Revista"/>
    <s v="SI"/>
    <m/>
    <m/>
    <x v="0"/>
    <m/>
  </r>
  <r>
    <s v="C033"/>
    <s v="Catalina Daniela Peña Royo"/>
    <n v="0"/>
    <n v="2721"/>
    <m/>
    <m/>
    <n v="6156"/>
    <n v="27500"/>
    <m/>
    <n v="27500"/>
    <x v="41"/>
    <n v="0"/>
    <d v="2019-11-22T00:00:00"/>
    <s v="Pagado"/>
    <d v="2019-12-03T00:00:00"/>
    <n v="27500"/>
    <s v="Transferencia"/>
    <m/>
    <m/>
    <s v="Itaú"/>
    <m/>
    <m/>
    <m/>
    <m/>
    <m/>
    <s v=""/>
    <s v=""/>
    <m/>
    <n v="23109.243697478993"/>
    <n v="4390.7563025210075"/>
    <s v="Chada"/>
    <s v="Conocido"/>
    <s v="SI"/>
    <m/>
    <m/>
    <x v="0"/>
    <m/>
  </r>
  <r>
    <s v="C558"/>
    <s v="Carola Pardo"/>
    <n v="0"/>
    <n v="2717"/>
    <m/>
    <m/>
    <n v="6158"/>
    <n v="19700"/>
    <m/>
    <n v="19700"/>
    <x v="41"/>
    <n v="0"/>
    <d v="2019-11-22T00:00:00"/>
    <s v="Pagado"/>
    <d v="2019-11-22T00:00:00"/>
    <n v="19700"/>
    <s v="Efectivo"/>
    <m/>
    <m/>
    <m/>
    <m/>
    <n v="133664"/>
    <n v="19700"/>
    <d v="2019-11-26T00:00:00"/>
    <s v="Chile"/>
    <s v=""/>
    <s v=""/>
    <m/>
    <n v="16554.621848739498"/>
    <n v="3145.3781512605019"/>
    <s v="Pirque"/>
    <s v="Revista"/>
    <s v="SI"/>
    <m/>
    <m/>
    <x v="0"/>
    <m/>
  </r>
  <r>
    <s v="C113"/>
    <s v="Alvaro del Carmen Ruiz Farias y Otro (Hornito)"/>
    <n v="3007"/>
    <n v="0"/>
    <m/>
    <m/>
    <s v="sn"/>
    <n v="317085"/>
    <m/>
    <n v="317085"/>
    <x v="41"/>
    <n v="0"/>
    <d v="2019-11-22T00:00:00"/>
    <s v="Pagado"/>
    <d v="2019-11-22T00:00:00"/>
    <n v="317085"/>
    <s v="Efectivo"/>
    <m/>
    <m/>
    <m/>
    <m/>
    <m/>
    <m/>
    <m/>
    <m/>
    <s v=""/>
    <s v=""/>
    <m/>
    <n v="266457.98319327732"/>
    <n v="50627.016806722677"/>
    <s v="Chada"/>
    <s v="Visita"/>
    <s v="SI"/>
    <m/>
    <m/>
    <x v="1"/>
    <m/>
  </r>
  <r>
    <s v="C449"/>
    <s v="Alejandra Picasso"/>
    <n v="0"/>
    <n v="2723"/>
    <m/>
    <m/>
    <n v="6162"/>
    <n v="10500"/>
    <m/>
    <n v="10500"/>
    <x v="41"/>
    <n v="30"/>
    <d v="2019-12-22T00:00:00"/>
    <s v="Pagado"/>
    <d v="2019-11-22T00:00:00"/>
    <n v="10500"/>
    <s v="Efectivo"/>
    <m/>
    <m/>
    <m/>
    <m/>
    <n v="133664"/>
    <n v="10500"/>
    <d v="2019-11-26T00:00:00"/>
    <s v="Chile"/>
    <s v=""/>
    <s v=""/>
    <m/>
    <n v="8823.5294117647063"/>
    <n v="1676.4705882352937"/>
    <s v="Pirque"/>
    <s v="Conocido"/>
    <s v="SI"/>
    <m/>
    <m/>
    <x v="0"/>
    <m/>
  </r>
  <r>
    <s v="C584"/>
    <s v="Alejandra Hamame"/>
    <n v="0"/>
    <n v="2719"/>
    <m/>
    <m/>
    <n v="6159"/>
    <n v="79900"/>
    <m/>
    <n v="79900"/>
    <x v="41"/>
    <n v="0"/>
    <d v="2019-11-22T00:00:00"/>
    <s v="Pagado"/>
    <d v="2019-11-22T00:00:00"/>
    <n v="79900"/>
    <s v="Cheque al Día"/>
    <m/>
    <m/>
    <s v="Edward"/>
    <m/>
    <m/>
    <m/>
    <m/>
    <m/>
    <s v=""/>
    <s v="Otros"/>
    <m/>
    <n v="67142.857142857145"/>
    <n v="12757.142857142855"/>
    <s v="Pirque"/>
    <s v="Revista"/>
    <s v="SI"/>
    <m/>
    <m/>
    <x v="0"/>
    <m/>
  </r>
  <r>
    <s v="C021"/>
    <s v="Adelita del Carmen Leon Pizarro"/>
    <n v="3005"/>
    <n v="0"/>
    <m/>
    <m/>
    <s v="sn"/>
    <n v="63066"/>
    <m/>
    <n v="63066"/>
    <x v="41"/>
    <n v="0"/>
    <d v="2019-11-22T00:00:00"/>
    <s v="Pagado"/>
    <d v="2019-11-22T00:00:00"/>
    <n v="63066"/>
    <s v="Efectivo"/>
    <m/>
    <m/>
    <m/>
    <m/>
    <m/>
    <m/>
    <m/>
    <m/>
    <s v=""/>
    <s v=""/>
    <m/>
    <n v="52996.638655462186"/>
    <n v="10069.361344537814"/>
    <s v="Chada"/>
    <s v="Visita"/>
    <s v="SI"/>
    <m/>
    <m/>
    <x v="1"/>
    <m/>
  </r>
  <r>
    <s v="C624"/>
    <s v="Sara Nuñez"/>
    <n v="0"/>
    <n v="2727"/>
    <m/>
    <m/>
    <n v="6172"/>
    <n v="14500"/>
    <m/>
    <n v="14500"/>
    <x v="42"/>
    <n v="0"/>
    <d v="2019-11-23T00:00:00"/>
    <s v="Pagado"/>
    <d v="2019-11-23T00:00:00"/>
    <n v="14500"/>
    <s v="Efectivo"/>
    <m/>
    <m/>
    <m/>
    <m/>
    <n v="133664"/>
    <n v="14500"/>
    <d v="2019-11-26T00:00:00"/>
    <s v="Chile"/>
    <s v=""/>
    <s v=""/>
    <m/>
    <n v="12184.873949579833"/>
    <n v="2315.1260504201673"/>
    <s v="Pirque"/>
    <s v="Conocido"/>
    <s v="SI"/>
    <m/>
    <m/>
    <x v="0"/>
    <m/>
  </r>
  <r>
    <s v="C106"/>
    <s v="Pilar Luan"/>
    <n v="0"/>
    <n v="2725"/>
    <m/>
    <m/>
    <n v="6173"/>
    <n v="19700"/>
    <m/>
    <n v="19700"/>
    <x v="42"/>
    <n v="0"/>
    <d v="2019-11-23T00:00:00"/>
    <s v="Pagado"/>
    <d v="2019-11-23T00:00:00"/>
    <n v="19700"/>
    <s v="Efectivo"/>
    <m/>
    <m/>
    <m/>
    <m/>
    <n v="133664"/>
    <n v="19700"/>
    <d v="2019-11-26T00:00:00"/>
    <s v="Chile"/>
    <s v=""/>
    <s v=""/>
    <m/>
    <n v="16554.621848739498"/>
    <n v="3145.3781512605019"/>
    <s v="Pirque"/>
    <s v="Conocido"/>
    <s v="SI"/>
    <m/>
    <m/>
    <x v="0"/>
    <m/>
  </r>
  <r>
    <s v="C445"/>
    <s v="Carmen Nuñez"/>
    <n v="0"/>
    <n v="2726"/>
    <m/>
    <m/>
    <n v="6171"/>
    <n v="14800"/>
    <m/>
    <n v="14800"/>
    <x v="42"/>
    <n v="0"/>
    <d v="2019-11-23T00:00:00"/>
    <s v="Pagado"/>
    <d v="2019-11-23T00:00:00"/>
    <n v="14800"/>
    <s v="Efectivo"/>
    <m/>
    <m/>
    <m/>
    <m/>
    <n v="133664"/>
    <n v="14800"/>
    <d v="2019-11-26T00:00:00"/>
    <s v="Chile"/>
    <s v=""/>
    <s v=""/>
    <m/>
    <n v="12436.974789915967"/>
    <n v="2363.0252100840335"/>
    <s v="Cajon"/>
    <s v="Conocido"/>
    <s v="SI"/>
    <m/>
    <m/>
    <x v="0"/>
    <m/>
  </r>
  <r>
    <s v="C355"/>
    <s v="Valentina Scholtbach"/>
    <n v="0"/>
    <n v="0"/>
    <m/>
    <m/>
    <n v="6181"/>
    <n v="50350"/>
    <m/>
    <n v="50350"/>
    <x v="43"/>
    <n v="0"/>
    <d v="2019-11-25T00:00:00"/>
    <s v="Pagado"/>
    <d v="2019-12-03T00:00:00"/>
    <n v="50350"/>
    <s v="Transferencia"/>
    <m/>
    <m/>
    <s v="Falabella"/>
    <m/>
    <m/>
    <m/>
    <m/>
    <m/>
    <s v=""/>
    <s v=""/>
    <m/>
    <n v="42310.924369747903"/>
    <n v="8039.0756302520967"/>
    <s v="Pirque"/>
    <s v="Conocido"/>
    <s v="SI"/>
    <m/>
    <m/>
    <x v="0"/>
    <m/>
  </r>
  <r>
    <s v="C512"/>
    <s v="Segundo Palma (abuelo Hugo Palma)"/>
    <n v="0"/>
    <n v="2733"/>
    <m/>
    <m/>
    <n v="6182"/>
    <n v="16500"/>
    <m/>
    <n v="16500"/>
    <x v="43"/>
    <n v="0"/>
    <d v="2019-11-25T00:00:00"/>
    <s v="Pagado"/>
    <d v="2019-11-25T00:00:00"/>
    <n v="16500"/>
    <s v="Efectivo"/>
    <m/>
    <m/>
    <m/>
    <m/>
    <m/>
    <m/>
    <m/>
    <m/>
    <s v=""/>
    <s v=""/>
    <m/>
    <n v="13865.546218487396"/>
    <n v="2634.4537815126041"/>
    <s v="Pirque"/>
    <s v="Conocido"/>
    <s v="SI"/>
    <m/>
    <m/>
    <x v="0"/>
    <m/>
  </r>
  <r>
    <s v="C246"/>
    <s v="Rosa Paz (Municipalidad Pirque)"/>
    <n v="0"/>
    <n v="2728"/>
    <m/>
    <m/>
    <n v="6176"/>
    <n v="20900"/>
    <m/>
    <n v="20900"/>
    <x v="43"/>
    <n v="0"/>
    <d v="2019-11-25T00:00:00"/>
    <s v="Pagado"/>
    <d v="2019-11-25T00:00:00"/>
    <n v="20900"/>
    <s v="Transferencia"/>
    <m/>
    <m/>
    <s v="Chile"/>
    <m/>
    <m/>
    <m/>
    <m/>
    <m/>
    <s v=""/>
    <s v=""/>
    <m/>
    <n v="17563.025210084033"/>
    <n v="3336.9747899159665"/>
    <s v="Pirque"/>
    <s v="Conocido"/>
    <s v="SI"/>
    <m/>
    <m/>
    <x v="0"/>
    <m/>
  </r>
  <r>
    <s v="C246"/>
    <s v="Rosa Paz (Municipalidad Pirque)"/>
    <n v="0"/>
    <n v="2729"/>
    <m/>
    <m/>
    <n v="6177"/>
    <n v="32400"/>
    <m/>
    <n v="32400"/>
    <x v="43"/>
    <n v="0"/>
    <d v="2019-11-25T00:00:00"/>
    <s v="Pagado"/>
    <d v="2019-11-25T00:00:00"/>
    <n v="32400"/>
    <s v="Transferencia"/>
    <m/>
    <m/>
    <s v="Chile"/>
    <m/>
    <m/>
    <m/>
    <m/>
    <m/>
    <s v=""/>
    <s v=""/>
    <m/>
    <n v="27226.89075630252"/>
    <n v="5173.1092436974795"/>
    <s v="Pirque"/>
    <s v="Conocido"/>
    <s v="SI"/>
    <m/>
    <m/>
    <x v="0"/>
    <m/>
  </r>
  <r>
    <s v="C625"/>
    <s v="Patricia Zapata"/>
    <n v="0"/>
    <n v="2734"/>
    <m/>
    <m/>
    <n v="6186"/>
    <n v="29600"/>
    <m/>
    <n v="29600"/>
    <x v="43"/>
    <n v="0"/>
    <d v="2019-11-25T00:00:00"/>
    <s v="Pagado"/>
    <d v="2019-11-25T00:00:00"/>
    <n v="29600"/>
    <s v="Transferencia"/>
    <m/>
    <m/>
    <s v="BCI"/>
    <m/>
    <m/>
    <m/>
    <m/>
    <m/>
    <s v=""/>
    <s v=""/>
    <m/>
    <n v="24873.949579831933"/>
    <n v="4726.0504201680669"/>
    <s v="Pirque"/>
    <s v="Revista"/>
    <s v="SI"/>
    <m/>
    <m/>
    <x v="0"/>
    <m/>
  </r>
  <r>
    <s v="C364"/>
    <s v="Herminda Arriagada"/>
    <n v="0"/>
    <n v="2730"/>
    <m/>
    <m/>
    <n v="6183"/>
    <n v="14800"/>
    <m/>
    <n v="14800"/>
    <x v="43"/>
    <n v="0"/>
    <d v="2019-11-25T00:00:00"/>
    <s v="Pagado"/>
    <d v="2019-11-25T00:00:00"/>
    <n v="14800"/>
    <s v="Transferencia"/>
    <m/>
    <m/>
    <s v="Estado"/>
    <m/>
    <m/>
    <m/>
    <m/>
    <m/>
    <s v=""/>
    <s v=""/>
    <m/>
    <n v="12436.974789915967"/>
    <n v="2363.0252100840335"/>
    <s v="Pirque"/>
    <s v="Conocido"/>
    <s v="SI"/>
    <m/>
    <m/>
    <x v="0"/>
    <m/>
  </r>
  <r>
    <s v="C471"/>
    <s v="Claudia Koch"/>
    <n v="0"/>
    <n v="2732"/>
    <m/>
    <m/>
    <n v="6174"/>
    <n v="9800"/>
    <m/>
    <n v="9800"/>
    <x v="43"/>
    <n v="0"/>
    <d v="2019-11-25T00:00:00"/>
    <s v="Pagado"/>
    <d v="2019-11-25T00:00:00"/>
    <n v="9800"/>
    <s v="Efectivo"/>
    <m/>
    <m/>
    <m/>
    <m/>
    <m/>
    <m/>
    <m/>
    <m/>
    <s v=""/>
    <s v=""/>
    <m/>
    <n v="8235.2941176470595"/>
    <n v="1564.7058823529405"/>
    <s v="Pirque"/>
    <s v="Revista"/>
    <s v="SI"/>
    <m/>
    <m/>
    <x v="0"/>
    <m/>
  </r>
  <r>
    <s v="C456"/>
    <s v="Carolina Muñoz"/>
    <n v="0"/>
    <n v="2731"/>
    <m/>
    <m/>
    <n v="6179"/>
    <n v="14800"/>
    <m/>
    <n v="14800"/>
    <x v="43"/>
    <n v="0"/>
    <d v="2019-11-25T00:00:00"/>
    <s v="Pagado"/>
    <d v="2019-11-27T00:00:00"/>
    <n v="14800"/>
    <s v="Transferencia"/>
    <m/>
    <m/>
    <s v="Estado"/>
    <m/>
    <m/>
    <m/>
    <m/>
    <m/>
    <s v=""/>
    <s v=""/>
    <m/>
    <n v="12436.974789915967"/>
    <n v="2363.0252100840335"/>
    <s v="Pirque"/>
    <s v="Conocido"/>
    <s v="SI"/>
    <m/>
    <m/>
    <x v="0"/>
    <m/>
  </r>
  <r>
    <s v="C068"/>
    <s v="Riddellco"/>
    <n v="3008"/>
    <n v="0"/>
    <m/>
    <m/>
    <s v="sn"/>
    <n v="19299"/>
    <m/>
    <n v="19299"/>
    <x v="44"/>
    <n v="30"/>
    <d v="2019-12-26T00:00:00"/>
    <s v="Pagado"/>
    <d v="2019-12-26T00:00:00"/>
    <n v="19299"/>
    <s v="Transferencia"/>
    <m/>
    <m/>
    <s v="Estado"/>
    <m/>
    <m/>
    <m/>
    <m/>
    <m/>
    <m/>
    <s v=""/>
    <m/>
    <n v="16217.64705882353"/>
    <n v="3081.3529411764703"/>
    <s v="Santiago"/>
    <s v="Conocido"/>
    <s v="SI"/>
    <m/>
    <m/>
    <x v="1"/>
    <m/>
  </r>
  <r>
    <s v="C520"/>
    <s v="Pamela Perez"/>
    <n v="0"/>
    <n v="0"/>
    <m/>
    <m/>
    <n v="6187"/>
    <n v="11500"/>
    <m/>
    <n v="11500"/>
    <x v="44"/>
    <n v="0"/>
    <d v="2019-11-26T00:00:00"/>
    <s v="Pagado"/>
    <d v="2019-11-26T00:00:00"/>
    <n v="11500"/>
    <s v="Efectivo"/>
    <m/>
    <m/>
    <m/>
    <m/>
    <n v="133672"/>
    <n v="11500"/>
    <d v="2019-12-29T00:00:00"/>
    <s v="Chile"/>
    <m/>
    <s v=""/>
    <m/>
    <n v="9663.865546218487"/>
    <n v="1836.134453781513"/>
    <s v="Pirque"/>
    <s v="Revista"/>
    <s v="SI"/>
    <m/>
    <m/>
    <x v="0"/>
    <m/>
  </r>
  <r>
    <s v="C525"/>
    <s v="Katherine Salfate"/>
    <n v="0"/>
    <n v="2736"/>
    <m/>
    <m/>
    <n v="6151"/>
    <n v="23500"/>
    <m/>
    <n v="23500"/>
    <x v="44"/>
    <n v="0"/>
    <d v="2019-11-26T00:00:00"/>
    <s v="Pagado"/>
    <d v="2019-11-26T00:00:00"/>
    <n v="23500"/>
    <s v="Transferencia"/>
    <m/>
    <m/>
    <s v="Estado"/>
    <m/>
    <m/>
    <m/>
    <m/>
    <m/>
    <m/>
    <s v=""/>
    <m/>
    <n v="19747.899159663866"/>
    <n v="3752.1008403361338"/>
    <s v="Pirque"/>
    <s v="Revista"/>
    <s v="SI"/>
    <m/>
    <m/>
    <x v="0"/>
    <m/>
  </r>
  <r>
    <s v="C025"/>
    <s v="Felipe Eduardo Salinas Caro (Equimas)"/>
    <n v="0"/>
    <n v="2735"/>
    <m/>
    <m/>
    <n v="6188"/>
    <n v="15600"/>
    <m/>
    <n v="15600"/>
    <x v="44"/>
    <n v="30"/>
    <d v="2019-12-26T00:00:00"/>
    <s v="Vencido"/>
    <m/>
    <m/>
    <m/>
    <m/>
    <m/>
    <m/>
    <m/>
    <m/>
    <m/>
    <m/>
    <m/>
    <m/>
    <s v=""/>
    <m/>
    <n v="13109.243697478993"/>
    <n v="2490.7563025210075"/>
    <s v="Pirque"/>
    <s v="Visita"/>
    <s v="NO"/>
    <m/>
    <m/>
    <x v="0"/>
    <m/>
  </r>
  <r>
    <s v="C088"/>
    <s v="Salvador Jesus Maulen Lizana e Hios Ltda"/>
    <n v="3009"/>
    <n v="0"/>
    <m/>
    <m/>
    <s v="sn"/>
    <n v="58819"/>
    <m/>
    <n v="58819"/>
    <x v="45"/>
    <n v="30"/>
    <d v="2019-12-27T00:00:00"/>
    <s v="Pagado"/>
    <d v="2019-11-27T00:00:00"/>
    <n v="58819"/>
    <s v="Efectivo"/>
    <m/>
    <m/>
    <m/>
    <m/>
    <n v="133670"/>
    <n v="58819"/>
    <d v="2019-11-29T00:00:00"/>
    <s v="Chile"/>
    <s v=""/>
    <s v=""/>
    <m/>
    <n v="49427.731092436974"/>
    <n v="9391.268907563026"/>
    <s v="Cajon"/>
    <s v="Visita"/>
    <s v="SI"/>
    <m/>
    <m/>
    <x v="1"/>
    <m/>
  </r>
  <r>
    <s v="C004"/>
    <s v="Rosa Gladys Vidal Mora"/>
    <n v="3011"/>
    <n v="0"/>
    <m/>
    <m/>
    <s v="sn"/>
    <n v="104019"/>
    <m/>
    <n v="104019"/>
    <x v="45"/>
    <n v="7"/>
    <d v="2019-12-04T00:00:00"/>
    <s v="Pagado"/>
    <d v="2019-12-04T00:00:00"/>
    <n v="104019"/>
    <s v="Cheque a Fecha"/>
    <m/>
    <n v="1116026"/>
    <s v="Santander"/>
    <d v="2019-12-09T00:00:00"/>
    <m/>
    <m/>
    <m/>
    <m/>
    <s v=""/>
    <s v="Otros"/>
    <m/>
    <n v="87410.924369747896"/>
    <n v="16608.075630252104"/>
    <s v="Cajon"/>
    <s v="Visita"/>
    <s v="SI"/>
    <m/>
    <m/>
    <x v="1"/>
    <m/>
  </r>
  <r>
    <s v="C557"/>
    <s v="Manne Vergara"/>
    <n v="0"/>
    <n v="2738"/>
    <m/>
    <m/>
    <n v="6184"/>
    <n v="35500"/>
    <m/>
    <n v="35500"/>
    <x v="45"/>
    <n v="0"/>
    <d v="2019-11-27T00:00:00"/>
    <s v="Pagado"/>
    <d v="2019-11-27T00:00:00"/>
    <n v="35500"/>
    <s v="Efectivo"/>
    <m/>
    <m/>
    <m/>
    <m/>
    <n v="4955436"/>
    <n v="35500"/>
    <d v="2019-12-06T00:00:00"/>
    <s v="Chile"/>
    <m/>
    <s v=""/>
    <m/>
    <n v="29831.932773109245"/>
    <n v="5668.0672268907547"/>
    <s v="Pirque"/>
    <s v="Revista"/>
    <s v="SI"/>
    <m/>
    <m/>
    <x v="0"/>
    <m/>
  </r>
  <r>
    <s v="C005"/>
    <s v="Julia Ines Rebolledo Retamal"/>
    <n v="3010"/>
    <n v="0"/>
    <m/>
    <m/>
    <s v="sn"/>
    <n v="46780"/>
    <m/>
    <n v="46780"/>
    <x v="45"/>
    <n v="7"/>
    <d v="2019-12-04T00:00:00"/>
    <s v="Pagado"/>
    <d v="2019-12-12T00:00:00"/>
    <n v="46780"/>
    <s v="Efectivo"/>
    <m/>
    <m/>
    <m/>
    <m/>
    <m/>
    <m/>
    <m/>
    <m/>
    <s v=""/>
    <s v=""/>
    <m/>
    <n v="39310.924369747903"/>
    <n v="7469.0756302520967"/>
    <s v="Cajon"/>
    <s v="Visita"/>
    <s v="SI"/>
    <m/>
    <m/>
    <x v="1"/>
    <m/>
  </r>
  <r>
    <s v="C595"/>
    <s v="Juan Neira"/>
    <n v="0"/>
    <n v="2737"/>
    <m/>
    <m/>
    <n v="6190"/>
    <n v="19700"/>
    <m/>
    <n v="19700"/>
    <x v="45"/>
    <n v="0"/>
    <d v="2019-11-27T00:00:00"/>
    <s v="Pagado"/>
    <d v="2019-11-27T00:00:00"/>
    <n v="19700"/>
    <s v="Transferencia"/>
    <m/>
    <m/>
    <s v="Estado"/>
    <m/>
    <m/>
    <m/>
    <m/>
    <m/>
    <m/>
    <s v=""/>
    <m/>
    <n v="16554.621848739498"/>
    <n v="3145.3781512605019"/>
    <s v="Pirque"/>
    <s v="Revista"/>
    <s v="SI"/>
    <m/>
    <m/>
    <x v="0"/>
    <m/>
  </r>
  <r>
    <s v="C001"/>
    <s v="Benito Campos y Cia Ltda."/>
    <n v="3012"/>
    <n v="0"/>
    <m/>
    <m/>
    <n v="1037674"/>
    <n v="104496"/>
    <m/>
    <n v="104496"/>
    <x v="45"/>
    <n v="30"/>
    <d v="2019-12-27T00:00:00"/>
    <s v="Pagado"/>
    <d v="2019-01-02T00:00:00"/>
    <n v="104496"/>
    <s v="Transferencia"/>
    <m/>
    <m/>
    <s v="Santander"/>
    <m/>
    <m/>
    <m/>
    <m/>
    <m/>
    <s v=""/>
    <s v=""/>
    <m/>
    <n v="87811.764705882364"/>
    <n v="16684.235294117636"/>
    <s v="Cajon"/>
    <s v="Visita"/>
    <s v="SI"/>
    <m/>
    <m/>
    <x v="1"/>
    <m/>
  </r>
  <r>
    <s v="C001"/>
    <s v="Benito Campos y Cia Ltda."/>
    <n v="3013"/>
    <n v="0"/>
    <n v="276"/>
    <m/>
    <n v="1037674"/>
    <n v="201422"/>
    <n v="-31762"/>
    <n v="169660"/>
    <x v="45"/>
    <n v="30"/>
    <d v="2019-12-27T00:00:00"/>
    <s v="Pagado"/>
    <d v="2020-01-02T00:00:00"/>
    <n v="169660"/>
    <s v="Transferencia"/>
    <m/>
    <m/>
    <s v="Santander"/>
    <m/>
    <m/>
    <m/>
    <m/>
    <m/>
    <s v=""/>
    <s v=""/>
    <m/>
    <n v="169262.18487394959"/>
    <n v="32159.815126050409"/>
    <s v="Cajon"/>
    <s v="Visita"/>
    <s v="SI"/>
    <m/>
    <m/>
    <x v="1"/>
    <m/>
  </r>
  <r>
    <s v="C063"/>
    <s v="Andrea Ramirez"/>
    <n v="0"/>
    <n v="170"/>
    <m/>
    <m/>
    <n v="6189"/>
    <n v="10200"/>
    <m/>
    <n v="10200"/>
    <x v="45"/>
    <n v="0"/>
    <d v="2019-11-27T00:00:00"/>
    <s v="Pagado"/>
    <d v="2019-11-27T00:00:00"/>
    <n v="10200"/>
    <s v="Transbank"/>
    <s v="Debito"/>
    <n v="170"/>
    <m/>
    <m/>
    <m/>
    <m/>
    <m/>
    <m/>
    <m/>
    <s v=""/>
    <m/>
    <n v="8571.4285714285725"/>
    <n v="1628.5714285714275"/>
    <s v="Pirque"/>
    <s v="Conocido"/>
    <s v="SI"/>
    <m/>
    <m/>
    <x v="0"/>
    <m/>
  </r>
  <r>
    <s v="C449"/>
    <s v="Alejandra Picasso"/>
    <n v="0"/>
    <n v="0"/>
    <m/>
    <m/>
    <n v="6180"/>
    <n v="37500"/>
    <m/>
    <n v="37500"/>
    <x v="45"/>
    <n v="30"/>
    <d v="2019-12-27T00:00:00"/>
    <s v="Pagado"/>
    <d v="2019-11-27T00:00:00"/>
    <n v="37500"/>
    <s v="Transferencia"/>
    <m/>
    <m/>
    <s v="Bice"/>
    <m/>
    <m/>
    <m/>
    <m/>
    <m/>
    <m/>
    <s v=""/>
    <m/>
    <n v="31512.605042016807"/>
    <n v="5987.3949579831933"/>
    <s v="Pirque"/>
    <s v="Conocido"/>
    <s v="SI"/>
    <m/>
    <m/>
    <x v="0"/>
    <m/>
  </r>
  <r>
    <s v="C488"/>
    <s v="Trinidad Siviragol"/>
    <n v="0"/>
    <n v="2741"/>
    <m/>
    <m/>
    <n v="6191"/>
    <n v="29600"/>
    <m/>
    <n v="29600"/>
    <x v="46"/>
    <n v="0"/>
    <d v="2019-11-28T00:00:00"/>
    <s v="Pagado"/>
    <d v="2019-11-29T00:00:00"/>
    <n v="29600"/>
    <s v="Transferencia"/>
    <m/>
    <m/>
    <s v="Chile"/>
    <m/>
    <m/>
    <m/>
    <m/>
    <m/>
    <m/>
    <s v=""/>
    <m/>
    <n v="24873.949579831933"/>
    <n v="4726.0504201680669"/>
    <s v="Pirque"/>
    <s v="Revista"/>
    <s v="SI"/>
    <m/>
    <m/>
    <x v="0"/>
    <m/>
  </r>
  <r>
    <s v="C065"/>
    <s v="Peter De Lamare"/>
    <n v="0"/>
    <n v="2743"/>
    <m/>
    <m/>
    <n v="6196"/>
    <n v="22400"/>
    <m/>
    <n v="22400"/>
    <x v="46"/>
    <n v="0"/>
    <d v="2019-11-28T00:00:00"/>
    <s v="Pagado"/>
    <d v="2019-12-06T00:00:00"/>
    <n v="22400"/>
    <s v="Cheque a Fecha"/>
    <m/>
    <n v="2827037"/>
    <s v="Bice"/>
    <m/>
    <n v="8025733"/>
    <n v="22400"/>
    <d v="2019-12-06T00:00:00"/>
    <s v="Chile"/>
    <m/>
    <s v="Otros"/>
    <m/>
    <n v="18823.529411764706"/>
    <n v="3576.4705882352937"/>
    <s v="Pirque"/>
    <s v="Conocido"/>
    <s v="SI"/>
    <m/>
    <m/>
    <x v="0"/>
    <m/>
  </r>
  <r>
    <s v="C626"/>
    <s v="Omar Feres"/>
    <n v="0"/>
    <n v="2742"/>
    <m/>
    <m/>
    <n v="6193"/>
    <n v="35500"/>
    <m/>
    <n v="35500"/>
    <x v="46"/>
    <n v="0"/>
    <d v="2019-11-28T00:00:00"/>
    <s v="Pagado"/>
    <d v="2019-11-28T00:00:00"/>
    <n v="35500"/>
    <s v="Efectivo"/>
    <m/>
    <m/>
    <m/>
    <m/>
    <n v="133672"/>
    <n v="35500"/>
    <d v="2019-11-29T00:00:00"/>
    <s v="Chile"/>
    <m/>
    <s v=""/>
    <m/>
    <n v="29831.932773109245"/>
    <n v="5668.0672268907547"/>
    <s v="Pirque"/>
    <s v="Conocido"/>
    <s v="SI"/>
    <m/>
    <m/>
    <x v="0"/>
    <m/>
  </r>
  <r>
    <s v="C406"/>
    <s v="Naitana y Kufeke SPA"/>
    <n v="3014"/>
    <n v="0"/>
    <m/>
    <m/>
    <s v="sn"/>
    <n v="99501"/>
    <m/>
    <n v="99501"/>
    <x v="46"/>
    <n v="0"/>
    <d v="2019-11-28T00:00:00"/>
    <s v="Pagado"/>
    <d v="2019-12-17T00:00:00"/>
    <n v="99501"/>
    <s v="Transferencia"/>
    <m/>
    <m/>
    <s v="Santander"/>
    <m/>
    <m/>
    <m/>
    <m/>
    <m/>
    <m/>
    <s v=""/>
    <m/>
    <n v="83614.285714285725"/>
    <n v="15886.714285714275"/>
    <s v="Pirque"/>
    <s v="Visita"/>
    <s v="SI"/>
    <m/>
    <m/>
    <x v="1"/>
    <m/>
  </r>
  <r>
    <s v="C546"/>
    <s v="Martha Feres"/>
    <n v="0"/>
    <n v="2742"/>
    <m/>
    <m/>
    <n v="6194"/>
    <n v="35500"/>
    <m/>
    <n v="35500"/>
    <x v="46"/>
    <n v="0"/>
    <d v="2019-11-28T00:00:00"/>
    <s v="Pagado"/>
    <d v="2019-11-28T00:00:00"/>
    <n v="35500"/>
    <s v="Efectivo"/>
    <m/>
    <m/>
    <m/>
    <m/>
    <n v="133672"/>
    <n v="35500"/>
    <d v="2019-11-29T00:00:00"/>
    <s v="Chile"/>
    <m/>
    <s v=""/>
    <m/>
    <n v="29831.932773109245"/>
    <n v="5668.0672268907547"/>
    <s v="Pirque"/>
    <s v="Revista"/>
    <s v="SI"/>
    <m/>
    <m/>
    <x v="0"/>
    <m/>
  </r>
  <r>
    <s v="C045"/>
    <s v="Jeanny Andrea Arranz Cordero"/>
    <n v="0"/>
    <n v="2739"/>
    <m/>
    <m/>
    <n v="6195"/>
    <n v="47800"/>
    <m/>
    <n v="47800"/>
    <x v="46"/>
    <n v="0"/>
    <d v="2019-11-28T00:00:00"/>
    <s v="Pagado"/>
    <d v="2019-11-28T00:00:00"/>
    <n v="47800"/>
    <s v="Transferencia"/>
    <m/>
    <m/>
    <s v="Chile"/>
    <m/>
    <m/>
    <m/>
    <m/>
    <m/>
    <m/>
    <s v=""/>
    <m/>
    <n v="40168.067226890758"/>
    <n v="7631.9327731092417"/>
    <s v="Pirque"/>
    <s v="Conocido"/>
    <s v="SI"/>
    <m/>
    <m/>
    <x v="0"/>
    <m/>
  </r>
  <r>
    <s v="C495"/>
    <s v="Felipe Saint Jean Metzen"/>
    <n v="0"/>
    <n v="2744"/>
    <m/>
    <m/>
    <n v="6197"/>
    <n v="16500"/>
    <m/>
    <n v="16500"/>
    <x v="46"/>
    <n v="0"/>
    <d v="2019-11-28T00:00:00"/>
    <s v="Pagado"/>
    <d v="2019-11-28T00:00:00"/>
    <n v="16500"/>
    <s v="Transferencia"/>
    <m/>
    <m/>
    <s v="Estado"/>
    <m/>
    <m/>
    <m/>
    <m/>
    <m/>
    <m/>
    <s v=""/>
    <m/>
    <n v="13865.546218487396"/>
    <n v="2634.4537815126041"/>
    <s v="Pirque"/>
    <s v="Revista"/>
    <s v="SI"/>
    <m/>
    <m/>
    <x v="0"/>
    <m/>
  </r>
  <r>
    <s v="C086"/>
    <s v="Cristian Guillermo Ortiz Gonzalez"/>
    <n v="0"/>
    <n v="2740"/>
    <m/>
    <m/>
    <n v="6192"/>
    <n v="18400"/>
    <m/>
    <n v="18400"/>
    <x v="46"/>
    <n v="0"/>
    <d v="2019-11-28T00:00:00"/>
    <s v="Pagado"/>
    <d v="2019-12-09T00:00:00"/>
    <n v="18400"/>
    <s v="Transferencia"/>
    <m/>
    <m/>
    <s v="Chile"/>
    <m/>
    <m/>
    <m/>
    <m/>
    <m/>
    <m/>
    <s v=""/>
    <m/>
    <n v="15462.18487394958"/>
    <n v="2937.8151260504201"/>
    <s v="Pirque"/>
    <s v="Conocido"/>
    <s v="SI"/>
    <m/>
    <m/>
    <x v="0"/>
    <m/>
  </r>
  <r>
    <s v="C446"/>
    <s v="Raul Saez"/>
    <n v="0"/>
    <n v="2745"/>
    <m/>
    <m/>
    <n v="6199"/>
    <n v="22800"/>
    <m/>
    <n v="22800"/>
    <x v="47"/>
    <n v="0"/>
    <d v="2019-11-29T00:00:00"/>
    <s v="Pagado"/>
    <d v="2019-11-28T00:00:00"/>
    <n v="22800"/>
    <s v="Transferencia"/>
    <m/>
    <m/>
    <s v="BCI"/>
    <m/>
    <m/>
    <m/>
    <m/>
    <m/>
    <m/>
    <s v=""/>
    <m/>
    <n v="19159.663865546219"/>
    <n v="3640.3361344537807"/>
    <s v="Cajon"/>
    <s v="Revista"/>
    <s v="SI"/>
    <m/>
    <m/>
    <x v="0"/>
    <m/>
  </r>
  <r>
    <s v="C079"/>
    <s v="Kim Cornely"/>
    <n v="0"/>
    <n v="2747"/>
    <m/>
    <m/>
    <n v="6198"/>
    <n v="9600"/>
    <m/>
    <n v="9600"/>
    <x v="47"/>
    <n v="0"/>
    <d v="2019-11-29T00:00:00"/>
    <s v="Pagado"/>
    <d v="2019-11-29T00:00:00"/>
    <n v="9600"/>
    <s v="Efectivo"/>
    <m/>
    <m/>
    <m/>
    <m/>
    <m/>
    <m/>
    <m/>
    <m/>
    <m/>
    <s v=""/>
    <m/>
    <n v="8067.226890756303"/>
    <n v="1532.773109243697"/>
    <s v="Pirque"/>
    <s v="Conocido"/>
    <s v="SI"/>
    <m/>
    <m/>
    <x v="0"/>
    <m/>
  </r>
  <r>
    <s v="C035"/>
    <s v="Jimena Isabel Alfaro Navarro"/>
    <n v="3015"/>
    <n v="0"/>
    <m/>
    <m/>
    <s v="sn"/>
    <n v="48680"/>
    <m/>
    <n v="48680"/>
    <x v="47"/>
    <n v="0"/>
    <d v="2019-11-29T00:00:00"/>
    <s v="Pagado"/>
    <d v="2019-11-29T00:00:00"/>
    <n v="48680"/>
    <s v="Efectivo"/>
    <m/>
    <m/>
    <m/>
    <m/>
    <m/>
    <m/>
    <m/>
    <m/>
    <m/>
    <s v=""/>
    <m/>
    <n v="40907.563025210089"/>
    <n v="7772.4369747899109"/>
    <s v="Chada"/>
    <s v="Visita"/>
    <s v="SI"/>
    <m/>
    <m/>
    <x v="1"/>
    <m/>
  </r>
  <r>
    <s v="C263"/>
    <s v="Jeanny Reyes"/>
    <n v="0"/>
    <n v="2746"/>
    <m/>
    <m/>
    <s v="sn"/>
    <n v="23500"/>
    <m/>
    <n v="23500"/>
    <x v="47"/>
    <n v="0"/>
    <d v="2019-11-29T00:00:00"/>
    <s v="Pagado"/>
    <d v="2019-11-29T00:00:00"/>
    <n v="23500"/>
    <s v="Efectivo"/>
    <m/>
    <m/>
    <m/>
    <m/>
    <m/>
    <m/>
    <m/>
    <m/>
    <m/>
    <s v=""/>
    <m/>
    <n v="19747.899159663866"/>
    <n v="3752.1008403361338"/>
    <s v="Pirque"/>
    <s v="Conocido"/>
    <s v="SI"/>
    <m/>
    <m/>
    <x v="0"/>
    <m/>
  </r>
  <r>
    <s v="C418"/>
    <s v="Claudia Ormazabal"/>
    <n v="0"/>
    <n v="2748"/>
    <m/>
    <m/>
    <n v="6201"/>
    <n v="25300"/>
    <m/>
    <n v="25300"/>
    <x v="47"/>
    <n v="0"/>
    <d v="2019-11-29T00:00:00"/>
    <s v="Abonado"/>
    <d v="2019-11-29T00:00:00"/>
    <n v="20000"/>
    <s v="Efectivo"/>
    <m/>
    <m/>
    <m/>
    <m/>
    <m/>
    <m/>
    <m/>
    <m/>
    <m/>
    <s v=""/>
    <m/>
    <n v="21260.504201680673"/>
    <n v="4039.4957983193272"/>
    <s v="Pirque"/>
    <s v="Conocido"/>
    <s v="NO"/>
    <m/>
    <m/>
    <x v="0"/>
    <m/>
  </r>
  <r>
    <s v="C062"/>
    <s v="Verena Scholtbach"/>
    <n v="0"/>
    <n v="0"/>
    <m/>
    <m/>
    <n v="6204"/>
    <n v="7500"/>
    <m/>
    <n v="7500"/>
    <x v="48"/>
    <n v="0"/>
    <d v="2019-11-30T00:00:00"/>
    <s v="Pagado"/>
    <d v="2019-12-11T00:00:00"/>
    <n v="7500"/>
    <s v="Transferencia"/>
    <m/>
    <m/>
    <s v="BCI"/>
    <m/>
    <m/>
    <m/>
    <m/>
    <m/>
    <m/>
    <s v=""/>
    <m/>
    <n v="6302.5210084033615"/>
    <n v="1197.4789915966385"/>
    <s v="Pirque"/>
    <s v="Conocido"/>
    <s v="SI"/>
    <m/>
    <m/>
    <x v="0"/>
    <m/>
  </r>
  <r>
    <s v="C028"/>
    <s v="Luz María Velasquez"/>
    <n v="0"/>
    <n v="0"/>
    <m/>
    <m/>
    <n v="6206"/>
    <n v="14000"/>
    <m/>
    <n v="14000"/>
    <x v="48"/>
    <n v="0"/>
    <d v="2019-11-30T00:00:00"/>
    <s v="Pagado"/>
    <d v="2019-12-11T00:00:00"/>
    <n v="14000"/>
    <s v="Transferencia"/>
    <m/>
    <m/>
    <s v="Scotiabank"/>
    <m/>
    <m/>
    <m/>
    <m/>
    <m/>
    <m/>
    <s v=""/>
    <m/>
    <n v="11764.705882352942"/>
    <n v="2235.2941176470576"/>
    <s v="Chada"/>
    <s v="Conocido"/>
    <s v="SI"/>
    <m/>
    <m/>
    <x v="0"/>
    <m/>
  </r>
  <r>
    <s v="C536"/>
    <s v="Katherine Gonzalez"/>
    <n v="0"/>
    <n v="0"/>
    <m/>
    <m/>
    <n v="6166"/>
    <n v="106500"/>
    <m/>
    <n v="106500"/>
    <x v="48"/>
    <n v="0"/>
    <d v="2019-11-30T00:00:00"/>
    <s v="Pagado"/>
    <d v="2019-12-02T00:00:00"/>
    <n v="106500"/>
    <s v="Transferencia"/>
    <m/>
    <m/>
    <s v="Santander"/>
    <m/>
    <m/>
    <m/>
    <m/>
    <m/>
    <m/>
    <s v=""/>
    <m/>
    <n v="89495.798319327732"/>
    <n v="17004.201680672268"/>
    <s v="Pirque"/>
    <s v="Matute Pirque"/>
    <s v="SI"/>
    <m/>
    <m/>
    <x v="0"/>
    <m/>
  </r>
  <r>
    <s v="C627"/>
    <s v="Juan Elola"/>
    <n v="0"/>
    <s v="sn"/>
    <m/>
    <m/>
    <n v="6202"/>
    <n v="19000"/>
    <m/>
    <n v="19000"/>
    <x v="48"/>
    <n v="0"/>
    <d v="2019-11-30T00:00:00"/>
    <s v="Pagado"/>
    <d v="2019-11-30T00:00:00"/>
    <n v="19000"/>
    <s v="Efectivo"/>
    <m/>
    <m/>
    <m/>
    <m/>
    <n v="4955436"/>
    <n v="19000"/>
    <d v="2019-12-06T00:00:00"/>
    <s v="Chile"/>
    <m/>
    <s v=""/>
    <m/>
    <n v="15966.386554621849"/>
    <n v="3033.6134453781506"/>
    <s v="Pirque"/>
    <s v="Revista"/>
    <s v="SI"/>
    <m/>
    <m/>
    <x v="0"/>
    <m/>
  </r>
  <r>
    <s v="C173"/>
    <s v="Joelle Buyse"/>
    <n v="0"/>
    <n v="172"/>
    <m/>
    <m/>
    <n v="6185"/>
    <n v="39200"/>
    <m/>
    <n v="39200"/>
    <x v="48"/>
    <n v="0"/>
    <d v="2019-11-30T00:00:00"/>
    <s v="Pagado"/>
    <d v="2019-11-30T00:00:00"/>
    <n v="39200"/>
    <s v="Transbank"/>
    <s v="Debito"/>
    <n v="172"/>
    <m/>
    <m/>
    <m/>
    <m/>
    <m/>
    <m/>
    <m/>
    <s v=""/>
    <m/>
    <n v="32941.176470588238"/>
    <n v="6258.8235294117621"/>
    <s v="Pirque"/>
    <s v="Conocido"/>
    <s v="SI"/>
    <m/>
    <m/>
    <x v="0"/>
    <m/>
  </r>
  <r>
    <s v="C434"/>
    <s v="Betty Ravillot"/>
    <n v="0"/>
    <n v="171"/>
    <m/>
    <m/>
    <n v="7207"/>
    <n v="33500"/>
    <m/>
    <n v="33500"/>
    <x v="48"/>
    <n v="0"/>
    <d v="2019-11-30T00:00:00"/>
    <s v="Pagado"/>
    <d v="2019-11-30T00:00:00"/>
    <n v="33500"/>
    <s v="Transbank"/>
    <s v="Debito"/>
    <n v="171"/>
    <m/>
    <m/>
    <m/>
    <m/>
    <m/>
    <m/>
    <m/>
    <s v=""/>
    <m/>
    <n v="28151.26050420168"/>
    <n v="5348.7394957983197"/>
    <s v="Pirque"/>
    <s v="Revista"/>
    <s v="SI"/>
    <m/>
    <m/>
    <x v="0"/>
    <m/>
  </r>
  <r>
    <s v="C047"/>
    <s v="Astrid Rauttenberg"/>
    <n v="0"/>
    <n v="0"/>
    <m/>
    <m/>
    <n v="6205"/>
    <n v="18000"/>
    <m/>
    <n v="18000"/>
    <x v="48"/>
    <n v="0"/>
    <d v="2019-11-30T00:00:00"/>
    <s v="Pagado"/>
    <d v="2019-12-31T00:00:00"/>
    <n v="18000"/>
    <s v="Transferencia"/>
    <m/>
    <m/>
    <s v="Estado"/>
    <m/>
    <m/>
    <m/>
    <m/>
    <m/>
    <m/>
    <s v=""/>
    <m/>
    <n v="15126.050420168069"/>
    <n v="2873.9495798319313"/>
    <s v="Pirque"/>
    <s v="Conocido"/>
    <s v="SI"/>
    <m/>
    <m/>
    <x v="0"/>
    <m/>
  </r>
  <r>
    <s v="C572"/>
    <s v="Aldo Tapia"/>
    <n v="0"/>
    <n v="2749"/>
    <m/>
    <m/>
    <n v="6203"/>
    <n v="20900"/>
    <m/>
    <n v="20900"/>
    <x v="48"/>
    <n v="0"/>
    <d v="2019-11-30T00:00:00"/>
    <s v="Pagado"/>
    <d v="2019-11-30T00:00:00"/>
    <n v="20900"/>
    <s v="Efectivo"/>
    <m/>
    <m/>
    <m/>
    <m/>
    <n v="4955436"/>
    <n v="20900"/>
    <d v="2019-12-06T00:00:00"/>
    <s v="Chile"/>
    <m/>
    <s v=""/>
    <m/>
    <n v="17563.025210084033"/>
    <n v="3336.9747899159665"/>
    <s v="Pirque"/>
    <s v="Revista"/>
    <s v="SI"/>
    <m/>
    <m/>
    <x v="0"/>
    <m/>
  </r>
  <r>
    <s v="C020"/>
    <s v="Sabores y Vinos Bernardita Munita EIRL"/>
    <s v="P"/>
    <n v="0"/>
    <m/>
    <m/>
    <s v="OC 01"/>
    <n v="87412"/>
    <m/>
    <n v="87412"/>
    <x v="49"/>
    <n v="0"/>
    <d v="2019-12-01T00:00:00"/>
    <s v="Pagado"/>
    <d v="2019-12-11T00:00:00"/>
    <n v="87412"/>
    <s v="Transferencia"/>
    <m/>
    <m/>
    <s v="Chile"/>
    <m/>
    <m/>
    <m/>
    <m/>
    <m/>
    <d v="2019-11-02T00:00:00"/>
    <s v=""/>
    <m/>
    <n v="73455.462184873948"/>
    <n v="13956.537815126052"/>
    <s v="Pirque"/>
    <s v="Visita"/>
    <s v="SI"/>
    <m/>
    <m/>
    <x v="1"/>
    <m/>
  </r>
  <r>
    <s v="C020"/>
    <s v="Sabores y Vinos Bernardita Munita EIRL"/>
    <s v="P"/>
    <n v="0"/>
    <m/>
    <m/>
    <s v="OC 02"/>
    <n v="56907"/>
    <m/>
    <n v="56907"/>
    <x v="49"/>
    <n v="0"/>
    <d v="2019-12-01T00:00:00"/>
    <s v="Pagado"/>
    <d v="2019-12-11T00:00:00"/>
    <n v="56907"/>
    <s v="Transferencia"/>
    <m/>
    <m/>
    <s v="Chile"/>
    <m/>
    <m/>
    <m/>
    <m/>
    <m/>
    <d v="2019-11-09T00:00:00"/>
    <s v=""/>
    <m/>
    <n v="47821.008403361346"/>
    <n v="9085.9915966386543"/>
    <s v="Pirque"/>
    <s v="Visita"/>
    <s v="SI"/>
    <m/>
    <m/>
    <x v="1"/>
    <m/>
  </r>
  <r>
    <s v="C020"/>
    <s v="Sabores y Vinos Bernardita Munita EIRL"/>
    <s v="P"/>
    <n v="0"/>
    <m/>
    <m/>
    <s v="OC 03"/>
    <n v="92655"/>
    <m/>
    <n v="92655"/>
    <x v="49"/>
    <n v="0"/>
    <d v="2019-12-01T00:00:00"/>
    <s v="Pagado"/>
    <d v="2019-12-11T00:00:00"/>
    <n v="92655"/>
    <s v="Transferencia"/>
    <m/>
    <m/>
    <s v="Chile"/>
    <m/>
    <m/>
    <m/>
    <m/>
    <m/>
    <d v="2019-11-19T00:00:00"/>
    <s v=""/>
    <m/>
    <n v="77861.344537815123"/>
    <n v="14793.655462184877"/>
    <s v="Pirque"/>
    <s v="Visita"/>
    <s v="SI"/>
    <m/>
    <m/>
    <x v="1"/>
    <m/>
  </r>
  <r>
    <s v="C020"/>
    <s v="Sabores y Vinos Bernardita Munita EIRL"/>
    <s v="P"/>
    <n v="0"/>
    <m/>
    <m/>
    <s v="OC 04"/>
    <n v="43944"/>
    <m/>
    <n v="43944"/>
    <x v="49"/>
    <n v="0"/>
    <d v="2019-12-01T00:00:00"/>
    <s v="Pagado"/>
    <d v="2019-12-11T00:00:00"/>
    <n v="43944"/>
    <s v="Transferencia"/>
    <m/>
    <m/>
    <s v="Chile"/>
    <m/>
    <m/>
    <m/>
    <m/>
    <m/>
    <d v="2019-11-19T00:00:00"/>
    <s v=""/>
    <m/>
    <n v="36927.731092436974"/>
    <n v="7016.268907563026"/>
    <s v="Pirque"/>
    <s v="Visita"/>
    <s v="SI"/>
    <m/>
    <m/>
    <x v="1"/>
    <m/>
  </r>
  <r>
    <s v="C020"/>
    <s v="Sabores y Vinos Bernardita Munita EIRL"/>
    <s v="P"/>
    <n v="0"/>
    <m/>
    <m/>
    <s v="OC 05"/>
    <n v="64475"/>
    <m/>
    <n v="64475"/>
    <x v="49"/>
    <n v="0"/>
    <d v="2019-12-01T00:00:00"/>
    <s v="Pagado"/>
    <d v="2019-12-11T00:00:00"/>
    <n v="64475"/>
    <s v="Transferencia"/>
    <m/>
    <m/>
    <s v="Chile"/>
    <m/>
    <m/>
    <m/>
    <m/>
    <m/>
    <d v="2019-11-28T00:00:00"/>
    <s v=""/>
    <m/>
    <n v="54180.672268907569"/>
    <n v="10294.327731092431"/>
    <s v="Pirque"/>
    <s v="Visita"/>
    <s v="SI"/>
    <m/>
    <m/>
    <x v="1"/>
    <m/>
  </r>
  <r>
    <s v="C556"/>
    <s v="Patricio Tapia"/>
    <n v="0"/>
    <n v="2750"/>
    <m/>
    <m/>
    <n v="6208"/>
    <n v="26300"/>
    <m/>
    <n v="26300"/>
    <x v="50"/>
    <n v="0"/>
    <d v="2019-12-02T00:00:00"/>
    <s v="Pagado"/>
    <d v="2019-12-02T00:00:00"/>
    <n v="26300"/>
    <s v="Transferencia"/>
    <m/>
    <m/>
    <s v="Chile"/>
    <m/>
    <m/>
    <m/>
    <m/>
    <m/>
    <m/>
    <s v=""/>
    <m/>
    <n v="22100.840336134454"/>
    <n v="4199.1596638655465"/>
    <s v="Pirque"/>
    <s v="Revista"/>
    <s v="SI"/>
    <m/>
    <m/>
    <x v="0"/>
    <m/>
  </r>
  <r>
    <s v="C066"/>
    <s v="Marisol Ximena Ibarra Medina"/>
    <n v="0"/>
    <n v="2754"/>
    <m/>
    <m/>
    <n v="6213"/>
    <n v="19700"/>
    <m/>
    <n v="19700"/>
    <x v="50"/>
    <n v="0"/>
    <d v="2019-12-02T00:00:00"/>
    <s v="Pagado"/>
    <d v="2019-12-02T00:00:00"/>
    <n v="19700"/>
    <s v="Transferencia"/>
    <m/>
    <m/>
    <s v="Santander"/>
    <m/>
    <m/>
    <m/>
    <m/>
    <m/>
    <m/>
    <s v=""/>
    <m/>
    <n v="16554.621848739498"/>
    <n v="3145.3781512605019"/>
    <s v="Pirque"/>
    <s v="Conocido"/>
    <s v="SI"/>
    <m/>
    <m/>
    <x v="0"/>
    <m/>
  </r>
  <r>
    <s v="C079"/>
    <s v="Kim Cornely"/>
    <n v="0"/>
    <n v="2753"/>
    <m/>
    <m/>
    <n v="6211"/>
    <n v="20200"/>
    <m/>
    <n v="20200"/>
    <x v="50"/>
    <n v="0"/>
    <d v="2019-12-02T00:00:00"/>
    <s v="Pagado"/>
    <d v="2019-12-02T00:00:00"/>
    <n v="20200"/>
    <s v="Efectivo"/>
    <m/>
    <m/>
    <m/>
    <m/>
    <n v="4955436"/>
    <n v="20200"/>
    <d v="2019-12-06T00:00:00"/>
    <s v="Chile"/>
    <m/>
    <s v=""/>
    <m/>
    <n v="16974.789915966387"/>
    <n v="3225.2100840336134"/>
    <s v="Pirque"/>
    <s v="Conocido"/>
    <s v="SI"/>
    <m/>
    <m/>
    <x v="0"/>
    <m/>
  </r>
  <r>
    <s v="C158"/>
    <s v="Jose Miguel Osorio"/>
    <n v="0"/>
    <n v="173"/>
    <m/>
    <m/>
    <n v="6212"/>
    <n v="44100"/>
    <m/>
    <n v="44100"/>
    <x v="50"/>
    <n v="0"/>
    <d v="2019-12-02T00:00:00"/>
    <s v="Pagado"/>
    <d v="2019-12-02T00:00:00"/>
    <n v="44100"/>
    <s v="Transbank"/>
    <s v="Debito"/>
    <n v="173"/>
    <m/>
    <m/>
    <m/>
    <m/>
    <m/>
    <m/>
    <m/>
    <s v=""/>
    <m/>
    <n v="37058.823529411769"/>
    <n v="7041.1764705882306"/>
    <s v="Pirque"/>
    <s v="Conocido"/>
    <s v="SI"/>
    <m/>
    <m/>
    <x v="0"/>
    <m/>
  </r>
  <r>
    <s v="C294"/>
    <s v="Jadra Aguad"/>
    <n v="0"/>
    <n v="2751"/>
    <m/>
    <m/>
    <n v="6209"/>
    <n v="22800"/>
    <m/>
    <n v="22800"/>
    <x v="50"/>
    <n v="0"/>
    <d v="2019-12-02T00:00:00"/>
    <s v="Pagado"/>
    <d v="2019-12-03T00:00:00"/>
    <n v="22800"/>
    <s v="Transferencia"/>
    <m/>
    <m/>
    <s v="Santander"/>
    <m/>
    <m/>
    <m/>
    <m/>
    <m/>
    <m/>
    <s v=""/>
    <m/>
    <n v="19159.663865546219"/>
    <n v="3640.3361344537807"/>
    <s v="Pirque"/>
    <s v="Conocido"/>
    <s v="SI"/>
    <m/>
    <m/>
    <x v="0"/>
    <m/>
  </r>
  <r>
    <s v="C534"/>
    <s v="Helga Nagilschmitz"/>
    <n v="0"/>
    <n v="174"/>
    <m/>
    <m/>
    <n v="6214"/>
    <n v="71000"/>
    <m/>
    <n v="71000"/>
    <x v="50"/>
    <n v="0"/>
    <d v="2019-12-02T00:00:00"/>
    <s v="Pagado"/>
    <d v="2019-12-03T00:00:00"/>
    <n v="71000"/>
    <s v="Transbank"/>
    <s v="Debito"/>
    <n v="174"/>
    <m/>
    <m/>
    <m/>
    <m/>
    <m/>
    <m/>
    <m/>
    <s v=""/>
    <m/>
    <n v="59663.865546218491"/>
    <n v="11336.134453781509"/>
    <s v="Pirque"/>
    <s v="Revista"/>
    <s v="SI"/>
    <m/>
    <m/>
    <x v="0"/>
    <m/>
  </r>
  <r>
    <s v="C073"/>
    <s v="Celinda Varela"/>
    <n v="0"/>
    <n v="2752"/>
    <m/>
    <m/>
    <n v="6210"/>
    <n v="19700"/>
    <m/>
    <n v="19700"/>
    <x v="50"/>
    <n v="0"/>
    <d v="2019-12-02T00:00:00"/>
    <s v="Pagado"/>
    <d v="2019-12-09T00:00:00"/>
    <n v="19700"/>
    <s v="Efectivo"/>
    <m/>
    <m/>
    <m/>
    <m/>
    <n v="2270731"/>
    <n v="19700"/>
    <d v="2019-12-11T00:00:00"/>
    <s v="Chile"/>
    <m/>
    <s v=""/>
    <m/>
    <n v="16554.621848739498"/>
    <n v="3145.3781512605019"/>
    <s v="Pirque"/>
    <s v="Conocido"/>
    <s v="SI"/>
    <m/>
    <m/>
    <x v="0"/>
    <m/>
  </r>
  <r>
    <s v="C082"/>
    <s v="Ximena Uribe"/>
    <n v="0"/>
    <n v="2755"/>
    <m/>
    <m/>
    <n v="6217"/>
    <n v="9600"/>
    <m/>
    <n v="9600"/>
    <x v="51"/>
    <n v="0"/>
    <d v="2019-12-03T00:00:00"/>
    <s v="Pagado"/>
    <d v="2019-12-03T00:00:00"/>
    <n v="9600"/>
    <s v="Efectivo"/>
    <m/>
    <m/>
    <m/>
    <m/>
    <n v="4955436"/>
    <n v="9600"/>
    <d v="2019-12-06T00:00:00"/>
    <s v="Chile"/>
    <m/>
    <s v=""/>
    <m/>
    <n v="8067.226890756303"/>
    <n v="1532.773109243697"/>
    <s v="Pirque"/>
    <s v="Conocido"/>
    <s v="SI"/>
    <m/>
    <m/>
    <x v="0"/>
    <m/>
  </r>
  <r>
    <s v="C225"/>
    <s v="Tomy Scholtbach"/>
    <n v="0"/>
    <n v="0"/>
    <m/>
    <m/>
    <n v="6221"/>
    <n v="10200"/>
    <m/>
    <n v="10200"/>
    <x v="51"/>
    <n v="0"/>
    <d v="2019-12-03T00:00:00"/>
    <s v="Vencido"/>
    <m/>
    <m/>
    <m/>
    <m/>
    <m/>
    <m/>
    <m/>
    <m/>
    <m/>
    <m/>
    <m/>
    <m/>
    <s v=""/>
    <m/>
    <n v="8571.4285714285725"/>
    <n v="1628.5714285714275"/>
    <s v="Santiago"/>
    <s v="Conocido"/>
    <s v="NO"/>
    <m/>
    <m/>
    <x v="0"/>
    <m/>
  </r>
  <r>
    <s v="C065"/>
    <s v="Peter De Lamare"/>
    <n v="0"/>
    <n v="0"/>
    <m/>
    <m/>
    <n v="6216"/>
    <n v="13300"/>
    <m/>
    <n v="13300"/>
    <x v="51"/>
    <n v="0"/>
    <d v="2019-12-03T00:00:00"/>
    <s v="Pagado"/>
    <d v="2020-01-06T00:00:00"/>
    <n v="13300"/>
    <s v="Cheque a Fecha"/>
    <m/>
    <n v="2827043"/>
    <s v="Bice"/>
    <m/>
    <n v="2719733"/>
    <n v="13300"/>
    <d v="2020-01-06T00:00:00"/>
    <s v="Chile"/>
    <m/>
    <s v="Otros"/>
    <m/>
    <n v="11176.470588235296"/>
    <n v="2123.5294117647045"/>
    <s v="Pirque"/>
    <s v="Conocido"/>
    <s v="SI"/>
    <m/>
    <m/>
    <x v="0"/>
    <m/>
  </r>
  <r>
    <s v="C370"/>
    <s v="Manuel Monteiro"/>
    <n v="3090"/>
    <n v="0"/>
    <m/>
    <m/>
    <n v="6218"/>
    <n v="34500"/>
    <m/>
    <n v="34500"/>
    <x v="51"/>
    <n v="0"/>
    <d v="2019-12-03T00:00:00"/>
    <s v="Pagado"/>
    <d v="2019-12-03T00:00:00"/>
    <n v="34500"/>
    <s v="Transferencia"/>
    <m/>
    <m/>
    <s v="Estado"/>
    <m/>
    <m/>
    <m/>
    <m/>
    <m/>
    <m/>
    <s v=""/>
    <m/>
    <n v="28991.596638655465"/>
    <n v="5508.4033613445354"/>
    <s v="Pirque"/>
    <s v="Conocido"/>
    <s v="SI"/>
    <m/>
    <m/>
    <x v="1"/>
    <m/>
  </r>
  <r>
    <s v="C558"/>
    <s v="Carola Pardo"/>
    <n v="0"/>
    <n v="2756"/>
    <m/>
    <m/>
    <n v="6219"/>
    <n v="19700"/>
    <m/>
    <n v="19700"/>
    <x v="51"/>
    <n v="0"/>
    <d v="2019-12-03T00:00:00"/>
    <s v="Pagado"/>
    <d v="2019-12-03T00:00:00"/>
    <n v="19700"/>
    <s v="Efectivo"/>
    <m/>
    <m/>
    <m/>
    <m/>
    <n v="4955436"/>
    <n v="19700"/>
    <d v="2019-12-06T00:00:00"/>
    <s v="Chile"/>
    <m/>
    <s v=""/>
    <m/>
    <n v="16554.621848739498"/>
    <n v="3145.3781512605019"/>
    <s v="Pirque"/>
    <s v="Revista"/>
    <s v="SI"/>
    <m/>
    <m/>
    <x v="0"/>
    <m/>
  </r>
  <r>
    <s v="C396"/>
    <s v="Alejandro Ossandon"/>
    <n v="0"/>
    <n v="175"/>
    <m/>
    <m/>
    <n v="6220"/>
    <n v="60300"/>
    <m/>
    <n v="60300"/>
    <x v="51"/>
    <n v="0"/>
    <d v="2019-12-03T00:00:00"/>
    <s v="Pagado"/>
    <d v="2019-12-03T00:00:00"/>
    <n v="60300"/>
    <s v="Transbank"/>
    <s v="Debito"/>
    <n v="175"/>
    <m/>
    <m/>
    <m/>
    <m/>
    <m/>
    <m/>
    <m/>
    <s v=""/>
    <m/>
    <n v="50672.268907563026"/>
    <n v="9627.731092436974"/>
    <s v="Pirque"/>
    <s v="Conocido"/>
    <s v="SI"/>
    <m/>
    <m/>
    <x v="0"/>
    <m/>
  </r>
  <r>
    <s v="C004"/>
    <s v="Rosa Gladys Vidal Mora"/>
    <n v="3017"/>
    <n v="0"/>
    <m/>
    <m/>
    <s v="sn"/>
    <n v="64460"/>
    <m/>
    <n v="64460"/>
    <x v="52"/>
    <n v="7"/>
    <d v="2019-12-11T00:00:00"/>
    <s v="Pagado"/>
    <d v="2019-12-12T00:00:00"/>
    <n v="64460"/>
    <s v="Cheque a Fecha"/>
    <m/>
    <n v="1116075"/>
    <s v="Santander"/>
    <d v="2019-12-16T00:00:00"/>
    <m/>
    <m/>
    <m/>
    <m/>
    <m/>
    <s v="Otros"/>
    <m/>
    <n v="54168.067226890758"/>
    <n v="10291.932773109242"/>
    <s v="Cajon"/>
    <s v="Visita"/>
    <s v="SI"/>
    <m/>
    <m/>
    <x v="1"/>
    <m/>
  </r>
  <r>
    <s v="C003"/>
    <s v="Hector Felipe Ramos Osorio"/>
    <n v="3016"/>
    <n v="0"/>
    <m/>
    <m/>
    <s v="sn"/>
    <n v="184188"/>
    <m/>
    <n v="184188"/>
    <x v="52"/>
    <n v="30"/>
    <d v="2020-01-03T00:00:00"/>
    <s v="Pagado"/>
    <d v="2019-12-04T00:00:00"/>
    <n v="184188"/>
    <s v="Cheque a Fecha"/>
    <m/>
    <n v="7309257"/>
    <s v="Estado"/>
    <d v="2019-01-04T00:00:00"/>
    <m/>
    <m/>
    <m/>
    <m/>
    <m/>
    <s v="Otros"/>
    <m/>
    <n v="154779.83193277312"/>
    <n v="29408.168067226885"/>
    <s v="Cajon"/>
    <s v="Visita"/>
    <s v="SI"/>
    <m/>
    <m/>
    <x v="1"/>
    <m/>
  </r>
  <r>
    <s v="C043"/>
    <s v="Consuelo Andrea Sanchez Bisbal"/>
    <n v="0"/>
    <n v="2758"/>
    <m/>
    <m/>
    <n v="6222"/>
    <n v="20900"/>
    <m/>
    <n v="20900"/>
    <x v="52"/>
    <n v="0"/>
    <d v="2019-12-04T00:00:00"/>
    <s v="Pagado"/>
    <d v="2019-12-05T00:00:00"/>
    <n v="22900"/>
    <s v="Transferencia"/>
    <m/>
    <m/>
    <s v="Falabella"/>
    <m/>
    <m/>
    <m/>
    <m/>
    <m/>
    <m/>
    <s v=""/>
    <m/>
    <n v="17563.025210084033"/>
    <n v="3336.9747899159665"/>
    <s v="Pirque"/>
    <s v="Revista"/>
    <s v="SI"/>
    <m/>
    <m/>
    <x v="0"/>
    <m/>
  </r>
  <r>
    <s v="C037"/>
    <s v="Amelia Cortes"/>
    <n v="0"/>
    <n v="2757"/>
    <m/>
    <m/>
    <s v="sn"/>
    <n v="44700"/>
    <m/>
    <n v="44700"/>
    <x v="52"/>
    <n v="0"/>
    <d v="2019-12-04T00:00:00"/>
    <s v="Pagado"/>
    <d v="2019-12-13T00:00:00"/>
    <n v="44700"/>
    <s v="Transferencia"/>
    <m/>
    <m/>
    <s v="Itaú"/>
    <m/>
    <m/>
    <m/>
    <m/>
    <m/>
    <m/>
    <s v=""/>
    <m/>
    <n v="37563.025210084037"/>
    <n v="7136.9747899159629"/>
    <s v="Cajon"/>
    <s v="Revista"/>
    <s v="SI"/>
    <m/>
    <m/>
    <x v="0"/>
    <m/>
  </r>
  <r>
    <s v="C072"/>
    <s v="Walter Folch"/>
    <n v="0"/>
    <n v="180"/>
    <m/>
    <m/>
    <n v="6224"/>
    <n v="20900"/>
    <m/>
    <n v="20900"/>
    <x v="53"/>
    <n v="0"/>
    <d v="2019-12-05T00:00:00"/>
    <s v="Pagado"/>
    <d v="2019-12-05T00:00:00"/>
    <n v="20900"/>
    <s v="Transbank"/>
    <s v="Debito"/>
    <n v="180"/>
    <m/>
    <m/>
    <m/>
    <m/>
    <m/>
    <m/>
    <m/>
    <s v=""/>
    <m/>
    <n v="17563.025210084033"/>
    <n v="3336.9747899159665"/>
    <s v="Pirque"/>
    <s v="Conocido"/>
    <s v="SI"/>
    <m/>
    <m/>
    <x v="0"/>
    <m/>
  </r>
  <r>
    <s v="C501"/>
    <s v="Victor Rodriguez"/>
    <n v="0"/>
    <n v="2759"/>
    <m/>
    <m/>
    <n v="6223"/>
    <n v="22700"/>
    <m/>
    <n v="22700"/>
    <x v="53"/>
    <n v="0"/>
    <d v="2019-12-05T00:00:00"/>
    <s v="Pagado"/>
    <d v="2019-12-05T00:00:00"/>
    <n v="22700"/>
    <s v="Efectivo"/>
    <m/>
    <m/>
    <m/>
    <m/>
    <n v="2270729"/>
    <n v="22700"/>
    <d v="2019-12-09T00:00:00"/>
    <s v="Chile"/>
    <m/>
    <s v=""/>
    <m/>
    <n v="19075.63025210084"/>
    <n v="3624.3697478991598"/>
    <s v="Pirque"/>
    <s v="Revista"/>
    <s v="SI"/>
    <m/>
    <m/>
    <x v="0"/>
    <m/>
  </r>
  <r>
    <s v="C608"/>
    <s v="Solange Villarroel"/>
    <n v="0"/>
    <n v="2761"/>
    <m/>
    <m/>
    <n v="6228"/>
    <n v="19700"/>
    <m/>
    <n v="19700"/>
    <x v="53"/>
    <n v="0"/>
    <d v="2019-12-05T00:00:00"/>
    <s v="Pagado"/>
    <d v="2019-12-05T00:00:00"/>
    <n v="19700"/>
    <s v="Transferencia"/>
    <m/>
    <m/>
    <s v="Falabella"/>
    <m/>
    <m/>
    <m/>
    <m/>
    <m/>
    <m/>
    <s v=""/>
    <m/>
    <n v="16554.621848739498"/>
    <n v="3145.3781512605019"/>
    <s v="Pirque"/>
    <s v="Revista"/>
    <s v="SI"/>
    <m/>
    <m/>
    <x v="0"/>
    <m/>
  </r>
  <r>
    <s v="C612"/>
    <s v="Manuel Ponce"/>
    <n v="0"/>
    <n v="176"/>
    <m/>
    <m/>
    <n v="6229"/>
    <n v="34900"/>
    <m/>
    <n v="34900"/>
    <x v="53"/>
    <n v="0"/>
    <d v="2019-12-05T00:00:00"/>
    <s v="Pagado"/>
    <d v="2019-12-05T00:00:00"/>
    <n v="34900"/>
    <s v="Transbank"/>
    <s v="Debito"/>
    <n v="176"/>
    <m/>
    <m/>
    <m/>
    <m/>
    <m/>
    <m/>
    <m/>
    <s v=""/>
    <m/>
    <n v="29327.731092436978"/>
    <n v="5572.2689075630224"/>
    <s v="Pirque"/>
    <s v="Revista"/>
    <s v="SI"/>
    <m/>
    <m/>
    <x v="0"/>
    <m/>
  </r>
  <r>
    <s v="C076"/>
    <s v="Macarena Garcia"/>
    <n v="0"/>
    <n v="2764"/>
    <m/>
    <m/>
    <n v="6232"/>
    <n v="27000"/>
    <m/>
    <n v="27000"/>
    <x v="53"/>
    <n v="0"/>
    <d v="2019-12-05T00:00:00"/>
    <s v="Pagado"/>
    <d v="2019-12-08T00:00:00"/>
    <n v="27000"/>
    <s v="Transferencia"/>
    <m/>
    <m/>
    <s v="Chile"/>
    <m/>
    <m/>
    <m/>
    <m/>
    <m/>
    <m/>
    <s v=""/>
    <m/>
    <n v="22689.0756302521"/>
    <n v="4310.9243697478996"/>
    <s v="Chada"/>
    <s v="Conocido"/>
    <s v="SI"/>
    <m/>
    <m/>
    <x v="0"/>
    <m/>
  </r>
  <r>
    <s v="C620"/>
    <s v="Luz Maria Ossandon"/>
    <n v="0"/>
    <n v="2760"/>
    <m/>
    <m/>
    <n v="6226"/>
    <n v="19700"/>
    <m/>
    <n v="19700"/>
    <x v="53"/>
    <n v="0"/>
    <d v="2019-12-05T00:00:00"/>
    <s v="Pagado"/>
    <d v="2019-12-05T00:00:00"/>
    <n v="19700"/>
    <s v="Efectivo"/>
    <m/>
    <m/>
    <m/>
    <m/>
    <n v="4955436"/>
    <n v="19700"/>
    <d v="2019-12-06T00:00:00"/>
    <s v="Chile"/>
    <m/>
    <s v=""/>
    <m/>
    <n v="16554.621848739498"/>
    <n v="3145.3781512605019"/>
    <s v="Pirque"/>
    <s v="Conocido"/>
    <s v="SI"/>
    <m/>
    <m/>
    <x v="0"/>
    <m/>
  </r>
  <r>
    <s v="C003"/>
    <s v="Hector Felipe Ramos Osorio"/>
    <n v="3020"/>
    <n v="0"/>
    <n v="277"/>
    <m/>
    <s v="sn"/>
    <n v="159299"/>
    <n v="-159299"/>
    <n v="0"/>
    <x v="53"/>
    <n v="30"/>
    <d v="2020-01-04T00:00:00"/>
    <s v="Nulo"/>
    <m/>
    <m/>
    <m/>
    <m/>
    <m/>
    <m/>
    <m/>
    <m/>
    <m/>
    <m/>
    <m/>
    <m/>
    <s v=""/>
    <m/>
    <n v="133864.70588235295"/>
    <n v="25434.294117647049"/>
    <s v="Cajon"/>
    <s v="Visita"/>
    <s v="SI"/>
    <m/>
    <m/>
    <x v="1"/>
    <m/>
  </r>
  <r>
    <s v="C025"/>
    <s v="Felipe Eduardo Salinas Caro (Equimas)"/>
    <n v="3019"/>
    <n v="0"/>
    <m/>
    <m/>
    <s v="sn"/>
    <n v="169798"/>
    <m/>
    <n v="169798"/>
    <x v="53"/>
    <n v="30"/>
    <d v="2020-01-04T00:00:00"/>
    <s v="Vencido"/>
    <m/>
    <m/>
    <m/>
    <m/>
    <m/>
    <m/>
    <m/>
    <m/>
    <m/>
    <m/>
    <m/>
    <m/>
    <s v=""/>
    <m/>
    <n v="142687.3949579832"/>
    <n v="27110.605042016803"/>
    <s v="Pirque"/>
    <s v="Visita"/>
    <s v="NO"/>
    <m/>
    <m/>
    <x v="1"/>
    <m/>
  </r>
  <r>
    <s v="C025"/>
    <s v="Felipe Eduardo Salinas Caro (Equimas)"/>
    <n v="3021"/>
    <n v="0"/>
    <n v="287"/>
    <m/>
    <s v="sn"/>
    <n v="159299"/>
    <n v="-41950"/>
    <n v="117349"/>
    <x v="53"/>
    <n v="30"/>
    <d v="2020-01-04T00:00:00"/>
    <s v="Vencido"/>
    <m/>
    <m/>
    <m/>
    <m/>
    <m/>
    <m/>
    <m/>
    <m/>
    <m/>
    <m/>
    <m/>
    <m/>
    <s v=""/>
    <m/>
    <n v="133864.70588235295"/>
    <n v="25434.294117647049"/>
    <s v="Pirque"/>
    <s v="Visita"/>
    <s v="NO"/>
    <m/>
    <m/>
    <x v="1"/>
    <m/>
  </r>
  <r>
    <s v="C110"/>
    <s v="Domingo Gonzalez"/>
    <n v="0"/>
    <n v="2767"/>
    <m/>
    <m/>
    <n v="6225"/>
    <n v="175000"/>
    <m/>
    <n v="175000"/>
    <x v="53"/>
    <n v="0"/>
    <d v="2019-12-05T00:00:00"/>
    <s v="Pagado"/>
    <d v="2019-12-05T00:00:00"/>
    <n v="175000"/>
    <s v="Efectivo"/>
    <m/>
    <m/>
    <m/>
    <m/>
    <n v="2270729"/>
    <n v="175000"/>
    <d v="2019-12-09T00:00:00"/>
    <s v="Chile"/>
    <m/>
    <s v=""/>
    <m/>
    <n v="147058.82352941178"/>
    <n v="27941.176470588223"/>
    <s v="Pirque"/>
    <s v="Revista"/>
    <s v="SI"/>
    <m/>
    <m/>
    <x v="0"/>
    <m/>
  </r>
  <r>
    <s v="C032"/>
    <s v="Carlos Jobbe-Duval"/>
    <n v="0"/>
    <n v="0"/>
    <m/>
    <m/>
    <n v="6227"/>
    <n v="4900"/>
    <m/>
    <n v="4900"/>
    <x v="53"/>
    <n v="0"/>
    <d v="2019-12-05T00:00:00"/>
    <s v="Pagado"/>
    <d v="2020-01-29T00:00:00"/>
    <n v="4900"/>
    <s v="Transferencia"/>
    <m/>
    <m/>
    <s v="BCI"/>
    <m/>
    <m/>
    <m/>
    <m/>
    <m/>
    <m/>
    <s v=""/>
    <m/>
    <n v="4117.6470588235297"/>
    <n v="782.35294117647027"/>
    <s v="Pirque"/>
    <s v="Conocido"/>
    <s v="SI"/>
    <m/>
    <m/>
    <x v="0"/>
    <m/>
  </r>
  <r>
    <s v="C488"/>
    <s v="Trinidad Siviragol"/>
    <n v="0"/>
    <n v="2762"/>
    <m/>
    <m/>
    <n v="6234"/>
    <n v="22800"/>
    <m/>
    <n v="22800"/>
    <x v="54"/>
    <n v="0"/>
    <d v="2019-12-06T00:00:00"/>
    <s v="Pagado"/>
    <d v="2019-12-08T00:00:00"/>
    <n v="22800"/>
    <s v="Transferencia"/>
    <m/>
    <m/>
    <s v="Chile"/>
    <m/>
    <m/>
    <m/>
    <m/>
    <m/>
    <m/>
    <s v=""/>
    <m/>
    <n v="19159.663865546219"/>
    <n v="3640.3361344537807"/>
    <s v="Pirque"/>
    <s v="Revista"/>
    <s v="SI"/>
    <m/>
    <m/>
    <x v="0"/>
    <m/>
  </r>
  <r>
    <s v="C009"/>
    <s v="Sociedad Comercial y Agricola Chada Ltda"/>
    <n v="2977"/>
    <n v="0"/>
    <n v="278"/>
    <m/>
    <s v="sn"/>
    <n v="81663"/>
    <n v="-1475"/>
    <n v="80188"/>
    <x v="54"/>
    <n v="7"/>
    <d v="2019-12-13T00:00:00"/>
    <s v="Pagado"/>
    <d v="2019-12-06T00:00:00"/>
    <n v="80188"/>
    <s v="Cheque a Fecha"/>
    <m/>
    <s v="1161-6"/>
    <s v="Scotiabank"/>
    <d v="2019-12-18T00:00:00"/>
    <n v="2270741"/>
    <n v="80188"/>
    <d v="2019-12-18T00:00:00"/>
    <s v="Chile"/>
    <m/>
    <s v="Otros"/>
    <m/>
    <n v="68624.369747899167"/>
    <n v="13038.630252100833"/>
    <s v="Chada"/>
    <s v="Visita"/>
    <s v="SI"/>
    <m/>
    <m/>
    <x v="1"/>
    <m/>
  </r>
  <r>
    <s v="C009"/>
    <s v="Sociedad Comercial y Agricola Chada Ltda"/>
    <n v="3022"/>
    <n v="0"/>
    <n v="278"/>
    <m/>
    <s v="sn"/>
    <n v="81663"/>
    <n v="-1474"/>
    <n v="80189"/>
    <x v="54"/>
    <n v="7"/>
    <d v="2019-12-13T00:00:00"/>
    <s v="Vencido"/>
    <m/>
    <m/>
    <m/>
    <m/>
    <m/>
    <m/>
    <m/>
    <m/>
    <m/>
    <m/>
    <m/>
    <m/>
    <s v=""/>
    <m/>
    <n v="68624.369747899167"/>
    <n v="13038.630252100833"/>
    <s v="Chada"/>
    <s v="Visita"/>
    <s v="NO"/>
    <m/>
    <m/>
    <x v="1"/>
    <m/>
  </r>
  <r>
    <s v="C510"/>
    <s v="Ricardo Edwards"/>
    <n v="0"/>
    <n v="0"/>
    <m/>
    <m/>
    <n v="6236"/>
    <n v="66800"/>
    <m/>
    <n v="66800"/>
    <x v="54"/>
    <n v="0"/>
    <d v="2019-12-06T00:00:00"/>
    <s v="Pagado"/>
    <d v="2019-12-07T00:00:00"/>
    <n v="66800"/>
    <s v="Transferencia"/>
    <m/>
    <m/>
    <s v="Chile"/>
    <m/>
    <m/>
    <m/>
    <m/>
    <m/>
    <m/>
    <s v=""/>
    <m/>
    <n v="56134.45378151261"/>
    <n v="10665.54621848739"/>
    <s v="Pirque"/>
    <s v="Revista"/>
    <s v="SI"/>
    <m/>
    <m/>
    <x v="0"/>
    <m/>
  </r>
  <r>
    <s v="C337"/>
    <s v="Petrova Alonso"/>
    <n v="0"/>
    <n v="2763"/>
    <m/>
    <m/>
    <n v="6233"/>
    <n v="19000"/>
    <m/>
    <n v="19000"/>
    <x v="54"/>
    <n v="0"/>
    <d v="2019-12-06T00:00:00"/>
    <s v="Pagado"/>
    <d v="2019-12-09T00:00:00"/>
    <n v="19000"/>
    <s v="Efectivo"/>
    <m/>
    <m/>
    <m/>
    <m/>
    <n v="2270731"/>
    <n v="19000"/>
    <d v="2019-12-11T00:00:00"/>
    <s v="Chile"/>
    <m/>
    <s v=""/>
    <m/>
    <n v="15966.386554621849"/>
    <n v="3033.6134453781506"/>
    <s v="Pirque"/>
    <s v="Conocido"/>
    <s v="SI"/>
    <m/>
    <m/>
    <x v="0"/>
    <m/>
  </r>
  <r>
    <s v="C076"/>
    <s v="Macarena Garcia"/>
    <s v="sn"/>
    <n v="0"/>
    <m/>
    <m/>
    <n v="6238"/>
    <n v="8600"/>
    <m/>
    <n v="8600"/>
    <x v="54"/>
    <n v="0"/>
    <d v="2019-12-06T00:00:00"/>
    <s v="Pagado"/>
    <d v="2019-12-08T00:00:00"/>
    <n v="8600"/>
    <s v="Transferencia"/>
    <m/>
    <m/>
    <s v="Chile"/>
    <m/>
    <m/>
    <m/>
    <m/>
    <m/>
    <m/>
    <s v=""/>
    <m/>
    <n v="7226.8907563025214"/>
    <n v="1373.1092436974786"/>
    <s v="Chada"/>
    <s v="Conocido"/>
    <s v="SI"/>
    <m/>
    <m/>
    <x v="1"/>
    <m/>
  </r>
  <r>
    <s v="C026"/>
    <s v="Loreto Paola Moraga Guerrero"/>
    <n v="0"/>
    <n v="2766"/>
    <m/>
    <m/>
    <n v="6230"/>
    <n v="79500"/>
    <m/>
    <n v="79500"/>
    <x v="54"/>
    <n v="0"/>
    <d v="2019-12-06T00:00:00"/>
    <s v="Pagado"/>
    <d v="2019-12-09T00:00:00"/>
    <n v="79500"/>
    <s v="Transferencia"/>
    <m/>
    <m/>
    <s v="Scotiabank"/>
    <m/>
    <m/>
    <m/>
    <m/>
    <m/>
    <m/>
    <s v=""/>
    <m/>
    <n v="66806.722689075628"/>
    <n v="12693.277310924372"/>
    <s v="Pirque"/>
    <s v="Conocido"/>
    <s v="SI"/>
    <m/>
    <m/>
    <x v="0"/>
    <m/>
  </r>
  <r>
    <s v="C517"/>
    <s v="Jenny Thomas"/>
    <n v="0"/>
    <n v="177"/>
    <m/>
    <m/>
    <n v="6235"/>
    <n v="46000"/>
    <m/>
    <n v="46000"/>
    <x v="54"/>
    <n v="0"/>
    <d v="2019-12-06T00:00:00"/>
    <s v="Pagado"/>
    <d v="2019-12-06T00:00:00"/>
    <n v="46000"/>
    <s v="Transbank"/>
    <s v="Debito"/>
    <n v="177"/>
    <m/>
    <m/>
    <m/>
    <m/>
    <m/>
    <m/>
    <m/>
    <s v=""/>
    <m/>
    <n v="38655.462184873948"/>
    <n v="7344.537815126052"/>
    <s v="Pirque"/>
    <s v="Revista"/>
    <s v="SI"/>
    <m/>
    <m/>
    <x v="0"/>
    <m/>
  </r>
  <r>
    <s v="C263"/>
    <s v="Jeanny Reyes"/>
    <n v="0"/>
    <n v="2765"/>
    <m/>
    <m/>
    <n v="6231"/>
    <n v="31200"/>
    <m/>
    <n v="31200"/>
    <x v="54"/>
    <n v="0"/>
    <d v="2019-12-06T00:00:00"/>
    <s v="Pagado"/>
    <d v="2019-12-06T00:00:00"/>
    <n v="31200"/>
    <s v="Efectivo"/>
    <m/>
    <m/>
    <m/>
    <m/>
    <n v="2270731"/>
    <n v="31200"/>
    <d v="2019-12-11T00:00:00"/>
    <s v="Chile"/>
    <m/>
    <s v=""/>
    <m/>
    <n v="26218.487394957985"/>
    <n v="4981.5126050420149"/>
    <s v="Pirque"/>
    <s v="Conocido"/>
    <s v="SI"/>
    <m/>
    <m/>
    <x v="0"/>
    <m/>
  </r>
  <r>
    <s v="C452"/>
    <s v="Camila Zamorano"/>
    <n v="0"/>
    <n v="2768"/>
    <m/>
    <m/>
    <n v="6237"/>
    <n v="25000"/>
    <m/>
    <n v="25000"/>
    <x v="55"/>
    <n v="0"/>
    <d v="2019-12-07T00:00:00"/>
    <s v="Pagado"/>
    <d v="2019-12-09T00:00:00"/>
    <n v="25000"/>
    <s v="Transferencia"/>
    <m/>
    <m/>
    <s v="Estado"/>
    <m/>
    <m/>
    <m/>
    <m/>
    <m/>
    <m/>
    <s v=""/>
    <m/>
    <n v="21008.403361344539"/>
    <n v="3991.596638655461"/>
    <s v="Pirque"/>
    <s v="Revista"/>
    <s v="SI"/>
    <m/>
    <m/>
    <x v="0"/>
    <m/>
  </r>
  <r>
    <s v="C358"/>
    <s v="Patricia Lopez"/>
    <n v="0"/>
    <n v="2769"/>
    <m/>
    <m/>
    <n v="6241"/>
    <n v="14800"/>
    <m/>
    <n v="14800"/>
    <x v="56"/>
    <n v="0"/>
    <d v="2019-12-09T00:00:00"/>
    <s v="Pagado"/>
    <d v="2019-12-09T00:00:00"/>
    <n v="14800"/>
    <s v="Efectivo"/>
    <m/>
    <m/>
    <m/>
    <m/>
    <n v="2270731"/>
    <n v="14800"/>
    <d v="2019-12-11T00:00:00"/>
    <s v="Chile"/>
    <m/>
    <s v=""/>
    <m/>
    <n v="12436.974789915967"/>
    <n v="2363.0252100840335"/>
    <s v="Pirque"/>
    <s v="Conocido"/>
    <s v="SI"/>
    <m/>
    <m/>
    <x v="0"/>
    <m/>
  </r>
  <r>
    <s v="C596"/>
    <s v="Leslie Mora"/>
    <n v="0"/>
    <n v="179"/>
    <m/>
    <m/>
    <n v="6240"/>
    <n v="32600"/>
    <m/>
    <n v="32600"/>
    <x v="56"/>
    <n v="0"/>
    <d v="2019-12-09T00:00:00"/>
    <s v="Pagado"/>
    <d v="2019-12-09T00:00:00"/>
    <n v="32600"/>
    <s v="Transbank"/>
    <s v="Debito"/>
    <n v="179"/>
    <m/>
    <m/>
    <m/>
    <m/>
    <m/>
    <m/>
    <m/>
    <s v=""/>
    <m/>
    <n v="27394.957983193279"/>
    <n v="5205.0420168067212"/>
    <s v="Pirque"/>
    <s v="Revista"/>
    <s v="SI"/>
    <m/>
    <m/>
    <x v="0"/>
    <m/>
  </r>
  <r>
    <s v="C595"/>
    <s v="Juan Neira"/>
    <n v="0"/>
    <n v="2770"/>
    <m/>
    <m/>
    <n v="6243"/>
    <n v="19700"/>
    <m/>
    <n v="19700"/>
    <x v="56"/>
    <n v="0"/>
    <d v="2019-12-09T00:00:00"/>
    <s v="Pagado"/>
    <d v="2019-12-09T00:00:00"/>
    <n v="19700"/>
    <s v="Transferencia"/>
    <m/>
    <m/>
    <s v="Estado"/>
    <m/>
    <m/>
    <m/>
    <m/>
    <m/>
    <m/>
    <s v=""/>
    <m/>
    <n v="16554.621848739498"/>
    <n v="3145.3781512605019"/>
    <s v="Pirque"/>
    <s v="Revista"/>
    <s v="SI"/>
    <m/>
    <m/>
    <x v="0"/>
    <m/>
  </r>
  <r>
    <s v="C455"/>
    <s v="Grace Moore"/>
    <n v="0"/>
    <n v="181"/>
    <m/>
    <m/>
    <n v="6245"/>
    <n v="15200"/>
    <m/>
    <n v="15200"/>
    <x v="56"/>
    <n v="0"/>
    <d v="2019-12-09T00:00:00"/>
    <s v="Pagado"/>
    <d v="2019-12-09T00:00:00"/>
    <n v="15200"/>
    <s v="Transbank"/>
    <s v="Credito"/>
    <n v="181"/>
    <m/>
    <m/>
    <m/>
    <m/>
    <m/>
    <m/>
    <m/>
    <s v=""/>
    <m/>
    <n v="12773.10924369748"/>
    <n v="2426.8907563025205"/>
    <s v="Pirque"/>
    <s v="Conocido"/>
    <s v="SI"/>
    <m/>
    <m/>
    <x v="0"/>
    <m/>
  </r>
  <r>
    <s v="C544"/>
    <s v="Carla Valencoa"/>
    <n v="0"/>
    <n v="178"/>
    <m/>
    <m/>
    <n v="6239"/>
    <n v="23000"/>
    <m/>
    <n v="23000"/>
    <x v="56"/>
    <n v="0"/>
    <d v="2019-12-09T00:00:00"/>
    <s v="Pagado"/>
    <d v="2019-12-09T00:00:00"/>
    <n v="23000"/>
    <s v="Transbank"/>
    <s v="Debito"/>
    <n v="178"/>
    <m/>
    <m/>
    <m/>
    <m/>
    <m/>
    <m/>
    <m/>
    <s v=""/>
    <m/>
    <n v="19327.731092436974"/>
    <n v="3672.268907563026"/>
    <s v="Pirque"/>
    <s v="Revista"/>
    <s v="SI"/>
    <m/>
    <m/>
    <x v="0"/>
    <m/>
  </r>
  <r>
    <s v="C116"/>
    <s v="Angelica Bravo"/>
    <n v="0"/>
    <n v="183"/>
    <m/>
    <m/>
    <n v="6244"/>
    <n v="14800"/>
    <m/>
    <n v="14800"/>
    <x v="56"/>
    <n v="0"/>
    <d v="2019-12-09T00:00:00"/>
    <s v="Pagado"/>
    <d v="2019-12-09T00:00:00"/>
    <n v="14800"/>
    <s v="Transbank"/>
    <s v="Debito"/>
    <n v="183"/>
    <m/>
    <m/>
    <m/>
    <m/>
    <m/>
    <m/>
    <m/>
    <s v=""/>
    <m/>
    <n v="12436.974789915967"/>
    <n v="2363.0252100840335"/>
    <s v="Pirque"/>
    <s v="Revista"/>
    <s v="SI"/>
    <m/>
    <m/>
    <x v="0"/>
    <m/>
  </r>
  <r>
    <s v="C584"/>
    <s v="Alejandra Hamame"/>
    <n v="0"/>
    <n v="0"/>
    <m/>
    <m/>
    <n v="6246"/>
    <n v="34500"/>
    <m/>
    <n v="34500"/>
    <x v="56"/>
    <n v="0"/>
    <d v="2019-12-09T00:00:00"/>
    <s v="Pagado"/>
    <d v="2019-12-09T00:00:00"/>
    <n v="34500"/>
    <s v="Cheque al Día"/>
    <m/>
    <m/>
    <s v="Edward"/>
    <m/>
    <n v="2270727"/>
    <n v="40000"/>
    <d v="2019-12-11T00:00:00"/>
    <s v="Chile"/>
    <m/>
    <s v="Otros"/>
    <m/>
    <n v="28991.596638655465"/>
    <n v="5508.4033613445354"/>
    <s v="Pirque"/>
    <s v="Revista"/>
    <s v="SI"/>
    <m/>
    <m/>
    <x v="0"/>
    <m/>
  </r>
  <r>
    <s v="C002"/>
    <s v="Miguel Moreno Fernandez"/>
    <n v="3023"/>
    <n v="0"/>
    <m/>
    <m/>
    <s v="sn"/>
    <n v="262662"/>
    <m/>
    <n v="262662"/>
    <x v="57"/>
    <n v="30"/>
    <d v="2020-01-09T00:00:00"/>
    <s v="Pagado"/>
    <d v="2019-12-13T00:00:00"/>
    <n v="262662"/>
    <s v="Cheque a Fecha"/>
    <m/>
    <n v="6281098"/>
    <s v="Chile"/>
    <m/>
    <m/>
    <m/>
    <m/>
    <m/>
    <m/>
    <s v="Chile"/>
    <m/>
    <n v="220724.36974789918"/>
    <n v="41937.630252100818"/>
    <s v="Pirque"/>
    <s v="Visita"/>
    <s v="SI"/>
    <m/>
    <m/>
    <x v="1"/>
    <m/>
  </r>
  <r>
    <s v="C364"/>
    <s v="Herminda Arriagada"/>
    <n v="0"/>
    <n v="2772"/>
    <m/>
    <m/>
    <n v="6247"/>
    <n v="22500"/>
    <m/>
    <n v="22500"/>
    <x v="57"/>
    <n v="0"/>
    <d v="2019-12-10T00:00:00"/>
    <s v="Pagado"/>
    <d v="2019-12-10T00:00:00"/>
    <n v="22500"/>
    <s v="Transferencia"/>
    <m/>
    <m/>
    <s v="Estado"/>
    <m/>
    <m/>
    <m/>
    <m/>
    <m/>
    <m/>
    <s v=""/>
    <m/>
    <n v="18907.563025210085"/>
    <n v="3592.4369747899145"/>
    <s v="Pirque"/>
    <s v="Conocido"/>
    <s v="SI"/>
    <m/>
    <m/>
    <x v="0"/>
    <m/>
  </r>
  <r>
    <s v="C072"/>
    <s v="Walter Folch"/>
    <n v="0"/>
    <n v="0"/>
    <m/>
    <m/>
    <n v="6254"/>
    <n v="46292"/>
    <m/>
    <n v="46292"/>
    <x v="58"/>
    <n v="0"/>
    <d v="2019-12-11T00:00:00"/>
    <s v="Pagado"/>
    <d v="2020-02-11T00:00:00"/>
    <n v="50000"/>
    <s v="Transferencia"/>
    <m/>
    <m/>
    <s v="Santander"/>
    <m/>
    <m/>
    <m/>
    <m/>
    <m/>
    <m/>
    <s v=""/>
    <m/>
    <n v="38900.840336134454"/>
    <n v="7391.1596638655465"/>
    <s v="Pirque"/>
    <s v="Conocido"/>
    <s v="SI"/>
    <m/>
    <m/>
    <x v="0"/>
    <m/>
  </r>
  <r>
    <s v="C451"/>
    <s v="Enrique Montero"/>
    <n v="0"/>
    <n v="0"/>
    <m/>
    <m/>
    <n v="6250"/>
    <n v="14800"/>
    <m/>
    <n v="14800"/>
    <x v="58"/>
    <n v="0"/>
    <d v="2019-12-11T00:00:00"/>
    <s v="Pagado"/>
    <d v="2019-12-11T00:00:00"/>
    <n v="14800"/>
    <s v="Transferencia"/>
    <m/>
    <m/>
    <s v="BCI"/>
    <m/>
    <m/>
    <m/>
    <m/>
    <m/>
    <m/>
    <s v=""/>
    <m/>
    <n v="12436.974789915967"/>
    <n v="2363.0252100840335"/>
    <s v="Pirque"/>
    <s v="Conocido"/>
    <s v="SI"/>
    <m/>
    <m/>
    <x v="0"/>
    <m/>
  </r>
  <r>
    <s v="C418"/>
    <s v="Claudia Ormazabal"/>
    <n v="0"/>
    <n v="2771"/>
    <m/>
    <m/>
    <n v="6248"/>
    <n v="29000"/>
    <m/>
    <n v="29000"/>
    <x v="58"/>
    <n v="0"/>
    <d v="2019-12-11T00:00:00"/>
    <s v="Pagado"/>
    <d v="2019-12-11T00:00:00"/>
    <n v="29000"/>
    <s v="Efectivo"/>
    <m/>
    <m/>
    <m/>
    <m/>
    <m/>
    <m/>
    <m/>
    <m/>
    <m/>
    <s v=""/>
    <m/>
    <n v="24369.747899159665"/>
    <n v="4630.2521008403346"/>
    <s v="Pirque"/>
    <s v="Conocido"/>
    <s v="SI"/>
    <m/>
    <m/>
    <x v="0"/>
    <m/>
  </r>
  <r>
    <s v="C335"/>
    <s v="Alejandro Astorga"/>
    <n v="0"/>
    <n v="180"/>
    <m/>
    <m/>
    <n v="6255"/>
    <n v="54000"/>
    <m/>
    <n v="54000"/>
    <x v="58"/>
    <n v="0"/>
    <d v="2019-12-11T00:00:00"/>
    <s v="Pagado"/>
    <d v="2019-12-11T00:00:00"/>
    <n v="54000"/>
    <s v="Transbank"/>
    <s v="Debito"/>
    <n v="180"/>
    <m/>
    <m/>
    <m/>
    <m/>
    <m/>
    <m/>
    <m/>
    <s v=""/>
    <m/>
    <n v="45378.151260504201"/>
    <n v="8621.8487394957992"/>
    <s v="Pirque"/>
    <s v="Revista"/>
    <s v="SI"/>
    <m/>
    <m/>
    <x v="0"/>
    <m/>
  </r>
  <r>
    <s v="C004"/>
    <s v="Rosa Gladys Vidal Mora"/>
    <n v="3025"/>
    <n v="0"/>
    <m/>
    <m/>
    <s v="sn"/>
    <n v="143344"/>
    <m/>
    <n v="143344"/>
    <x v="59"/>
    <n v="7"/>
    <d v="2019-12-19T00:00:00"/>
    <s v="Pagado"/>
    <d v="2019-12-19T00:00:00"/>
    <n v="143344"/>
    <s v="Cheque a Fecha"/>
    <m/>
    <n v="1116114"/>
    <s v="Santander"/>
    <d v="2019-12-19T00:00:00"/>
    <m/>
    <m/>
    <m/>
    <m/>
    <m/>
    <s v="Otros"/>
    <m/>
    <n v="120457.14285714287"/>
    <n v="22886.85714285713"/>
    <s v="Cajon"/>
    <s v="Visita"/>
    <s v="SI"/>
    <m/>
    <m/>
    <x v="1"/>
    <m/>
  </r>
  <r>
    <s v="C359"/>
    <s v="Manuel Perez"/>
    <n v="0"/>
    <n v="2773"/>
    <m/>
    <m/>
    <n v="6257"/>
    <n v="31100"/>
    <m/>
    <n v="31100"/>
    <x v="59"/>
    <n v="0"/>
    <d v="2019-12-12T00:00:00"/>
    <s v="Pagado"/>
    <d v="2019-12-12T00:00:00"/>
    <n v="31100"/>
    <s v="Transferencia"/>
    <m/>
    <m/>
    <s v="Santander"/>
    <m/>
    <m/>
    <m/>
    <m/>
    <m/>
    <m/>
    <s v=""/>
    <m/>
    <n v="26134.453781512606"/>
    <n v="4965.5462184873941"/>
    <s v="Pirque"/>
    <s v="Conocido"/>
    <s v="SI"/>
    <m/>
    <m/>
    <x v="0"/>
    <m/>
  </r>
  <r>
    <s v="C630"/>
    <s v="Ma Antonieta Latorre"/>
    <n v="0"/>
    <n v="0"/>
    <m/>
    <m/>
    <n v="6260"/>
    <n v="3140"/>
    <m/>
    <n v="3140"/>
    <x v="59"/>
    <n v="0"/>
    <d v="2019-12-12T00:00:00"/>
    <s v="Vencido"/>
    <m/>
    <m/>
    <m/>
    <m/>
    <m/>
    <m/>
    <m/>
    <m/>
    <m/>
    <m/>
    <m/>
    <m/>
    <s v=""/>
    <m/>
    <n v="2638.6554621848741"/>
    <n v="501.34453781512593"/>
    <s v="Pirque"/>
    <s v="Conocido"/>
    <s v="NO"/>
    <m/>
    <m/>
    <x v="0"/>
    <m/>
  </r>
  <r>
    <s v="C538"/>
    <s v="Katherine Torres"/>
    <n v="0"/>
    <n v="185"/>
    <m/>
    <m/>
    <n v="6259"/>
    <n v="46000"/>
    <m/>
    <n v="46000"/>
    <x v="59"/>
    <n v="0"/>
    <d v="2019-12-12T00:00:00"/>
    <s v="Pagado"/>
    <d v="2019-12-12T00:00:00"/>
    <n v="46000"/>
    <s v="Transbank"/>
    <s v="Debito"/>
    <n v="185"/>
    <m/>
    <m/>
    <m/>
    <m/>
    <m/>
    <m/>
    <m/>
    <s v=""/>
    <m/>
    <n v="38655.462184873948"/>
    <n v="7344.537815126052"/>
    <s v="Pirque"/>
    <s v="Revista"/>
    <s v="SI"/>
    <m/>
    <m/>
    <x v="0"/>
    <m/>
  </r>
  <r>
    <s v="C005"/>
    <s v="Julia Ines Rebolledo Retamal"/>
    <n v="3024"/>
    <n v="0"/>
    <m/>
    <m/>
    <s v="sn"/>
    <n v="100000"/>
    <m/>
    <n v="100000"/>
    <x v="59"/>
    <n v="7"/>
    <d v="2019-12-19T00:00:00"/>
    <s v="Pagado"/>
    <d v="2019-12-19T00:00:00"/>
    <n v="100000"/>
    <s v="Efectivo"/>
    <m/>
    <n v="4443607"/>
    <s v="Chile"/>
    <d v="2019-12-17T00:00:00"/>
    <m/>
    <m/>
    <m/>
    <m/>
    <m/>
    <s v=""/>
    <m/>
    <n v="84033.613445378156"/>
    <n v="15966.386554621844"/>
    <s v="Cajon"/>
    <s v="Visita"/>
    <s v="SI"/>
    <m/>
    <m/>
    <x v="1"/>
    <m/>
  </r>
  <r>
    <s v="C006"/>
    <s v="Julia Ines Rebolledo Retamal"/>
    <n v="3024"/>
    <n v="0"/>
    <m/>
    <m/>
    <s v="sn"/>
    <n v="60896"/>
    <m/>
    <n v="60896"/>
    <x v="59"/>
    <n v="7"/>
    <d v="2019-12-19T00:00:00"/>
    <s v="Pagado"/>
    <d v="2019-12-24T00:00:00"/>
    <n v="70000"/>
    <s v="Efectivo"/>
    <m/>
    <m/>
    <m/>
    <m/>
    <m/>
    <m/>
    <m/>
    <m/>
    <m/>
    <s v=""/>
    <m/>
    <n v="51173.10924369748"/>
    <n v="9722.8907563025205"/>
    <m/>
    <m/>
    <s v="SI"/>
    <m/>
    <m/>
    <x v="1"/>
    <m/>
  </r>
  <r>
    <s v="C307"/>
    <s v="Franklin Winston Smart Guevara"/>
    <n v="0"/>
    <n v="2774"/>
    <m/>
    <m/>
    <n v="6256"/>
    <n v="27500"/>
    <m/>
    <n v="27500"/>
    <x v="59"/>
    <n v="0"/>
    <d v="2019-12-12T00:00:00"/>
    <s v="Pagado"/>
    <d v="2019-12-12T00:00:00"/>
    <n v="27500"/>
    <s v="Transferencia"/>
    <m/>
    <m/>
    <s v="Santander"/>
    <m/>
    <m/>
    <m/>
    <m/>
    <m/>
    <m/>
    <s v=""/>
    <m/>
    <n v="23109.243697478993"/>
    <n v="4390.7563025210075"/>
    <s v="Pirque"/>
    <s v="Revista"/>
    <s v="SI"/>
    <m/>
    <m/>
    <x v="0"/>
    <m/>
  </r>
  <r>
    <s v="C518"/>
    <s v="Fernando Reyes"/>
    <n v="0"/>
    <n v="2778"/>
    <m/>
    <m/>
    <n v="6249"/>
    <n v="35500"/>
    <m/>
    <n v="35500"/>
    <x v="59"/>
    <n v="0"/>
    <d v="2019-12-12T00:00:00"/>
    <s v="Pagado"/>
    <d v="2019-12-14T00:00:00"/>
    <n v="35500"/>
    <s v="Transferencia"/>
    <m/>
    <m/>
    <s v="Estado"/>
    <m/>
    <m/>
    <m/>
    <m/>
    <m/>
    <m/>
    <s v=""/>
    <m/>
    <n v="29831.932773109245"/>
    <n v="5668.0672268907547"/>
    <s v="Pirque"/>
    <s v="Revista"/>
    <s v="SI"/>
    <m/>
    <m/>
    <x v="0"/>
    <m/>
  </r>
  <r>
    <s v="C629"/>
    <s v="Edmundo Sobino"/>
    <n v="0"/>
    <n v="0"/>
    <m/>
    <m/>
    <n v="6252"/>
    <n v="130468"/>
    <m/>
    <n v="130468"/>
    <x v="59"/>
    <n v="0"/>
    <d v="2019-12-12T00:00:00"/>
    <s v="Pagado"/>
    <d v="2019-12-12T00:00:00"/>
    <n v="130468"/>
    <s v="Transferencia"/>
    <m/>
    <m/>
    <s v="BCI"/>
    <m/>
    <m/>
    <m/>
    <m/>
    <m/>
    <m/>
    <s v=""/>
    <m/>
    <n v="109636.97478991597"/>
    <n v="20831.02521008403"/>
    <s v="Pirque"/>
    <s v="Conocido"/>
    <s v="SI"/>
    <m/>
    <m/>
    <x v="0"/>
    <m/>
  </r>
  <r>
    <s v="C527"/>
    <s v="Bercic y Cia Ltda"/>
    <n v="3028"/>
    <n v="0"/>
    <m/>
    <m/>
    <s v="sn"/>
    <n v="192427"/>
    <m/>
    <n v="192427"/>
    <x v="59"/>
    <n v="30"/>
    <d v="2020-01-11T00:00:00"/>
    <s v="Pagado"/>
    <d v="2019-12-12T00:00:00"/>
    <n v="192427"/>
    <s v="Cheque al Día"/>
    <m/>
    <n v="4569787"/>
    <s v="BCI"/>
    <d v="2019-12-12T00:00:00"/>
    <m/>
    <m/>
    <m/>
    <m/>
    <m/>
    <s v="Otros"/>
    <m/>
    <n v="161703.36134453781"/>
    <n v="30723.638655462186"/>
    <s v="Cajon"/>
    <s v="Visita"/>
    <s v="SI"/>
    <m/>
    <m/>
    <x v="1"/>
    <m/>
  </r>
  <r>
    <s v="C001"/>
    <s v="Benito Campos y Cia Ltda."/>
    <n v="3026"/>
    <n v="0"/>
    <m/>
    <m/>
    <n v="1037922"/>
    <n v="168797"/>
    <m/>
    <n v="168797"/>
    <x v="59"/>
    <n v="30"/>
    <d v="2020-01-11T00:00:00"/>
    <s v="Pagado"/>
    <d v="2020-01-16T00:00:00"/>
    <n v="168797"/>
    <s v="Transferencia"/>
    <m/>
    <m/>
    <s v="Santander"/>
    <m/>
    <m/>
    <m/>
    <m/>
    <m/>
    <m/>
    <s v=""/>
    <m/>
    <n v="141846.21848739497"/>
    <n v="26950.781512605026"/>
    <s v="Cajon"/>
    <s v="Visita"/>
    <s v="SI"/>
    <m/>
    <m/>
    <x v="1"/>
    <m/>
  </r>
  <r>
    <s v="C001"/>
    <s v="Benito Campos y Cia Ltda."/>
    <n v="3027"/>
    <n v="0"/>
    <m/>
    <m/>
    <n v="1037938"/>
    <n v="150197"/>
    <m/>
    <n v="150197"/>
    <x v="59"/>
    <n v="30"/>
    <d v="2020-01-11T00:00:00"/>
    <s v="Pagado"/>
    <d v="2020-01-16T00:00:00"/>
    <n v="150197"/>
    <s v="Transferencia"/>
    <m/>
    <m/>
    <s v="Santander"/>
    <m/>
    <m/>
    <m/>
    <m/>
    <m/>
    <m/>
    <s v=""/>
    <m/>
    <n v="126215.96638655463"/>
    <n v="23981.033613445368"/>
    <s v="Cajon"/>
    <s v="Visita"/>
    <s v="SI"/>
    <m/>
    <m/>
    <x v="1"/>
    <m/>
  </r>
  <r>
    <s v="C063"/>
    <s v="Andrea Ramirez"/>
    <n v="0"/>
    <n v="184"/>
    <m/>
    <m/>
    <n v="6258"/>
    <n v="53980"/>
    <m/>
    <n v="53980"/>
    <x v="59"/>
    <n v="0"/>
    <d v="2019-12-12T00:00:00"/>
    <s v="Pagado"/>
    <d v="2019-12-12T00:00:00"/>
    <n v="53980"/>
    <s v="Transbank"/>
    <s v="Debito"/>
    <n v="184"/>
    <m/>
    <m/>
    <m/>
    <m/>
    <m/>
    <m/>
    <m/>
    <s v=""/>
    <m/>
    <n v="45361.34453781513"/>
    <n v="8618.65546218487"/>
    <s v="Pirque"/>
    <s v="Conocido"/>
    <s v="SI"/>
    <m/>
    <m/>
    <x v="0"/>
    <m/>
  </r>
  <r>
    <s v="C009"/>
    <s v="Sociedad Comercial y Agricola Chada Ltda"/>
    <n v="3029"/>
    <n v="0"/>
    <m/>
    <m/>
    <s v="sn"/>
    <n v="58001"/>
    <m/>
    <n v="58001"/>
    <x v="60"/>
    <n v="7"/>
    <d v="2019-12-20T00:00:00"/>
    <s v="Abonado"/>
    <d v="2019-12-13T00:00:00"/>
    <n v="58000"/>
    <s v="Efectivo"/>
    <m/>
    <m/>
    <m/>
    <m/>
    <m/>
    <m/>
    <m/>
    <m/>
    <m/>
    <s v=""/>
    <m/>
    <n v="48740.336134453784"/>
    <n v="9260.6638655462157"/>
    <s v="Chada"/>
    <s v="Visita"/>
    <s v="NO"/>
    <m/>
    <m/>
    <x v="1"/>
    <m/>
  </r>
  <r>
    <s v="C105"/>
    <s v="Paulina Andrea Araneda Cancino"/>
    <n v="3031"/>
    <n v="0"/>
    <m/>
    <m/>
    <s v="sn"/>
    <n v="29000"/>
    <m/>
    <n v="29000"/>
    <x v="60"/>
    <n v="0"/>
    <d v="2019-12-13T00:00:00"/>
    <s v="Pagado"/>
    <d v="2019-12-13T00:00:00"/>
    <n v="29000"/>
    <s v="Efectivo"/>
    <m/>
    <m/>
    <m/>
    <m/>
    <m/>
    <m/>
    <m/>
    <m/>
    <m/>
    <s v=""/>
    <m/>
    <n v="24369.747899159665"/>
    <n v="4630.2521008403346"/>
    <s v="Chada"/>
    <s v="Visita"/>
    <s v="SI"/>
    <m/>
    <m/>
    <x v="1"/>
    <m/>
  </r>
  <r>
    <s v="C607"/>
    <s v="Marisol Larrain"/>
    <n v="0"/>
    <n v="186"/>
    <m/>
    <m/>
    <n v="6253"/>
    <n v="23000"/>
    <m/>
    <n v="23000"/>
    <x v="60"/>
    <n v="0"/>
    <d v="2019-12-13T00:00:00"/>
    <s v="Pagado"/>
    <d v="2019-12-13T00:00:00"/>
    <n v="23000"/>
    <s v="Transbank"/>
    <s v="Credito"/>
    <n v="186"/>
    <m/>
    <m/>
    <m/>
    <m/>
    <m/>
    <m/>
    <m/>
    <s v=""/>
    <m/>
    <n v="19327.731092436974"/>
    <n v="3672.268907563026"/>
    <s v="Pirque"/>
    <s v="Revista"/>
    <s v="SI"/>
    <m/>
    <m/>
    <x v="0"/>
    <m/>
  </r>
  <r>
    <s v="C016"/>
    <s v="Maria Magaly Diaz Espinoza"/>
    <n v="3033"/>
    <n v="0"/>
    <m/>
    <m/>
    <s v="sn"/>
    <n v="55371"/>
    <m/>
    <n v="55371"/>
    <x v="60"/>
    <n v="0"/>
    <d v="2019-12-13T00:00:00"/>
    <s v="Vencido"/>
    <m/>
    <m/>
    <m/>
    <m/>
    <m/>
    <m/>
    <m/>
    <m/>
    <m/>
    <m/>
    <m/>
    <m/>
    <s v=""/>
    <m/>
    <n v="46530.252100840335"/>
    <n v="8840.7478991596654"/>
    <s v="Chada"/>
    <s v="Visita"/>
    <s v="NO"/>
    <m/>
    <m/>
    <x v="1"/>
    <m/>
  </r>
  <r>
    <s v="C628"/>
    <s v="Margot Edwards"/>
    <n v="0"/>
    <s v="sn"/>
    <m/>
    <m/>
    <n v="6251"/>
    <n v="17270"/>
    <m/>
    <n v="17270"/>
    <x v="60"/>
    <n v="0"/>
    <d v="2019-12-13T00:00:00"/>
    <s v="Vencido"/>
    <m/>
    <m/>
    <m/>
    <m/>
    <m/>
    <m/>
    <m/>
    <m/>
    <m/>
    <m/>
    <m/>
    <m/>
    <s v=""/>
    <m/>
    <n v="14512.605042016807"/>
    <n v="2757.3949579831933"/>
    <s v="Pirque"/>
    <s v="Conocido"/>
    <s v="NO"/>
    <m/>
    <m/>
    <x v="0"/>
    <m/>
  </r>
  <r>
    <s v="C553"/>
    <s v="Marcela Lizana"/>
    <n v="0"/>
    <s v="sn"/>
    <m/>
    <m/>
    <n v="6264"/>
    <n v="7500"/>
    <m/>
    <n v="7500"/>
    <x v="60"/>
    <n v="0"/>
    <d v="2019-12-13T00:00:00"/>
    <s v="Abonado"/>
    <d v="2019-12-13T00:00:00"/>
    <n v="1000"/>
    <s v="Efectivo"/>
    <m/>
    <m/>
    <m/>
    <m/>
    <m/>
    <m/>
    <m/>
    <m/>
    <m/>
    <s v=""/>
    <m/>
    <n v="6302.5210084033615"/>
    <n v="1197.4789915966385"/>
    <s v="Pirque"/>
    <s v="Conocido"/>
    <s v="NO"/>
    <m/>
    <m/>
    <x v="0"/>
    <m/>
  </r>
  <r>
    <s v="C028"/>
    <s v="Luz María Velasquez"/>
    <n v="0"/>
    <s v="sn"/>
    <m/>
    <m/>
    <n v="6261"/>
    <n v="28200"/>
    <m/>
    <n v="28200"/>
    <x v="60"/>
    <n v="0"/>
    <d v="2019-12-13T00:00:00"/>
    <s v="Pagado"/>
    <d v="2020-02-01T00:00:00"/>
    <n v="28200"/>
    <s v="Transferencia"/>
    <m/>
    <m/>
    <s v="Scotiabank"/>
    <m/>
    <m/>
    <m/>
    <m/>
    <m/>
    <m/>
    <s v=""/>
    <m/>
    <n v="23697.478991596639"/>
    <n v="4502.5210084033606"/>
    <s v="Chada"/>
    <s v="Conocido"/>
    <s v="SI"/>
    <m/>
    <m/>
    <x v="0"/>
    <m/>
  </r>
  <r>
    <s v="C243"/>
    <s v="Loreto Rojas"/>
    <n v="0"/>
    <n v="2776"/>
    <m/>
    <m/>
    <n v="6265"/>
    <n v="25000"/>
    <m/>
    <n v="25000"/>
    <x v="60"/>
    <n v="0"/>
    <d v="2019-12-13T00:00:00"/>
    <s v="Pagado"/>
    <d v="2019-12-14T00:00:00"/>
    <n v="25000"/>
    <s v="Transferencia"/>
    <m/>
    <m/>
    <s v="Chile"/>
    <m/>
    <m/>
    <m/>
    <m/>
    <m/>
    <m/>
    <s v=""/>
    <m/>
    <n v="21008.403361344539"/>
    <n v="3991.596638655461"/>
    <s v="Pirque"/>
    <s v="Revista"/>
    <s v="SI"/>
    <m/>
    <m/>
    <x v="0"/>
    <m/>
  </r>
  <r>
    <s v="C035"/>
    <s v="Jimena Isabel Alfaro Navarro"/>
    <n v="3030"/>
    <n v="0"/>
    <m/>
    <m/>
    <s v="sn"/>
    <n v="98148"/>
    <m/>
    <n v="98148"/>
    <x v="60"/>
    <n v="0"/>
    <d v="2019-12-13T00:00:00"/>
    <s v="Vencido"/>
    <m/>
    <m/>
    <m/>
    <m/>
    <m/>
    <m/>
    <m/>
    <m/>
    <m/>
    <m/>
    <m/>
    <m/>
    <s v=""/>
    <m/>
    <n v="82477.310924369755"/>
    <n v="15670.689075630245"/>
    <s v="Chada"/>
    <s v="Visita"/>
    <s v="NO"/>
    <m/>
    <m/>
    <x v="1"/>
    <m/>
  </r>
  <r>
    <s v="C631"/>
    <s v="Daniela Sepulveda"/>
    <n v="0"/>
    <n v="188"/>
    <m/>
    <m/>
    <n v="6268"/>
    <n v="17000"/>
    <m/>
    <n v="17000"/>
    <x v="60"/>
    <n v="0"/>
    <d v="2019-12-13T00:00:00"/>
    <s v="Pagado"/>
    <d v="2019-12-13T00:00:00"/>
    <n v="17000"/>
    <s v="Transbank"/>
    <s v="Debito"/>
    <n v="187"/>
    <m/>
    <m/>
    <m/>
    <m/>
    <m/>
    <m/>
    <m/>
    <s v=""/>
    <m/>
    <n v="14285.714285714286"/>
    <n v="2714.2857142857138"/>
    <s v="Pirque"/>
    <s v="Chat Matutes Pirque"/>
    <s v="SI"/>
    <m/>
    <m/>
    <x v="0"/>
    <m/>
  </r>
  <r>
    <s v="C617"/>
    <s v="Daniel Corro"/>
    <n v="0"/>
    <n v="2777"/>
    <m/>
    <m/>
    <n v="6262"/>
    <n v="11500"/>
    <m/>
    <n v="11500"/>
    <x v="60"/>
    <n v="0"/>
    <d v="2019-12-13T00:00:00"/>
    <s v="Vencido"/>
    <m/>
    <m/>
    <m/>
    <m/>
    <m/>
    <m/>
    <m/>
    <m/>
    <m/>
    <m/>
    <m/>
    <m/>
    <s v=""/>
    <m/>
    <n v="9663.865546218487"/>
    <n v="1836.134453781513"/>
    <s v="Pirque"/>
    <s v="Conocido"/>
    <s v="NO"/>
    <m/>
    <m/>
    <x v="0"/>
    <m/>
  </r>
  <r>
    <s v="C073"/>
    <s v="Celinda Varela"/>
    <n v="0"/>
    <n v="187"/>
    <m/>
    <m/>
    <n v="6253"/>
    <n v="14200"/>
    <m/>
    <n v="14200"/>
    <x v="60"/>
    <n v="0"/>
    <d v="2019-12-13T00:00:00"/>
    <s v="Pagado"/>
    <d v="2019-12-13T00:00:00"/>
    <n v="14200"/>
    <s v="Efectivo"/>
    <m/>
    <m/>
    <m/>
    <m/>
    <n v="2270739"/>
    <n v="25700"/>
    <d v="2019-12-16T00:00:00"/>
    <s v="Chile"/>
    <m/>
    <s v=""/>
    <m/>
    <n v="11932.773109243699"/>
    <n v="2267.2268907563011"/>
    <s v="Pirque"/>
    <s v="Conocido"/>
    <s v="SI"/>
    <m/>
    <m/>
    <x v="0"/>
    <m/>
  </r>
  <r>
    <s v="C033"/>
    <s v="Catalina Daniela Peña Royo"/>
    <n v="0"/>
    <n v="2775"/>
    <m/>
    <m/>
    <n v="6266"/>
    <n v="8000"/>
    <m/>
    <n v="8000"/>
    <x v="60"/>
    <n v="0"/>
    <d v="2019-12-13T00:00:00"/>
    <s v="Pagado"/>
    <d v="2020-02-07T00:00:00"/>
    <n v="8000"/>
    <s v="Transferencia"/>
    <s v="Debito"/>
    <n v="188"/>
    <s v="Itaú"/>
    <m/>
    <m/>
    <m/>
    <m/>
    <m/>
    <m/>
    <s v=""/>
    <m/>
    <n v="6722.6890756302528"/>
    <n v="1277.3109243697472"/>
    <s v="Chada"/>
    <s v="Conocido"/>
    <s v="SI"/>
    <m/>
    <m/>
    <x v="0"/>
    <m/>
  </r>
  <r>
    <s v="C006"/>
    <s v="Carolina del Pilar Contreras Gutierrez"/>
    <n v="3032"/>
    <n v="0"/>
    <m/>
    <m/>
    <s v="sn"/>
    <n v="69873"/>
    <m/>
    <n v="69873"/>
    <x v="60"/>
    <n v="30"/>
    <d v="2020-01-12T00:00:00"/>
    <s v="Vencido"/>
    <m/>
    <m/>
    <m/>
    <m/>
    <m/>
    <m/>
    <m/>
    <m/>
    <m/>
    <m/>
    <m/>
    <m/>
    <s v=""/>
    <m/>
    <n v="58716.806722689078"/>
    <n v="11156.193277310922"/>
    <s v="Chada"/>
    <s v="Visita"/>
    <s v="NO"/>
    <m/>
    <m/>
    <x v="1"/>
    <m/>
  </r>
  <r>
    <s v="C041"/>
    <s v="Yanet Arriagada"/>
    <n v="0"/>
    <n v="0"/>
    <m/>
    <m/>
    <n v="6275"/>
    <n v="53200"/>
    <m/>
    <n v="53200"/>
    <x v="61"/>
    <n v="0"/>
    <d v="2019-12-16T00:00:00"/>
    <s v="Pagado"/>
    <d v="2020-01-05T00:00:00"/>
    <n v="53200"/>
    <s v="Efectivo"/>
    <m/>
    <m/>
    <m/>
    <m/>
    <m/>
    <m/>
    <m/>
    <m/>
    <m/>
    <s v=""/>
    <m/>
    <n v="44705.882352941182"/>
    <n v="8494.117647058818"/>
    <s v="Pirque"/>
    <s v="Conocido"/>
    <s v="SI"/>
    <m/>
    <m/>
    <x v="0"/>
    <m/>
  </r>
  <r>
    <s v="C072"/>
    <s v="Walter Folch"/>
    <n v="0"/>
    <n v="0"/>
    <m/>
    <m/>
    <n v="6270"/>
    <n v="70480"/>
    <m/>
    <n v="70480"/>
    <x v="61"/>
    <n v="0"/>
    <d v="2019-12-16T00:00:00"/>
    <s v="Vencido"/>
    <m/>
    <m/>
    <m/>
    <m/>
    <m/>
    <m/>
    <m/>
    <m/>
    <m/>
    <m/>
    <m/>
    <m/>
    <s v=""/>
    <m/>
    <n v="59226.89075630252"/>
    <n v="11253.10924369748"/>
    <s v="Pirque"/>
    <s v="Conocido"/>
    <s v="NO"/>
    <m/>
    <m/>
    <x v="0"/>
    <m/>
  </r>
  <r>
    <s v="C215"/>
    <s v="Miriam Gonzalez"/>
    <n v="0"/>
    <n v="0"/>
    <m/>
    <m/>
    <n v="6271"/>
    <n v="11600"/>
    <m/>
    <n v="11600"/>
    <x v="61"/>
    <n v="0"/>
    <d v="2019-12-16T00:00:00"/>
    <s v="Vencido"/>
    <m/>
    <m/>
    <m/>
    <m/>
    <m/>
    <m/>
    <m/>
    <m/>
    <m/>
    <m/>
    <m/>
    <m/>
    <s v=""/>
    <m/>
    <n v="9747.8991596638662"/>
    <n v="1852.1008403361338"/>
    <s v="Pirque"/>
    <s v="Conocido"/>
    <s v="NO"/>
    <m/>
    <m/>
    <x v="0"/>
    <m/>
  </r>
  <r>
    <s v="C064"/>
    <s v="Maria Estela Matte"/>
    <n v="0"/>
    <n v="2781"/>
    <m/>
    <m/>
    <n v="6272"/>
    <n v="45400"/>
    <m/>
    <n v="45400"/>
    <x v="61"/>
    <n v="0"/>
    <d v="2019-12-16T00:00:00"/>
    <s v="Pagado"/>
    <d v="2019-12-16T00:00:00"/>
    <n v="45400"/>
    <s v="Transferencia"/>
    <m/>
    <m/>
    <s v="Itaú"/>
    <m/>
    <m/>
    <m/>
    <m/>
    <m/>
    <m/>
    <s v=""/>
    <m/>
    <n v="38151.26050420168"/>
    <n v="7248.7394957983197"/>
    <s v="Pirque"/>
    <s v="Revista"/>
    <s v="SI"/>
    <m/>
    <m/>
    <x v="0"/>
    <m/>
  </r>
  <r>
    <s v="C632"/>
    <s v="Juan Araya"/>
    <n v="0"/>
    <n v="2782"/>
    <m/>
    <m/>
    <n v="6276"/>
    <n v="33800"/>
    <m/>
    <n v="33800"/>
    <x v="61"/>
    <n v="0"/>
    <d v="2019-12-16T00:00:00"/>
    <s v="Vencido"/>
    <m/>
    <m/>
    <m/>
    <m/>
    <m/>
    <m/>
    <m/>
    <m/>
    <m/>
    <m/>
    <m/>
    <m/>
    <s v=""/>
    <m/>
    <n v="28403.361344537818"/>
    <n v="5396.6386554621822"/>
    <s v="Pirque"/>
    <s v="Conocido"/>
    <s v="NO"/>
    <m/>
    <m/>
    <x v="0"/>
    <m/>
  </r>
  <r>
    <s v="C071"/>
    <s v="Jose Beck"/>
    <n v="0"/>
    <n v="2780"/>
    <m/>
    <m/>
    <n v="6274"/>
    <n v="15200"/>
    <m/>
    <n v="15200"/>
    <x v="61"/>
    <n v="0"/>
    <d v="2019-12-16T00:00:00"/>
    <s v="Pagado"/>
    <d v="2019-12-17T00:00:00"/>
    <n v="15200"/>
    <s v="Depósito"/>
    <m/>
    <m/>
    <s v="Chile"/>
    <m/>
    <m/>
    <m/>
    <m/>
    <m/>
    <m/>
    <s v=""/>
    <m/>
    <n v="12773.10924369748"/>
    <n v="2426.8907563025205"/>
    <s v="Pirque"/>
    <s v="Conocido"/>
    <s v="SI"/>
    <m/>
    <m/>
    <x v="0"/>
    <m/>
  </r>
  <r>
    <s v="C394"/>
    <s v="Gabriela Ulloa"/>
    <n v="0"/>
    <n v="0"/>
    <m/>
    <m/>
    <n v="6277"/>
    <n v="14800"/>
    <m/>
    <n v="14800"/>
    <x v="61"/>
    <n v="0"/>
    <d v="2019-12-16T00:00:00"/>
    <s v="Vencido"/>
    <m/>
    <m/>
    <m/>
    <m/>
    <m/>
    <m/>
    <m/>
    <m/>
    <m/>
    <m/>
    <m/>
    <m/>
    <s v=""/>
    <m/>
    <n v="12436.974789915967"/>
    <n v="2363.0252100840335"/>
    <s v="Pirque"/>
    <s v="Conocido"/>
    <s v="NO"/>
    <m/>
    <m/>
    <x v="0"/>
    <m/>
  </r>
  <r>
    <s v="C558"/>
    <s v="Carola Pardo"/>
    <n v="0"/>
    <n v="2788"/>
    <m/>
    <m/>
    <n v="6273"/>
    <n v="19700"/>
    <m/>
    <n v="19700"/>
    <x v="61"/>
    <n v="0"/>
    <d v="2019-12-16T00:00:00"/>
    <s v="Vencido"/>
    <m/>
    <m/>
    <m/>
    <m/>
    <m/>
    <m/>
    <m/>
    <m/>
    <m/>
    <m/>
    <m/>
    <m/>
    <s v=""/>
    <m/>
    <n v="16554.621848739498"/>
    <n v="3145.3781512605019"/>
    <s v="Pirque"/>
    <s v="Revista"/>
    <s v="NO"/>
    <m/>
    <m/>
    <x v="0"/>
    <m/>
  </r>
  <r>
    <s v="C445"/>
    <s v="Carmen Nuñez"/>
    <n v="0"/>
    <n v="2783"/>
    <m/>
    <m/>
    <n v="6269"/>
    <n v="14800"/>
    <m/>
    <n v="14800"/>
    <x v="61"/>
    <n v="0"/>
    <d v="2019-12-16T00:00:00"/>
    <s v="Vencido"/>
    <m/>
    <m/>
    <m/>
    <m/>
    <m/>
    <m/>
    <m/>
    <m/>
    <m/>
    <m/>
    <m/>
    <m/>
    <s v=""/>
    <m/>
    <n v="12436.974789915967"/>
    <n v="2363.0252100840335"/>
    <s v="Pirque"/>
    <s v="Revista"/>
    <s v="NO"/>
    <m/>
    <m/>
    <x v="0"/>
    <m/>
  </r>
  <r>
    <s v="C032"/>
    <s v="Carlos Jobbe-Duval"/>
    <n v="0"/>
    <n v="0"/>
    <m/>
    <m/>
    <n v="6267"/>
    <n v="24500"/>
    <m/>
    <n v="24500"/>
    <x v="61"/>
    <n v="0"/>
    <d v="2019-12-16T00:00:00"/>
    <s v="Pagado"/>
    <d v="2020-01-29T00:00:00"/>
    <n v="24500"/>
    <s v="Transferencia"/>
    <m/>
    <m/>
    <s v="BCI"/>
    <m/>
    <m/>
    <m/>
    <m/>
    <m/>
    <m/>
    <s v=""/>
    <m/>
    <n v="20588.235294117647"/>
    <n v="3911.7647058823532"/>
    <s v="Pirque"/>
    <s v="Conocido"/>
    <s v="SI"/>
    <m/>
    <m/>
    <x v="0"/>
    <m/>
  </r>
  <r>
    <s v="C263"/>
    <s v="Jeanny Reyes"/>
    <n v="0"/>
    <n v="2785"/>
    <m/>
    <m/>
    <n v="6278"/>
    <n v="23500"/>
    <m/>
    <n v="23500"/>
    <x v="62"/>
    <n v="0"/>
    <d v="2019-12-17T00:00:00"/>
    <s v="Vencido"/>
    <m/>
    <m/>
    <m/>
    <m/>
    <m/>
    <m/>
    <m/>
    <m/>
    <m/>
    <m/>
    <m/>
    <m/>
    <s v=""/>
    <m/>
    <n v="19747.899159663866"/>
    <n v="3752.1008403361338"/>
    <s v="Pirque"/>
    <s v="Conocido"/>
    <s v="NO"/>
    <m/>
    <m/>
    <x v="0"/>
    <m/>
  </r>
  <r>
    <s v="C633"/>
    <s v="Cintia Zuñiga"/>
    <n v="0"/>
    <n v="2789"/>
    <m/>
    <m/>
    <n v="6282"/>
    <n v="30800"/>
    <m/>
    <n v="30800"/>
    <x v="62"/>
    <n v="0"/>
    <d v="2019-12-17T00:00:00"/>
    <s v="Pagado"/>
    <d v="2019-12-17T00:00:00"/>
    <n v="30800"/>
    <s v="Transferencia"/>
    <m/>
    <m/>
    <s v="BCI"/>
    <m/>
    <m/>
    <m/>
    <m/>
    <m/>
    <m/>
    <s v=""/>
    <m/>
    <n v="25882.352941176472"/>
    <n v="4917.6470588235279"/>
    <s v="Pirque"/>
    <s v="Conocido"/>
    <s v="SI"/>
    <m/>
    <m/>
    <x v="0"/>
    <m/>
  </r>
  <r>
    <s v="C456"/>
    <s v="Carolina Muñoz"/>
    <n v="0"/>
    <n v="2787"/>
    <m/>
    <m/>
    <n v="6280"/>
    <n v="14800"/>
    <m/>
    <n v="14800"/>
    <x v="62"/>
    <n v="0"/>
    <d v="2019-12-17T00:00:00"/>
    <s v="Pagado"/>
    <d v="2019-12-18T00:00:00"/>
    <n v="14800"/>
    <s v="Transferencia"/>
    <m/>
    <m/>
    <s v="Estado"/>
    <m/>
    <m/>
    <m/>
    <m/>
    <m/>
    <m/>
    <s v=""/>
    <m/>
    <n v="12436.974789915967"/>
    <n v="2363.0252100840335"/>
    <s v="Pirque"/>
    <s v="Conocido"/>
    <s v="SI"/>
    <m/>
    <m/>
    <x v="0"/>
    <m/>
  </r>
  <r>
    <s v="C452"/>
    <s v="Camila Zamorano"/>
    <n v="0"/>
    <n v="2786"/>
    <m/>
    <m/>
    <n v="6181"/>
    <n v="14800"/>
    <m/>
    <n v="14800"/>
    <x v="62"/>
    <n v="0"/>
    <d v="2019-12-17T00:00:00"/>
    <s v="Pagado"/>
    <d v="2019-12-18T00:00:00"/>
    <n v="14800"/>
    <s v="Transferencia"/>
    <m/>
    <m/>
    <s v="Estado"/>
    <m/>
    <m/>
    <m/>
    <m/>
    <m/>
    <m/>
    <s v=""/>
    <m/>
    <n v="12436.974789915967"/>
    <n v="2363.0252100840335"/>
    <s v="Pirque"/>
    <s v="Revista"/>
    <s v="SI"/>
    <m/>
    <m/>
    <x v="0"/>
    <m/>
  </r>
  <r>
    <s v="C572"/>
    <s v="Aldo Tapia"/>
    <n v="0"/>
    <n v="2784"/>
    <m/>
    <m/>
    <n v="6279"/>
    <n v="16500"/>
    <m/>
    <n v="16500"/>
    <x v="62"/>
    <n v="0"/>
    <d v="2019-12-17T00:00:00"/>
    <s v="Vencido"/>
    <m/>
    <m/>
    <m/>
    <m/>
    <m/>
    <m/>
    <m/>
    <m/>
    <m/>
    <m/>
    <m/>
    <m/>
    <s v=""/>
    <m/>
    <n v="13865.546218487396"/>
    <n v="2634.4537815126041"/>
    <s v="Pirque"/>
    <s v="Revista"/>
    <s v="NO"/>
    <m/>
    <m/>
    <x v="0"/>
    <m/>
  </r>
  <r>
    <s v="C406"/>
    <s v="Naitana y Kufeke SPA"/>
    <n v="3034"/>
    <n v="0"/>
    <m/>
    <m/>
    <s v="sn"/>
    <n v="82674"/>
    <m/>
    <n v="82674"/>
    <x v="63"/>
    <n v="0"/>
    <d v="2019-12-18T00:00:00"/>
    <s v="Pagado"/>
    <d v="2020-01-23T00:00:00"/>
    <n v="82674"/>
    <s v="Transferencia"/>
    <m/>
    <m/>
    <s v="Santander"/>
    <m/>
    <m/>
    <m/>
    <m/>
    <m/>
    <m/>
    <s v=""/>
    <m/>
    <n v="69473.94957983194"/>
    <n v="13200.05042016806"/>
    <s v="Pirque"/>
    <s v="Visita"/>
    <s v="SI"/>
    <m/>
    <m/>
    <x v="1"/>
    <m/>
  </r>
  <r>
    <s v="C389"/>
    <s v="Juan Pinilla"/>
    <n v="0"/>
    <n v="2791"/>
    <m/>
    <m/>
    <n v="6287"/>
    <n v="29000"/>
    <m/>
    <n v="29000"/>
    <x v="63"/>
    <n v="0"/>
    <d v="2019-12-18T00:00:00"/>
    <s v="Pagado"/>
    <d v="2019-12-18T00:00:00"/>
    <n v="29000"/>
    <s v="Transferencia"/>
    <m/>
    <m/>
    <s v="Security"/>
    <m/>
    <m/>
    <m/>
    <m/>
    <m/>
    <m/>
    <s v=""/>
    <m/>
    <n v="24369.747899159665"/>
    <n v="4630.2521008403346"/>
    <s v="Pirque"/>
    <s v="Conocido"/>
    <s v="SI"/>
    <m/>
    <m/>
    <x v="0"/>
    <m/>
  </r>
  <r>
    <s v="C055"/>
    <s v="Jorge Osorio"/>
    <n v="0"/>
    <n v="2792"/>
    <m/>
    <m/>
    <n v="6285"/>
    <n v="146000"/>
    <m/>
    <n v="146000"/>
    <x v="63"/>
    <n v="0"/>
    <d v="2019-12-18T00:00:00"/>
    <s v="Pagado"/>
    <d v="2019-12-18T00:00:00"/>
    <n v="146000"/>
    <s v="Transferencia"/>
    <m/>
    <m/>
    <s v="BCI"/>
    <m/>
    <m/>
    <m/>
    <m/>
    <m/>
    <m/>
    <s v=""/>
    <m/>
    <n v="122689.0756302521"/>
    <n v="23310.924369747896"/>
    <s v="Pirque"/>
    <s v="Revista"/>
    <s v="SI"/>
    <m/>
    <m/>
    <x v="0"/>
    <m/>
  </r>
  <r>
    <s v="C253"/>
    <s v="Doris Dinamarca"/>
    <n v="0"/>
    <n v="2790"/>
    <m/>
    <m/>
    <n v="6284"/>
    <n v="15500"/>
    <m/>
    <n v="15500"/>
    <x v="63"/>
    <n v="0"/>
    <d v="2019-12-18T00:00:00"/>
    <s v="Vencido"/>
    <m/>
    <m/>
    <m/>
    <m/>
    <m/>
    <m/>
    <m/>
    <m/>
    <m/>
    <m/>
    <m/>
    <m/>
    <s v=""/>
    <m/>
    <n v="13025.210084033613"/>
    <n v="2474.7899159663866"/>
    <s v="Pirque"/>
    <s v="Revista"/>
    <s v="NO"/>
    <m/>
    <m/>
    <x v="0"/>
    <m/>
  </r>
  <r>
    <s v="C160"/>
    <s v="Christian Ortiz Hurtado"/>
    <n v="0"/>
    <n v="2794"/>
    <m/>
    <m/>
    <n v="6286"/>
    <n v="19700"/>
    <m/>
    <n v="19700"/>
    <x v="63"/>
    <n v="0"/>
    <d v="2019-12-18T00:00:00"/>
    <s v="Pagado"/>
    <d v="2020-01-08T00:00:00"/>
    <n v="19700"/>
    <s v="Transferencia"/>
    <m/>
    <m/>
    <s v="Scotiabank"/>
    <m/>
    <m/>
    <m/>
    <m/>
    <m/>
    <m/>
    <s v=""/>
    <m/>
    <n v="16554.621848739498"/>
    <n v="3145.3781512605019"/>
    <s v="Pirque"/>
    <s v="Conocido"/>
    <s v="SI"/>
    <m/>
    <m/>
    <x v="0"/>
    <m/>
  </r>
  <r>
    <s v="C032"/>
    <s v="Carlos Jobbe-Duval"/>
    <n v="0"/>
    <n v="0"/>
    <m/>
    <m/>
    <n v="6283"/>
    <n v="29700"/>
    <m/>
    <n v="29700"/>
    <x v="63"/>
    <n v="0"/>
    <d v="2019-12-18T00:00:00"/>
    <s v="Pagado"/>
    <d v="2020-01-29T00:00:00"/>
    <n v="29700"/>
    <s v="Transferencia"/>
    <m/>
    <m/>
    <s v="BCI"/>
    <m/>
    <m/>
    <m/>
    <m/>
    <m/>
    <m/>
    <s v=""/>
    <m/>
    <n v="24957.983193277312"/>
    <n v="4742.0168067226878"/>
    <s v="Pirque"/>
    <s v="Conocido"/>
    <s v="SI"/>
    <m/>
    <m/>
    <x v="0"/>
    <m/>
  </r>
  <r>
    <s v="C584"/>
    <s v="Alejandra Hamame"/>
    <n v="0"/>
    <n v="0"/>
    <m/>
    <m/>
    <n v="6288"/>
    <n v="34500"/>
    <m/>
    <n v="34500"/>
    <x v="63"/>
    <n v="0"/>
    <d v="2019-12-18T00:00:00"/>
    <s v="Vencido"/>
    <d v="2019-12-16T00:00:00"/>
    <n v="0"/>
    <m/>
    <m/>
    <m/>
    <m/>
    <m/>
    <m/>
    <m/>
    <m/>
    <m/>
    <m/>
    <s v=""/>
    <m/>
    <n v="28991.596638655465"/>
    <n v="5508.4033613445354"/>
    <s v="Pirque"/>
    <s v="Revista"/>
    <s v="NO"/>
    <m/>
    <m/>
    <x v="0"/>
    <m/>
  </r>
  <r>
    <s v="C004"/>
    <s v="Rosa Gladys Vidal Mora"/>
    <n v="3036"/>
    <n v="0"/>
    <m/>
    <m/>
    <s v="sn"/>
    <n v="56439"/>
    <m/>
    <n v="56439"/>
    <x v="64"/>
    <n v="7"/>
    <d v="2019-12-26T00:00:00"/>
    <s v="Pagado"/>
    <d v="2019-12-24T00:00:00"/>
    <n v="56439"/>
    <s v="Cheque a Fecha"/>
    <m/>
    <n v="1116127"/>
    <s v="Ripley"/>
    <d v="2019-12-30T00:00:00"/>
    <m/>
    <m/>
    <m/>
    <m/>
    <m/>
    <s v="Otros"/>
    <m/>
    <n v="47427.731092436974"/>
    <n v="9011.268907563026"/>
    <s v="Cajon"/>
    <s v="Visita"/>
    <s v="SI"/>
    <m/>
    <m/>
    <x v="1"/>
    <m/>
  </r>
  <r>
    <s v="C003"/>
    <s v="Hector Felipe Ramos Osorio"/>
    <n v="3035"/>
    <n v="0"/>
    <n v="279"/>
    <m/>
    <s v="sn"/>
    <n v="223396"/>
    <n v="-48677"/>
    <n v="174719"/>
    <x v="64"/>
    <n v="30"/>
    <d v="2020-01-18T00:00:00"/>
    <s v="Pagado"/>
    <d v="2019-12-19T00:00:00"/>
    <n v="174720"/>
    <s v="Cheque al Día"/>
    <m/>
    <n v="7309412"/>
    <s v="Estado"/>
    <s v="19-01.2020"/>
    <m/>
    <m/>
    <m/>
    <m/>
    <m/>
    <s v="Otros"/>
    <m/>
    <n v="187727.731092437"/>
    <n v="35668.268907563004"/>
    <s v="Cajon"/>
    <s v="Visita"/>
    <s v="SI"/>
    <m/>
    <m/>
    <x v="1"/>
    <m/>
  </r>
  <r>
    <s v="C105"/>
    <s v="Paulina Andrea Araneda Cancino"/>
    <n v="3040"/>
    <n v="0"/>
    <m/>
    <m/>
    <s v="sn"/>
    <n v="43500"/>
    <m/>
    <n v="43500"/>
    <x v="65"/>
    <n v="0"/>
    <d v="2019-12-20T00:00:00"/>
    <s v="Pagado"/>
    <d v="2019-12-20T00:00:00"/>
    <n v="43500"/>
    <s v="Efectivo"/>
    <m/>
    <m/>
    <m/>
    <m/>
    <m/>
    <m/>
    <m/>
    <m/>
    <m/>
    <s v=""/>
    <m/>
    <n v="36554.621848739494"/>
    <n v="6945.3781512605055"/>
    <s v="Chada"/>
    <s v="Visita"/>
    <s v="SI"/>
    <m/>
    <m/>
    <x v="1"/>
    <m/>
  </r>
  <r>
    <s v="C554"/>
    <s v="Minimarket Doña Olga SPA"/>
    <n v="3039"/>
    <n v="0"/>
    <m/>
    <m/>
    <s v="sn"/>
    <n v="66640"/>
    <m/>
    <n v="66640"/>
    <x v="65"/>
    <n v="30"/>
    <d v="2020-01-19T00:00:00"/>
    <s v="Pagado"/>
    <d v="2020-02-09T00:00:00"/>
    <n v="66640"/>
    <s v="Cheque a Fecha"/>
    <m/>
    <n v="997"/>
    <s v="Falabella"/>
    <d v="2020-01-19T00:00:00"/>
    <m/>
    <m/>
    <m/>
    <m/>
    <m/>
    <s v="Otros"/>
    <m/>
    <n v="56000"/>
    <n v="10640"/>
    <s v="Chada"/>
    <s v="Visita"/>
    <s v="SI"/>
    <m/>
    <m/>
    <x v="1"/>
    <m/>
  </r>
  <r>
    <s v="C361"/>
    <s v="Marcela Biham"/>
    <n v="0"/>
    <n v="189"/>
    <m/>
    <m/>
    <n v="6291"/>
    <n v="45400"/>
    <m/>
    <n v="45400"/>
    <x v="65"/>
    <n v="0"/>
    <d v="2019-12-20T00:00:00"/>
    <s v="Pagado"/>
    <d v="2019-12-20T00:00:00"/>
    <n v="45400"/>
    <s v="Transbank"/>
    <s v="Credito"/>
    <n v="189"/>
    <m/>
    <m/>
    <m/>
    <m/>
    <m/>
    <m/>
    <m/>
    <s v=""/>
    <m/>
    <n v="38151.26050420168"/>
    <n v="7248.7394957983197"/>
    <s v="Chada"/>
    <s v="Revista"/>
    <s v="SI"/>
    <m/>
    <m/>
    <x v="0"/>
    <m/>
  </r>
  <r>
    <s v="C464"/>
    <s v="Ma Ignacia Monje"/>
    <n v="0"/>
    <n v="2793"/>
    <m/>
    <m/>
    <n v="6289"/>
    <n v="23600"/>
    <m/>
    <n v="23600"/>
    <x v="65"/>
    <n v="0"/>
    <d v="2019-12-20T00:00:00"/>
    <s v="Vencido"/>
    <m/>
    <m/>
    <m/>
    <m/>
    <m/>
    <m/>
    <m/>
    <m/>
    <m/>
    <m/>
    <m/>
    <m/>
    <s v=""/>
    <m/>
    <n v="19831.932773109245"/>
    <n v="3768.0672268907547"/>
    <s v="Chada"/>
    <s v="Conocido"/>
    <s v="NO"/>
    <m/>
    <m/>
    <x v="0"/>
    <m/>
  </r>
  <r>
    <s v="C620"/>
    <s v="Luz Maria Ossandon"/>
    <n v="0"/>
    <n v="2796"/>
    <m/>
    <m/>
    <n v="6290"/>
    <n v="19700"/>
    <m/>
    <n v="19700"/>
    <x v="65"/>
    <n v="0"/>
    <d v="2019-12-20T00:00:00"/>
    <s v="Pagado"/>
    <d v="2019-12-20T00:00:00"/>
    <n v="20000"/>
    <s v="Efectivo"/>
    <m/>
    <m/>
    <m/>
    <m/>
    <m/>
    <m/>
    <m/>
    <m/>
    <m/>
    <s v=""/>
    <m/>
    <n v="16554.621848739498"/>
    <n v="3145.3781512605019"/>
    <s v="Pirque"/>
    <s v="Conocido"/>
    <s v="SI"/>
    <m/>
    <m/>
    <x v="0"/>
    <m/>
  </r>
  <r>
    <s v="C087"/>
    <s v="Juan Pablo Valdes"/>
    <n v="0"/>
    <n v="2795"/>
    <m/>
    <m/>
    <n v="6293"/>
    <n v="69000"/>
    <m/>
    <n v="69000"/>
    <x v="65"/>
    <n v="0"/>
    <d v="2019-12-20T00:00:00"/>
    <s v="Pagado"/>
    <d v="2019-12-20T00:00:00"/>
    <n v="69000"/>
    <s v="Transferencia"/>
    <m/>
    <m/>
    <s v="Bice"/>
    <m/>
    <m/>
    <m/>
    <m/>
    <m/>
    <m/>
    <s v=""/>
    <m/>
    <n v="57983.193277310929"/>
    <n v="11016.806722689071"/>
    <s v="Pirque"/>
    <s v="Revista"/>
    <s v="SI"/>
    <m/>
    <m/>
    <x v="0"/>
    <m/>
  </r>
  <r>
    <s v="C595"/>
    <s v="Juan Neira"/>
    <n v="0"/>
    <n v="0"/>
    <m/>
    <m/>
    <n v="6292"/>
    <n v="19700"/>
    <m/>
    <n v="19700"/>
    <x v="65"/>
    <n v="0"/>
    <d v="2019-12-20T00:00:00"/>
    <s v="Pagado"/>
    <d v="2019-12-20T00:00:00"/>
    <n v="19700"/>
    <s v="Transferencia"/>
    <m/>
    <m/>
    <s v="Estado"/>
    <m/>
    <m/>
    <m/>
    <m/>
    <m/>
    <m/>
    <s v=""/>
    <m/>
    <n v="16554.621848739498"/>
    <n v="3145.3781512605019"/>
    <s v="Pirque"/>
    <s v="Revista"/>
    <s v="SI"/>
    <m/>
    <m/>
    <x v="0"/>
    <m/>
  </r>
  <r>
    <s v="C113"/>
    <s v="Alvaro del Carmen Ruiz Farias y Otro (Hornito)"/>
    <n v="3037"/>
    <n v="0"/>
    <m/>
    <m/>
    <s v="sn"/>
    <n v="61543"/>
    <m/>
    <n v="61543"/>
    <x v="65"/>
    <n v="0"/>
    <d v="2019-12-20T00:00:00"/>
    <s v="Pagado"/>
    <d v="2019-12-20T00:00:00"/>
    <n v="61543"/>
    <s v="Efectivo"/>
    <m/>
    <m/>
    <m/>
    <m/>
    <m/>
    <m/>
    <m/>
    <m/>
    <m/>
    <s v=""/>
    <m/>
    <n v="51716.806722689078"/>
    <n v="9826.193277310922"/>
    <s v="Chada"/>
    <s v="Visita"/>
    <s v="SI"/>
    <m/>
    <m/>
    <x v="1"/>
    <m/>
  </r>
  <r>
    <s v="C113"/>
    <s v="Alvaro del Carmen Ruiz Farias y Otro (Hornito)"/>
    <n v="3038"/>
    <n v="0"/>
    <m/>
    <m/>
    <s v="sn"/>
    <n v="335947"/>
    <m/>
    <n v="335947"/>
    <x v="65"/>
    <n v="0"/>
    <d v="2019-12-20T00:00:00"/>
    <s v="Pagado"/>
    <d v="2019-12-20T00:00:00"/>
    <n v="335947"/>
    <s v="Efectivo"/>
    <m/>
    <m/>
    <m/>
    <m/>
    <m/>
    <m/>
    <m/>
    <m/>
    <m/>
    <s v=""/>
    <m/>
    <n v="282308.40336134454"/>
    <n v="53638.596638655465"/>
    <s v="Chada"/>
    <s v="Visita"/>
    <s v="SI"/>
    <m/>
    <m/>
    <x v="1"/>
    <m/>
  </r>
  <r>
    <s v="C583"/>
    <s v="Karina Ormeño"/>
    <n v="0"/>
    <n v="2797"/>
    <m/>
    <m/>
    <n v="6295"/>
    <n v="15200"/>
    <m/>
    <n v="15200"/>
    <x v="66"/>
    <n v="0"/>
    <d v="2019-12-21T00:00:00"/>
    <s v="Pagado"/>
    <d v="2019-12-21T00:00:00"/>
    <n v="15200"/>
    <s v="Transferencia"/>
    <m/>
    <m/>
    <s v="Chile"/>
    <m/>
    <m/>
    <m/>
    <m/>
    <m/>
    <m/>
    <s v=""/>
    <m/>
    <n v="12773.10924369748"/>
    <n v="2426.8907563025205"/>
    <s v="Pirque"/>
    <s v="Revista"/>
    <s v="SI"/>
    <m/>
    <m/>
    <x v="0"/>
    <m/>
  </r>
  <r>
    <s v="C001"/>
    <s v="Benito Campos y Cia Ltda."/>
    <n v="3041"/>
    <n v="0"/>
    <m/>
    <m/>
    <s v="sn"/>
    <n v="477000"/>
    <m/>
    <n v="477000"/>
    <x v="66"/>
    <n v="30"/>
    <d v="2020-01-20T00:00:00"/>
    <s v="Pagado"/>
    <d v="2020-01-29T00:00:00"/>
    <n v="477000"/>
    <s v="Transferencia"/>
    <m/>
    <m/>
    <s v="Santander"/>
    <m/>
    <m/>
    <m/>
    <m/>
    <m/>
    <m/>
    <s v=""/>
    <m/>
    <n v="400840.33613445383"/>
    <n v="76159.663865546172"/>
    <s v="Cajon"/>
    <s v="Visita"/>
    <s v="SI"/>
    <m/>
    <m/>
    <x v="1"/>
    <m/>
  </r>
  <r>
    <s v="C335"/>
    <s v="Alejandro Astorga"/>
    <n v="0"/>
    <n v="190"/>
    <m/>
    <m/>
    <n v="6294"/>
    <n v="34300"/>
    <m/>
    <n v="34300"/>
    <x v="66"/>
    <n v="0"/>
    <d v="2019-12-21T00:00:00"/>
    <s v="Pagado"/>
    <d v="2019-12-21T00:00:00"/>
    <n v="34500"/>
    <s v="Transbank"/>
    <s v="Debito"/>
    <n v="190"/>
    <m/>
    <m/>
    <m/>
    <m/>
    <m/>
    <m/>
    <m/>
    <s v=""/>
    <m/>
    <n v="28823.529411764706"/>
    <n v="5476.4705882352937"/>
    <s v="Pirque"/>
    <s v="Revista"/>
    <s v="SI"/>
    <m/>
    <m/>
    <x v="0"/>
    <m/>
  </r>
  <r>
    <s v="C635"/>
    <s v="Teresa Meza"/>
    <n v="0"/>
    <n v="2800"/>
    <m/>
    <m/>
    <n v="6303"/>
    <n v="16500"/>
    <m/>
    <n v="16500"/>
    <x v="67"/>
    <n v="0"/>
    <d v="2019-12-23T00:00:00"/>
    <s v="Pagado"/>
    <d v="2019-12-23T00:00:00"/>
    <n v="16500"/>
    <s v="Transferencia"/>
    <m/>
    <m/>
    <s v="Chile"/>
    <m/>
    <m/>
    <m/>
    <m/>
    <m/>
    <m/>
    <s v=""/>
    <m/>
    <n v="13865.546218487396"/>
    <n v="2634.4537815126041"/>
    <s v="Pirque"/>
    <s v="Revista"/>
    <s v="SI"/>
    <m/>
    <m/>
    <x v="0"/>
    <m/>
  </r>
  <r>
    <s v="C432"/>
    <s v="Silvia Zuñiga"/>
    <n v="0"/>
    <n v="2798"/>
    <m/>
    <m/>
    <n v="6296"/>
    <n v="19700"/>
    <m/>
    <n v="19700"/>
    <x v="67"/>
    <n v="0"/>
    <d v="2019-12-23T00:00:00"/>
    <s v="Vencido"/>
    <m/>
    <m/>
    <m/>
    <m/>
    <m/>
    <m/>
    <m/>
    <m/>
    <m/>
    <m/>
    <m/>
    <m/>
    <s v=""/>
    <m/>
    <n v="16554.621848739498"/>
    <n v="3145.3781512605019"/>
    <s v="Pirque"/>
    <s v="Conocido"/>
    <s v="NO"/>
    <m/>
    <m/>
    <x v="0"/>
    <m/>
  </r>
  <r>
    <s v="C065"/>
    <s v="Peter De Lamare"/>
    <n v="0"/>
    <n v="2799"/>
    <m/>
    <m/>
    <n v="6301"/>
    <n v="27050"/>
    <m/>
    <n v="27050"/>
    <x v="67"/>
    <n v="0"/>
    <d v="2019-12-23T00:00:00"/>
    <s v="Pagado"/>
    <d v="2020-01-06T00:00:00"/>
    <n v="27050"/>
    <s v="Cheque a Fecha"/>
    <m/>
    <n v="2827043"/>
    <s v="Bice"/>
    <m/>
    <n v="2719733"/>
    <n v="27050"/>
    <d v="2020-01-06T00:00:00"/>
    <s v="Chile"/>
    <m/>
    <s v="Otros"/>
    <m/>
    <n v="22731.092436974792"/>
    <n v="4318.9075630252082"/>
    <s v="Pirque"/>
    <s v="Conocido"/>
    <s v="SI"/>
    <m/>
    <m/>
    <x v="0"/>
    <m/>
  </r>
  <r>
    <s v="C028"/>
    <s v="Luz María Velasquez"/>
    <n v="0"/>
    <n v="0"/>
    <m/>
    <m/>
    <n v="6305"/>
    <n v="34300"/>
    <m/>
    <n v="34300"/>
    <x v="67"/>
    <n v="0"/>
    <d v="2019-12-23T00:00:00"/>
    <s v="Pagado"/>
    <d v="2020-02-01T00:00:00"/>
    <n v="34300"/>
    <s v="Transferencia"/>
    <m/>
    <m/>
    <s v="Scotiabank"/>
    <m/>
    <m/>
    <m/>
    <m/>
    <m/>
    <m/>
    <s v=""/>
    <m/>
    <n v="28823.529411764706"/>
    <n v="5476.4705882352937"/>
    <s v="Chada"/>
    <s v="Conocido"/>
    <s v="SI"/>
    <m/>
    <m/>
    <x v="0"/>
    <m/>
  </r>
  <r>
    <s v="C136"/>
    <s v="Lily Caballero"/>
    <n v="0"/>
    <n v="2804"/>
    <m/>
    <m/>
    <n v="6300"/>
    <n v="29600"/>
    <m/>
    <n v="29600"/>
    <x v="67"/>
    <n v="0"/>
    <d v="2019-12-23T00:00:00"/>
    <s v="Pagado"/>
    <d v="2020-01-17T00:00:00"/>
    <n v="29600"/>
    <s v="Depósito"/>
    <m/>
    <m/>
    <s v="Santander"/>
    <m/>
    <m/>
    <m/>
    <m/>
    <m/>
    <m/>
    <s v=""/>
    <m/>
    <n v="24873.949579831933"/>
    <n v="4726.0504201680669"/>
    <s v="Pirque"/>
    <s v="Conocido"/>
    <s v="SI"/>
    <m/>
    <m/>
    <x v="0"/>
    <m/>
  </r>
  <r>
    <s v="C079"/>
    <s v="Kim Cornely"/>
    <n v="0"/>
    <n v="2801"/>
    <m/>
    <m/>
    <n v="6306"/>
    <n v="19800"/>
    <m/>
    <n v="19800"/>
    <x v="67"/>
    <n v="0"/>
    <d v="2019-12-23T00:00:00"/>
    <s v="Pagado"/>
    <d v="2019-12-23T00:00:00"/>
    <n v="19800"/>
    <s v="Efectivo"/>
    <m/>
    <m/>
    <m/>
    <m/>
    <m/>
    <m/>
    <m/>
    <m/>
    <m/>
    <s v=""/>
    <m/>
    <n v="16638.655462184874"/>
    <n v="3161.3445378151264"/>
    <s v="Pirque"/>
    <s v="Conocido"/>
    <s v="SI"/>
    <m/>
    <m/>
    <x v="0"/>
    <m/>
  </r>
  <r>
    <s v="C536"/>
    <s v="Katherine Gonzalez"/>
    <n v="0"/>
    <n v="2802"/>
    <m/>
    <m/>
    <n v="6298"/>
    <n v="142000"/>
    <m/>
    <n v="142000"/>
    <x v="67"/>
    <n v="0"/>
    <d v="2019-12-23T00:00:00"/>
    <s v="Vencido"/>
    <m/>
    <m/>
    <m/>
    <m/>
    <m/>
    <m/>
    <m/>
    <m/>
    <m/>
    <m/>
    <m/>
    <m/>
    <s v=""/>
    <m/>
    <n v="119327.73109243698"/>
    <n v="22672.268907563019"/>
    <s v="Pirque"/>
    <s v="Matute Pirque"/>
    <s v="NO"/>
    <m/>
    <m/>
    <x v="0"/>
    <m/>
  </r>
  <r>
    <s v="C158"/>
    <s v="Jose Miguel Osorio"/>
    <n v="0"/>
    <n v="181"/>
    <m/>
    <m/>
    <n v="6299"/>
    <n v="34500"/>
    <m/>
    <n v="34500"/>
    <x v="67"/>
    <n v="0"/>
    <d v="2019-12-23T00:00:00"/>
    <s v="Vencido"/>
    <m/>
    <m/>
    <m/>
    <m/>
    <m/>
    <m/>
    <m/>
    <m/>
    <m/>
    <m/>
    <m/>
    <m/>
    <s v=""/>
    <m/>
    <n v="28991.596638655465"/>
    <n v="5508.4033613445354"/>
    <s v="Pirque"/>
    <s v="Conocido"/>
    <s v="NO"/>
    <m/>
    <m/>
    <x v="0"/>
    <m/>
  </r>
  <r>
    <s v="C634"/>
    <s v="Isabel Luco"/>
    <n v="0"/>
    <n v="2803"/>
    <m/>
    <m/>
    <n v="6297"/>
    <n v="79600"/>
    <m/>
    <n v="79600"/>
    <x v="67"/>
    <n v="0"/>
    <d v="2019-12-23T00:00:00"/>
    <s v="Pagado"/>
    <d v="2019-12-23T00:00:00"/>
    <n v="79600"/>
    <s v="Transferencia"/>
    <m/>
    <m/>
    <s v="Santander"/>
    <m/>
    <m/>
    <m/>
    <m/>
    <m/>
    <m/>
    <s v=""/>
    <m/>
    <n v="66890.756302521011"/>
    <n v="12709.243697478989"/>
    <s v="Pirque"/>
    <s v="Conocido"/>
    <s v="SI"/>
    <m/>
    <m/>
    <x v="0"/>
    <m/>
  </r>
  <r>
    <s v="C038"/>
    <s v="Francisca Gonzalez"/>
    <n v="0"/>
    <n v="0"/>
    <m/>
    <m/>
    <n v="6302"/>
    <n v="20200"/>
    <m/>
    <n v="20200"/>
    <x v="67"/>
    <n v="0"/>
    <d v="2019-12-23T00:00:00"/>
    <s v="Pagado"/>
    <d v="2020-01-27T00:00:00"/>
    <n v="20200"/>
    <s v="Transferencia"/>
    <m/>
    <m/>
    <s v="Chile"/>
    <m/>
    <m/>
    <m/>
    <m/>
    <m/>
    <m/>
    <s v=""/>
    <m/>
    <n v="16974.789915966387"/>
    <n v="3225.2100840336134"/>
    <s v="Pirque"/>
    <s v="Conocido"/>
    <s v="SI"/>
    <m/>
    <m/>
    <x v="0"/>
    <m/>
  </r>
  <r>
    <s v="C004"/>
    <s v="Rosa Gladys Vidal Mora"/>
    <n v="3043"/>
    <n v="0"/>
    <n v="281"/>
    <m/>
    <s v="sn"/>
    <n v="296503"/>
    <n v="-41769"/>
    <n v="254734"/>
    <x v="68"/>
    <n v="7"/>
    <d v="2019-12-31T00:00:00"/>
    <s v="Pagado"/>
    <d v="2020-01-02T00:00:00"/>
    <n v="254734"/>
    <s v="Cheque a Fecha"/>
    <m/>
    <n v="1116163"/>
    <s v="Santander"/>
    <d v="2020-01-01T00:00:00"/>
    <n v="2719731"/>
    <n v="254730"/>
    <d v="2020-01-06T00:00:00"/>
    <s v="Chile"/>
    <m/>
    <s v="Otros"/>
    <m/>
    <n v="249162.18487394959"/>
    <n v="47340.815126050409"/>
    <s v="Cajon"/>
    <s v="Visita"/>
    <s v="SI"/>
    <m/>
    <m/>
    <x v="1"/>
    <m/>
  </r>
  <r>
    <s v="C278"/>
    <s v="Ricardo Muñoz"/>
    <n v="0"/>
    <n v="182"/>
    <m/>
    <m/>
    <n v="6309"/>
    <n v="23000"/>
    <m/>
    <n v="23000"/>
    <x v="68"/>
    <n v="0"/>
    <d v="2019-12-24T00:00:00"/>
    <s v="Vencido"/>
    <m/>
    <m/>
    <m/>
    <m/>
    <m/>
    <m/>
    <m/>
    <m/>
    <m/>
    <m/>
    <m/>
    <m/>
    <s v=""/>
    <m/>
    <n v="19327.731092436974"/>
    <n v="3672.268907563026"/>
    <s v="Pirque"/>
    <s v="Revista"/>
    <s v="NO"/>
    <m/>
    <m/>
    <x v="0"/>
    <m/>
  </r>
  <r>
    <s v="C005"/>
    <s v="Julia Ines Rebolledo Retamal"/>
    <n v="3044"/>
    <n v="0"/>
    <m/>
    <m/>
    <s v="sn"/>
    <n v="22491"/>
    <m/>
    <n v="22491"/>
    <x v="68"/>
    <n v="7"/>
    <d v="2019-12-31T00:00:00"/>
    <s v="Vencido"/>
    <m/>
    <m/>
    <m/>
    <m/>
    <m/>
    <m/>
    <m/>
    <m/>
    <m/>
    <m/>
    <m/>
    <m/>
    <s v=""/>
    <m/>
    <n v="18900"/>
    <n v="3591"/>
    <s v="Cajon"/>
    <s v="Visita"/>
    <s v="NO"/>
    <m/>
    <m/>
    <x v="1"/>
    <m/>
  </r>
  <r>
    <s v="C003"/>
    <s v="Hector Felipe Ramos Osorio"/>
    <n v="3042"/>
    <n v="0"/>
    <m/>
    <m/>
    <s v="sn"/>
    <n v="35518"/>
    <m/>
    <n v="35518"/>
    <x v="68"/>
    <n v="30"/>
    <d v="2020-01-23T00:00:00"/>
    <s v="Pagado"/>
    <d v="2020-01-15T00:00:00"/>
    <n v="35518"/>
    <s v="Cheque a Fecha"/>
    <m/>
    <n v="7636301"/>
    <s v="Estado"/>
    <d v="2020-01-02T00:00:00"/>
    <m/>
    <m/>
    <m/>
    <m/>
    <m/>
    <s v="Otros"/>
    <m/>
    <n v="29847.058823529413"/>
    <n v="5670.9411764705874"/>
    <s v="Cajon"/>
    <s v="Visita"/>
    <s v="SI"/>
    <m/>
    <m/>
    <x v="1"/>
    <m/>
  </r>
  <r>
    <s v="C032"/>
    <s v="Carlos Jobbe-Duval"/>
    <n v="0"/>
    <n v="0"/>
    <m/>
    <m/>
    <n v="6304"/>
    <n v="9734"/>
    <m/>
    <n v="9734"/>
    <x v="68"/>
    <n v="0"/>
    <d v="2019-12-24T00:00:00"/>
    <s v="Pagado"/>
    <d v="2020-01-29T00:00:00"/>
    <n v="9734"/>
    <s v="Transferencia"/>
    <m/>
    <m/>
    <s v="BCI"/>
    <m/>
    <m/>
    <m/>
    <m/>
    <m/>
    <m/>
    <s v=""/>
    <m/>
    <n v="8179.8319327731097"/>
    <n v="1554.1680672268903"/>
    <s v="Pirque"/>
    <s v="Conocido"/>
    <s v="SI"/>
    <m/>
    <m/>
    <x v="0"/>
    <m/>
  </r>
  <r>
    <s v="C001"/>
    <s v="Benito Campos y Cia Ltda."/>
    <n v="3045"/>
    <n v="0"/>
    <m/>
    <m/>
    <n v="43823"/>
    <n v="213413"/>
    <m/>
    <n v="213413"/>
    <x v="68"/>
    <n v="30"/>
    <d v="2020-01-23T00:00:00"/>
    <s v="Pagado"/>
    <d v="2020-02-03T00:00:00"/>
    <n v="213413"/>
    <s v="Transferencia"/>
    <m/>
    <m/>
    <s v="Santander"/>
    <m/>
    <m/>
    <m/>
    <m/>
    <m/>
    <m/>
    <s v=""/>
    <m/>
    <n v="179338.65546218489"/>
    <n v="34074.344537815108"/>
    <s v="Cajon"/>
    <s v="Visita"/>
    <s v="SI"/>
    <m/>
    <m/>
    <x v="1"/>
    <m/>
  </r>
  <r>
    <s v="C001"/>
    <s v="Benito Campos y Cia Ltda."/>
    <n v="3046"/>
    <n v="0"/>
    <m/>
    <m/>
    <n v="1038223"/>
    <n v="133275"/>
    <m/>
    <n v="133275"/>
    <x v="68"/>
    <n v="30"/>
    <d v="2020-01-23T00:00:00"/>
    <s v="Pagado"/>
    <d v="2020-02-03T00:00:00"/>
    <n v="133275"/>
    <s v="Transferencia"/>
    <m/>
    <m/>
    <s v="Santander"/>
    <m/>
    <m/>
    <m/>
    <m/>
    <m/>
    <m/>
    <s v=""/>
    <m/>
    <n v="111995.79831932773"/>
    <n v="21279.201680672268"/>
    <s v="Cajon"/>
    <s v="Visita"/>
    <s v="SI"/>
    <m/>
    <m/>
    <x v="1"/>
    <m/>
  </r>
  <r>
    <s v="C001"/>
    <s v="Benito Campos y Cia Ltda."/>
    <n v="3047"/>
    <n v="0"/>
    <n v="280"/>
    <m/>
    <n v="1038222"/>
    <n v="241184"/>
    <n v="-10102"/>
    <n v="231082"/>
    <x v="68"/>
    <n v="30"/>
    <d v="2020-01-23T00:00:00"/>
    <s v="Pagado"/>
    <d v="2020-02-03T00:00:00"/>
    <n v="231082"/>
    <s v="Transferencia"/>
    <m/>
    <m/>
    <s v="Santander"/>
    <m/>
    <m/>
    <m/>
    <m/>
    <m/>
    <m/>
    <s v=""/>
    <m/>
    <n v="202675.63025210085"/>
    <n v="38508.369747899153"/>
    <s v="Cajon"/>
    <s v="Visita"/>
    <s v="SI"/>
    <m/>
    <m/>
    <x v="1"/>
    <m/>
  </r>
  <r>
    <s v="C001"/>
    <s v="Benito Campos y Cia Ltda."/>
    <n v="3048"/>
    <n v="0"/>
    <m/>
    <m/>
    <n v="1038231"/>
    <n v="98908"/>
    <m/>
    <n v="98908"/>
    <x v="68"/>
    <n v="30"/>
    <d v="2020-01-23T00:00:00"/>
    <s v="Pagado"/>
    <d v="2020-02-03T00:00:00"/>
    <n v="98908"/>
    <s v="Transferencia"/>
    <m/>
    <m/>
    <s v="Santander"/>
    <m/>
    <m/>
    <m/>
    <m/>
    <m/>
    <m/>
    <s v=""/>
    <m/>
    <n v="83115.966386554632"/>
    <n v="15792.033613445368"/>
    <s v="Cajon"/>
    <s v="Visita"/>
    <s v="SI"/>
    <m/>
    <m/>
    <x v="1"/>
    <m/>
  </r>
  <r>
    <s v="C001"/>
    <s v="Benito Campos y Cia Ltda."/>
    <n v="3049"/>
    <n v="0"/>
    <m/>
    <m/>
    <n v="1038220"/>
    <n v="185083"/>
    <m/>
    <n v="185083"/>
    <x v="68"/>
    <n v="30"/>
    <d v="2020-01-23T00:00:00"/>
    <s v="Pagado"/>
    <d v="2020-02-03T00:00:00"/>
    <n v="185083"/>
    <s v="Transferencia"/>
    <m/>
    <m/>
    <s v="Santander"/>
    <m/>
    <m/>
    <m/>
    <m/>
    <m/>
    <m/>
    <s v=""/>
    <m/>
    <n v="155531.93277310926"/>
    <n v="29551.067226890736"/>
    <s v="Cajon"/>
    <s v="Visita"/>
    <s v="SI"/>
    <m/>
    <m/>
    <x v="1"/>
    <m/>
  </r>
  <r>
    <s v="C072"/>
    <s v="Walter Folch"/>
    <n v="0"/>
    <n v="0"/>
    <m/>
    <m/>
    <n v="6310"/>
    <n v="16500"/>
    <m/>
    <n v="16500"/>
    <x v="69"/>
    <n v="0"/>
    <d v="2019-12-26T00:00:00"/>
    <s v="Vencido"/>
    <m/>
    <m/>
    <m/>
    <m/>
    <m/>
    <m/>
    <m/>
    <m/>
    <m/>
    <m/>
    <m/>
    <m/>
    <s v=""/>
    <m/>
    <n v="13865.546218487396"/>
    <n v="2634.4537815126041"/>
    <s v="Pirque"/>
    <s v="Conocido"/>
    <s v="NO"/>
    <m/>
    <m/>
    <x v="0"/>
    <m/>
  </r>
  <r>
    <s v="C488"/>
    <s v="Trinidad Siviragol"/>
    <n v="2811"/>
    <n v="0"/>
    <m/>
    <m/>
    <n v="6318"/>
    <n v="29600"/>
    <m/>
    <n v="29600"/>
    <x v="69"/>
    <n v="0"/>
    <d v="2019-12-26T00:00:00"/>
    <s v="Pagado"/>
    <d v="2019-12-27T00:00:00"/>
    <n v="29600"/>
    <s v="Transferencia"/>
    <m/>
    <m/>
    <s v="Chile"/>
    <m/>
    <m/>
    <m/>
    <m/>
    <m/>
    <m/>
    <s v=""/>
    <m/>
    <n v="24873.949579831933"/>
    <n v="4726.0504201680669"/>
    <s v="Pirque"/>
    <s v="Revista"/>
    <s v="SI"/>
    <m/>
    <m/>
    <x v="1"/>
    <m/>
  </r>
  <r>
    <s v="C592"/>
    <s v="Rogelio Castillo"/>
    <n v="0"/>
    <n v="0"/>
    <m/>
    <m/>
    <n v="6311"/>
    <n v="26800"/>
    <m/>
    <n v="26800"/>
    <x v="69"/>
    <n v="0"/>
    <d v="2019-12-26T00:00:00"/>
    <s v="Vencido"/>
    <m/>
    <m/>
    <m/>
    <m/>
    <m/>
    <m/>
    <m/>
    <m/>
    <m/>
    <m/>
    <m/>
    <m/>
    <s v=""/>
    <m/>
    <n v="22521.008403361346"/>
    <n v="4278.9915966386543"/>
    <s v="Pirque"/>
    <s v="Revista"/>
    <s v="NO"/>
    <m/>
    <m/>
    <x v="0"/>
    <m/>
  </r>
  <r>
    <s v="C552"/>
    <s v="Miguel Cabrera"/>
    <n v="0"/>
    <n v="2808"/>
    <m/>
    <m/>
    <n v="6314"/>
    <n v="11500"/>
    <m/>
    <n v="11500"/>
    <x v="69"/>
    <n v="0"/>
    <d v="2019-12-26T00:00:00"/>
    <s v="Vencido"/>
    <m/>
    <m/>
    <m/>
    <m/>
    <m/>
    <m/>
    <m/>
    <m/>
    <m/>
    <m/>
    <m/>
    <m/>
    <s v=""/>
    <m/>
    <n v="9663.865546218487"/>
    <n v="1836.134453781513"/>
    <s v="Pirque"/>
    <s v="Revista"/>
    <s v="NO"/>
    <m/>
    <m/>
    <x v="0"/>
    <m/>
  </r>
  <r>
    <s v="C619"/>
    <s v="Luz Maria Streeter"/>
    <n v="0"/>
    <n v="2805"/>
    <m/>
    <m/>
    <n v="6307"/>
    <n v="33000"/>
    <m/>
    <n v="33000"/>
    <x v="69"/>
    <n v="0"/>
    <d v="2019-12-26T00:00:00"/>
    <s v="Pagado"/>
    <d v="2019-12-26T00:00:00"/>
    <n v="33000"/>
    <s v="Depósito"/>
    <m/>
    <m/>
    <s v="Chile"/>
    <m/>
    <m/>
    <m/>
    <m/>
    <m/>
    <m/>
    <s v=""/>
    <m/>
    <n v="27731.092436974792"/>
    <n v="5268.9075630252082"/>
    <s v="Pirque"/>
    <s v="Revista"/>
    <s v="SI"/>
    <m/>
    <m/>
    <x v="0"/>
    <m/>
  </r>
  <r>
    <s v="C263"/>
    <s v="Jeanny Reyes"/>
    <n v="0"/>
    <n v="2810"/>
    <m/>
    <m/>
    <n v="6317"/>
    <n v="23500"/>
    <m/>
    <n v="23500"/>
    <x v="69"/>
    <n v="0"/>
    <d v="2019-12-26T00:00:00"/>
    <s v="Vencido"/>
    <m/>
    <m/>
    <m/>
    <m/>
    <m/>
    <m/>
    <m/>
    <m/>
    <m/>
    <m/>
    <m/>
    <m/>
    <s v=""/>
    <m/>
    <n v="19747.899159663866"/>
    <n v="3752.1008403361338"/>
    <s v="Pirque"/>
    <s v="Conocido"/>
    <s v="NO"/>
    <m/>
    <m/>
    <x v="0"/>
    <m/>
  </r>
  <r>
    <s v="C495"/>
    <s v="Felipe Saint Jean Metzen"/>
    <n v="0"/>
    <n v="2809"/>
    <m/>
    <m/>
    <n v="6315"/>
    <n v="16500"/>
    <m/>
    <n v="16500"/>
    <x v="69"/>
    <n v="0"/>
    <d v="2019-12-26T00:00:00"/>
    <s v="Pagado"/>
    <d v="2019-12-26T00:00:00"/>
    <n v="19500"/>
    <s v="Transferencia"/>
    <m/>
    <m/>
    <s v="Estado"/>
    <m/>
    <m/>
    <m/>
    <m/>
    <m/>
    <m/>
    <s v=""/>
    <m/>
    <n v="13865.546218487396"/>
    <n v="2634.4537815126041"/>
    <s v="Pirque"/>
    <s v="Revista"/>
    <s v="SI"/>
    <m/>
    <m/>
    <x v="0"/>
    <m/>
  </r>
  <r>
    <s v="C544"/>
    <s v="Carla Valencoa"/>
    <n v="0"/>
    <n v="183"/>
    <m/>
    <m/>
    <n v="6311"/>
    <n v="23000"/>
    <m/>
    <n v="23000"/>
    <x v="69"/>
    <n v="0"/>
    <d v="2019-12-26T00:00:00"/>
    <s v="Vencido"/>
    <m/>
    <m/>
    <m/>
    <m/>
    <m/>
    <m/>
    <m/>
    <m/>
    <m/>
    <m/>
    <m/>
    <m/>
    <s v=""/>
    <m/>
    <n v="19327.731092436974"/>
    <n v="3672.268907563026"/>
    <s v="Pirque"/>
    <s v="Revista"/>
    <s v="NO"/>
    <m/>
    <m/>
    <x v="0"/>
    <m/>
  </r>
  <r>
    <s v="C037"/>
    <s v="Amelia Cortes"/>
    <n v="0"/>
    <n v="2807"/>
    <m/>
    <m/>
    <n v="6312"/>
    <n v="34500"/>
    <m/>
    <n v="34500"/>
    <x v="69"/>
    <n v="0"/>
    <d v="2019-12-26T00:00:00"/>
    <s v="Pagado"/>
    <d v="2020-01-02T00:00:00"/>
    <n v="34700"/>
    <s v="Transferencia"/>
    <m/>
    <m/>
    <s v="Itaú"/>
    <m/>
    <m/>
    <m/>
    <m/>
    <m/>
    <m/>
    <s v=""/>
    <m/>
    <n v="28991.596638655465"/>
    <n v="5508.4033613445354"/>
    <s v="Cajon"/>
    <s v="Revista"/>
    <s v="SI"/>
    <m/>
    <m/>
    <x v="0"/>
    <m/>
  </r>
  <r>
    <s v="C335"/>
    <s v="Alejandro Astorga"/>
    <n v="0"/>
    <n v="184"/>
    <m/>
    <m/>
    <n v="6316"/>
    <n v="54000"/>
    <m/>
    <n v="54000"/>
    <x v="69"/>
    <n v="0"/>
    <d v="2019-12-26T00:00:00"/>
    <s v="Vencido"/>
    <m/>
    <m/>
    <m/>
    <m/>
    <m/>
    <m/>
    <m/>
    <m/>
    <m/>
    <m/>
    <m/>
    <m/>
    <s v=""/>
    <m/>
    <n v="45378.151260504201"/>
    <n v="8621.8487394957992"/>
    <s v="Pirque"/>
    <s v="Revista"/>
    <s v="NO"/>
    <m/>
    <m/>
    <x v="0"/>
    <m/>
  </r>
  <r>
    <s v="C009"/>
    <s v="Sociedad Comercial y Agricola Chada Ltda"/>
    <n v="3050"/>
    <n v="0"/>
    <m/>
    <m/>
    <s v="sn"/>
    <n v="181706"/>
    <m/>
    <n v="181706"/>
    <x v="70"/>
    <n v="7"/>
    <d v="2020-01-03T00:00:00"/>
    <s v="Pagado"/>
    <d v="2019-12-27T00:00:00"/>
    <n v="181706"/>
    <s v="Cheque a Fecha"/>
    <m/>
    <s v="1219-1"/>
    <s v="Scotiabank"/>
    <d v="2020-01-07T00:00:00"/>
    <m/>
    <m/>
    <m/>
    <m/>
    <m/>
    <s v="Otros"/>
    <m/>
    <n v="152694.11764705883"/>
    <n v="29011.882352941175"/>
    <s v="Chada"/>
    <s v="Visita"/>
    <s v="SI"/>
    <m/>
    <m/>
    <x v="1"/>
    <m/>
  </r>
  <r>
    <s v="C067"/>
    <s v="Marilu Salazar"/>
    <n v="0"/>
    <n v="2812"/>
    <m/>
    <m/>
    <n v="6319"/>
    <n v="41800"/>
    <m/>
    <n v="41800"/>
    <x v="70"/>
    <n v="0"/>
    <d v="2019-12-27T00:00:00"/>
    <s v="Pagado"/>
    <d v="2020-01-06T00:00:00"/>
    <n v="41800"/>
    <s v="Transferencia"/>
    <m/>
    <m/>
    <s v="Chile"/>
    <m/>
    <m/>
    <m/>
    <m/>
    <m/>
    <m/>
    <s v=""/>
    <m/>
    <n v="35126.050420168067"/>
    <n v="6673.9495798319331"/>
    <s v="Chada"/>
    <s v="Conocido"/>
    <s v="SI"/>
    <m/>
    <m/>
    <x v="0"/>
    <m/>
  </r>
  <r>
    <s v="C021"/>
    <s v="Adelita del Carmen Leon Pizarro"/>
    <n v="3051"/>
    <n v="0"/>
    <m/>
    <m/>
    <s v="sn"/>
    <n v="50491"/>
    <m/>
    <n v="50491"/>
    <x v="70"/>
    <n v="0"/>
    <d v="2019-12-27T00:00:00"/>
    <s v="Pagado"/>
    <d v="2019-12-27T00:00:00"/>
    <n v="50491"/>
    <s v="Efectivo"/>
    <m/>
    <m/>
    <m/>
    <m/>
    <m/>
    <m/>
    <m/>
    <m/>
    <m/>
    <s v=""/>
    <m/>
    <n v="42429.411764705881"/>
    <n v="8061.5882352941189"/>
    <s v="Chada"/>
    <s v="Visita"/>
    <s v="SI"/>
    <m/>
    <m/>
    <x v="1"/>
    <m/>
  </r>
  <r>
    <s v="C625"/>
    <s v="Patricia Zapata"/>
    <n v="0"/>
    <n v="2813"/>
    <m/>
    <m/>
    <n v="6321"/>
    <n v="29600"/>
    <m/>
    <n v="29600"/>
    <x v="71"/>
    <n v="0"/>
    <d v="2019-12-28T00:00:00"/>
    <s v="Pagado"/>
    <d v="2019-12-28T00:00:00"/>
    <n v="29600"/>
    <s v="Transferencia"/>
    <m/>
    <m/>
    <s v="BCI"/>
    <m/>
    <m/>
    <m/>
    <m/>
    <m/>
    <m/>
    <s v=""/>
    <m/>
    <n v="24873.949579831933"/>
    <n v="4726.0504201680669"/>
    <s v="Pirque"/>
    <s v="Revista"/>
    <s v="SI"/>
    <m/>
    <m/>
    <x v="0"/>
    <m/>
  </r>
  <r>
    <s v="C636"/>
    <s v="Jessica Cabello"/>
    <n v="0"/>
    <n v="0"/>
    <m/>
    <m/>
    <n v="6320"/>
    <n v="25700"/>
    <m/>
    <n v="25700"/>
    <x v="71"/>
    <n v="0"/>
    <d v="2019-12-28T00:00:00"/>
    <s v="Vencido"/>
    <m/>
    <m/>
    <m/>
    <m/>
    <m/>
    <m/>
    <m/>
    <m/>
    <m/>
    <m/>
    <m/>
    <m/>
    <s v=""/>
    <m/>
    <n v="21596.638655462186"/>
    <n v="4103.3613445378141"/>
    <s v="Pirque"/>
    <s v="Revista"/>
    <s v="NO"/>
    <m/>
    <m/>
    <x v="0"/>
    <m/>
  </r>
  <r>
    <s v="C611"/>
    <s v="Esmeralda Riveros"/>
    <n v="0"/>
    <n v="2815"/>
    <m/>
    <m/>
    <n v="6325"/>
    <n v="14800"/>
    <m/>
    <n v="14800"/>
    <x v="71"/>
    <n v="0"/>
    <d v="2019-12-28T00:00:00"/>
    <s v="Vencido"/>
    <m/>
    <m/>
    <m/>
    <m/>
    <m/>
    <m/>
    <m/>
    <m/>
    <m/>
    <m/>
    <m/>
    <m/>
    <s v=""/>
    <m/>
    <n v="12436.974789915967"/>
    <n v="2363.0252100840335"/>
    <s v="Pirque"/>
    <s v="Revista"/>
    <s v="NO"/>
    <m/>
    <m/>
    <x v="0"/>
    <m/>
  </r>
  <r>
    <s v="C637"/>
    <s v="Daniela Veliz"/>
    <n v="0"/>
    <n v="0"/>
    <m/>
    <m/>
    <n v="6326"/>
    <n v="17000"/>
    <m/>
    <n v="17000"/>
    <x v="71"/>
    <n v="0"/>
    <d v="2019-12-28T00:00:00"/>
    <s v="Vencido"/>
    <m/>
    <m/>
    <m/>
    <m/>
    <m/>
    <m/>
    <m/>
    <m/>
    <m/>
    <m/>
    <m/>
    <m/>
    <s v=""/>
    <m/>
    <n v="14285.714285714286"/>
    <n v="2714.2857142857138"/>
    <s v="Pirque"/>
    <s v="Revista"/>
    <s v="NO"/>
    <m/>
    <m/>
    <x v="0"/>
    <m/>
  </r>
  <r>
    <s v="C255"/>
    <s v="Carlos Manzano"/>
    <n v="0"/>
    <n v="186"/>
    <m/>
    <m/>
    <n v="6322"/>
    <n v="23000"/>
    <m/>
    <n v="23000"/>
    <x v="71"/>
    <n v="0"/>
    <d v="2019-12-28T00:00:00"/>
    <s v="Vencido"/>
    <m/>
    <m/>
    <m/>
    <m/>
    <m/>
    <m/>
    <m/>
    <m/>
    <m/>
    <m/>
    <m/>
    <m/>
    <s v=""/>
    <m/>
    <n v="19327.731092436974"/>
    <n v="3672.268907563026"/>
    <s v="Pirque"/>
    <s v="Revista"/>
    <s v="NO"/>
    <m/>
    <m/>
    <x v="0"/>
    <m/>
  </r>
  <r>
    <s v="C452"/>
    <s v="Camila Zamorano"/>
    <n v="0"/>
    <n v="2814"/>
    <m/>
    <m/>
    <n v="6324"/>
    <n v="31300"/>
    <m/>
    <n v="31300"/>
    <x v="71"/>
    <n v="0"/>
    <d v="2019-12-28T00:00:00"/>
    <s v="Pagado"/>
    <d v="2019-12-31T00:00:00"/>
    <n v="31300"/>
    <s v="Transferencia"/>
    <m/>
    <m/>
    <s v="Estado"/>
    <m/>
    <m/>
    <m/>
    <m/>
    <m/>
    <m/>
    <s v=""/>
    <m/>
    <n v="26302.521008403364"/>
    <n v="4997.4789915966358"/>
    <s v="Pirque"/>
    <s v="Revista"/>
    <s v="SI"/>
    <m/>
    <m/>
    <x v="0"/>
    <m/>
  </r>
  <r>
    <s v="C063"/>
    <s v="Andrea Ramirez"/>
    <n v="0"/>
    <n v="0"/>
    <m/>
    <m/>
    <n v="6323"/>
    <n v="10200"/>
    <m/>
    <n v="10200"/>
    <x v="71"/>
    <n v="0"/>
    <d v="2019-12-28T00:00:00"/>
    <s v="Pagado"/>
    <d v="2020-01-09T00:00:00"/>
    <n v="10200"/>
    <m/>
    <s v="Debito"/>
    <n v="193"/>
    <m/>
    <m/>
    <m/>
    <m/>
    <m/>
    <m/>
    <m/>
    <s v=""/>
    <m/>
    <n v="8571.4285714285725"/>
    <n v="1628.5714285714275"/>
    <s v="Pirque"/>
    <s v="Conocido"/>
    <s v="SI"/>
    <m/>
    <m/>
    <x v="0"/>
    <m/>
  </r>
  <r>
    <s v="C246"/>
    <s v="Rosa Paz (Municipalidad Pirque)"/>
    <n v="0"/>
    <n v="2820"/>
    <m/>
    <m/>
    <n v="6330"/>
    <n v="20900"/>
    <m/>
    <n v="20900"/>
    <x v="72"/>
    <n v="0"/>
    <d v="2019-12-30T00:00:00"/>
    <s v="Pagado"/>
    <d v="2019-12-30T00:00:00"/>
    <n v="20900"/>
    <s v="Transferencia"/>
    <m/>
    <m/>
    <s v="Chile"/>
    <m/>
    <m/>
    <m/>
    <m/>
    <m/>
    <m/>
    <s v=""/>
    <m/>
    <n v="17563.025210084033"/>
    <n v="3336.9747899159665"/>
    <s v="Pirque"/>
    <s v="Conocido"/>
    <s v="SI"/>
    <m/>
    <m/>
    <x v="0"/>
    <m/>
  </r>
  <r>
    <s v="C068"/>
    <s v="Riddellco"/>
    <n v="3052"/>
    <n v="0"/>
    <m/>
    <m/>
    <s v="sn"/>
    <n v="19593"/>
    <m/>
    <n v="19593"/>
    <x v="72"/>
    <n v="30"/>
    <d v="2020-01-29T00:00:00"/>
    <s v="Pagado"/>
    <d v="2020-02-04T00:00:00"/>
    <n v="19593"/>
    <s v="Transferencia"/>
    <m/>
    <m/>
    <s v="Estado"/>
    <m/>
    <m/>
    <m/>
    <m/>
    <m/>
    <m/>
    <s v=""/>
    <m/>
    <n v="16464.705882352941"/>
    <n v="3128.2941176470595"/>
    <s v="Santiago"/>
    <s v="Conocido"/>
    <s v="SI"/>
    <m/>
    <m/>
    <x v="1"/>
    <m/>
  </r>
  <r>
    <s v="C066"/>
    <s v="Marisol Ximena Ibarra Medina"/>
    <n v="0"/>
    <n v="2818"/>
    <m/>
    <m/>
    <n v="6333"/>
    <n v="43800"/>
    <m/>
    <n v="43800"/>
    <x v="72"/>
    <n v="0"/>
    <d v="2019-12-30T00:00:00"/>
    <s v="Vencido"/>
    <m/>
    <m/>
    <m/>
    <m/>
    <m/>
    <m/>
    <m/>
    <m/>
    <m/>
    <m/>
    <m/>
    <m/>
    <s v=""/>
    <m/>
    <n v="36806.722689075628"/>
    <n v="6993.2773109243717"/>
    <s v="Pirque"/>
    <s v="Conocido"/>
    <s v="NO"/>
    <m/>
    <m/>
    <x v="0"/>
    <m/>
  </r>
  <r>
    <s v="C620"/>
    <s v="Luz Maria Ossandon"/>
    <n v="0"/>
    <n v="189"/>
    <m/>
    <m/>
    <n v="6339"/>
    <n v="39600"/>
    <m/>
    <n v="39600"/>
    <x v="72"/>
    <n v="0"/>
    <d v="2019-12-30T00:00:00"/>
    <s v="Pagado"/>
    <d v="2020-12-30T00:00:00"/>
    <n v="39600"/>
    <s v="Transbank"/>
    <s v="Debito"/>
    <n v="189"/>
    <m/>
    <m/>
    <m/>
    <m/>
    <m/>
    <m/>
    <m/>
    <s v=""/>
    <m/>
    <n v="33277.310924369747"/>
    <n v="6322.6890756302528"/>
    <s v="Pirque"/>
    <s v="Conocido"/>
    <s v="SI"/>
    <m/>
    <m/>
    <x v="0"/>
    <m/>
  </r>
  <r>
    <s v="C590"/>
    <s v="Lorena Sanzana"/>
    <n v="0"/>
    <n v="2824"/>
    <m/>
    <m/>
    <n v="6337"/>
    <n v="19700"/>
    <m/>
    <n v="19700"/>
    <x v="72"/>
    <n v="0"/>
    <d v="2019-12-30T00:00:00"/>
    <s v="Pagado"/>
    <d v="2019-12-30T00:00:00"/>
    <n v="19700"/>
    <s v="Transferencia"/>
    <m/>
    <m/>
    <s v="Estado"/>
    <m/>
    <m/>
    <m/>
    <m/>
    <m/>
    <m/>
    <s v=""/>
    <m/>
    <n v="16554.621848739498"/>
    <n v="3145.3781512605019"/>
    <s v="Pirque"/>
    <s v="Revista"/>
    <s v="SI"/>
    <m/>
    <m/>
    <x v="0"/>
    <m/>
  </r>
  <r>
    <s v="C538"/>
    <s v="Katherine Torres"/>
    <n v="0"/>
    <n v="188"/>
    <m/>
    <m/>
    <n v="6338"/>
    <n v="35500"/>
    <m/>
    <n v="35500"/>
    <x v="72"/>
    <n v="0"/>
    <d v="2019-12-30T00:00:00"/>
    <s v="Vencido"/>
    <m/>
    <m/>
    <m/>
    <m/>
    <m/>
    <m/>
    <m/>
    <m/>
    <m/>
    <m/>
    <m/>
    <m/>
    <s v=""/>
    <m/>
    <n v="29831.932773109245"/>
    <n v="5668.0672268907547"/>
    <s v="Pirque"/>
    <s v="Revista"/>
    <s v="NO"/>
    <m/>
    <m/>
    <x v="0"/>
    <m/>
  </r>
  <r>
    <s v="C342"/>
    <s v="Julio Cesar Contreras"/>
    <n v="0"/>
    <n v="2819"/>
    <m/>
    <m/>
    <n v="6331"/>
    <n v="16500"/>
    <m/>
    <n v="16500"/>
    <x v="72"/>
    <n v="0"/>
    <d v="2019-12-30T00:00:00"/>
    <s v="Pagado"/>
    <d v="2019-12-30T00:00:00"/>
    <n v="16500"/>
    <s v="Transferencia"/>
    <m/>
    <m/>
    <s v="Santander"/>
    <m/>
    <m/>
    <m/>
    <m/>
    <m/>
    <m/>
    <s v=""/>
    <m/>
    <n v="13865.546218487396"/>
    <n v="2634.4537815126041"/>
    <s v="Pirque"/>
    <s v="Revista"/>
    <s v="SI"/>
    <m/>
    <m/>
    <x v="0"/>
    <m/>
  </r>
  <r>
    <s v="C517"/>
    <s v="Jenny Thomas"/>
    <n v="0"/>
    <n v="187"/>
    <m/>
    <m/>
    <n v="6332"/>
    <n v="45400"/>
    <m/>
    <n v="45400"/>
    <x v="72"/>
    <n v="0"/>
    <d v="2019-12-30T00:00:00"/>
    <s v="Vencido"/>
    <m/>
    <m/>
    <m/>
    <m/>
    <m/>
    <m/>
    <m/>
    <m/>
    <m/>
    <m/>
    <m/>
    <m/>
    <s v=""/>
    <m/>
    <n v="38151.26050420168"/>
    <n v="7248.7394957983197"/>
    <s v="Pirque"/>
    <s v="Revista"/>
    <s v="NO"/>
    <m/>
    <m/>
    <x v="0"/>
    <m/>
  </r>
  <r>
    <s v="C307"/>
    <s v="Franklin Winston Smart Guevara"/>
    <n v="0"/>
    <n v="2825"/>
    <m/>
    <m/>
    <n v="6336"/>
    <n v="16100"/>
    <m/>
    <n v="16100"/>
    <x v="72"/>
    <n v="0"/>
    <d v="2019-12-30T00:00:00"/>
    <s v="Pagado"/>
    <d v="2019-12-30T00:00:00"/>
    <n v="16100"/>
    <s v="Transferencia"/>
    <m/>
    <m/>
    <s v="Santander"/>
    <m/>
    <m/>
    <m/>
    <m/>
    <m/>
    <m/>
    <s v=""/>
    <m/>
    <n v="13529.411764705883"/>
    <n v="2570.5882352941171"/>
    <s v="Pirque"/>
    <s v="Revista"/>
    <s v="SI"/>
    <m/>
    <m/>
    <x v="0"/>
    <m/>
  </r>
  <r>
    <s v="C518"/>
    <s v="Fernando Reyes"/>
    <n v="0"/>
    <n v="2822"/>
    <m/>
    <m/>
    <n v="6328"/>
    <n v="122000"/>
    <m/>
    <n v="122000"/>
    <x v="72"/>
    <n v="0"/>
    <d v="2019-12-30T00:00:00"/>
    <s v="Pagado"/>
    <d v="2019-12-30T00:00:00"/>
    <n v="122000"/>
    <s v="Transferencia"/>
    <m/>
    <m/>
    <s v="Estado"/>
    <m/>
    <m/>
    <m/>
    <m/>
    <m/>
    <m/>
    <s v=""/>
    <m/>
    <n v="102521.00840336135"/>
    <n v="19478.991596638647"/>
    <s v="Pirque"/>
    <s v="Revista"/>
    <s v="SI"/>
    <m/>
    <m/>
    <x v="0"/>
    <m/>
  </r>
  <r>
    <s v="C209"/>
    <s v="David Le May"/>
    <n v="0"/>
    <n v="2816"/>
    <m/>
    <m/>
    <n v="6327"/>
    <n v="30400"/>
    <m/>
    <n v="30400"/>
    <x v="72"/>
    <n v="0"/>
    <d v="2019-12-30T00:00:00"/>
    <s v="Vencido"/>
    <m/>
    <m/>
    <m/>
    <m/>
    <m/>
    <m/>
    <m/>
    <m/>
    <m/>
    <m/>
    <m/>
    <m/>
    <s v=""/>
    <m/>
    <n v="25546.218487394959"/>
    <n v="4853.7815126050409"/>
    <s v="Pirque"/>
    <s v="Revista"/>
    <s v="NO"/>
    <m/>
    <m/>
    <x v="0"/>
    <m/>
  </r>
  <r>
    <s v="C086"/>
    <s v="Cristian Guillermo Ortiz Gonzalez"/>
    <n v="0"/>
    <n v="2821"/>
    <m/>
    <m/>
    <n v="6329"/>
    <n v="18400"/>
    <m/>
    <n v="18400"/>
    <x v="72"/>
    <n v="0"/>
    <d v="2019-12-30T00:00:00"/>
    <s v="Pagado"/>
    <d v="2019-12-31T00:00:00"/>
    <n v="18400"/>
    <s v="Transferencia"/>
    <m/>
    <m/>
    <s v="Chile"/>
    <m/>
    <m/>
    <m/>
    <m/>
    <m/>
    <m/>
    <s v=""/>
    <m/>
    <n v="15462.18487394958"/>
    <n v="2937.8151260504201"/>
    <s v="Pirque"/>
    <s v="Conocido"/>
    <s v="SI"/>
    <m/>
    <m/>
    <x v="0"/>
    <m/>
  </r>
  <r>
    <s v="C390"/>
    <s v="Auria Villanueva"/>
    <n v="0"/>
    <n v="2823"/>
    <m/>
    <m/>
    <n v="6335"/>
    <n v="25500"/>
    <m/>
    <n v="25500"/>
    <x v="72"/>
    <n v="0"/>
    <d v="2019-12-30T00:00:00"/>
    <s v="Vencido"/>
    <m/>
    <m/>
    <m/>
    <m/>
    <m/>
    <m/>
    <m/>
    <m/>
    <m/>
    <m/>
    <m/>
    <m/>
    <s v=""/>
    <m/>
    <n v="21428.571428571431"/>
    <n v="4071.4285714285688"/>
    <s v="Pirque"/>
    <s v="Revista"/>
    <s v="NO"/>
    <m/>
    <m/>
    <x v="0"/>
    <m/>
  </r>
  <r>
    <s v="C113"/>
    <s v="Alvaro del Carmen Ruiz Farias y Otro (Hornito)"/>
    <n v="3053"/>
    <n v="0"/>
    <n v="282"/>
    <m/>
    <s v="sn"/>
    <n v="198316"/>
    <n v="-7230"/>
    <n v="191086"/>
    <x v="72"/>
    <n v="0"/>
    <d v="2019-12-30T00:00:00"/>
    <s v="Pagado"/>
    <d v="2020-01-06T00:00:00"/>
    <n v="191086"/>
    <s v="Efectivo"/>
    <m/>
    <m/>
    <m/>
    <m/>
    <n v="2719728"/>
    <n v="181000"/>
    <d v="2020-01-06T00:00:00"/>
    <s v="Chile"/>
    <m/>
    <s v=""/>
    <m/>
    <n v="166652.10084033615"/>
    <n v="31663.899159663852"/>
    <s v="Chada"/>
    <s v="Visita"/>
    <s v="SI"/>
    <m/>
    <m/>
    <x v="1"/>
    <m/>
  </r>
  <r>
    <s v="C572"/>
    <s v="Aldo Tapia"/>
    <n v="0"/>
    <n v="2817"/>
    <m/>
    <m/>
    <n v="6334"/>
    <n v="16500"/>
    <m/>
    <n v="16500"/>
    <x v="72"/>
    <n v="0"/>
    <d v="2019-12-30T00:00:00"/>
    <s v="Vencido"/>
    <m/>
    <m/>
    <m/>
    <m/>
    <m/>
    <m/>
    <m/>
    <m/>
    <m/>
    <m/>
    <m/>
    <m/>
    <s v=""/>
    <m/>
    <n v="13865.546218487396"/>
    <n v="2634.4537815126041"/>
    <s v="Pirque"/>
    <s v="Revista"/>
    <s v="NO"/>
    <m/>
    <m/>
    <x v="0"/>
    <m/>
  </r>
  <r>
    <s v="C186"/>
    <s v="Monica Valdivieso"/>
    <n v="0"/>
    <n v="191"/>
    <m/>
    <m/>
    <n v="6343"/>
    <n v="19900"/>
    <m/>
    <n v="19900"/>
    <x v="73"/>
    <n v="0"/>
    <d v="2019-12-31T00:00:00"/>
    <s v="Vencido"/>
    <m/>
    <m/>
    <m/>
    <m/>
    <m/>
    <m/>
    <m/>
    <m/>
    <m/>
    <m/>
    <m/>
    <m/>
    <s v=""/>
    <m/>
    <n v="16722.689075630253"/>
    <n v="3177.3109243697472"/>
    <s v="Pirque"/>
    <s v="Revista"/>
    <s v="NO"/>
    <m/>
    <m/>
    <x v="0"/>
    <m/>
  </r>
  <r>
    <s v="C364"/>
    <s v="Herminda Arriagada"/>
    <n v="0"/>
    <n v="2827"/>
    <m/>
    <m/>
    <n v="6341"/>
    <n v="37300"/>
    <m/>
    <n v="37300"/>
    <x v="73"/>
    <n v="0"/>
    <d v="2019-12-31T00:00:00"/>
    <s v="Pagado"/>
    <d v="2019-12-31T00:00:00"/>
    <n v="37300"/>
    <s v="Efectivo"/>
    <m/>
    <m/>
    <m/>
    <m/>
    <m/>
    <m/>
    <m/>
    <m/>
    <m/>
    <s v=""/>
    <m/>
    <n v="31344.537815126052"/>
    <n v="5955.462184873948"/>
    <s v="Pirque"/>
    <s v="Conocido"/>
    <s v="SI"/>
    <m/>
    <m/>
    <x v="0"/>
    <m/>
  </r>
  <r>
    <s v="C638"/>
    <s v="Catherine Barra"/>
    <n v="0"/>
    <n v="190"/>
    <m/>
    <m/>
    <n v="6340"/>
    <n v="23000"/>
    <m/>
    <n v="23000"/>
    <x v="73"/>
    <n v="0"/>
    <d v="2019-12-31T00:00:00"/>
    <s v="Vencido"/>
    <m/>
    <m/>
    <m/>
    <m/>
    <m/>
    <m/>
    <m/>
    <m/>
    <m/>
    <m/>
    <m/>
    <m/>
    <s v=""/>
    <m/>
    <n v="19327.731092436974"/>
    <n v="3672.268907563026"/>
    <s v="Pirque"/>
    <s v="Revista"/>
    <s v="NO"/>
    <m/>
    <m/>
    <x v="0"/>
    <m/>
  </r>
  <r>
    <s v="C558"/>
    <s v="Carola Pardo"/>
    <n v="0"/>
    <n v="2826"/>
    <m/>
    <m/>
    <n v="6342"/>
    <n v="19700"/>
    <m/>
    <n v="19700"/>
    <x v="73"/>
    <n v="0"/>
    <d v="2019-12-31T00:00:00"/>
    <s v="Vencido"/>
    <m/>
    <m/>
    <m/>
    <m/>
    <m/>
    <m/>
    <m/>
    <m/>
    <m/>
    <m/>
    <m/>
    <m/>
    <s v=""/>
    <m/>
    <n v="16554.621848739498"/>
    <n v="3145.3781512605019"/>
    <s v="Pirque"/>
    <s v="Revista"/>
    <s v="NO"/>
    <m/>
    <m/>
    <x v="0"/>
    <m/>
  </r>
  <r>
    <s v="C020"/>
    <s v="Sabores y Vinos Bernardita Munita EIRL"/>
    <n v="3055"/>
    <n v="0"/>
    <m/>
    <m/>
    <s v="OC 01"/>
    <n v="79850"/>
    <m/>
    <n v="79850"/>
    <x v="74"/>
    <n v="0"/>
    <d v="2020-01-02T00:00:00"/>
    <s v="Pagado"/>
    <d v="2020-01-03T00:00:00"/>
    <n v="79850"/>
    <s v="Transferencia"/>
    <m/>
    <m/>
    <s v="Chile"/>
    <m/>
    <m/>
    <m/>
    <m/>
    <m/>
    <d v="2019-12-07T00:00:00"/>
    <s v=""/>
    <m/>
    <n v="67100.840336134454"/>
    <n v="12749.159663865546"/>
    <s v="Pirque"/>
    <s v="Visita"/>
    <s v="SI"/>
    <m/>
    <m/>
    <x v="1"/>
    <m/>
  </r>
  <r>
    <s v="C020"/>
    <s v="Sabores y Vinos Bernardita Munita EIRL"/>
    <n v="3055"/>
    <n v="0"/>
    <m/>
    <m/>
    <s v="OC 02"/>
    <n v="57152"/>
    <m/>
    <n v="57152"/>
    <x v="74"/>
    <n v="0"/>
    <d v="2020-01-02T00:00:00"/>
    <s v="Pagado"/>
    <d v="2020-01-03T00:00:00"/>
    <n v="57152"/>
    <s v="Transferencia"/>
    <m/>
    <m/>
    <s v="Chile"/>
    <m/>
    <m/>
    <m/>
    <m/>
    <m/>
    <d v="2019-12-11T00:00:00"/>
    <s v=""/>
    <m/>
    <n v="48026.89075630252"/>
    <n v="9125.1092436974795"/>
    <s v="Pirque"/>
    <s v="Visita"/>
    <s v="SI"/>
    <m/>
    <m/>
    <x v="1"/>
    <m/>
  </r>
  <r>
    <s v="C020"/>
    <s v="Sabores y Vinos Bernardita Munita EIRL"/>
    <n v="3055"/>
    <n v="0"/>
    <m/>
    <m/>
    <s v="OC 03"/>
    <n v="50628"/>
    <m/>
    <n v="50628"/>
    <x v="74"/>
    <n v="0"/>
    <d v="2020-01-02T00:00:00"/>
    <s v="Pagado"/>
    <d v="2020-01-03T00:00:00"/>
    <n v="50628"/>
    <s v="Transferencia"/>
    <m/>
    <m/>
    <s v="Chile"/>
    <m/>
    <m/>
    <m/>
    <m/>
    <m/>
    <d v="2019-12-18T00:00:00"/>
    <s v=""/>
    <m/>
    <n v="42544.537815126052"/>
    <n v="8083.462184873948"/>
    <s v="Pirque"/>
    <s v="Visita"/>
    <s v="SI"/>
    <m/>
    <m/>
    <x v="1"/>
    <m/>
  </r>
  <r>
    <s v="C020"/>
    <s v="Sabores y Vinos Bernardita Munita EIRL"/>
    <n v="3055"/>
    <n v="0"/>
    <m/>
    <m/>
    <s v="OC 04"/>
    <n v="50633"/>
    <m/>
    <n v="50633"/>
    <x v="74"/>
    <n v="0"/>
    <d v="2020-01-02T00:00:00"/>
    <s v="Pagado"/>
    <d v="2020-01-03T00:00:00"/>
    <n v="50633"/>
    <s v="Transferencia"/>
    <m/>
    <m/>
    <s v="Chile"/>
    <m/>
    <m/>
    <m/>
    <m/>
    <m/>
    <d v="2019-12-27T00:00:00"/>
    <s v=""/>
    <m/>
    <n v="42548.73949579832"/>
    <n v="8084.2605042016803"/>
    <s v="Pirque"/>
    <s v="Visita"/>
    <s v="SI"/>
    <m/>
    <m/>
    <x v="1"/>
    <m/>
  </r>
  <r>
    <s v="C020"/>
    <s v="Sabores y Vinos Bernardita Munita EIRL"/>
    <n v="3055"/>
    <n v="0"/>
    <m/>
    <m/>
    <s v="OC 05"/>
    <n v="48040"/>
    <m/>
    <n v="48040"/>
    <x v="74"/>
    <n v="0"/>
    <d v="2020-01-02T00:00:00"/>
    <s v="Pagado"/>
    <d v="2020-01-03T00:00:00"/>
    <n v="48040"/>
    <s v="Transferencia"/>
    <m/>
    <m/>
    <s v="Chile"/>
    <m/>
    <m/>
    <m/>
    <m/>
    <m/>
    <d v="2019-12-31T00:00:00"/>
    <s v=""/>
    <m/>
    <n v="40369.747899159665"/>
    <n v="7670.2521008403346"/>
    <s v="Pirque"/>
    <s v="Visita"/>
    <s v="SI"/>
    <m/>
    <m/>
    <x v="1"/>
    <m/>
  </r>
  <r>
    <s v="C004"/>
    <s v="Rosa Gladys Vidal Mora"/>
    <n v="3054"/>
    <n v="0"/>
    <m/>
    <m/>
    <s v="sn"/>
    <n v="41769"/>
    <m/>
    <n v="41769"/>
    <x v="74"/>
    <n v="7"/>
    <d v="2020-01-09T00:00:00"/>
    <s v="Pagado"/>
    <d v="2020-01-09T00:00:00"/>
    <n v="41769"/>
    <s v="Cheque a Fecha"/>
    <m/>
    <m/>
    <s v="Santander"/>
    <d v="2020-01-13T00:00:00"/>
    <m/>
    <m/>
    <m/>
    <m/>
    <m/>
    <s v="Otros"/>
    <m/>
    <n v="35100"/>
    <n v="6669"/>
    <s v="Cajon"/>
    <s v="Visita"/>
    <s v="SI"/>
    <m/>
    <m/>
    <x v="1"/>
    <m/>
  </r>
  <r>
    <s v="C520"/>
    <s v="Pamela Perez"/>
    <n v="0"/>
    <n v="2829"/>
    <m/>
    <m/>
    <n v="6344"/>
    <n v="14800"/>
    <m/>
    <n v="14800"/>
    <x v="75"/>
    <n v="0"/>
    <d v="2020-01-03T00:00:00"/>
    <s v="Pagado"/>
    <d v="2020-01-03T00:00:00"/>
    <n v="14800"/>
    <s v="Efectivo"/>
    <m/>
    <m/>
    <m/>
    <m/>
    <m/>
    <m/>
    <m/>
    <m/>
    <m/>
    <s v=""/>
    <m/>
    <n v="12436.974789915967"/>
    <n v="2363.0252100840335"/>
    <s v="Pirque"/>
    <s v="Revista"/>
    <s v="SI"/>
    <m/>
    <m/>
    <x v="0"/>
    <m/>
  </r>
  <r>
    <s v="C028"/>
    <s v="Luz María Velasquez"/>
    <n v="0"/>
    <n v="0"/>
    <m/>
    <m/>
    <n v="6346"/>
    <n v="41000"/>
    <m/>
    <n v="41000"/>
    <x v="75"/>
    <n v="0"/>
    <d v="2020-01-03T00:00:00"/>
    <s v="Pagado"/>
    <d v="2020-02-01T00:00:00"/>
    <n v="41000"/>
    <s v="Transferencia"/>
    <m/>
    <m/>
    <s v="Santander"/>
    <m/>
    <m/>
    <m/>
    <m/>
    <m/>
    <m/>
    <s v=""/>
    <m/>
    <n v="34453.781512605041"/>
    <n v="6546.2184873949591"/>
    <s v="Chada"/>
    <s v="Conocido"/>
    <s v="SI"/>
    <m/>
    <m/>
    <x v="0"/>
    <m/>
  </r>
  <r>
    <s v="C451"/>
    <s v="Enrique Montero"/>
    <n v="0"/>
    <n v="0"/>
    <m/>
    <m/>
    <n v="6347"/>
    <n v="18600"/>
    <m/>
    <n v="18600"/>
    <x v="75"/>
    <n v="0"/>
    <d v="2020-01-03T00:00:00"/>
    <s v="Pagado"/>
    <d v="2020-01-03T00:00:00"/>
    <n v="18600"/>
    <s v="Transferencia"/>
    <m/>
    <m/>
    <s v="BCI"/>
    <m/>
    <m/>
    <m/>
    <m/>
    <m/>
    <m/>
    <s v=""/>
    <m/>
    <n v="15630.252100840336"/>
    <n v="2969.7478991596636"/>
    <s v="Pirque"/>
    <s v="Conocido"/>
    <s v="SI"/>
    <m/>
    <m/>
    <x v="0"/>
    <m/>
  </r>
  <r>
    <s v="C349"/>
    <s v="Elaine Pratt"/>
    <n v="0"/>
    <n v="2828"/>
    <m/>
    <m/>
    <n v="6345"/>
    <n v="40400"/>
    <m/>
    <n v="40400"/>
    <x v="75"/>
    <n v="0"/>
    <d v="2020-01-03T00:00:00"/>
    <s v="Pagado"/>
    <d v="2020-01-03T00:00:00"/>
    <n v="40400"/>
    <s v="Efectivo"/>
    <m/>
    <m/>
    <m/>
    <m/>
    <m/>
    <m/>
    <m/>
    <m/>
    <m/>
    <s v=""/>
    <m/>
    <n v="33949.579831932773"/>
    <n v="6450.4201680672268"/>
    <s v="Pirque"/>
    <s v="Conocido"/>
    <s v="SI"/>
    <m/>
    <m/>
    <x v="0"/>
    <m/>
  </r>
  <r>
    <s v="C171"/>
    <s v="Milton Juica"/>
    <n v="0"/>
    <n v="0"/>
    <m/>
    <m/>
    <n v="6351"/>
    <n v="22700"/>
    <m/>
    <n v="22700"/>
    <x v="76"/>
    <n v="0"/>
    <d v="2020-01-04T00:00:00"/>
    <s v="Pagado"/>
    <d v="2020-01-04T00:00:00"/>
    <n v="22700"/>
    <s v="Efectivo"/>
    <m/>
    <m/>
    <m/>
    <m/>
    <m/>
    <m/>
    <m/>
    <m/>
    <m/>
    <s v=""/>
    <m/>
    <n v="19075.63025210084"/>
    <n v="3624.3697478991598"/>
    <s v="Pirque"/>
    <s v="Revista"/>
    <s v="SI"/>
    <m/>
    <m/>
    <x v="0"/>
    <m/>
  </r>
  <r>
    <s v="C641"/>
    <s v="Cristian Alvarez"/>
    <n v="0"/>
    <n v="0"/>
    <m/>
    <m/>
    <n v="6351"/>
    <n v="16500"/>
    <m/>
    <n v="16500"/>
    <x v="76"/>
    <n v="0"/>
    <d v="2020-01-04T00:00:00"/>
    <s v="Pagado"/>
    <d v="2020-01-04T00:00:00"/>
    <n v="16500"/>
    <s v="Efectivo"/>
    <m/>
    <m/>
    <m/>
    <m/>
    <m/>
    <m/>
    <m/>
    <m/>
    <m/>
    <s v=""/>
    <m/>
    <n v="13865.546218487396"/>
    <n v="2634.4537815126041"/>
    <s v="Cajon"/>
    <s v="Revista"/>
    <s v="SI"/>
    <m/>
    <m/>
    <x v="0"/>
    <m/>
  </r>
  <r>
    <s v="C640"/>
    <s v="Carola Gonzalez"/>
    <n v="0"/>
    <n v="2831"/>
    <m/>
    <m/>
    <n v="6348"/>
    <n v="19900"/>
    <m/>
    <n v="19900"/>
    <x v="76"/>
    <n v="0"/>
    <d v="2020-01-04T00:00:00"/>
    <s v="Pagado"/>
    <d v="2020-01-06T00:00:00"/>
    <n v="19900"/>
    <s v="Transferencia"/>
    <m/>
    <m/>
    <s v="Estado"/>
    <m/>
    <m/>
    <m/>
    <m/>
    <m/>
    <m/>
    <s v=""/>
    <m/>
    <n v="16722.689075630253"/>
    <n v="3177.3109243697472"/>
    <s v="Pirque"/>
    <s v="Conocido"/>
    <s v="SI"/>
    <m/>
    <m/>
    <x v="0"/>
    <m/>
  </r>
  <r>
    <s v="C032"/>
    <s v="Carlos Jobbe-Duval"/>
    <n v="0"/>
    <n v="0"/>
    <m/>
    <m/>
    <n v="6349"/>
    <n v="51400"/>
    <m/>
    <n v="51400"/>
    <x v="76"/>
    <n v="0"/>
    <d v="2020-01-04T00:00:00"/>
    <s v="Pagado"/>
    <d v="2020-01-29T00:00:00"/>
    <n v="51400"/>
    <s v="Transferencia"/>
    <m/>
    <m/>
    <s v="BCI"/>
    <m/>
    <m/>
    <m/>
    <m/>
    <m/>
    <m/>
    <s v=""/>
    <m/>
    <n v="43193.277310924372"/>
    <n v="8206.7226890756283"/>
    <s v="Pirque"/>
    <s v="Conocido"/>
    <s v="SI"/>
    <m/>
    <m/>
    <x v="0"/>
    <m/>
  </r>
  <r>
    <s v="C642"/>
    <s v="Jose Luis Miranda"/>
    <n v="0"/>
    <n v="0"/>
    <m/>
    <m/>
    <n v="6354"/>
    <n v="11700"/>
    <m/>
    <n v="11700"/>
    <x v="77"/>
    <n v="0"/>
    <d v="2020-01-05T00:00:00"/>
    <s v="Abonado"/>
    <d v="2020-01-05T00:00:00"/>
    <n v="11500"/>
    <s v="Efectivo"/>
    <m/>
    <m/>
    <m/>
    <m/>
    <m/>
    <m/>
    <m/>
    <m/>
    <m/>
    <s v=""/>
    <m/>
    <n v="9831.9327731092435"/>
    <n v="1868.0672268907565"/>
    <s v="Pirque"/>
    <s v="Revista"/>
    <s v="NO"/>
    <m/>
    <m/>
    <x v="0"/>
    <m/>
  </r>
  <r>
    <s v="C639"/>
    <s v="Erika Navarro"/>
    <n v="0"/>
    <n v="0"/>
    <m/>
    <m/>
    <n v="6353"/>
    <n v="29000"/>
    <m/>
    <n v="29000"/>
    <x v="77"/>
    <n v="0"/>
    <d v="2020-01-05T00:00:00"/>
    <s v="Pagado"/>
    <d v="2020-01-05T00:00:00"/>
    <n v="29000"/>
    <s v="Efectivo"/>
    <m/>
    <m/>
    <m/>
    <m/>
    <m/>
    <m/>
    <m/>
    <m/>
    <m/>
    <s v=""/>
    <m/>
    <n v="24369.747899159665"/>
    <n v="4630.2521008403346"/>
    <s v="Pirque"/>
    <s v="Conocido"/>
    <s v="SI"/>
    <m/>
    <m/>
    <x v="0"/>
    <m/>
  </r>
  <r>
    <s v="C639"/>
    <s v="Erika Navarro"/>
    <n v="0"/>
    <n v="0"/>
    <m/>
    <m/>
    <n v="6353"/>
    <n v="15000"/>
    <m/>
    <n v="15000"/>
    <x v="77"/>
    <n v="0"/>
    <d v="2020-01-05T00:00:00"/>
    <s v="Pagado"/>
    <d v="2020-01-05T00:00:00"/>
    <n v="15000"/>
    <s v="Transferencia"/>
    <m/>
    <m/>
    <s v="Santander"/>
    <m/>
    <m/>
    <m/>
    <m/>
    <m/>
    <m/>
    <s v=""/>
    <m/>
    <n v="12605.042016806723"/>
    <n v="2394.957983193277"/>
    <s v="Pirque"/>
    <s v="Conocido"/>
    <s v="SI"/>
    <m/>
    <m/>
    <x v="0"/>
    <m/>
  </r>
  <r>
    <s v="C335"/>
    <s v="Alejandro Astorga"/>
    <n v="0"/>
    <n v="192"/>
    <m/>
    <m/>
    <n v="6349"/>
    <n v="54000"/>
    <m/>
    <n v="54000"/>
    <x v="77"/>
    <n v="0"/>
    <d v="2020-01-05T00:00:00"/>
    <s v="Pagado"/>
    <d v="2020-01-05T00:00:00"/>
    <n v="54000"/>
    <s v="Transbank"/>
    <s v="Credito"/>
    <n v="192"/>
    <m/>
    <m/>
    <m/>
    <m/>
    <m/>
    <m/>
    <m/>
    <s v=""/>
    <m/>
    <n v="45378.151260504201"/>
    <n v="8621.8487394957992"/>
    <s v="Pirque"/>
    <s v="Revista"/>
    <s v="SI"/>
    <m/>
    <m/>
    <x v="0"/>
    <m/>
  </r>
  <r>
    <s v="C643"/>
    <s v="Veronica Riveros"/>
    <n v="0"/>
    <n v="2832"/>
    <m/>
    <m/>
    <n v="6357"/>
    <n v="23000"/>
    <m/>
    <n v="23000"/>
    <x v="78"/>
    <n v="0"/>
    <d v="2020-01-06T00:00:00"/>
    <s v="Pagado"/>
    <d v="2020-01-06T00:00:00"/>
    <n v="23000"/>
    <s v="Transferencia"/>
    <m/>
    <m/>
    <s v="Santander"/>
    <m/>
    <m/>
    <m/>
    <m/>
    <m/>
    <m/>
    <s v=""/>
    <m/>
    <n v="19327.731092436974"/>
    <n v="3672.268907563026"/>
    <s v="Pirque"/>
    <s v="Chat San Juan"/>
    <s v="SI"/>
    <m/>
    <m/>
    <x v="0"/>
    <m/>
  </r>
  <r>
    <s v="C608"/>
    <s v="Solange Villarroel"/>
    <n v="0"/>
    <n v="2836"/>
    <m/>
    <m/>
    <n v="6360"/>
    <n v="19700"/>
    <m/>
    <n v="19700"/>
    <x v="78"/>
    <n v="0"/>
    <d v="2020-01-06T00:00:00"/>
    <s v="Pagado"/>
    <d v="2020-01-06T00:00:00"/>
    <n v="19700"/>
    <s v="Transferencia"/>
    <m/>
    <m/>
    <s v="Falabella"/>
    <m/>
    <m/>
    <m/>
    <m/>
    <m/>
    <m/>
    <s v=""/>
    <m/>
    <n v="16554.621848739498"/>
    <n v="3145.3781512605019"/>
    <s v="Pirque"/>
    <s v="Revista"/>
    <s v="SI"/>
    <m/>
    <m/>
    <x v="0"/>
    <m/>
  </r>
  <r>
    <s v="C556"/>
    <s v="Patricio Tapia"/>
    <n v="0"/>
    <n v="2835"/>
    <m/>
    <m/>
    <n v="6359"/>
    <n v="25700"/>
    <m/>
    <n v="25700"/>
    <x v="78"/>
    <n v="0"/>
    <d v="2020-01-06T00:00:00"/>
    <s v="Pagado"/>
    <d v="2020-01-06T00:00:00"/>
    <n v="25700"/>
    <s v="Transferencia"/>
    <m/>
    <m/>
    <s v="Chile"/>
    <m/>
    <m/>
    <m/>
    <m/>
    <m/>
    <m/>
    <s v=""/>
    <m/>
    <n v="21596.638655462186"/>
    <n v="4103.3613445378141"/>
    <s v="Pirque"/>
    <s v="Revista"/>
    <s v="SI"/>
    <m/>
    <m/>
    <x v="0"/>
    <m/>
  </r>
  <r>
    <s v="C370"/>
    <s v="Manuel Monteiro"/>
    <n v="3090"/>
    <n v="0"/>
    <m/>
    <m/>
    <n v="6355"/>
    <n v="34500"/>
    <m/>
    <n v="34500"/>
    <x v="78"/>
    <n v="0"/>
    <d v="2020-01-06T00:00:00"/>
    <s v="Pagado"/>
    <d v="2020-01-06T00:00:00"/>
    <n v="34500"/>
    <s v="Transferencia"/>
    <m/>
    <m/>
    <s v="Estado"/>
    <m/>
    <m/>
    <m/>
    <m/>
    <m/>
    <m/>
    <s v=""/>
    <m/>
    <n v="28991.596638655465"/>
    <n v="5508.4033613445354"/>
    <s v="Pirque"/>
    <s v="Conocido"/>
    <s v="SI"/>
    <m/>
    <m/>
    <x v="1"/>
    <m/>
  </r>
  <r>
    <s v="C026"/>
    <s v="Loreto Paola Moraga Guerrero"/>
    <n v="0"/>
    <n v="2833"/>
    <m/>
    <m/>
    <n v="6356"/>
    <n v="46000"/>
    <m/>
    <n v="46000"/>
    <x v="78"/>
    <n v="0"/>
    <d v="2020-01-06T00:00:00"/>
    <s v="Pagado"/>
    <d v="2020-01-13T00:00:00"/>
    <n v="46000"/>
    <s v="Depósito"/>
    <m/>
    <m/>
    <s v="Scotiabank"/>
    <m/>
    <m/>
    <m/>
    <m/>
    <m/>
    <m/>
    <s v=""/>
    <m/>
    <n v="38655.462184873948"/>
    <n v="7344.537815126052"/>
    <s v="Pirque"/>
    <s v="Conocido"/>
    <s v="SI"/>
    <m/>
    <m/>
    <x v="0"/>
    <m/>
  </r>
  <r>
    <s v="C263"/>
    <s v="Jeanny Reyes"/>
    <n v="0"/>
    <n v="2834"/>
    <m/>
    <m/>
    <n v="6358"/>
    <n v="23500"/>
    <m/>
    <n v="23500"/>
    <x v="78"/>
    <n v="0"/>
    <d v="2020-01-06T00:00:00"/>
    <s v="Pagado"/>
    <d v="2020-01-06T00:00:00"/>
    <n v="23500"/>
    <s v="Efectivo"/>
    <m/>
    <m/>
    <m/>
    <m/>
    <m/>
    <m/>
    <m/>
    <m/>
    <m/>
    <s v=""/>
    <m/>
    <n v="19747.899159663866"/>
    <n v="3752.1008403361338"/>
    <s v="Pirque"/>
    <s v="Conocido"/>
    <s v="SI"/>
    <m/>
    <m/>
    <x v="0"/>
    <m/>
  </r>
  <r>
    <s v="C116"/>
    <s v="Angelica Bravo"/>
    <n v="0"/>
    <n v="0"/>
    <m/>
    <m/>
    <s v="sn"/>
    <n v="14800"/>
    <m/>
    <n v="14800"/>
    <x v="78"/>
    <n v="0"/>
    <d v="2020-01-06T00:00:00"/>
    <s v="Pagado"/>
    <d v="2020-01-06T00:00:00"/>
    <n v="14800"/>
    <s v="Transferencia"/>
    <m/>
    <m/>
    <s v="BCI"/>
    <m/>
    <m/>
    <m/>
    <m/>
    <m/>
    <m/>
    <s v=""/>
    <m/>
    <n v="12436.974789915967"/>
    <n v="2363.0252100840335"/>
    <s v="Pirque"/>
    <s v="Revista"/>
    <s v="SI"/>
    <m/>
    <m/>
    <x v="0"/>
    <m/>
  </r>
  <r>
    <s v="C444"/>
    <s v="Solange Franjola"/>
    <n v="0"/>
    <n v="2838"/>
    <m/>
    <m/>
    <n v="6361"/>
    <n v="19900"/>
    <m/>
    <n v="19900"/>
    <x v="79"/>
    <n v="0"/>
    <d v="2020-01-07T00:00:00"/>
    <s v="Pagado"/>
    <d v="2020-01-07T00:00:00"/>
    <n v="19900"/>
    <s v="Transferencia"/>
    <m/>
    <m/>
    <s v="BCI"/>
    <m/>
    <m/>
    <m/>
    <m/>
    <m/>
    <m/>
    <s v=""/>
    <m/>
    <n v="16722.689075630253"/>
    <n v="3177.3109243697472"/>
    <s v="Pirque"/>
    <s v="Datito"/>
    <s v="SI"/>
    <m/>
    <m/>
    <x v="0"/>
    <m/>
  </r>
  <r>
    <s v="C512"/>
    <s v="Segundo Palma (abuelo Hugo Palma)"/>
    <n v="0"/>
    <n v="2840"/>
    <m/>
    <m/>
    <n v="6363"/>
    <n v="16500"/>
    <m/>
    <n v="16500"/>
    <x v="79"/>
    <n v="0"/>
    <d v="2020-01-07T00:00:00"/>
    <s v="Pagado"/>
    <d v="2019-01-07T00:00:00"/>
    <n v="16500"/>
    <s v="Efectivo"/>
    <m/>
    <m/>
    <m/>
    <m/>
    <m/>
    <m/>
    <m/>
    <m/>
    <m/>
    <s v=""/>
    <m/>
    <n v="13865.546218487396"/>
    <n v="2634.4537815126041"/>
    <s v="Pirque"/>
    <s v="Conocido"/>
    <s v="SI"/>
    <m/>
    <m/>
    <x v="0"/>
    <m/>
  </r>
  <r>
    <s v="C002"/>
    <s v="Miguel Moreno Fernandez"/>
    <n v="3057"/>
    <n v="0"/>
    <m/>
    <m/>
    <s v="sn"/>
    <n v="172610"/>
    <m/>
    <n v="172610"/>
    <x v="79"/>
    <n v="30"/>
    <d v="2020-02-06T00:00:00"/>
    <s v="Pagado"/>
    <d v="2020-01-08T00:00:00"/>
    <n v="172610"/>
    <s v="Cheque a Fecha"/>
    <m/>
    <n v="5854294"/>
    <s v="Chile"/>
    <d v="2020-01-27T00:00:00"/>
    <m/>
    <m/>
    <m/>
    <m/>
    <m/>
    <s v="Chile"/>
    <m/>
    <n v="145050.42016806724"/>
    <n v="27559.579831932759"/>
    <s v="Pirque"/>
    <s v="Visita"/>
    <s v="SI"/>
    <m/>
    <m/>
    <x v="1"/>
    <m/>
  </r>
  <r>
    <s v="C002"/>
    <s v="Miguel Moreno Fernandez"/>
    <n v="3057"/>
    <n v="0"/>
    <m/>
    <m/>
    <s v="sn"/>
    <n v="172610"/>
    <m/>
    <n v="172610"/>
    <x v="79"/>
    <n v="30"/>
    <d v="2020-02-06T00:00:00"/>
    <s v="Pagado"/>
    <d v="2020-01-08T00:00:00"/>
    <n v="172610"/>
    <s v="Cheque a Fecha"/>
    <m/>
    <n v="5854295"/>
    <s v="Chile"/>
    <d v="2020-02-17T00:00:00"/>
    <m/>
    <m/>
    <m/>
    <m/>
    <m/>
    <s v="Chile"/>
    <m/>
    <n v="145050.42016806724"/>
    <n v="27559.579831932759"/>
    <s v="Pirque"/>
    <s v="Visita"/>
    <s v="SI"/>
    <m/>
    <m/>
    <x v="1"/>
    <m/>
  </r>
  <r>
    <s v="C546"/>
    <s v="Martha Feres"/>
    <n v="0"/>
    <n v="2837"/>
    <m/>
    <m/>
    <n v="6362"/>
    <n v="35500"/>
    <m/>
    <n v="35500"/>
    <x v="79"/>
    <n v="0"/>
    <d v="2020-01-07T00:00:00"/>
    <s v="Pagado"/>
    <d v="2020-01-07T00:00:00"/>
    <n v="35500"/>
    <s v="Efectivo"/>
    <m/>
    <m/>
    <m/>
    <m/>
    <m/>
    <m/>
    <m/>
    <m/>
    <m/>
    <s v=""/>
    <m/>
    <n v="29831.932773109245"/>
    <n v="5668.0672268907547"/>
    <s v="Pirque"/>
    <s v="Revista"/>
    <s v="SI"/>
    <m/>
    <m/>
    <x v="0"/>
    <m/>
  </r>
  <r>
    <s v="C595"/>
    <s v="Juan Neira"/>
    <n v="0"/>
    <n v="2841"/>
    <m/>
    <m/>
    <n v="6365"/>
    <n v="39400"/>
    <m/>
    <n v="39400"/>
    <x v="79"/>
    <n v="0"/>
    <d v="2020-01-07T00:00:00"/>
    <s v="Pagado"/>
    <d v="2020-01-07T00:00:00"/>
    <n v="39400"/>
    <s v="Transferencia"/>
    <m/>
    <m/>
    <s v="Estado"/>
    <m/>
    <m/>
    <m/>
    <m/>
    <m/>
    <m/>
    <s v=""/>
    <m/>
    <n v="33109.243697478996"/>
    <n v="6290.7563025210038"/>
    <s v="Pirque"/>
    <s v="Revista"/>
    <s v="SI"/>
    <m/>
    <m/>
    <x v="0"/>
    <m/>
  </r>
  <r>
    <s v="C445"/>
    <s v="Carmen Nuñez"/>
    <n v="0"/>
    <n v="2831"/>
    <m/>
    <m/>
    <n v="6364"/>
    <n v="19700"/>
    <m/>
    <n v="19700"/>
    <x v="79"/>
    <n v="0"/>
    <d v="2020-01-07T00:00:00"/>
    <s v="Pagado"/>
    <d v="2020-01-07T00:00:00"/>
    <n v="19700"/>
    <s v="Efectivo"/>
    <m/>
    <m/>
    <m/>
    <m/>
    <m/>
    <m/>
    <m/>
    <m/>
    <m/>
    <s v=""/>
    <m/>
    <n v="16554.621848739498"/>
    <n v="3145.3781512605019"/>
    <s v="Pirque"/>
    <s v="Revista"/>
    <s v="SI"/>
    <m/>
    <m/>
    <x v="0"/>
    <m/>
  </r>
  <r>
    <s v="C635"/>
    <s v="Teresa Meza"/>
    <n v="0"/>
    <n v="2843"/>
    <m/>
    <m/>
    <n v="6367"/>
    <n v="16500"/>
    <m/>
    <n v="16500"/>
    <x v="80"/>
    <n v="0"/>
    <d v="2020-01-08T00:00:00"/>
    <s v="Pagado"/>
    <d v="2020-01-08T00:00:00"/>
    <n v="16500"/>
    <s v="Transferencia"/>
    <m/>
    <m/>
    <s v="Chile"/>
    <m/>
    <m/>
    <m/>
    <m/>
    <m/>
    <m/>
    <s v=""/>
    <m/>
    <n v="13865.546218487396"/>
    <n v="2634.4537815126041"/>
    <s v="Pirque"/>
    <s v="Revista"/>
    <s v="SI"/>
    <m/>
    <m/>
    <x v="0"/>
    <m/>
  </r>
  <r>
    <s v="C510"/>
    <s v="Ricardo Edwards"/>
    <n v="0"/>
    <n v="2842"/>
    <m/>
    <m/>
    <n v="6366"/>
    <n v="70600"/>
    <m/>
    <n v="70600"/>
    <x v="80"/>
    <n v="0"/>
    <d v="2020-01-08T00:00:00"/>
    <s v="Pagado"/>
    <d v="2020-01-08T00:00:00"/>
    <n v="70600"/>
    <s v="Transferencia"/>
    <m/>
    <m/>
    <s v="Chile"/>
    <m/>
    <m/>
    <m/>
    <m/>
    <m/>
    <m/>
    <s v=""/>
    <m/>
    <n v="59327.731092436974"/>
    <n v="11272.268907563026"/>
    <s v="Pirque"/>
    <s v="Revista"/>
    <s v="SI"/>
    <m/>
    <m/>
    <x v="0"/>
    <m/>
  </r>
  <r>
    <s v="C406"/>
    <s v="Naitana y Kufeke SPA"/>
    <n v="3058"/>
    <n v="0"/>
    <m/>
    <m/>
    <s v="sn"/>
    <n v="125674"/>
    <m/>
    <n v="125674"/>
    <x v="80"/>
    <n v="0"/>
    <d v="2020-01-08T00:00:00"/>
    <s v="Pagado"/>
    <d v="2020-02-04T00:00:00"/>
    <n v="125674"/>
    <s v="Transferencia"/>
    <m/>
    <m/>
    <s v="Santander"/>
    <m/>
    <m/>
    <m/>
    <m/>
    <m/>
    <m/>
    <s v=""/>
    <m/>
    <n v="105608.40336134454"/>
    <n v="20065.596638655465"/>
    <s v="Pirque"/>
    <s v="Visita"/>
    <s v="SI"/>
    <m/>
    <m/>
    <x v="1"/>
    <m/>
  </r>
  <r>
    <s v="C002"/>
    <s v="Miguel Moreno Fernandez"/>
    <n v="3063"/>
    <n v="0"/>
    <m/>
    <m/>
    <s v="sn"/>
    <n v="190494"/>
    <m/>
    <n v="190494"/>
    <x v="80"/>
    <n v="30"/>
    <d v="2020-02-07T00:00:00"/>
    <s v="Pagado"/>
    <d v="2020-01-08T00:00:00"/>
    <n v="190494"/>
    <s v="Cheque a Fecha"/>
    <m/>
    <n v="5854302"/>
    <s v="Chile"/>
    <d v="2020-02-07T00:00:00"/>
    <m/>
    <m/>
    <m/>
    <m/>
    <m/>
    <s v="Chile"/>
    <m/>
    <n v="160078.99159663866"/>
    <n v="30415.008403361338"/>
    <s v="Pirque"/>
    <s v="Visita"/>
    <s v="SI"/>
    <m/>
    <m/>
    <x v="1"/>
    <m/>
  </r>
  <r>
    <s v="C005"/>
    <s v="Julia Ines Rebolledo Retamal"/>
    <n v="3061"/>
    <n v="0"/>
    <m/>
    <m/>
    <s v="sn"/>
    <n v="22359"/>
    <m/>
    <n v="22359"/>
    <x v="80"/>
    <n v="7"/>
    <d v="2020-01-15T00:00:00"/>
    <s v="Pagado"/>
    <d v="2020-01-15T00:00:00"/>
    <n v="22359"/>
    <s v="Efectivo"/>
    <m/>
    <m/>
    <m/>
    <d v="2020-01-22T00:00:00"/>
    <n v="7675283"/>
    <n v="22359"/>
    <d v="2020-01-27T00:00:00"/>
    <s v="Chile"/>
    <m/>
    <s v=""/>
    <m/>
    <n v="18789.0756302521"/>
    <n v="3569.9243697478996"/>
    <s v="Cajon"/>
    <s v="Visita"/>
    <s v="SI"/>
    <m/>
    <m/>
    <x v="1"/>
    <m/>
  </r>
  <r>
    <s v="C263"/>
    <s v="Jeanny Reyes"/>
    <n v="0"/>
    <n v="0"/>
    <m/>
    <m/>
    <n v="6368"/>
    <n v="13200"/>
    <m/>
    <n v="13200"/>
    <x v="80"/>
    <n v="0"/>
    <d v="2020-01-08T00:00:00"/>
    <s v="Pagado"/>
    <d v="2020-01-08T00:00:00"/>
    <n v="13200"/>
    <s v="Efectivo"/>
    <m/>
    <m/>
    <m/>
    <m/>
    <m/>
    <m/>
    <m/>
    <m/>
    <m/>
    <s v=""/>
    <m/>
    <n v="11092.436974789916"/>
    <n v="2107.5630252100837"/>
    <s v="Pirque"/>
    <s v="Conocido"/>
    <s v="SI"/>
    <m/>
    <m/>
    <x v="0"/>
    <m/>
  </r>
  <r>
    <s v="C001"/>
    <s v="Benito Campos y Cia Ltda."/>
    <n v="3046"/>
    <n v="0"/>
    <m/>
    <m/>
    <s v="sn"/>
    <n v="70516"/>
    <m/>
    <n v="70516"/>
    <x v="80"/>
    <n v="30"/>
    <d v="2020-02-07T00:00:00"/>
    <s v="Pagado"/>
    <d v="2020-02-17T00:00:00"/>
    <n v="70516"/>
    <s v="Transferencia"/>
    <m/>
    <m/>
    <s v="Santander"/>
    <m/>
    <m/>
    <m/>
    <m/>
    <m/>
    <m/>
    <s v=""/>
    <m/>
    <n v="59257.142857142862"/>
    <n v="11258.857142857138"/>
    <s v="Cajon"/>
    <s v="Visita"/>
    <s v="SI"/>
    <m/>
    <m/>
    <x v="1"/>
    <m/>
  </r>
  <r>
    <s v="C001"/>
    <s v="Benito Campos y Cia Ltda."/>
    <n v="3056"/>
    <n v="0"/>
    <m/>
    <m/>
    <s v="sn"/>
    <n v="477000"/>
    <m/>
    <n v="477000"/>
    <x v="80"/>
    <n v="30"/>
    <d v="2020-02-07T00:00:00"/>
    <s v="Pagado"/>
    <d v="2020-02-17T00:00:00"/>
    <n v="477000"/>
    <s v="Transferencia"/>
    <m/>
    <m/>
    <s v="Santander"/>
    <m/>
    <m/>
    <m/>
    <m/>
    <m/>
    <m/>
    <s v=""/>
    <m/>
    <n v="400840.33613445383"/>
    <n v="76159.663865546172"/>
    <s v="Cajon"/>
    <s v="Visita"/>
    <s v="SI"/>
    <m/>
    <m/>
    <x v="1"/>
    <m/>
  </r>
  <r>
    <s v="C001"/>
    <s v="Benito Campos y Cia Ltda."/>
    <n v="3062"/>
    <n v="0"/>
    <n v="283"/>
    <m/>
    <s v="sn"/>
    <n v="288420"/>
    <n v="-88413"/>
    <n v="200007"/>
    <x v="80"/>
    <n v="30"/>
    <d v="2020-02-07T00:00:00"/>
    <s v="Pagado"/>
    <d v="2020-02-17T00:00:00"/>
    <n v="200007"/>
    <s v="Transferencia"/>
    <m/>
    <m/>
    <s v="Santander"/>
    <m/>
    <m/>
    <m/>
    <m/>
    <m/>
    <m/>
    <s v=""/>
    <m/>
    <n v="242369.74789915967"/>
    <n v="46050.252100840327"/>
    <s v="Cajon"/>
    <s v="Visita"/>
    <s v="SI"/>
    <m/>
    <m/>
    <x v="1"/>
    <m/>
  </r>
  <r>
    <s v="C001"/>
    <s v="Benito Campos y Cia Ltda."/>
    <n v="3064"/>
    <n v="0"/>
    <m/>
    <m/>
    <s v="sn"/>
    <n v="70516"/>
    <m/>
    <n v="70516"/>
    <x v="80"/>
    <n v="30"/>
    <d v="2020-02-07T00:00:00"/>
    <s v="Vencido"/>
    <m/>
    <m/>
    <m/>
    <m/>
    <m/>
    <m/>
    <m/>
    <m/>
    <m/>
    <m/>
    <m/>
    <s v=""/>
    <s v=""/>
    <m/>
    <n v="59257.142857142862"/>
    <n v="11258.857142857138"/>
    <s v="Cajon"/>
    <s v="Visita"/>
    <s v="NO"/>
    <m/>
    <m/>
    <x v="1"/>
    <m/>
  </r>
  <r>
    <s v="C501"/>
    <s v="Victor Rodriguez"/>
    <n v="0"/>
    <n v="2846"/>
    <m/>
    <m/>
    <n v="6373"/>
    <n v="22700"/>
    <m/>
    <n v="22700"/>
    <x v="81"/>
    <n v="0"/>
    <d v="2020-01-09T00:00:00"/>
    <s v="Pagado"/>
    <d v="2020-01-09T00:00:00"/>
    <n v="22700"/>
    <s v="Efectivo"/>
    <m/>
    <m/>
    <m/>
    <m/>
    <n v="7679486"/>
    <n v="22700"/>
    <d v="2020-01-10T00:00:00"/>
    <s v="Chile"/>
    <m/>
    <s v=""/>
    <m/>
    <n v="19075.63025210084"/>
    <n v="3624.3697478991598"/>
    <s v="Pirque"/>
    <s v="Revista"/>
    <s v="SI"/>
    <m/>
    <m/>
    <x v="0"/>
    <m/>
  </r>
  <r>
    <s v="C358"/>
    <s v="Patricia Lopez"/>
    <n v="0"/>
    <n v="2848"/>
    <m/>
    <m/>
    <n v="6375"/>
    <n v="14800"/>
    <m/>
    <n v="14800"/>
    <x v="81"/>
    <n v="0"/>
    <d v="2020-01-09T00:00:00"/>
    <s v="Pagado"/>
    <d v="2020-01-09T00:00:00"/>
    <n v="14800"/>
    <s v="Efectivo"/>
    <m/>
    <m/>
    <m/>
    <m/>
    <n v="7679486"/>
    <n v="14800"/>
    <d v="2020-01-10T00:00:00"/>
    <s v="Chile"/>
    <m/>
    <s v=""/>
    <m/>
    <n v="12436.974789915967"/>
    <n v="2363.0252100840335"/>
    <s v="Pirque"/>
    <s v="Conocido"/>
    <s v="SI"/>
    <m/>
    <m/>
    <x v="0"/>
    <m/>
  </r>
  <r>
    <s v="C644"/>
    <s v="Marta Bravo"/>
    <n v="0"/>
    <n v="2850"/>
    <m/>
    <m/>
    <n v="6376"/>
    <n v="23000"/>
    <m/>
    <n v="23000"/>
    <x v="81"/>
    <n v="0"/>
    <d v="2020-01-09T00:00:00"/>
    <s v="Pagado"/>
    <d v="2020-01-09T00:00:00"/>
    <n v="23000"/>
    <s v="Efectivo"/>
    <m/>
    <m/>
    <m/>
    <m/>
    <n v="7679486"/>
    <n v="23000"/>
    <d v="2020-01-10T00:00:00"/>
    <s v="Chile"/>
    <m/>
    <s v=""/>
    <m/>
    <n v="19327.731092436974"/>
    <n v="3672.268907563026"/>
    <s v="Pirque"/>
    <s v="Revista"/>
    <s v="SI"/>
    <m/>
    <m/>
    <x v="0"/>
    <m/>
  </r>
  <r>
    <s v="C359"/>
    <s v="Manuel Perez"/>
    <n v="0"/>
    <n v="2844"/>
    <m/>
    <m/>
    <n v="6369"/>
    <n v="29900"/>
    <m/>
    <n v="29900"/>
    <x v="81"/>
    <n v="0"/>
    <d v="2020-01-09T00:00:00"/>
    <s v="Pagado"/>
    <d v="2020-01-10T00:00:00"/>
    <n v="29900"/>
    <s v="Transferencia"/>
    <m/>
    <m/>
    <s v="Santander"/>
    <m/>
    <m/>
    <m/>
    <m/>
    <m/>
    <m/>
    <s v=""/>
    <m/>
    <n v="25126.050420168067"/>
    <n v="4773.9495798319331"/>
    <s v="Pirque"/>
    <s v="Conocido"/>
    <s v="SI"/>
    <m/>
    <m/>
    <x v="0"/>
    <m/>
  </r>
  <r>
    <s v="C535"/>
    <s v="Juan Pablo Garcia"/>
    <n v="0"/>
    <n v="2845"/>
    <m/>
    <m/>
    <n v="6271"/>
    <n v="50400"/>
    <m/>
    <n v="50400"/>
    <x v="81"/>
    <n v="0"/>
    <d v="2020-01-09T00:00:00"/>
    <s v="Pagado"/>
    <d v="2020-01-10T00:00:00"/>
    <n v="50400"/>
    <s v="Transferencia"/>
    <m/>
    <m/>
    <s v="BCI"/>
    <m/>
    <m/>
    <m/>
    <m/>
    <m/>
    <m/>
    <s v=""/>
    <m/>
    <n v="42352.941176470587"/>
    <n v="8047.0588235294126"/>
    <s v="Pirque"/>
    <s v="Revista"/>
    <s v="SI"/>
    <m/>
    <m/>
    <x v="0"/>
    <m/>
  </r>
  <r>
    <s v="C418"/>
    <s v="Claudia Ormazabal"/>
    <n v="0"/>
    <n v="2845"/>
    <m/>
    <m/>
    <n v="6372"/>
    <n v="14800"/>
    <m/>
    <n v="14800"/>
    <x v="81"/>
    <n v="0"/>
    <d v="2020-01-09T00:00:00"/>
    <s v="Pagado"/>
    <d v="2020-01-09T00:00:00"/>
    <n v="14800"/>
    <s v="Efectivo"/>
    <m/>
    <m/>
    <m/>
    <m/>
    <n v="7679486"/>
    <n v="14800"/>
    <d v="2020-01-10T00:00:00"/>
    <s v="Chile"/>
    <m/>
    <s v=""/>
    <m/>
    <n v="12436.974789915967"/>
    <n v="2363.0252100840335"/>
    <s v="Pirque"/>
    <s v="Conocido"/>
    <s v="SI"/>
    <m/>
    <m/>
    <x v="0"/>
    <m/>
  </r>
  <r>
    <s v="C073"/>
    <s v="Celinda Varela"/>
    <n v="0"/>
    <n v="2847"/>
    <m/>
    <m/>
    <n v="6374"/>
    <n v="19700"/>
    <m/>
    <n v="19700"/>
    <x v="81"/>
    <n v="0"/>
    <d v="2020-01-09T00:00:00"/>
    <s v="Pagado"/>
    <d v="2020-01-09T00:00:00"/>
    <n v="19700"/>
    <s v="Efectivo"/>
    <m/>
    <m/>
    <m/>
    <m/>
    <n v="7679486"/>
    <n v="19700"/>
    <d v="2020-01-10T00:00:00"/>
    <s v="Chile"/>
    <m/>
    <s v=""/>
    <m/>
    <n v="16554.621848739498"/>
    <n v="3145.3781512605019"/>
    <s v="Pirque"/>
    <s v="Conocido"/>
    <s v="SI"/>
    <m/>
    <m/>
    <x v="0"/>
    <m/>
  </r>
  <r>
    <s v="C063"/>
    <s v="Andrea Ramirez"/>
    <n v="0"/>
    <n v="193"/>
    <m/>
    <m/>
    <n v="6370"/>
    <n v="26700"/>
    <m/>
    <n v="26700"/>
    <x v="81"/>
    <n v="0"/>
    <d v="2020-01-09T00:00:00"/>
    <s v="Pagado"/>
    <d v="2020-01-09T00:00:00"/>
    <n v="26700"/>
    <s v="Transbank"/>
    <s v="Debito"/>
    <n v="193"/>
    <m/>
    <m/>
    <m/>
    <m/>
    <m/>
    <m/>
    <m/>
    <s v=""/>
    <m/>
    <n v="22436.974789915967"/>
    <n v="4263.0252100840335"/>
    <s v="Pirque"/>
    <s v="Conocido"/>
    <s v="SI"/>
    <m/>
    <m/>
    <x v="0"/>
    <m/>
  </r>
  <r>
    <s v="C010"/>
    <s v="Supermercado El Valle Ltda"/>
    <n v="3060"/>
    <n v="0"/>
    <m/>
    <m/>
    <n v="5292"/>
    <n v="120000"/>
    <m/>
    <n v="120000"/>
    <x v="82"/>
    <n v="30"/>
    <d v="2020-02-09T00:00:00"/>
    <s v="Pagado"/>
    <d v="2020-01-10T00:00:00"/>
    <n v="120000"/>
    <s v="Transferencia"/>
    <m/>
    <m/>
    <s v="Chile"/>
    <m/>
    <m/>
    <m/>
    <m/>
    <m/>
    <m/>
    <s v=""/>
    <m/>
    <n v="100840.33613445378"/>
    <n v="19159.663865546216"/>
    <s v="Chada"/>
    <s v="Visita"/>
    <s v="SI"/>
    <m/>
    <m/>
    <x v="1"/>
    <m/>
  </r>
  <r>
    <s v="C010"/>
    <s v="Supermercado El Valle Ltda"/>
    <n v="3060"/>
    <n v="0"/>
    <m/>
    <m/>
    <n v="5292"/>
    <n v="161995"/>
    <m/>
    <n v="161995"/>
    <x v="82"/>
    <n v="30"/>
    <d v="2020-02-09T00:00:00"/>
    <s v="Vencido"/>
    <m/>
    <m/>
    <m/>
    <m/>
    <m/>
    <m/>
    <m/>
    <m/>
    <m/>
    <m/>
    <m/>
    <m/>
    <s v=""/>
    <m/>
    <n v="136130.25210084036"/>
    <n v="25864.747899159644"/>
    <s v="Chada"/>
    <s v="Visita"/>
    <s v="NO"/>
    <m/>
    <m/>
    <x v="1"/>
    <m/>
  </r>
  <r>
    <s v="C105"/>
    <s v="Paulina Andrea Araneda Cancino"/>
    <n v="3066"/>
    <n v="0"/>
    <m/>
    <m/>
    <s v="sn"/>
    <n v="29000"/>
    <m/>
    <n v="29000"/>
    <x v="82"/>
    <n v="0"/>
    <d v="2020-01-10T00:00:00"/>
    <s v="Pagado"/>
    <d v="2020-01-10T00:00:00"/>
    <n v="29000"/>
    <s v="Efectivo"/>
    <m/>
    <m/>
    <m/>
    <m/>
    <m/>
    <m/>
    <m/>
    <m/>
    <m/>
    <s v=""/>
    <m/>
    <n v="24369.747899159665"/>
    <n v="4630.2521008403346"/>
    <s v="Chada"/>
    <s v="Visita"/>
    <s v="SI"/>
    <m/>
    <m/>
    <x v="1"/>
    <m/>
  </r>
  <r>
    <s v="C646"/>
    <s v="Patricio Capata"/>
    <n v="0"/>
    <n v="0"/>
    <m/>
    <m/>
    <s v="sn"/>
    <n v="36000"/>
    <m/>
    <n v="36000"/>
    <x v="82"/>
    <n v="0"/>
    <d v="2020-01-10T00:00:00"/>
    <s v="Pagado"/>
    <d v="2020-01-10T00:00:00"/>
    <n v="36000"/>
    <s v="Efectivo"/>
    <m/>
    <m/>
    <m/>
    <m/>
    <n v="7679487"/>
    <n v="36000"/>
    <d v="2020-01-10T00:00:00"/>
    <s v="Chile"/>
    <m/>
    <s v=""/>
    <m/>
    <n v="30252.100840336137"/>
    <n v="5747.8991596638625"/>
    <s v="Pirque"/>
    <s v="Conocido"/>
    <s v="SI"/>
    <m/>
    <m/>
    <x v="0"/>
    <m/>
  </r>
  <r>
    <s v="C554"/>
    <s v="Minimarket Doña Olga SPA"/>
    <n v="3065"/>
    <n v="0"/>
    <m/>
    <m/>
    <s v="sn"/>
    <n v="70775"/>
    <m/>
    <n v="70775"/>
    <x v="82"/>
    <n v="30"/>
    <d v="2020-02-09T00:00:00"/>
    <s v="Pagado"/>
    <d v="2020-01-31T00:00:00"/>
    <n v="70775"/>
    <s v="Cheque a Fecha"/>
    <m/>
    <n v="1032"/>
    <s v="Falabella"/>
    <d v="2020-02-09T00:00:00"/>
    <m/>
    <m/>
    <m/>
    <m/>
    <m/>
    <s v="Otros"/>
    <m/>
    <n v="59474.789915966387"/>
    <n v="11300.210084033613"/>
    <s v="Chada"/>
    <s v="Visita"/>
    <s v="SI"/>
    <m/>
    <m/>
    <x v="1"/>
    <m/>
  </r>
  <r>
    <s v="C016"/>
    <s v="Maria Magaly Diaz Espinoza"/>
    <n v="3067"/>
    <n v="0"/>
    <m/>
    <m/>
    <s v="sn"/>
    <n v="89991"/>
    <m/>
    <n v="89991"/>
    <x v="82"/>
    <n v="0"/>
    <d v="2020-01-10T00:00:00"/>
    <s v="Pagado"/>
    <d v="2020-01-10T00:00:00"/>
    <n v="89991"/>
    <s v="Efectivo"/>
    <m/>
    <m/>
    <m/>
    <m/>
    <m/>
    <m/>
    <m/>
    <m/>
    <m/>
    <s v=""/>
    <m/>
    <n v="75622.68907563026"/>
    <n v="14368.31092436974"/>
    <s v="Chada"/>
    <s v="Visita"/>
    <s v="SI"/>
    <m/>
    <m/>
    <x v="1"/>
    <m/>
  </r>
  <r>
    <s v="C079"/>
    <s v="Kim Cornely"/>
    <n v="0"/>
    <n v="0"/>
    <m/>
    <m/>
    <n v="6381"/>
    <n v="16500"/>
    <m/>
    <n v="16500"/>
    <x v="82"/>
    <n v="0"/>
    <d v="2020-01-10T00:00:00"/>
    <s v="Pagado"/>
    <d v="2020-01-10T00:00:00"/>
    <n v="16500"/>
    <s v="Efectivo"/>
    <m/>
    <m/>
    <m/>
    <m/>
    <n v="7679486"/>
    <n v="16500"/>
    <d v="2020-01-10T00:00:00"/>
    <s v="Chile"/>
    <m/>
    <s v=""/>
    <m/>
    <n v="13865.546218487396"/>
    <n v="2634.4537815126041"/>
    <s v="Pirque"/>
    <s v="Conocido"/>
    <s v="SI"/>
    <m/>
    <m/>
    <x v="0"/>
    <m/>
  </r>
  <r>
    <s v="C045"/>
    <s v="Jeanny Andrea Arranz Cordero"/>
    <n v="0"/>
    <n v="0"/>
    <m/>
    <m/>
    <s v="sn"/>
    <n v="47800"/>
    <m/>
    <n v="47800"/>
    <x v="82"/>
    <n v="0"/>
    <d v="2020-01-10T00:00:00"/>
    <s v="Pagado"/>
    <d v="2020-01-10T00:00:00"/>
    <n v="47800"/>
    <s v="Transferencia"/>
    <m/>
    <m/>
    <s v="Chile"/>
    <m/>
    <m/>
    <m/>
    <m/>
    <m/>
    <m/>
    <s v=""/>
    <m/>
    <n v="40168.067226890758"/>
    <n v="7631.9327731092417"/>
    <s v="Pirque"/>
    <s v="Conocido"/>
    <s v="SI"/>
    <m/>
    <m/>
    <x v="0"/>
    <m/>
  </r>
  <r>
    <s v="C645"/>
    <s v="Hernan Valdovinos"/>
    <n v="0"/>
    <n v="194"/>
    <m/>
    <m/>
    <n v="6379"/>
    <n v="16300"/>
    <m/>
    <n v="16300"/>
    <x v="82"/>
    <n v="0"/>
    <d v="2020-01-10T00:00:00"/>
    <s v="Pagado"/>
    <d v="2020-01-10T00:00:00"/>
    <n v="16300"/>
    <s v="Transbank"/>
    <s v="Debito"/>
    <n v="194"/>
    <m/>
    <m/>
    <m/>
    <m/>
    <m/>
    <m/>
    <m/>
    <s v=""/>
    <m/>
    <n v="13697.478991596639"/>
    <n v="2602.5210084033606"/>
    <s v="Chada"/>
    <s v="Revista"/>
    <s v="SI"/>
    <m/>
    <m/>
    <x v="0"/>
    <m/>
  </r>
  <r>
    <s v="C394"/>
    <s v="Gabriela Ulloa"/>
    <n v="0"/>
    <n v="2851"/>
    <m/>
    <m/>
    <n v="6377"/>
    <n v="14800"/>
    <m/>
    <n v="14800"/>
    <x v="82"/>
    <n v="0"/>
    <d v="2020-01-10T00:00:00"/>
    <s v="Pagado"/>
    <d v="2020-01-10T00:00:00"/>
    <n v="14800"/>
    <s v="Transferencia"/>
    <m/>
    <m/>
    <s v="Estado"/>
    <m/>
    <m/>
    <m/>
    <m/>
    <m/>
    <m/>
    <s v=""/>
    <m/>
    <n v="12436.974789915967"/>
    <n v="2363.0252100840335"/>
    <s v="Pirque"/>
    <s v="Conocido"/>
    <s v="SI"/>
    <m/>
    <m/>
    <x v="0"/>
    <m/>
  </r>
  <r>
    <s v="C006"/>
    <s v="Carolina del Pilar Contreras Gutierrez"/>
    <n v="3059"/>
    <n v="0"/>
    <m/>
    <m/>
    <n v="5293"/>
    <n v="253081"/>
    <m/>
    <n v="253081"/>
    <x v="82"/>
    <n v="30"/>
    <d v="2020-02-09T00:00:00"/>
    <s v="Pagado"/>
    <d v="2020-01-10T00:00:00"/>
    <n v="253081"/>
    <s v="Cheque a Fecha"/>
    <m/>
    <n v="733"/>
    <s v="Falabella"/>
    <d v="2020-02-08T00:00:00"/>
    <m/>
    <m/>
    <m/>
    <m/>
    <m/>
    <e v="#REF!"/>
    <m/>
    <n v="212673.10924369749"/>
    <n v="40407.890756302513"/>
    <s v="Chada"/>
    <s v="Visita"/>
    <s v="SI"/>
    <m/>
    <m/>
    <x v="1"/>
    <m/>
  </r>
  <r>
    <s v="C041"/>
    <s v="Yanet Arriagada"/>
    <n v="0"/>
    <n v="0"/>
    <m/>
    <m/>
    <n v="6383"/>
    <n v="24600"/>
    <m/>
    <n v="24600"/>
    <x v="83"/>
    <n v="0"/>
    <d v="2020-01-13T00:00:00"/>
    <s v="Pagado"/>
    <d v="2020-02-01T00:00:00"/>
    <n v="24600"/>
    <s v="Efectivo"/>
    <m/>
    <m/>
    <m/>
    <m/>
    <m/>
    <m/>
    <m/>
    <m/>
    <m/>
    <s v=""/>
    <m/>
    <n v="20672.268907563026"/>
    <n v="3927.731092436974"/>
    <s v="Pirque"/>
    <s v="Conocido"/>
    <s v="SI"/>
    <m/>
    <m/>
    <x v="0"/>
    <m/>
  </r>
  <r>
    <s v="C088"/>
    <s v="Salvador Jesus Maulen Lizana e Hios Ltda"/>
    <n v="3068"/>
    <n v="0"/>
    <m/>
    <m/>
    <s v="sn"/>
    <n v="290478"/>
    <m/>
    <n v="290478"/>
    <x v="83"/>
    <n v="30"/>
    <d v="2020-02-12T00:00:00"/>
    <s v="Pagado"/>
    <d v="2020-01-13T00:00:00"/>
    <n v="290478"/>
    <s v="Cheque a Fecha"/>
    <m/>
    <n v="6379104"/>
    <s v="Chile"/>
    <d v="2020-01-30T00:00:00"/>
    <n v="7675291"/>
    <n v="290478"/>
    <d v="2020-01-30T00:00:00"/>
    <s v="Chile"/>
    <m/>
    <s v="Chile"/>
    <m/>
    <n v="244099.15966386555"/>
    <n v="46378.840336134454"/>
    <s v="Cajon"/>
    <s v="Visita"/>
    <s v="SI"/>
    <m/>
    <m/>
    <x v="1"/>
    <m/>
  </r>
  <r>
    <s v="C648"/>
    <s v="Patricio Sandoval"/>
    <n v="0"/>
    <n v="2855"/>
    <m/>
    <m/>
    <n v="6389"/>
    <n v="14800"/>
    <m/>
    <n v="14800"/>
    <x v="83"/>
    <n v="0"/>
    <d v="2020-01-13T00:00:00"/>
    <s v="Pagado"/>
    <d v="2020-01-13T00:00:00"/>
    <n v="14800"/>
    <s v="Efectivo"/>
    <m/>
    <m/>
    <m/>
    <m/>
    <m/>
    <m/>
    <m/>
    <m/>
    <m/>
    <s v=""/>
    <m/>
    <n v="12436.974789915967"/>
    <n v="2363.0252100840335"/>
    <s v="Pirque"/>
    <s v="Revista"/>
    <s v="SI"/>
    <m/>
    <m/>
    <x v="0"/>
    <m/>
  </r>
  <r>
    <s v="C557"/>
    <s v="Manne Vergara"/>
    <n v="0"/>
    <n v="2854"/>
    <m/>
    <m/>
    <n v="6390"/>
    <n v="10200"/>
    <m/>
    <n v="10200"/>
    <x v="83"/>
    <n v="0"/>
    <d v="2020-01-13T00:00:00"/>
    <s v="Pagado"/>
    <d v="2020-01-13T00:00:00"/>
    <n v="10200"/>
    <s v="Transferencia"/>
    <m/>
    <m/>
    <s v="Estado"/>
    <m/>
    <m/>
    <m/>
    <m/>
    <m/>
    <m/>
    <s v=""/>
    <m/>
    <n v="8571.4285714285725"/>
    <n v="1628.5714285714275"/>
    <s v="Pirque"/>
    <s v="Revista"/>
    <s v="SI"/>
    <m/>
    <m/>
    <x v="0"/>
    <m/>
  </r>
  <r>
    <s v="C582"/>
    <s v="Luis Narvaes"/>
    <n v="0"/>
    <n v="0"/>
    <m/>
    <m/>
    <n v="6384"/>
    <n v="34100"/>
    <m/>
    <n v="34100"/>
    <x v="83"/>
    <n v="0"/>
    <d v="2020-01-13T00:00:00"/>
    <s v="Pagado"/>
    <d v="2020-01-15T00:00:00"/>
    <n v="34100"/>
    <s v="Efectivo"/>
    <m/>
    <m/>
    <m/>
    <m/>
    <m/>
    <m/>
    <m/>
    <m/>
    <m/>
    <s v=""/>
    <m/>
    <n v="28655.462184873952"/>
    <n v="5444.5378151260484"/>
    <s v="Pirque"/>
    <s v="Revista"/>
    <s v="SI"/>
    <m/>
    <m/>
    <x v="0"/>
    <m/>
  </r>
  <r>
    <s v="C243"/>
    <s v="Loreto Rojas"/>
    <n v="0"/>
    <n v="2853"/>
    <m/>
    <m/>
    <n v="6385"/>
    <n v="14800"/>
    <m/>
    <n v="14800"/>
    <x v="83"/>
    <n v="0"/>
    <d v="2020-01-13T00:00:00"/>
    <s v="Pagado"/>
    <d v="2020-01-15T00:00:00"/>
    <n v="14800"/>
    <s v="Transferencia"/>
    <m/>
    <m/>
    <s v="Chile"/>
    <m/>
    <m/>
    <m/>
    <m/>
    <m/>
    <m/>
    <s v=""/>
    <m/>
    <n v="12436.974789915967"/>
    <n v="2363.0252100840335"/>
    <s v="Pirque"/>
    <s v="Revista"/>
    <s v="SI"/>
    <m/>
    <m/>
    <x v="0"/>
    <m/>
  </r>
  <r>
    <s v="C158"/>
    <s v="Jose Miguel Osorio"/>
    <n v="0"/>
    <n v="2852"/>
    <m/>
    <m/>
    <n v="6391"/>
    <n v="45100"/>
    <m/>
    <n v="45100"/>
    <x v="83"/>
    <n v="0"/>
    <d v="2020-01-13T00:00:00"/>
    <s v="Pagado"/>
    <d v="2020-01-14T00:00:00"/>
    <n v="45100"/>
    <s v="Transferencia"/>
    <m/>
    <m/>
    <s v="Santander"/>
    <m/>
    <m/>
    <m/>
    <m/>
    <m/>
    <m/>
    <s v=""/>
    <m/>
    <n v="37899.159663865546"/>
    <n v="7200.8403361344535"/>
    <s v="Pirque"/>
    <s v="Conocido"/>
    <s v="SI"/>
    <m/>
    <m/>
    <x v="0"/>
    <m/>
  </r>
  <r>
    <s v="C288"/>
    <s v="Jorge Ramirez"/>
    <n v="0"/>
    <n v="191"/>
    <m/>
    <m/>
    <n v="6382"/>
    <n v="66400"/>
    <m/>
    <n v="66400"/>
    <x v="83"/>
    <n v="0"/>
    <d v="2020-01-13T00:00:00"/>
    <s v="Pagado"/>
    <d v="2020-01-13T00:00:00"/>
    <n v="66400"/>
    <s v="Transbank"/>
    <s v="Credito"/>
    <n v="191"/>
    <m/>
    <m/>
    <m/>
    <m/>
    <m/>
    <m/>
    <m/>
    <s v=""/>
    <m/>
    <n v="55798.319327731093"/>
    <n v="10601.680672268907"/>
    <s v="Pirque"/>
    <s v="Conocido"/>
    <s v="SI"/>
    <m/>
    <m/>
    <x v="0"/>
    <m/>
  </r>
  <r>
    <s v="C032"/>
    <s v="Carlos Jobbe-Duval"/>
    <n v="0"/>
    <n v="0"/>
    <m/>
    <m/>
    <n v="6388"/>
    <n v="18000"/>
    <m/>
    <n v="18000"/>
    <x v="83"/>
    <n v="0"/>
    <d v="2020-01-13T00:00:00"/>
    <s v="Pagado"/>
    <d v="2020-01-29T00:00:00"/>
    <n v="18000"/>
    <s v="Transferencia"/>
    <m/>
    <m/>
    <s v="BCI"/>
    <m/>
    <m/>
    <m/>
    <m/>
    <m/>
    <m/>
    <s v=""/>
    <m/>
    <n v="15126.050420168069"/>
    <n v="2873.9495798319313"/>
    <s v="Pirque"/>
    <s v="Conocido"/>
    <s v="SI"/>
    <m/>
    <m/>
    <x v="0"/>
    <m/>
  </r>
  <r>
    <s v="C396"/>
    <s v="Alejandro Ossandon"/>
    <n v="0"/>
    <n v="192"/>
    <m/>
    <m/>
    <n v="6386"/>
    <n v="59300"/>
    <m/>
    <n v="59300"/>
    <x v="83"/>
    <n v="0"/>
    <d v="2020-01-13T00:00:00"/>
    <s v="Pagado"/>
    <d v="2020-01-13T00:00:00"/>
    <n v="59300"/>
    <s v="Transbank"/>
    <s v="Debito"/>
    <n v="192"/>
    <m/>
    <m/>
    <m/>
    <m/>
    <m/>
    <m/>
    <m/>
    <s v=""/>
    <m/>
    <n v="49831.932773109249"/>
    <n v="9468.067226890751"/>
    <s v="Pirque"/>
    <s v="Conocido"/>
    <s v="SI"/>
    <m/>
    <m/>
    <x v="0"/>
    <m/>
  </r>
  <r>
    <s v="C647"/>
    <s v="Patricia Salas"/>
    <n v="0"/>
    <n v="0"/>
    <m/>
    <m/>
    <n v="6387"/>
    <n v="35900"/>
    <m/>
    <n v="35900"/>
    <x v="84"/>
    <n v="0"/>
    <d v="2020-01-14T00:00:00"/>
    <s v="Pagado"/>
    <d v="2020-01-14T00:00:00"/>
    <n v="35900"/>
    <s v="Cheque al Día"/>
    <m/>
    <n v="905179"/>
    <s v="Santander"/>
    <d v="2020-01-15T00:00:00"/>
    <m/>
    <m/>
    <m/>
    <m/>
    <m/>
    <s v="Otros"/>
    <m/>
    <n v="30168.067226890758"/>
    <n v="5731.9327731092417"/>
    <s v="Chada"/>
    <s v="Conocido"/>
    <s v="SI"/>
    <m/>
    <m/>
    <x v="0"/>
    <m/>
  </r>
  <r>
    <s v="C028"/>
    <s v="Luz María Velasquez"/>
    <n v="0"/>
    <n v="0"/>
    <m/>
    <m/>
    <n v="6395"/>
    <n v="7713"/>
    <m/>
    <n v="7713"/>
    <x v="84"/>
    <n v="0"/>
    <d v="2020-01-14T00:00:00"/>
    <s v="Pagado"/>
    <d v="2020-02-01T00:00:00"/>
    <n v="7713"/>
    <s v="Transferencia"/>
    <m/>
    <m/>
    <s v="Santander"/>
    <m/>
    <m/>
    <m/>
    <m/>
    <m/>
    <m/>
    <s v=""/>
    <m/>
    <n v="6481.5126050420167"/>
    <n v="1231.4873949579833"/>
    <s v="Chada"/>
    <s v="Conocido"/>
    <s v="SI"/>
    <m/>
    <m/>
    <x v="0"/>
    <m/>
  </r>
  <r>
    <s v="C534"/>
    <s v="Helga Nagilschmitz"/>
    <n v="0"/>
    <n v="193"/>
    <m/>
    <m/>
    <n v="6392"/>
    <n v="71000"/>
    <m/>
    <n v="71000"/>
    <x v="84"/>
    <n v="0"/>
    <d v="2020-01-14T00:00:00"/>
    <s v="Pagado"/>
    <d v="2020-01-14T00:00:00"/>
    <n v="71000"/>
    <s v="Transbank"/>
    <s v="Debito"/>
    <n v="193"/>
    <m/>
    <m/>
    <m/>
    <m/>
    <m/>
    <m/>
    <m/>
    <s v=""/>
    <m/>
    <n v="59663.865546218491"/>
    <n v="11336.134453781509"/>
    <s v="Pirque"/>
    <s v="Revista"/>
    <s v="SI"/>
    <m/>
    <m/>
    <x v="0"/>
    <m/>
  </r>
  <r>
    <s v="C004"/>
    <s v="Rosa Gladys Vidal Mora"/>
    <n v="3069"/>
    <n v="0"/>
    <m/>
    <m/>
    <s v="sn"/>
    <n v="22715"/>
    <m/>
    <n v="22715"/>
    <x v="85"/>
    <n v="7"/>
    <d v="2020-01-22T00:00:00"/>
    <s v="Pagado"/>
    <d v="2020-01-22T00:00:00"/>
    <n v="22715"/>
    <s v="Cheque a Fecha"/>
    <m/>
    <n v="1116274"/>
    <s v="Santander"/>
    <d v="2020-01-30T00:00:00"/>
    <n v="7675284"/>
    <n v="22715"/>
    <d v="2020-01-30T00:00:00"/>
    <s v="Chile"/>
    <m/>
    <s v="Otros"/>
    <m/>
    <n v="19088.235294117647"/>
    <n v="3626.7647058823532"/>
    <s v="Cajon"/>
    <s v="Visita"/>
    <s v="SI"/>
    <m/>
    <m/>
    <x v="1"/>
    <m/>
  </r>
  <r>
    <s v="C005"/>
    <s v="Julia Ines Rebolledo Retamal"/>
    <n v="3070"/>
    <n v="0"/>
    <m/>
    <m/>
    <s v="sn"/>
    <n v="24000"/>
    <m/>
    <n v="24000"/>
    <x v="85"/>
    <n v="7"/>
    <d v="2020-01-22T00:00:00"/>
    <s v="Pagado"/>
    <d v="2020-01-22T00:00:00"/>
    <n v="24000"/>
    <s v="Efectivo"/>
    <m/>
    <m/>
    <m/>
    <d v="2020-01-22T00:00:00"/>
    <n v="7675283"/>
    <n v="24000"/>
    <d v="2020-01-27T00:00:00"/>
    <s v="Chile"/>
    <m/>
    <s v=""/>
    <m/>
    <n v="20168.067226890758"/>
    <n v="3831.9327731092417"/>
    <s v="Cajon"/>
    <s v="Visita"/>
    <s v="SI"/>
    <m/>
    <m/>
    <x v="1"/>
    <m/>
  </r>
  <r>
    <s v="C005"/>
    <s v="Julia Ines Rebolledo Retamal"/>
    <n v="3070"/>
    <n v="0"/>
    <m/>
    <m/>
    <s v="sn"/>
    <n v="100000"/>
    <m/>
    <n v="100000"/>
    <x v="85"/>
    <n v="7"/>
    <d v="2020-01-22T00:00:00"/>
    <s v="Pagado"/>
    <d v="2020-01-22T00:00:00"/>
    <n v="100000"/>
    <s v="Cheque al Día"/>
    <m/>
    <n v="979"/>
    <s v="Santander"/>
    <d v="2020-01-21T00:00:00"/>
    <n v="7675282"/>
    <n v="100000"/>
    <d v="2020-01-27T00:00:00"/>
    <s v="Chile"/>
    <m/>
    <s v="Otros"/>
    <m/>
    <n v="84033.613445378156"/>
    <n v="15966.386554621844"/>
    <s v="Cajon"/>
    <s v="Visita"/>
    <s v="SI"/>
    <m/>
    <m/>
    <x v="1"/>
    <m/>
  </r>
  <r>
    <s v="C263"/>
    <s v="Jeanny Reyes"/>
    <n v="0"/>
    <n v="2859"/>
    <m/>
    <m/>
    <n v="6399"/>
    <n v="23500"/>
    <m/>
    <n v="23500"/>
    <x v="85"/>
    <n v="0"/>
    <d v="2020-01-15T00:00:00"/>
    <s v="Pagado"/>
    <d v="2020-01-15T00:00:00"/>
    <n v="23500"/>
    <s v="Efectivo"/>
    <m/>
    <m/>
    <m/>
    <m/>
    <m/>
    <m/>
    <m/>
    <m/>
    <m/>
    <s v=""/>
    <m/>
    <n v="19747.899159663866"/>
    <n v="3752.1008403361338"/>
    <s v="Pirque"/>
    <s v="Conocido"/>
    <s v="SI"/>
    <m/>
    <m/>
    <x v="0"/>
    <m/>
  </r>
  <r>
    <s v="C294"/>
    <s v="Jadra Aguad"/>
    <n v="0"/>
    <n v="2858"/>
    <m/>
    <m/>
    <n v="6398"/>
    <n v="58700"/>
    <m/>
    <n v="58700"/>
    <x v="85"/>
    <n v="0"/>
    <d v="2020-01-15T00:00:00"/>
    <s v="Pagado"/>
    <d v="2020-01-16T00:00:00"/>
    <n v="58700"/>
    <s v="Transferencia"/>
    <m/>
    <m/>
    <s v="Santander"/>
    <m/>
    <m/>
    <m/>
    <m/>
    <m/>
    <m/>
    <s v=""/>
    <m/>
    <n v="49327.731092436974"/>
    <n v="9372.268907563026"/>
    <s v="Pirque"/>
    <s v="Conocido"/>
    <s v="SI"/>
    <m/>
    <m/>
    <x v="0"/>
    <m/>
  </r>
  <r>
    <s v="C003"/>
    <s v="Hector Felipe Ramos Osorio"/>
    <n v="3072"/>
    <n v="0"/>
    <s v="284/285"/>
    <m/>
    <s v="sn"/>
    <n v="258652"/>
    <n v="-32797"/>
    <n v="225855"/>
    <x v="85"/>
    <n v="30"/>
    <d v="2020-02-14T00:00:00"/>
    <s v="Pagado"/>
    <d v="2020-01-15T00:00:00"/>
    <n v="225855"/>
    <s v="Cheque a Fecha"/>
    <m/>
    <n v="7636302"/>
    <s v="Estado"/>
    <d v="2020-02-15T00:00:00"/>
    <m/>
    <m/>
    <m/>
    <m/>
    <m/>
    <s v="Otros"/>
    <m/>
    <n v="217354.62184873951"/>
    <n v="41297.378151260491"/>
    <s v="Cajon"/>
    <s v="Visita"/>
    <s v="SI"/>
    <m/>
    <m/>
    <x v="1"/>
    <m/>
  </r>
  <r>
    <s v="C003"/>
    <s v="Hector Felipe Ramos Osorio"/>
    <n v="3073"/>
    <n v="0"/>
    <m/>
    <m/>
    <s v="sn"/>
    <n v="20951"/>
    <m/>
    <n v="20951"/>
    <x v="85"/>
    <n v="30"/>
    <d v="2020-02-14T00:00:00"/>
    <s v="Pagado"/>
    <d v="2020-01-15T00:00:00"/>
    <n v="20951"/>
    <s v="Cheque a Fecha"/>
    <m/>
    <n v="7636302"/>
    <s v="Estado"/>
    <d v="2020-02-15T00:00:00"/>
    <m/>
    <m/>
    <m/>
    <m/>
    <m/>
    <s v="Otros"/>
    <m/>
    <n v="17605.882352941178"/>
    <n v="3345.1176470588216"/>
    <s v="Cajon"/>
    <s v="Visita"/>
    <s v="SI"/>
    <m/>
    <m/>
    <x v="1"/>
    <m/>
  </r>
  <r>
    <s v="C108"/>
    <s v="Denisse Marti"/>
    <n v="0"/>
    <n v="195"/>
    <m/>
    <m/>
    <n v="6394"/>
    <n v="30600"/>
    <m/>
    <n v="30600"/>
    <x v="85"/>
    <n v="0"/>
    <d v="2020-01-15T00:00:00"/>
    <s v="Pagado"/>
    <d v="2020-01-15T00:00:00"/>
    <n v="30600"/>
    <s v="Transbank"/>
    <s v="Debito"/>
    <n v="195"/>
    <m/>
    <m/>
    <m/>
    <m/>
    <m/>
    <m/>
    <m/>
    <s v=""/>
    <m/>
    <n v="25714.285714285714"/>
    <n v="4885.7142857142862"/>
    <s v="Pirque"/>
    <s v="Revista"/>
    <s v="SI"/>
    <m/>
    <m/>
    <x v="0"/>
    <m/>
  </r>
  <r>
    <s v="C043"/>
    <s v="Consuelo Andrea Sanchez Bisbal"/>
    <n v="0"/>
    <n v="2857"/>
    <m/>
    <m/>
    <n v="6393"/>
    <n v="19700"/>
    <m/>
    <n v="19700"/>
    <x v="85"/>
    <n v="0"/>
    <d v="2020-01-15T00:00:00"/>
    <s v="Pagado"/>
    <d v="2020-01-16T00:00:00"/>
    <n v="19700"/>
    <s v="Transferencia"/>
    <m/>
    <m/>
    <s v="Falabella"/>
    <m/>
    <m/>
    <m/>
    <m/>
    <m/>
    <m/>
    <s v=""/>
    <m/>
    <n v="16554.621848739498"/>
    <n v="3145.3781512605019"/>
    <s v="Pirque"/>
    <s v="Revista"/>
    <s v="SI"/>
    <m/>
    <m/>
    <x v="0"/>
    <m/>
  </r>
  <r>
    <s v="C001"/>
    <s v="Benito Campos y Cia Ltda."/>
    <n v="3071"/>
    <n v="0"/>
    <m/>
    <m/>
    <n v="1036696"/>
    <n v="130061"/>
    <m/>
    <n v="130061"/>
    <x v="85"/>
    <n v="30"/>
    <d v="2020-02-14T00:00:00"/>
    <s v="Pagado"/>
    <d v="2020-02-17T00:00:00"/>
    <n v="130061"/>
    <s v="Transferencia"/>
    <m/>
    <m/>
    <s v="Santander"/>
    <m/>
    <m/>
    <m/>
    <m/>
    <m/>
    <m/>
    <s v=""/>
    <m/>
    <n v="109294.95798319328"/>
    <n v="20766.042016806721"/>
    <s v="Cajon"/>
    <s v="Visita"/>
    <s v="SI"/>
    <m/>
    <m/>
    <x v="1"/>
    <m/>
  </r>
  <r>
    <s v="C335"/>
    <s v="Alejandro Astorga"/>
    <n v="0"/>
    <n v="194"/>
    <m/>
    <m/>
    <n v="6400"/>
    <n v="27000"/>
    <m/>
    <n v="27000"/>
    <x v="85"/>
    <n v="0"/>
    <d v="2020-01-15T00:00:00"/>
    <s v="Pagado"/>
    <d v="2020-01-15T00:00:00"/>
    <n v="27000"/>
    <s v="Transbank"/>
    <s v="Debito"/>
    <n v="194"/>
    <m/>
    <m/>
    <m/>
    <m/>
    <m/>
    <m/>
    <m/>
    <s v=""/>
    <m/>
    <n v="22689.0756302521"/>
    <n v="4310.9243697478996"/>
    <s v="Pirque"/>
    <s v="Revista"/>
    <s v="SI"/>
    <m/>
    <m/>
    <x v="0"/>
    <m/>
  </r>
  <r>
    <s v="C584"/>
    <s v="Alejandra Hamame"/>
    <n v="0"/>
    <n v="0"/>
    <m/>
    <m/>
    <n v="6396"/>
    <n v="35200"/>
    <m/>
    <n v="35200"/>
    <x v="85"/>
    <n v="0"/>
    <d v="2020-01-15T00:00:00"/>
    <s v="Pagado"/>
    <d v="2020-01-20T00:00:00"/>
    <n v="64200"/>
    <s v="Cheque al Día"/>
    <m/>
    <m/>
    <s v="Edward"/>
    <m/>
    <m/>
    <n v="64200"/>
    <d v="2020-01-20T00:00:00"/>
    <s v="Chile"/>
    <m/>
    <s v="Otros"/>
    <m/>
    <n v="29579.831932773111"/>
    <n v="5620.1680672268885"/>
    <s v="Pirque"/>
    <s v="Revista"/>
    <s v="SI"/>
    <m/>
    <m/>
    <x v="0"/>
    <m/>
  </r>
  <r>
    <s v="C572"/>
    <s v="Aldo Tapia"/>
    <n v="0"/>
    <n v="2856"/>
    <m/>
    <m/>
    <n v="6397"/>
    <n v="16500"/>
    <m/>
    <n v="16500"/>
    <x v="85"/>
    <n v="0"/>
    <d v="2020-01-15T00:00:00"/>
    <s v="Pagado"/>
    <d v="2020-01-15T00:00:00"/>
    <n v="16500"/>
    <s v="Efectivo"/>
    <m/>
    <m/>
    <m/>
    <m/>
    <n v="7675275"/>
    <n v="16500"/>
    <m/>
    <m/>
    <m/>
    <s v=""/>
    <m/>
    <n v="13865.546218487396"/>
    <n v="2634.4537815126041"/>
    <s v="Pirque"/>
    <s v="Revista"/>
    <s v="SI"/>
    <m/>
    <m/>
    <x v="0"/>
    <m/>
  </r>
  <r>
    <s v="C649"/>
    <s v="Victor Quiroz"/>
    <n v="0"/>
    <n v="196"/>
    <m/>
    <m/>
    <n v="6403"/>
    <n v="44400"/>
    <m/>
    <n v="44400"/>
    <x v="86"/>
    <n v="0"/>
    <d v="2020-01-16T00:00:00"/>
    <s v="Pagado"/>
    <d v="2020-01-16T00:00:00"/>
    <n v="44400"/>
    <s v="Transbank"/>
    <s v="Debito"/>
    <n v="196"/>
    <m/>
    <m/>
    <m/>
    <m/>
    <m/>
    <m/>
    <m/>
    <s v=""/>
    <m/>
    <n v="37310.924369747903"/>
    <n v="7089.0756302520967"/>
    <s v="Pirque"/>
    <s v="Revista"/>
    <s v="SI"/>
    <m/>
    <m/>
    <x v="0"/>
    <m/>
  </r>
  <r>
    <s v="C488"/>
    <s v="Trinidad Siviragol"/>
    <n v="0"/>
    <n v="2860"/>
    <m/>
    <m/>
    <n v="6402"/>
    <n v="29600"/>
    <m/>
    <n v="29600"/>
    <x v="86"/>
    <n v="0"/>
    <d v="2020-01-16T00:00:00"/>
    <s v="Pagado"/>
    <d v="2020-01-17T00:00:00"/>
    <n v="29600"/>
    <s v="Transferencia"/>
    <m/>
    <m/>
    <s v="Chile"/>
    <m/>
    <m/>
    <m/>
    <m/>
    <m/>
    <m/>
    <s v=""/>
    <m/>
    <n v="24873.949579831933"/>
    <n v="4726.0504201680669"/>
    <s v="Pirque"/>
    <s v="Revista"/>
    <s v="SI"/>
    <m/>
    <m/>
    <x v="0"/>
    <m/>
  </r>
  <r>
    <s v="C389"/>
    <s v="Juan Pinilla"/>
    <n v="0"/>
    <n v="0"/>
    <m/>
    <m/>
    <n v="6404"/>
    <n v="29000"/>
    <m/>
    <n v="29000"/>
    <x v="86"/>
    <n v="0"/>
    <d v="2020-01-16T00:00:00"/>
    <s v="Pagado"/>
    <d v="2020-01-19T00:00:00"/>
    <n v="29000"/>
    <s v="Transferencia"/>
    <m/>
    <m/>
    <s v="Security"/>
    <m/>
    <m/>
    <m/>
    <m/>
    <m/>
    <m/>
    <s v=""/>
    <m/>
    <n v="24369.747899159665"/>
    <n v="4630.2521008403346"/>
    <s v="Pirque"/>
    <s v="Conocido"/>
    <s v="SI"/>
    <m/>
    <m/>
    <x v="0"/>
    <m/>
  </r>
  <r>
    <s v="C071"/>
    <s v="Jose Beck"/>
    <n v="0"/>
    <n v="2861"/>
    <m/>
    <m/>
    <n v="6405"/>
    <n v="19000"/>
    <m/>
    <n v="19000"/>
    <x v="86"/>
    <n v="0"/>
    <d v="2020-01-16T00:00:00"/>
    <s v="Pagado"/>
    <d v="2020-01-17T00:00:00"/>
    <n v="19000"/>
    <s v="Transferencia"/>
    <m/>
    <m/>
    <s v="Chile"/>
    <m/>
    <m/>
    <m/>
    <m/>
    <m/>
    <m/>
    <s v=""/>
    <m/>
    <n v="15966.386554621849"/>
    <n v="3033.6134453781506"/>
    <s v="Pirque"/>
    <s v="Conocido"/>
    <s v="SI"/>
    <m/>
    <m/>
    <x v="0"/>
    <m/>
  </r>
  <r>
    <s v="C558"/>
    <s v="Carola Pardo"/>
    <n v="0"/>
    <n v="2857"/>
    <m/>
    <m/>
    <n v="6406"/>
    <n v="19700"/>
    <m/>
    <n v="19700"/>
    <x v="86"/>
    <n v="0"/>
    <d v="2020-01-16T00:00:00"/>
    <s v="Pagado"/>
    <d v="2020-01-16T00:00:00"/>
    <n v="19700"/>
    <s v="Efectivo"/>
    <m/>
    <m/>
    <m/>
    <m/>
    <m/>
    <m/>
    <m/>
    <m/>
    <m/>
    <s v=""/>
    <m/>
    <n v="16554.621848739498"/>
    <n v="3145.3781512605019"/>
    <s v="Pirque"/>
    <s v="Revista"/>
    <s v="SI"/>
    <m/>
    <m/>
    <x v="0"/>
    <m/>
  </r>
  <r>
    <s v="C062"/>
    <s v="Verena Scholtbach"/>
    <n v="0"/>
    <n v="0"/>
    <m/>
    <m/>
    <n v="6415"/>
    <n v="6104"/>
    <m/>
    <n v="6104"/>
    <x v="87"/>
    <n v="0"/>
    <d v="2020-01-17T00:00:00"/>
    <s v="Pagado"/>
    <d v="2020-03-06T00:00:00"/>
    <n v="6104"/>
    <s v="Transferencia"/>
    <m/>
    <m/>
    <s v="BCI"/>
    <m/>
    <m/>
    <m/>
    <m/>
    <m/>
    <m/>
    <s v=""/>
    <m/>
    <n v="5129.4117647058829"/>
    <n v="974.58823529411711"/>
    <s v="Pirque"/>
    <s v="Conocido"/>
    <s v="SI"/>
    <m/>
    <m/>
    <x v="0"/>
    <m/>
  </r>
  <r>
    <s v="C009"/>
    <s v="Sociedad Comercial y Agricola Chada Ltda"/>
    <n v="3074"/>
    <n v="0"/>
    <m/>
    <m/>
    <s v="sn"/>
    <n v="90377"/>
    <m/>
    <n v="90377"/>
    <x v="87"/>
    <n v="7"/>
    <d v="2020-01-24T00:00:00"/>
    <s v="Pagado"/>
    <d v="2020-01-17T00:00:00"/>
    <n v="90377"/>
    <s v="Cheque a Fecha"/>
    <m/>
    <n v="2490455"/>
    <s v="Scotiabank"/>
    <d v="2020-01-24T00:00:00"/>
    <n v="7675281"/>
    <n v="90377"/>
    <d v="2020-01-27T00:00:00"/>
    <s v="Chile"/>
    <m/>
    <s v="Otros"/>
    <m/>
    <n v="75947.058823529413"/>
    <n v="14429.941176470587"/>
    <s v="Chada"/>
    <s v="Visita"/>
    <s v="SI"/>
    <m/>
    <m/>
    <x v="1"/>
    <m/>
  </r>
  <r>
    <s v="C337"/>
    <s v="Petrova Alonso"/>
    <n v="0"/>
    <n v="0"/>
    <m/>
    <m/>
    <n v="6418"/>
    <n v="23900"/>
    <m/>
    <n v="23900"/>
    <x v="87"/>
    <n v="0"/>
    <d v="2020-01-17T00:00:00"/>
    <s v="Pagado"/>
    <d v="2020-01-17T00:00:00"/>
    <n v="23900"/>
    <s v="Efectivo"/>
    <m/>
    <m/>
    <m/>
    <m/>
    <m/>
    <m/>
    <m/>
    <m/>
    <m/>
    <s v=""/>
    <m/>
    <n v="20084.033613445379"/>
    <n v="3815.9663865546208"/>
    <s v="Pirque"/>
    <s v="Conocido"/>
    <s v="SI"/>
    <m/>
    <m/>
    <x v="0"/>
    <m/>
  </r>
  <r>
    <s v="C555"/>
    <s v="Patricio Olmedo"/>
    <n v="0"/>
    <n v="2868"/>
    <m/>
    <m/>
    <n v="6413"/>
    <n v="14800"/>
    <m/>
    <n v="14800"/>
    <x v="87"/>
    <n v="0"/>
    <d v="2020-01-17T00:00:00"/>
    <s v="Pagado"/>
    <d v="2020-01-17T00:00:00"/>
    <n v="14800"/>
    <s v="Efectivo"/>
    <m/>
    <m/>
    <m/>
    <m/>
    <m/>
    <m/>
    <m/>
    <m/>
    <m/>
    <s v=""/>
    <m/>
    <n v="12436.974789915967"/>
    <n v="2363.0252100840335"/>
    <s v="Pirque"/>
    <s v="Revista"/>
    <s v="SI"/>
    <m/>
    <m/>
    <x v="0"/>
    <m/>
  </r>
  <r>
    <s v="C361"/>
    <s v="Marcela Biham"/>
    <n v="0"/>
    <n v="0"/>
    <m/>
    <m/>
    <n v="6419"/>
    <n v="45400"/>
    <m/>
    <n v="45400"/>
    <x v="87"/>
    <n v="0"/>
    <d v="2020-01-17T00:00:00"/>
    <s v="Pagado"/>
    <d v="2020-01-18T00:00:00"/>
    <n v="45400"/>
    <s v="Transferencia"/>
    <m/>
    <m/>
    <s v="Chile"/>
    <m/>
    <m/>
    <m/>
    <m/>
    <m/>
    <m/>
    <s v=""/>
    <m/>
    <n v="38151.26050420168"/>
    <n v="7248.7394957983197"/>
    <s v="Chada"/>
    <s v="Revista"/>
    <s v="SI"/>
    <m/>
    <m/>
    <x v="0"/>
    <m/>
  </r>
  <r>
    <s v="C076"/>
    <s v="Macarena Garcia"/>
    <n v="0"/>
    <n v="2864"/>
    <m/>
    <m/>
    <n v="6410"/>
    <n v="29900"/>
    <m/>
    <n v="29900"/>
    <x v="87"/>
    <n v="0"/>
    <d v="2020-01-17T00:00:00"/>
    <s v="Pagado"/>
    <d v="2020-01-17T00:00:00"/>
    <n v="29900"/>
    <s v="Transferencia"/>
    <m/>
    <m/>
    <s v="Chile"/>
    <m/>
    <m/>
    <m/>
    <m/>
    <m/>
    <m/>
    <s v=""/>
    <m/>
    <n v="25126.050420168067"/>
    <n v="4773.9495798319331"/>
    <s v="Chada"/>
    <s v="Conocido"/>
    <s v="SI"/>
    <m/>
    <m/>
    <x v="0"/>
    <m/>
  </r>
  <r>
    <s v="C028"/>
    <s v="Luz María Velasquez"/>
    <n v="0"/>
    <n v="2863"/>
    <m/>
    <m/>
    <n v="6407"/>
    <n v="7000"/>
    <m/>
    <n v="7000"/>
    <x v="87"/>
    <n v="0"/>
    <d v="2020-01-17T00:00:00"/>
    <s v="Pagado"/>
    <d v="2020-02-01T00:00:00"/>
    <n v="7000"/>
    <s v="Transferencia"/>
    <m/>
    <m/>
    <s v="Scotiabank"/>
    <m/>
    <m/>
    <m/>
    <m/>
    <m/>
    <m/>
    <s v=""/>
    <m/>
    <n v="5882.3529411764712"/>
    <n v="1117.6470588235288"/>
    <s v="Chada"/>
    <s v="Conocido"/>
    <s v="SI"/>
    <m/>
    <m/>
    <x v="0"/>
    <m/>
  </r>
  <r>
    <s v="C057"/>
    <s v="Laura Thernan "/>
    <n v="0"/>
    <n v="2863"/>
    <m/>
    <m/>
    <n v="6408"/>
    <n v="31000"/>
    <m/>
    <n v="31000"/>
    <x v="87"/>
    <n v="0"/>
    <d v="2020-01-17T00:00:00"/>
    <s v="Pagado"/>
    <d v="2020-01-25T00:00:00"/>
    <n v="31000"/>
    <s v="Transferencia"/>
    <m/>
    <m/>
    <s v="Santander"/>
    <m/>
    <m/>
    <m/>
    <m/>
    <m/>
    <m/>
    <s v=""/>
    <m/>
    <n v="26050.420168067227"/>
    <n v="4949.5798319327732"/>
    <s v="Chada"/>
    <s v="Conocido"/>
    <s v="SI"/>
    <m/>
    <m/>
    <x v="0"/>
    <m/>
  </r>
  <r>
    <s v="C288"/>
    <s v="Jorge Ramirez"/>
    <n v="0"/>
    <n v="198"/>
    <m/>
    <m/>
    <n v="6416"/>
    <n v="33000"/>
    <m/>
    <n v="33000"/>
    <x v="87"/>
    <n v="0"/>
    <d v="2020-01-17T00:00:00"/>
    <s v="Pagado"/>
    <d v="2020-01-17T00:00:00"/>
    <n v="33000"/>
    <s v="Transbank"/>
    <s v="Credito"/>
    <n v="198"/>
    <m/>
    <m/>
    <m/>
    <m/>
    <m/>
    <m/>
    <m/>
    <s v=""/>
    <m/>
    <n v="27731.092436974792"/>
    <n v="5268.9075630252082"/>
    <s v="Pirque"/>
    <s v="Conocido"/>
    <s v="SI"/>
    <m/>
    <m/>
    <x v="0"/>
    <m/>
  </r>
  <r>
    <s v="C636"/>
    <s v="Jessica Cabello"/>
    <n v="0"/>
    <n v="197"/>
    <m/>
    <m/>
    <n v="6412"/>
    <n v="14800"/>
    <m/>
    <n v="14800"/>
    <x v="87"/>
    <n v="0"/>
    <d v="2020-01-17T00:00:00"/>
    <s v="Pagado"/>
    <d v="2020-01-17T00:00:00"/>
    <n v="14800"/>
    <s v="Transbank"/>
    <s v="Credito"/>
    <n v="197"/>
    <m/>
    <m/>
    <m/>
    <m/>
    <m/>
    <m/>
    <m/>
    <s v=""/>
    <m/>
    <n v="12436.974789915967"/>
    <n v="2363.0252100840335"/>
    <s v="Pirque"/>
    <s v="Revista"/>
    <s v="SI"/>
    <m/>
    <m/>
    <x v="0"/>
    <m/>
  </r>
  <r>
    <s v="C332"/>
    <s v="Gery Montenegro"/>
    <n v="0"/>
    <n v="199"/>
    <m/>
    <m/>
    <n v="6417"/>
    <n v="14800"/>
    <m/>
    <n v="14800"/>
    <x v="87"/>
    <n v="0"/>
    <d v="2020-01-17T00:00:00"/>
    <s v="Pagado"/>
    <d v="2020-01-17T00:00:00"/>
    <n v="14800"/>
    <s v="Transbank"/>
    <s v="Debito"/>
    <n v="199"/>
    <m/>
    <m/>
    <m/>
    <m/>
    <m/>
    <m/>
    <m/>
    <s v=""/>
    <m/>
    <n v="12436.974789915967"/>
    <n v="2363.0252100840335"/>
    <s v="Pirque"/>
    <s v="Chat"/>
    <s v="SI"/>
    <m/>
    <m/>
    <x v="0"/>
    <m/>
  </r>
  <r>
    <s v="C633"/>
    <s v="Cintia Zuñiga"/>
    <n v="0"/>
    <n v="2867"/>
    <m/>
    <m/>
    <n v="6414"/>
    <n v="25000"/>
    <m/>
    <n v="25000"/>
    <x v="87"/>
    <n v="0"/>
    <d v="2020-01-17T00:00:00"/>
    <s v="Pagado"/>
    <d v="2020-01-17T00:00:00"/>
    <n v="25000"/>
    <s v="Transferencia"/>
    <m/>
    <m/>
    <s v="BCI"/>
    <m/>
    <m/>
    <m/>
    <m/>
    <m/>
    <m/>
    <s v=""/>
    <m/>
    <n v="21008.403361344539"/>
    <n v="3991.596638655461"/>
    <s v="Pirque"/>
    <s v="Conocido"/>
    <s v="SI"/>
    <m/>
    <m/>
    <x v="0"/>
    <m/>
  </r>
  <r>
    <s v="C033"/>
    <s v="Catalina Daniela Peña Royo"/>
    <n v="0"/>
    <n v="2866"/>
    <m/>
    <m/>
    <n v="6411"/>
    <n v="44900"/>
    <m/>
    <n v="44900"/>
    <x v="87"/>
    <n v="0"/>
    <d v="2020-01-17T00:00:00"/>
    <s v="Pagado"/>
    <d v="2020-01-29T00:00:00"/>
    <n v="44900"/>
    <s v="Transferencia"/>
    <m/>
    <m/>
    <s v="Itaú"/>
    <m/>
    <m/>
    <m/>
    <m/>
    <m/>
    <m/>
    <s v=""/>
    <m/>
    <n v="37731.092436974788"/>
    <n v="7168.9075630252119"/>
    <s v="Chada"/>
    <s v="Conocido"/>
    <s v="SI"/>
    <m/>
    <m/>
    <x v="0"/>
    <m/>
  </r>
  <r>
    <s v="C032"/>
    <s v="Carlos Jobbe-Duval"/>
    <n v="0"/>
    <n v="0"/>
    <m/>
    <m/>
    <n v="6401"/>
    <n v="11600"/>
    <m/>
    <n v="11600"/>
    <x v="87"/>
    <n v="0"/>
    <d v="2020-01-17T00:00:00"/>
    <s v="Pagado"/>
    <d v="2020-01-29T00:00:00"/>
    <n v="11600"/>
    <s v="Transferencia"/>
    <m/>
    <m/>
    <s v="BCI"/>
    <m/>
    <m/>
    <m/>
    <m/>
    <m/>
    <m/>
    <s v=""/>
    <m/>
    <n v="9747.8991596638662"/>
    <n v="1852.1008403361338"/>
    <s v="Pirque"/>
    <s v="Conocido"/>
    <s v="SI"/>
    <m/>
    <m/>
    <x v="0"/>
    <m/>
  </r>
  <r>
    <s v="C113"/>
    <s v="Alvaro del Carmen Ruiz Farias y Otro (Hornito)"/>
    <n v="3075"/>
    <n v="0"/>
    <m/>
    <m/>
    <s v="sn"/>
    <n v="243763"/>
    <m/>
    <n v="243763"/>
    <x v="87"/>
    <n v="0"/>
    <d v="2020-01-17T00:00:00"/>
    <s v="Pagado"/>
    <d v="2020-01-17T00:00:00"/>
    <n v="243763"/>
    <s v="Efectivo"/>
    <m/>
    <m/>
    <m/>
    <m/>
    <n v="7675276"/>
    <n v="43850"/>
    <d v="2020-05-25T00:00:00"/>
    <s v="Chile"/>
    <m/>
    <s v=""/>
    <m/>
    <n v="204842.85714285716"/>
    <n v="38920.142857142841"/>
    <s v="Chada"/>
    <s v="Visita"/>
    <s v="SI"/>
    <m/>
    <m/>
    <x v="1"/>
    <m/>
  </r>
  <r>
    <s v="C650"/>
    <s v="Loreto Ramirez"/>
    <n v="0"/>
    <n v="201"/>
    <m/>
    <m/>
    <n v="6422"/>
    <n v="12500"/>
    <m/>
    <n v="12500"/>
    <x v="88"/>
    <n v="0"/>
    <d v="2020-01-18T00:00:00"/>
    <s v="Pagado"/>
    <d v="2020-01-18T00:00:00"/>
    <n v="12500"/>
    <s v="Transbank"/>
    <s v="Debito"/>
    <n v="201"/>
    <m/>
    <m/>
    <m/>
    <m/>
    <m/>
    <m/>
    <m/>
    <s v=""/>
    <m/>
    <n v="10504.20168067227"/>
    <n v="1995.7983193277305"/>
    <s v="Pirque"/>
    <s v="Revista"/>
    <s v="SI"/>
    <m/>
    <m/>
    <x v="0"/>
    <m/>
  </r>
  <r>
    <s v="C538"/>
    <s v="Katherine Torres"/>
    <n v="0"/>
    <n v="200"/>
    <m/>
    <m/>
    <n v="6421"/>
    <n v="35500"/>
    <m/>
    <n v="35500"/>
    <x v="88"/>
    <n v="0"/>
    <d v="2020-01-18T00:00:00"/>
    <s v="Pagado"/>
    <d v="2020-01-18T00:00:00"/>
    <n v="35500"/>
    <s v="Transbank"/>
    <s v="Credito"/>
    <n v="200"/>
    <m/>
    <m/>
    <m/>
    <m/>
    <m/>
    <m/>
    <m/>
    <s v=""/>
    <m/>
    <n v="29831.932773109245"/>
    <n v="5668.0672268907547"/>
    <s v="Pirque"/>
    <s v="Revista"/>
    <s v="SI"/>
    <m/>
    <m/>
    <x v="0"/>
    <m/>
  </r>
  <r>
    <s v="C456"/>
    <s v="Carolina Muñoz"/>
    <n v="0"/>
    <n v="2868"/>
    <m/>
    <m/>
    <n v="6420"/>
    <n v="14800"/>
    <m/>
    <n v="14800"/>
    <x v="88"/>
    <n v="0"/>
    <d v="2020-01-18T00:00:00"/>
    <s v="Pagado"/>
    <d v="2020-01-20T00:00:00"/>
    <n v="14800"/>
    <s v="Transferencia"/>
    <m/>
    <m/>
    <s v="Estado"/>
    <m/>
    <m/>
    <m/>
    <m/>
    <m/>
    <m/>
    <s v=""/>
    <m/>
    <n v="12436.974789915967"/>
    <n v="2363.0252100840335"/>
    <s v="Pirque"/>
    <s v="Conocido"/>
    <s v="SI"/>
    <m/>
    <m/>
    <x v="0"/>
    <m/>
  </r>
  <r>
    <s v="C570"/>
    <s v="Miguel Diaz"/>
    <n v="0"/>
    <n v="0"/>
    <m/>
    <m/>
    <n v="6427"/>
    <n v="19700"/>
    <m/>
    <n v="19700"/>
    <x v="89"/>
    <n v="0"/>
    <d v="2020-01-20T00:00:00"/>
    <s v="Pagado"/>
    <d v="2020-01-20T00:00:00"/>
    <n v="19700"/>
    <s v="Efectivo"/>
    <m/>
    <m/>
    <m/>
    <m/>
    <m/>
    <m/>
    <m/>
    <m/>
    <m/>
    <s v=""/>
    <m/>
    <n v="16554.621848739498"/>
    <n v="3145.3781512605019"/>
    <s v="Pirque"/>
    <s v="Revista"/>
    <s v="SI"/>
    <m/>
    <m/>
    <x v="0"/>
    <m/>
  </r>
  <r>
    <s v="C087"/>
    <s v="Juan Pablo Valdes"/>
    <n v="0"/>
    <n v="2871"/>
    <m/>
    <m/>
    <n v="6426"/>
    <n v="69000"/>
    <m/>
    <n v="69000"/>
    <x v="89"/>
    <n v="0"/>
    <d v="2020-01-20T00:00:00"/>
    <s v="Pagado"/>
    <d v="2020-01-20T00:00:00"/>
    <n v="69000"/>
    <s v="Transferencia"/>
    <m/>
    <m/>
    <s v="Bice"/>
    <m/>
    <m/>
    <m/>
    <m/>
    <m/>
    <m/>
    <s v=""/>
    <m/>
    <n v="57983.193277310929"/>
    <n v="11016.806722689071"/>
    <s v="Pirque"/>
    <s v="Revista"/>
    <s v="SI"/>
    <m/>
    <m/>
    <x v="0"/>
    <m/>
  </r>
  <r>
    <s v="C038"/>
    <s v="Francisca Gonzalez"/>
    <n v="0"/>
    <n v="0"/>
    <m/>
    <m/>
    <n v="6425"/>
    <n v="25900"/>
    <m/>
    <n v="25900"/>
    <x v="89"/>
    <n v="0"/>
    <d v="2020-01-20T00:00:00"/>
    <s v="Vencido"/>
    <m/>
    <m/>
    <m/>
    <m/>
    <m/>
    <m/>
    <m/>
    <m/>
    <m/>
    <m/>
    <m/>
    <m/>
    <s v=""/>
    <m/>
    <n v="21764.705882352941"/>
    <n v="4135.2941176470595"/>
    <s v="Pirque"/>
    <s v="Conocido"/>
    <s v="NO"/>
    <m/>
    <m/>
    <x v="0"/>
    <m/>
  </r>
  <r>
    <s v="C519"/>
    <s v="Eduardo Contreras"/>
    <n v="0"/>
    <n v="0"/>
    <m/>
    <m/>
    <n v="6424"/>
    <n v="10500"/>
    <m/>
    <n v="10500"/>
    <x v="89"/>
    <n v="0"/>
    <d v="2020-01-20T00:00:00"/>
    <s v="Pagado"/>
    <d v="2020-01-20T00:00:00"/>
    <n v="10500"/>
    <s v="Efectivo"/>
    <m/>
    <m/>
    <m/>
    <m/>
    <m/>
    <m/>
    <m/>
    <m/>
    <m/>
    <s v=""/>
    <m/>
    <n v="8823.5294117647063"/>
    <n v="1676.4705882352937"/>
    <s v="Pirque"/>
    <s v="Revista"/>
    <s v="SI"/>
    <m/>
    <m/>
    <x v="0"/>
    <m/>
  </r>
  <r>
    <s v="C544"/>
    <s v="Carla Valencoa"/>
    <n v="0"/>
    <n v="200"/>
    <m/>
    <m/>
    <n v="6428"/>
    <n v="23000"/>
    <m/>
    <n v="23000"/>
    <x v="89"/>
    <n v="0"/>
    <d v="2020-01-20T00:00:00"/>
    <s v="Pagado"/>
    <d v="2020-01-20T00:00:00"/>
    <n v="23000"/>
    <s v="Transbank"/>
    <s v="Debito"/>
    <n v="200"/>
    <m/>
    <m/>
    <m/>
    <m/>
    <m/>
    <m/>
    <m/>
    <s v=""/>
    <m/>
    <n v="19327.731092436974"/>
    <n v="3672.268907563026"/>
    <s v="Pirque"/>
    <s v="Revista"/>
    <s v="SI"/>
    <m/>
    <m/>
    <x v="0"/>
    <m/>
  </r>
  <r>
    <s v="C001"/>
    <s v="Benito Campos y Cia Ltda."/>
    <n v="3076"/>
    <n v="0"/>
    <m/>
    <m/>
    <s v="sn"/>
    <n v="477000"/>
    <m/>
    <n v="477000"/>
    <x v="89"/>
    <n v="30"/>
    <d v="2020-02-19T00:00:00"/>
    <s v="Pagado"/>
    <d v="2020-02-26T00:00:00"/>
    <n v="477000"/>
    <s v="Transferencia"/>
    <m/>
    <m/>
    <s v="Santander"/>
    <m/>
    <m/>
    <m/>
    <m/>
    <m/>
    <s v=""/>
    <s v=""/>
    <m/>
    <n v="400840.33613445383"/>
    <n v="76159.663865546172"/>
    <s v="Cajon"/>
    <s v="Visita"/>
    <s v="SI"/>
    <m/>
    <m/>
    <x v="1"/>
    <m/>
  </r>
  <r>
    <s v="C335"/>
    <s v="Alejandro Astorga"/>
    <n v="0"/>
    <n v="196"/>
    <m/>
    <m/>
    <n v="6423"/>
    <n v="108000"/>
    <m/>
    <n v="108000"/>
    <x v="89"/>
    <n v="0"/>
    <d v="2020-01-20T00:00:00"/>
    <s v="Pagado"/>
    <d v="2020-01-20T00:00:00"/>
    <n v="108000"/>
    <s v="Transbank"/>
    <s v="Debito"/>
    <n v="196"/>
    <m/>
    <m/>
    <m/>
    <m/>
    <m/>
    <m/>
    <m/>
    <s v=""/>
    <m/>
    <n v="90756.302521008402"/>
    <n v="17243.697478991598"/>
    <s v="Pirque"/>
    <s v="Revista"/>
    <s v="SI"/>
    <m/>
    <m/>
    <x v="0"/>
    <m/>
  </r>
  <r>
    <s v="C055"/>
    <s v="Jorge Osorio"/>
    <n v="0"/>
    <n v="2872"/>
    <m/>
    <m/>
    <n v="6430"/>
    <n v="292000"/>
    <m/>
    <n v="292000"/>
    <x v="90"/>
    <n v="0"/>
    <d v="2020-01-21T00:00:00"/>
    <s v="Pagado"/>
    <d v="2020-01-22T00:00:00"/>
    <n v="292000"/>
    <s v="Transferencia"/>
    <m/>
    <m/>
    <s v="Santander"/>
    <m/>
    <m/>
    <m/>
    <m/>
    <m/>
    <m/>
    <s v=""/>
    <m/>
    <n v="245378.15126050421"/>
    <n v="46621.848739495792"/>
    <s v="Pirque"/>
    <s v="Revista"/>
    <s v="SI"/>
    <m/>
    <m/>
    <x v="0"/>
    <m/>
  </r>
  <r>
    <s v="C517"/>
    <s v="Jenny Thomas"/>
    <n v="0"/>
    <n v="198"/>
    <m/>
    <m/>
    <n v="6432"/>
    <n v="45400"/>
    <m/>
    <n v="45400"/>
    <x v="90"/>
    <n v="0"/>
    <d v="2020-01-21T00:00:00"/>
    <s v="Pagado"/>
    <d v="2020-01-21T00:00:00"/>
    <n v="45400"/>
    <s v="Transbank"/>
    <s v="Debito"/>
    <n v="198"/>
    <m/>
    <m/>
    <m/>
    <m/>
    <m/>
    <m/>
    <m/>
    <s v=""/>
    <m/>
    <n v="38151.26050420168"/>
    <n v="7248.7394957983197"/>
    <s v="Pirque"/>
    <s v="Revista"/>
    <s v="SI"/>
    <m/>
    <m/>
    <x v="0"/>
    <m/>
  </r>
  <r>
    <s v="C263"/>
    <s v="Jeanny Reyes"/>
    <n v="0"/>
    <n v="199"/>
    <m/>
    <m/>
    <n v="6431"/>
    <n v="23500"/>
    <m/>
    <n v="23500"/>
    <x v="90"/>
    <n v="0"/>
    <d v="2020-01-21T00:00:00"/>
    <s v="Pagado"/>
    <d v="2020-01-21T00:00:00"/>
    <n v="23500"/>
    <s v="Transbank"/>
    <s v="Debito"/>
    <n v="199"/>
    <m/>
    <m/>
    <m/>
    <m/>
    <m/>
    <m/>
    <m/>
    <s v=""/>
    <m/>
    <n v="19747.899159663866"/>
    <n v="3752.1008403361338"/>
    <s v="Pirque"/>
    <s v="Conocido"/>
    <s v="SI"/>
    <m/>
    <m/>
    <x v="0"/>
    <m/>
  </r>
  <r>
    <s v="C495"/>
    <s v="Felipe Saint Jean Metzen"/>
    <n v="0"/>
    <n v="2873"/>
    <m/>
    <m/>
    <s v="sn"/>
    <n v="16500"/>
    <m/>
    <n v="16500"/>
    <x v="90"/>
    <n v="0"/>
    <d v="2020-01-21T00:00:00"/>
    <s v="Pagado"/>
    <d v="2020-01-21T00:00:00"/>
    <n v="16500"/>
    <s v="Transferencia"/>
    <m/>
    <m/>
    <s v="Estado"/>
    <m/>
    <m/>
    <m/>
    <m/>
    <m/>
    <m/>
    <s v=""/>
    <m/>
    <n v="13865.546218487396"/>
    <n v="2634.4537815126041"/>
    <s v="Pirque"/>
    <s v="Revista"/>
    <s v="SI"/>
    <m/>
    <m/>
    <x v="0"/>
    <m/>
  </r>
  <r>
    <s v="C638"/>
    <s v="Catherine Barra"/>
    <n v="0"/>
    <n v="195"/>
    <m/>
    <m/>
    <n v="6433"/>
    <n v="23000"/>
    <m/>
    <n v="23000"/>
    <x v="90"/>
    <n v="0"/>
    <d v="2020-01-21T00:00:00"/>
    <s v="Pagado"/>
    <d v="2020-01-21T00:00:00"/>
    <n v="23000"/>
    <s v="Transbank"/>
    <s v="Debito"/>
    <n v="195"/>
    <m/>
    <m/>
    <m/>
    <m/>
    <m/>
    <m/>
    <m/>
    <s v=""/>
    <m/>
    <n v="19327.731092436974"/>
    <n v="3672.268907563026"/>
    <s v="Pirque"/>
    <s v="Revista"/>
    <s v="SI"/>
    <m/>
    <m/>
    <x v="0"/>
    <m/>
  </r>
  <r>
    <s v="C255"/>
    <s v="Carlos Manzano"/>
    <n v="0"/>
    <n v="197"/>
    <m/>
    <m/>
    <n v="6429"/>
    <n v="29600"/>
    <m/>
    <n v="29600"/>
    <x v="90"/>
    <n v="0"/>
    <d v="2020-01-21T00:00:00"/>
    <s v="Pagado"/>
    <d v="2020-01-22T00:00:00"/>
    <n v="29600"/>
    <s v="Transbank"/>
    <s v="Credito"/>
    <n v="197"/>
    <m/>
    <m/>
    <m/>
    <m/>
    <m/>
    <m/>
    <m/>
    <s v=""/>
    <m/>
    <n v="24873.949579831933"/>
    <n v="4726.0504201680669"/>
    <s v="Pirque"/>
    <s v="Revista"/>
    <s v="SI"/>
    <m/>
    <m/>
    <x v="0"/>
    <m/>
  </r>
  <r>
    <s v="C020"/>
    <s v="Sabores y Vinos Bernardita Munita EIRL"/>
    <n v="3078"/>
    <n v="0"/>
    <m/>
    <m/>
    <s v="OC 01"/>
    <n v="91718"/>
    <m/>
    <n v="91718"/>
    <x v="91"/>
    <n v="0"/>
    <d v="2020-01-22T00:00:00"/>
    <s v="Pagado"/>
    <d v="2020-01-29T00:00:00"/>
    <n v="91718"/>
    <s v="Transferencia"/>
    <m/>
    <m/>
    <s v="Chile"/>
    <m/>
    <m/>
    <m/>
    <m/>
    <m/>
    <d v="2020-01-03T00:00:00"/>
    <s v=""/>
    <m/>
    <n v="77073.94957983194"/>
    <n v="14644.05042016806"/>
    <s v="Pirque"/>
    <s v="Visita"/>
    <s v="SI"/>
    <m/>
    <m/>
    <x v="1"/>
    <m/>
  </r>
  <r>
    <s v="C020"/>
    <s v="Sabores y Vinos Bernardita Munita EIRL"/>
    <n v="3078"/>
    <n v="0"/>
    <m/>
    <m/>
    <s v="OC 02"/>
    <n v="228312"/>
    <m/>
    <n v="228312"/>
    <x v="91"/>
    <n v="0"/>
    <d v="2020-01-22T00:00:00"/>
    <s v="Pagado"/>
    <d v="2020-01-29T00:00:00"/>
    <n v="228312"/>
    <s v="Transferencia"/>
    <m/>
    <m/>
    <s v="Chile"/>
    <m/>
    <m/>
    <m/>
    <m/>
    <m/>
    <d v="2020-01-06T00:00:00"/>
    <s v=""/>
    <m/>
    <n v="191858.82352941178"/>
    <n v="36453.176470588223"/>
    <s v="Pirque"/>
    <s v="Visita"/>
    <s v="SI"/>
    <m/>
    <m/>
    <x v="1"/>
    <m/>
  </r>
  <r>
    <s v="C020"/>
    <s v="Sabores y Vinos Bernardita Munita EIRL"/>
    <n v="3078"/>
    <n v="0"/>
    <m/>
    <m/>
    <s v="OC 03"/>
    <n v="53778"/>
    <m/>
    <n v="53778"/>
    <x v="91"/>
    <n v="0"/>
    <d v="2020-01-22T00:00:00"/>
    <s v="Pagado"/>
    <d v="2020-01-29T00:00:00"/>
    <n v="53778"/>
    <s v="Transferencia"/>
    <m/>
    <m/>
    <s v="Chile"/>
    <m/>
    <m/>
    <m/>
    <m/>
    <m/>
    <d v="2020-01-06T00:00:00"/>
    <s v=""/>
    <m/>
    <n v="45191.596638655465"/>
    <n v="8586.4033613445354"/>
    <s v="Pirque"/>
    <s v="Visita"/>
    <s v="SI"/>
    <m/>
    <m/>
    <x v="1"/>
    <m/>
  </r>
  <r>
    <s v="C020"/>
    <s v="Sabores y Vinos Bernardita Munita EIRL"/>
    <n v="3078"/>
    <n v="0"/>
    <m/>
    <m/>
    <s v="OC 04"/>
    <n v="64750"/>
    <m/>
    <n v="64750"/>
    <x v="91"/>
    <n v="0"/>
    <d v="2020-01-22T00:00:00"/>
    <s v="Pagado"/>
    <d v="2020-01-29T00:00:00"/>
    <n v="64750"/>
    <s v="Transferencia"/>
    <m/>
    <m/>
    <s v="Chile"/>
    <m/>
    <m/>
    <m/>
    <m/>
    <m/>
    <d v="2020-01-08T00:00:00"/>
    <s v=""/>
    <m/>
    <n v="54411.764705882357"/>
    <n v="10338.235294117643"/>
    <s v="Pirque"/>
    <s v="Visita"/>
    <s v="SI"/>
    <m/>
    <m/>
    <x v="1"/>
    <m/>
  </r>
  <r>
    <s v="C020"/>
    <s v="Sabores y Vinos Bernardita Munita EIRL"/>
    <n v="3078"/>
    <n v="0"/>
    <m/>
    <m/>
    <s v="OC 05"/>
    <n v="61366"/>
    <m/>
    <n v="61366"/>
    <x v="91"/>
    <n v="0"/>
    <d v="2020-01-22T00:00:00"/>
    <s v="Pagado"/>
    <d v="2020-01-29T00:00:00"/>
    <n v="61366"/>
    <s v="Transferencia"/>
    <m/>
    <m/>
    <s v="Chile"/>
    <m/>
    <m/>
    <m/>
    <m/>
    <m/>
    <d v="2020-01-09T00:00:00"/>
    <s v=""/>
    <m/>
    <n v="51568.067226890758"/>
    <n v="9797.9327731092417"/>
    <s v="Pirque"/>
    <s v="Visita"/>
    <s v="SI"/>
    <m/>
    <m/>
    <x v="1"/>
    <m/>
  </r>
  <r>
    <s v="C004"/>
    <s v="Rosa Gladys Vidal Mora"/>
    <n v="3081"/>
    <n v="0"/>
    <m/>
    <m/>
    <s v="sn"/>
    <n v="138398"/>
    <m/>
    <n v="138398"/>
    <x v="91"/>
    <n v="7"/>
    <d v="2020-01-29T00:00:00"/>
    <s v="Pagado"/>
    <d v="2020-01-22T00:00:00"/>
    <n v="138398"/>
    <s v="Cheque a Fecha"/>
    <m/>
    <n v="1116274"/>
    <s v="Santander"/>
    <d v="2020-01-30T00:00:00"/>
    <n v="7675284"/>
    <n v="138398"/>
    <d v="2020-01-30T00:00:00"/>
    <s v="Chile"/>
    <m/>
    <s v="Otros"/>
    <m/>
    <n v="116300.84033613445"/>
    <n v="22097.159663865546"/>
    <s v="Cajon"/>
    <s v="Visita"/>
    <s v="SI"/>
    <m/>
    <m/>
    <x v="1"/>
    <m/>
  </r>
  <r>
    <s v="C406"/>
    <s v="Naitana y Kufeke SPA"/>
    <n v="3077"/>
    <n v="0"/>
    <m/>
    <m/>
    <s v="sn"/>
    <n v="39557"/>
    <m/>
    <n v="39557"/>
    <x v="91"/>
    <n v="0"/>
    <d v="2020-01-22T00:00:00"/>
    <s v="Pagado"/>
    <d v="2020-02-04T00:00:00"/>
    <n v="39557"/>
    <s v="Transferencia"/>
    <m/>
    <m/>
    <s v="Santander"/>
    <m/>
    <m/>
    <m/>
    <m/>
    <m/>
    <m/>
    <s v=""/>
    <m/>
    <n v="33241.176470588238"/>
    <n v="6315.8235294117621"/>
    <s v="Pirque"/>
    <s v="Visita"/>
    <s v="SI"/>
    <m/>
    <m/>
    <x v="1"/>
    <m/>
  </r>
  <r>
    <s v="C005"/>
    <s v="Julia Ines Rebolledo Retamal"/>
    <n v="3079"/>
    <n v="0"/>
    <m/>
    <m/>
    <s v="sn"/>
    <n v="50000"/>
    <m/>
    <n v="50000"/>
    <x v="91"/>
    <n v="7"/>
    <d v="2020-01-29T00:00:00"/>
    <s v="Pagado"/>
    <d v="2020-01-29T00:00:00"/>
    <n v="50000"/>
    <s v="Efectivo"/>
    <m/>
    <m/>
    <m/>
    <m/>
    <n v="7675294"/>
    <n v="50000"/>
    <d v="2020-02-03T00:00:00"/>
    <s v="Chile"/>
    <m/>
    <s v=""/>
    <m/>
    <n v="42016.806722689078"/>
    <n v="7983.193277310922"/>
    <s v="Cajon"/>
    <s v="Visita"/>
    <s v="SI"/>
    <m/>
    <m/>
    <x v="1"/>
    <m/>
  </r>
  <r>
    <s v="C005"/>
    <s v="Julia Ines Rebolledo Retamal"/>
    <n v="3079"/>
    <n v="0"/>
    <m/>
    <m/>
    <s v="sn"/>
    <n v="49412"/>
    <m/>
    <n v="49412"/>
    <x v="91"/>
    <n v="7"/>
    <d v="2020-01-29T00:00:00"/>
    <s v="Pagado"/>
    <d v="2019-02-05T00:00:00"/>
    <n v="55000"/>
    <s v="Efectivo"/>
    <m/>
    <m/>
    <m/>
    <d v="2020-02-05T00:00:00"/>
    <n v="7675298"/>
    <n v="55000"/>
    <d v="2020-02-06T00:00:00"/>
    <s v="Chile"/>
    <m/>
    <s v=""/>
    <m/>
    <n v="41522.689075630253"/>
    <n v="7889.3109243697472"/>
    <s v="Cajon"/>
    <s v="Visita"/>
    <s v="SI"/>
    <m/>
    <m/>
    <x v="1"/>
    <m/>
  </r>
  <r>
    <s v="C001"/>
    <s v="Benito Campos y Cia Ltda."/>
    <n v="3080"/>
    <n v="0"/>
    <m/>
    <m/>
    <s v="sn"/>
    <n v="76586"/>
    <m/>
    <n v="76586"/>
    <x v="91"/>
    <n v="30"/>
    <d v="2020-02-21T00:00:00"/>
    <s v="Pagado"/>
    <d v="2020-02-28T00:00:00"/>
    <n v="76586"/>
    <s v="Transferencia"/>
    <m/>
    <m/>
    <s v="Santander"/>
    <m/>
    <m/>
    <m/>
    <m/>
    <m/>
    <m/>
    <s v=""/>
    <m/>
    <n v="64357.983193277316"/>
    <n v="12228.016806722684"/>
    <s v="Cajon"/>
    <s v="Visita"/>
    <s v="SI"/>
    <m/>
    <m/>
    <x v="1"/>
    <m/>
  </r>
  <r>
    <s v="C001"/>
    <s v="Benito Campos y Cia Ltda."/>
    <n v="3082"/>
    <n v="0"/>
    <m/>
    <m/>
    <s v="sn"/>
    <n v="143479"/>
    <n v="-27643"/>
    <n v="115836"/>
    <x v="91"/>
    <n v="30"/>
    <d v="2020-02-21T00:00:00"/>
    <s v="Pagado"/>
    <d v="2020-02-28T00:00:00"/>
    <n v="115836"/>
    <s v="Transferencia"/>
    <m/>
    <m/>
    <s v="Santander"/>
    <m/>
    <m/>
    <m/>
    <m/>
    <m/>
    <m/>
    <s v=""/>
    <m/>
    <n v="120570.58823529413"/>
    <n v="22908.411764705874"/>
    <s v="Cajon"/>
    <s v="Visita"/>
    <s v="SI"/>
    <m/>
    <m/>
    <x v="1"/>
    <m/>
  </r>
  <r>
    <s v="C037"/>
    <s v="Amelia Cortes"/>
    <n v="0"/>
    <s v="sn"/>
    <m/>
    <m/>
    <n v="6434"/>
    <n v="34500"/>
    <m/>
    <n v="34500"/>
    <x v="91"/>
    <n v="0"/>
    <d v="2020-01-22T00:00:00"/>
    <s v="Pagado"/>
    <d v="2020-01-27T00:00:00"/>
    <n v="34500"/>
    <s v="Transferencia"/>
    <m/>
    <m/>
    <s v="Itaú"/>
    <m/>
    <m/>
    <m/>
    <m/>
    <m/>
    <m/>
    <s v=""/>
    <m/>
    <n v="28991.596638655465"/>
    <n v="5508.4033613445354"/>
    <s v="Cajon"/>
    <s v="Revista"/>
    <s v="SI"/>
    <m/>
    <m/>
    <x v="0"/>
    <m/>
  </r>
  <r>
    <s v="C635"/>
    <s v="Teresa Meza"/>
    <n v="0"/>
    <n v="2879"/>
    <m/>
    <m/>
    <n v="6435"/>
    <n v="19700"/>
    <m/>
    <n v="19700"/>
    <x v="92"/>
    <n v="0"/>
    <d v="2020-01-23T00:00:00"/>
    <s v="Pagado"/>
    <d v="2020-01-24T00:00:00"/>
    <n v="19700"/>
    <s v="Transferencia"/>
    <m/>
    <m/>
    <s v="Chile"/>
    <m/>
    <m/>
    <m/>
    <m/>
    <m/>
    <m/>
    <s v=""/>
    <m/>
    <n v="16554.621848739498"/>
    <n v="3145.3781512605019"/>
    <s v="Pirque"/>
    <s v="Revista"/>
    <s v="SI"/>
    <m/>
    <m/>
    <x v="0"/>
    <m/>
  </r>
  <r>
    <s v="C599"/>
    <s v="Tamara Chavez"/>
    <n v="0"/>
    <n v="2877"/>
    <m/>
    <m/>
    <n v="6437"/>
    <n v="60400"/>
    <m/>
    <n v="60400"/>
    <x v="92"/>
    <n v="0"/>
    <d v="2020-01-23T00:00:00"/>
    <s v="Pagado"/>
    <d v="2020-01-23T00:00:00"/>
    <n v="60400"/>
    <s v="Transferencia"/>
    <m/>
    <m/>
    <s v="Estado"/>
    <m/>
    <m/>
    <m/>
    <m/>
    <m/>
    <m/>
    <s v=""/>
    <m/>
    <n v="50756.302521008409"/>
    <n v="9643.6974789915912"/>
    <s v="Pirque"/>
    <s v="Chat San Juan"/>
    <s v="SI"/>
    <m/>
    <m/>
    <x v="0"/>
    <m/>
  </r>
  <r>
    <s v="C537"/>
    <s v="Ma Jose Garcia"/>
    <n v="0"/>
    <n v="0"/>
    <m/>
    <m/>
    <n v="6438"/>
    <n v="22700"/>
    <m/>
    <n v="22700"/>
    <x v="92"/>
    <n v="0"/>
    <d v="2020-01-23T00:00:00"/>
    <s v="Pagado"/>
    <d v="2020-01-23T00:00:00"/>
    <n v="22700"/>
    <s v="Transferencia"/>
    <m/>
    <m/>
    <s v="BCI"/>
    <m/>
    <m/>
    <m/>
    <m/>
    <m/>
    <m/>
    <s v=""/>
    <m/>
    <n v="19075.63025210084"/>
    <n v="3624.3697478991598"/>
    <s v="Pirque"/>
    <s v="Revista"/>
    <s v="SI"/>
    <m/>
    <m/>
    <x v="0"/>
    <m/>
  </r>
  <r>
    <s v="C079"/>
    <s v="Kim Cornely"/>
    <n v="0"/>
    <n v="2881"/>
    <m/>
    <m/>
    <n v="6442"/>
    <n v="27300"/>
    <m/>
    <n v="27300"/>
    <x v="92"/>
    <n v="0"/>
    <d v="2020-01-23T00:00:00"/>
    <s v="Pagado"/>
    <d v="2020-01-23T00:00:00"/>
    <n v="27300"/>
    <s v="Efectivo"/>
    <m/>
    <m/>
    <m/>
    <m/>
    <n v="7675290"/>
    <n v="27300"/>
    <m/>
    <m/>
    <m/>
    <s v=""/>
    <m/>
    <n v="22941.176470588238"/>
    <n v="4358.8235294117621"/>
    <s v="Pirque"/>
    <s v="Conocido"/>
    <s v="SI"/>
    <m/>
    <m/>
    <x v="0"/>
    <m/>
  </r>
  <r>
    <s v="C634"/>
    <s v="Isabel Luco"/>
    <n v="0"/>
    <n v="2878"/>
    <m/>
    <m/>
    <n v="6436"/>
    <n v="84800"/>
    <m/>
    <n v="84800"/>
    <x v="92"/>
    <n v="0"/>
    <d v="2020-01-23T00:00:00"/>
    <s v="Pagado"/>
    <d v="2020-01-24T00:00:00"/>
    <n v="84800"/>
    <s v="Transferencia"/>
    <m/>
    <m/>
    <s v="BCI"/>
    <m/>
    <m/>
    <m/>
    <m/>
    <m/>
    <m/>
    <s v=""/>
    <m/>
    <n v="71260.504201680669"/>
    <n v="13539.495798319331"/>
    <s v="Pirque"/>
    <s v="Conocido"/>
    <s v="SI"/>
    <m/>
    <m/>
    <x v="0"/>
    <m/>
  </r>
  <r>
    <s v="C364"/>
    <s v="Herminda Arriagada"/>
    <n v="0"/>
    <n v="2776"/>
    <m/>
    <m/>
    <n v="6439"/>
    <n v="21300"/>
    <m/>
    <n v="21300"/>
    <x v="92"/>
    <n v="0"/>
    <d v="2020-01-23T00:00:00"/>
    <s v="Pagado"/>
    <d v="2020-01-23T00:00:00"/>
    <n v="21300"/>
    <s v="Transferencia"/>
    <m/>
    <m/>
    <s v="Estado"/>
    <m/>
    <m/>
    <m/>
    <m/>
    <m/>
    <m/>
    <s v=""/>
    <m/>
    <n v="17899.159663865546"/>
    <n v="3400.8403361344535"/>
    <s v="Pirque"/>
    <s v="Conocido"/>
    <s v="SI"/>
    <m/>
    <m/>
    <x v="0"/>
    <m/>
  </r>
  <r>
    <s v="C307"/>
    <s v="Franklin Winston Smart Guevara"/>
    <n v="0"/>
    <n v="2882"/>
    <m/>
    <m/>
    <n v="6443"/>
    <n v="28800"/>
    <m/>
    <n v="28800"/>
    <x v="92"/>
    <n v="0"/>
    <d v="2020-01-23T00:00:00"/>
    <s v="Pagado"/>
    <d v="2020-01-23T00:00:00"/>
    <n v="28800"/>
    <s v="Transferencia"/>
    <m/>
    <m/>
    <s v="Santander"/>
    <m/>
    <m/>
    <m/>
    <m/>
    <m/>
    <m/>
    <s v=""/>
    <m/>
    <n v="24201.680672268907"/>
    <n v="4598.3193277310929"/>
    <s v="Pirque"/>
    <s v="Revista"/>
    <s v="SI"/>
    <m/>
    <m/>
    <x v="0"/>
    <m/>
  </r>
  <r>
    <s v="C577"/>
    <s v="Comercializadora de productos Agropecuarios Futrono SPA"/>
    <n v="3083"/>
    <n v="0"/>
    <m/>
    <m/>
    <s v="sn"/>
    <n v="59185"/>
    <m/>
    <n v="59185"/>
    <x v="92"/>
    <n v="30"/>
    <d v="2020-02-22T00:00:00"/>
    <s v="Pagado"/>
    <d v="2020-03-10T00:00:00"/>
    <n v="59185"/>
    <s v="Transferencia"/>
    <m/>
    <m/>
    <s v="Itaú"/>
    <m/>
    <m/>
    <m/>
    <m/>
    <m/>
    <m/>
    <s v=""/>
    <m/>
    <n v="49735.294117647063"/>
    <n v="9449.7058823529369"/>
    <s v="Pirque"/>
    <s v="Visita"/>
    <s v="SI"/>
    <m/>
    <m/>
    <x v="1"/>
    <m/>
  </r>
  <r>
    <s v="C073"/>
    <s v="Celinda Varela"/>
    <n v="0"/>
    <n v="2875"/>
    <m/>
    <m/>
    <n v="6440"/>
    <n v="19200"/>
    <m/>
    <n v="19200"/>
    <x v="92"/>
    <n v="0"/>
    <d v="2020-01-23T00:00:00"/>
    <s v="Pagado"/>
    <d v="2020-01-23T00:00:00"/>
    <n v="19200"/>
    <s v="Efectivo"/>
    <m/>
    <m/>
    <m/>
    <m/>
    <n v="7675290"/>
    <n v="19200"/>
    <d v="2020-01-29T00:00:00"/>
    <s v="Chile"/>
    <m/>
    <s v=""/>
    <m/>
    <n v="16134.453781512606"/>
    <n v="3065.5462184873941"/>
    <s v="Pirque"/>
    <s v="Conocido"/>
    <s v="SI"/>
    <m/>
    <m/>
    <x v="0"/>
    <m/>
  </r>
  <r>
    <s v="C063"/>
    <s v="Andrea Ramirez"/>
    <n v="0"/>
    <n v="2880"/>
    <m/>
    <m/>
    <n v="6441"/>
    <n v="10200"/>
    <m/>
    <n v="10200"/>
    <x v="92"/>
    <n v="0"/>
    <d v="2020-01-23T00:00:00"/>
    <s v="Pagado"/>
    <d v="2020-01-23T00:00:00"/>
    <n v="10200"/>
    <s v="Transferencia"/>
    <m/>
    <m/>
    <s v="Estado"/>
    <m/>
    <m/>
    <m/>
    <d v="2020-01-29T00:00:00"/>
    <s v="Chile"/>
    <m/>
    <s v=""/>
    <m/>
    <n v="8571.4285714285725"/>
    <n v="1628.5714285714275"/>
    <s v="Pirque"/>
    <s v="Conocido"/>
    <s v="SI"/>
    <m/>
    <m/>
    <x v="0"/>
    <m/>
  </r>
  <r>
    <s v="C105"/>
    <s v="Paulina Andrea Araneda Cancino"/>
    <n v="3085"/>
    <n v="0"/>
    <m/>
    <m/>
    <s v="sn"/>
    <n v="14500"/>
    <m/>
    <n v="14500"/>
    <x v="93"/>
    <n v="0"/>
    <d v="2020-01-24T00:00:00"/>
    <s v="Pagado"/>
    <d v="2020-01-24T00:00:00"/>
    <n v="14500"/>
    <s v="Efectivo"/>
    <m/>
    <m/>
    <m/>
    <m/>
    <n v="7675288"/>
    <n v="14500"/>
    <d v="2020-01-27T00:00:00"/>
    <s v="Chile"/>
    <m/>
    <s v=""/>
    <m/>
    <n v="12184.873949579833"/>
    <n v="2315.1260504201673"/>
    <s v="Chada"/>
    <s v="Visita"/>
    <s v="SI"/>
    <m/>
    <m/>
    <x v="1"/>
    <m/>
  </r>
  <r>
    <s v="C016"/>
    <s v="Maria Magaly Diaz Espinoza"/>
    <n v="3084"/>
    <n v="0"/>
    <m/>
    <m/>
    <s v="sn"/>
    <n v="71326"/>
    <m/>
    <n v="71326"/>
    <x v="93"/>
    <n v="0"/>
    <d v="2020-01-24T00:00:00"/>
    <s v="Pagado"/>
    <d v="2020-01-24T00:00:00"/>
    <n v="71326"/>
    <s v="Efectivo"/>
    <m/>
    <m/>
    <m/>
    <m/>
    <n v="7675288"/>
    <n v="71326"/>
    <d v="2020-01-27T00:00:00"/>
    <s v="Chile"/>
    <m/>
    <s v=""/>
    <m/>
    <n v="59937.815126050424"/>
    <n v="11388.184873949576"/>
    <s v="Chada"/>
    <s v="Visita"/>
    <s v="SI"/>
    <m/>
    <m/>
    <x v="1"/>
    <m/>
  </r>
  <r>
    <s v="C016"/>
    <s v="Maria Magaly Diaz Espinoza"/>
    <n v="3086"/>
    <n v="0"/>
    <m/>
    <m/>
    <s v="sn"/>
    <n v="16269"/>
    <m/>
    <n v="16269"/>
    <x v="93"/>
    <n v="0"/>
    <d v="2020-01-24T00:00:00"/>
    <s v="Pagado"/>
    <d v="2020-01-24T00:00:00"/>
    <n v="16269"/>
    <s v="Efectivo"/>
    <m/>
    <m/>
    <m/>
    <m/>
    <n v="7675288"/>
    <n v="16269"/>
    <d v="2020-01-27T00:00:00"/>
    <s v="Chile"/>
    <m/>
    <s v=""/>
    <m/>
    <n v="13671.428571428572"/>
    <n v="2597.5714285714275"/>
    <s v="Chada"/>
    <s v="Visita"/>
    <s v="SI"/>
    <m/>
    <m/>
    <x v="1"/>
    <m/>
  </r>
  <r>
    <s v="C106"/>
    <s v="Pilar Luan"/>
    <n v="0"/>
    <n v="2884"/>
    <m/>
    <m/>
    <n v="6449"/>
    <n v="19700"/>
    <m/>
    <n v="19700"/>
    <x v="94"/>
    <n v="0"/>
    <d v="2020-01-25T00:00:00"/>
    <s v="Pagado"/>
    <d v="2020-01-25T00:00:00"/>
    <n v="19700"/>
    <s v="Efectivo"/>
    <m/>
    <m/>
    <m/>
    <m/>
    <m/>
    <m/>
    <m/>
    <m/>
    <m/>
    <s v=""/>
    <m/>
    <n v="16554.621848739498"/>
    <n v="3145.3781512605019"/>
    <s v="Pirque"/>
    <s v="Conocido"/>
    <s v="SI"/>
    <m/>
    <m/>
    <x v="0"/>
    <m/>
  </r>
  <r>
    <s v="C644"/>
    <s v="Marta Bravo"/>
    <n v="0"/>
    <n v="2885"/>
    <m/>
    <m/>
    <n v="6446"/>
    <n v="23000"/>
    <m/>
    <n v="23000"/>
    <x v="94"/>
    <n v="0"/>
    <d v="2020-01-25T00:00:00"/>
    <s v="Pagado"/>
    <d v="2020-01-25T00:00:00"/>
    <n v="23000"/>
    <s v="Efectivo"/>
    <m/>
    <m/>
    <m/>
    <m/>
    <n v="7675289"/>
    <n v="23000"/>
    <d v="2020-01-29T00:00:00"/>
    <s v="Chile"/>
    <m/>
    <s v=""/>
    <m/>
    <n v="19327.731092436974"/>
    <n v="3672.268907563026"/>
    <s v="Pirque"/>
    <s v="Revista"/>
    <s v="SI"/>
    <m/>
    <m/>
    <x v="0"/>
    <m/>
  </r>
  <r>
    <s v="C342"/>
    <s v="Julio Cesar Contreras"/>
    <n v="0"/>
    <n v="2883"/>
    <m/>
    <m/>
    <n v="6445"/>
    <n v="26700"/>
    <m/>
    <n v="26700"/>
    <x v="94"/>
    <n v="0"/>
    <d v="2020-01-25T00:00:00"/>
    <s v="Pagado"/>
    <d v="2020-01-25T00:00:00"/>
    <n v="26700"/>
    <s v="Transferencia"/>
    <m/>
    <m/>
    <s v="Santander"/>
    <m/>
    <m/>
    <m/>
    <m/>
    <m/>
    <m/>
    <s v=""/>
    <m/>
    <n v="22436.974789915967"/>
    <n v="4263.0252100840335"/>
    <s v="Pirque"/>
    <s v="Revista"/>
    <s v="SI"/>
    <m/>
    <m/>
    <x v="0"/>
    <m/>
  </r>
  <r>
    <s v="C455"/>
    <s v="Grace Moore"/>
    <n v="0"/>
    <n v="201"/>
    <m/>
    <m/>
    <n v="6444"/>
    <n v="22800"/>
    <m/>
    <n v="22800"/>
    <x v="94"/>
    <n v="0"/>
    <d v="2020-01-25T00:00:00"/>
    <s v="Pagado"/>
    <d v="2020-01-25T00:00:00"/>
    <n v="22800"/>
    <s v="Transbank"/>
    <s v="Credito"/>
    <n v="201"/>
    <m/>
    <m/>
    <m/>
    <m/>
    <m/>
    <m/>
    <m/>
    <s v=""/>
    <m/>
    <n v="19159.663865546219"/>
    <n v="3640.3361344537807"/>
    <s v="Pirque"/>
    <s v="Conocido"/>
    <s v="SI"/>
    <m/>
    <m/>
    <x v="0"/>
    <m/>
  </r>
  <r>
    <s v="C032"/>
    <s v="Carlos Jobbe-Duval"/>
    <n v="0"/>
    <n v="0"/>
    <m/>
    <m/>
    <n v="6452"/>
    <n v="49000"/>
    <m/>
    <n v="49000"/>
    <x v="94"/>
    <n v="0"/>
    <d v="2020-01-25T00:00:00"/>
    <s v="Pagado"/>
    <d v="2020-01-29T00:00:00"/>
    <n v="49000"/>
    <s v="Transferencia"/>
    <m/>
    <m/>
    <s v="BCI"/>
    <m/>
    <m/>
    <m/>
    <m/>
    <m/>
    <m/>
    <s v=""/>
    <m/>
    <n v="41176.470588235294"/>
    <n v="7823.5294117647063"/>
    <s v="Pirque"/>
    <s v="Conocido"/>
    <s v="SI"/>
    <m/>
    <m/>
    <x v="0"/>
    <m/>
  </r>
  <r>
    <s v="C390"/>
    <s v="Auria Villanueva"/>
    <n v="0"/>
    <n v="202"/>
    <m/>
    <m/>
    <n v="6447"/>
    <n v="19700"/>
    <m/>
    <n v="19700"/>
    <x v="94"/>
    <n v="0"/>
    <d v="2020-01-25T00:00:00"/>
    <s v="Pagado"/>
    <d v="2020-01-25T00:00:00"/>
    <n v="19700"/>
    <s v="Transbank"/>
    <s v="Debito"/>
    <n v="202"/>
    <m/>
    <m/>
    <n v="7675289"/>
    <n v="19700"/>
    <d v="2020-01-29T00:00:00"/>
    <s v="Chile"/>
    <m/>
    <s v=""/>
    <m/>
    <n v="16554.621848739498"/>
    <n v="3145.3781512605019"/>
    <s v="Pirque"/>
    <s v="Revista"/>
    <s v="SI"/>
    <m/>
    <m/>
    <x v="0"/>
    <m/>
  </r>
  <r>
    <s v="C503"/>
    <s v="Alvaro Belmar"/>
    <n v="0"/>
    <n v="2886"/>
    <m/>
    <m/>
    <n v="6448"/>
    <n v="57500"/>
    <m/>
    <n v="57500"/>
    <x v="94"/>
    <n v="0"/>
    <d v="2020-01-25T00:00:00"/>
    <s v="Vencido"/>
    <m/>
    <m/>
    <m/>
    <m/>
    <m/>
    <m/>
    <m/>
    <m/>
    <m/>
    <m/>
    <m/>
    <m/>
    <s v=""/>
    <m/>
    <n v="48319.327731092439"/>
    <n v="9180.6722689075614"/>
    <s v="Pirque"/>
    <s v="Revista"/>
    <s v="NO"/>
    <m/>
    <m/>
    <x v="0"/>
    <m/>
  </r>
  <r>
    <s v="C503"/>
    <s v="Alvaro Belmar"/>
    <n v="0"/>
    <n v="2886"/>
    <m/>
    <m/>
    <n v="6448"/>
    <n v="8660"/>
    <m/>
    <n v="8660"/>
    <x v="94"/>
    <n v="0"/>
    <d v="2020-01-25T00:00:00"/>
    <s v="Vencido"/>
    <m/>
    <m/>
    <m/>
    <m/>
    <m/>
    <m/>
    <m/>
    <m/>
    <m/>
    <m/>
    <m/>
    <m/>
    <s v=""/>
    <m/>
    <n v="7277.3109243697481"/>
    <n v="1382.6890756302519"/>
    <s v="Pirque"/>
    <s v="Revista"/>
    <s v="NO"/>
    <m/>
    <m/>
    <x v="0"/>
    <m/>
  </r>
  <r>
    <s v="C065"/>
    <s v="Peter De Lamare"/>
    <n v="0"/>
    <n v="2887"/>
    <m/>
    <m/>
    <n v="6453"/>
    <n v="36000"/>
    <m/>
    <n v="36000"/>
    <x v="95"/>
    <n v="0"/>
    <d v="2020-01-27T00:00:00"/>
    <s v="Pagado"/>
    <d v="2020-01-27T00:00:00"/>
    <n v="36000"/>
    <s v="Cheque a Fecha"/>
    <m/>
    <n v="2874817"/>
    <s v="Bice"/>
    <d v="2020-02-05T00:00:00"/>
    <n v="7675297"/>
    <n v="36000"/>
    <d v="2020-02-06T00:00:00"/>
    <s v="Chile"/>
    <m/>
    <s v="Otros"/>
    <m/>
    <n v="30252.100840336137"/>
    <n v="5747.8991596638625"/>
    <s v="Pirque"/>
    <s v="Conocido"/>
    <s v="SI"/>
    <m/>
    <m/>
    <x v="0"/>
    <m/>
  </r>
  <r>
    <s v="C344"/>
    <s v="Monica Aedo"/>
    <n v="0"/>
    <n v="2888"/>
    <m/>
    <m/>
    <n v="6454"/>
    <n v="31500"/>
    <m/>
    <n v="31500"/>
    <x v="95"/>
    <n v="0"/>
    <d v="2020-01-27T00:00:00"/>
    <s v="Pagado"/>
    <d v="2020-01-27T00:00:00"/>
    <n v="31500"/>
    <s v="Transferencia"/>
    <m/>
    <m/>
    <s v="Itaú"/>
    <m/>
    <m/>
    <m/>
    <m/>
    <m/>
    <m/>
    <s v=""/>
    <m/>
    <n v="26470.588235294119"/>
    <n v="5029.4117647058811"/>
    <s v="Pirque"/>
    <s v="Revista"/>
    <s v="SI"/>
    <m/>
    <m/>
    <x v="0"/>
    <m/>
  </r>
  <r>
    <s v="C518"/>
    <s v="Fernando Reyes"/>
    <n v="0"/>
    <n v="2889"/>
    <m/>
    <m/>
    <n v="6451"/>
    <n v="96500"/>
    <m/>
    <n v="96500"/>
    <x v="95"/>
    <n v="0"/>
    <d v="2020-01-27T00:00:00"/>
    <s v="Pagado"/>
    <d v="2020-01-27T00:00:00"/>
    <n v="96500"/>
    <s v="Transferencia"/>
    <m/>
    <m/>
    <s v="Estado"/>
    <m/>
    <m/>
    <m/>
    <m/>
    <m/>
    <m/>
    <s v=""/>
    <m/>
    <n v="81092.436974789918"/>
    <n v="15407.563025210082"/>
    <s v="Pirque"/>
    <s v="Revista"/>
    <s v="SI"/>
    <m/>
    <m/>
    <x v="0"/>
    <m/>
  </r>
  <r>
    <s v="C434"/>
    <s v="Betty Ravillot"/>
    <n v="0"/>
    <n v="203"/>
    <m/>
    <m/>
    <n v="6455"/>
    <n v="33500"/>
    <m/>
    <n v="33500"/>
    <x v="95"/>
    <n v="0"/>
    <d v="2020-01-27T00:00:00"/>
    <s v="Pagado"/>
    <d v="2020-01-27T00:00:00"/>
    <n v="33500"/>
    <s v="Transbank"/>
    <s v="Debito"/>
    <n v="203"/>
    <m/>
    <m/>
    <m/>
    <m/>
    <m/>
    <m/>
    <m/>
    <s v=""/>
    <m/>
    <n v="28151.26050420168"/>
    <n v="5348.7394957983197"/>
    <s v="Pirque"/>
    <s v="Revista"/>
    <s v="SI"/>
    <m/>
    <m/>
    <x v="0"/>
    <m/>
  </r>
  <r>
    <s v="C612"/>
    <s v="Manuel Ponce"/>
    <n v="0"/>
    <n v="204"/>
    <m/>
    <m/>
    <n v="6460"/>
    <n v="53100"/>
    <m/>
    <n v="53100"/>
    <x v="96"/>
    <n v="0"/>
    <d v="2020-01-28T00:00:00"/>
    <s v="Pagado"/>
    <d v="2020-01-28T00:00:00"/>
    <n v="53100"/>
    <s v="Transbank"/>
    <s v="Debito"/>
    <n v="204"/>
    <m/>
    <m/>
    <m/>
    <m/>
    <m/>
    <m/>
    <m/>
    <s v=""/>
    <m/>
    <n v="44621.848739495799"/>
    <n v="8478.1512605042008"/>
    <s v="Pirque"/>
    <s v="Revista"/>
    <s v="SI"/>
    <m/>
    <m/>
    <x v="0"/>
    <m/>
  </r>
  <r>
    <s v="C496"/>
    <s v="Juan Jose Torres"/>
    <n v="0"/>
    <n v="0"/>
    <m/>
    <m/>
    <n v="6456"/>
    <n v="7600"/>
    <m/>
    <n v="7600"/>
    <x v="96"/>
    <n v="0"/>
    <d v="2020-01-28T00:00:00"/>
    <s v="Pagado"/>
    <d v="2020-01-28T00:00:00"/>
    <n v="7600"/>
    <s v="Transferencia"/>
    <m/>
    <m/>
    <s v="Scotiabank"/>
    <m/>
    <m/>
    <m/>
    <m/>
    <m/>
    <m/>
    <s v=""/>
    <m/>
    <n v="6386.5546218487398"/>
    <n v="1213.4453781512602"/>
    <s v="Pirque"/>
    <s v="Revista"/>
    <s v="SI"/>
    <m/>
    <m/>
    <x v="0"/>
    <m/>
  </r>
  <r>
    <s v="C045"/>
    <s v="Jeanny Andrea Arranz Cordero"/>
    <n v="0"/>
    <n v="2891"/>
    <m/>
    <m/>
    <n v="6459"/>
    <n v="47800"/>
    <m/>
    <n v="47800"/>
    <x v="96"/>
    <n v="0"/>
    <d v="2020-01-28T00:00:00"/>
    <s v="Pagado"/>
    <d v="2020-01-28T00:00:00"/>
    <n v="47800"/>
    <s v="Transferencia"/>
    <m/>
    <m/>
    <s v="Chile"/>
    <m/>
    <m/>
    <m/>
    <m/>
    <m/>
    <m/>
    <s v=""/>
    <m/>
    <n v="40168.067226890758"/>
    <n v="7631.9327731092417"/>
    <s v="Pirque"/>
    <s v="Conocido"/>
    <s v="SI"/>
    <m/>
    <m/>
    <x v="0"/>
    <m/>
  </r>
  <r>
    <s v="C086"/>
    <s v="Cristian Guillermo Ortiz Gonzalez"/>
    <n v="0"/>
    <n v="2892"/>
    <m/>
    <m/>
    <n v="6458"/>
    <n v="11400"/>
    <m/>
    <n v="11400"/>
    <x v="96"/>
    <n v="0"/>
    <d v="2020-01-28T00:00:00"/>
    <s v="Pagado"/>
    <d v="2020-01-29T00:00:00"/>
    <n v="11400"/>
    <s v="Transferencia"/>
    <m/>
    <m/>
    <s v="Chile"/>
    <m/>
    <m/>
    <m/>
    <m/>
    <m/>
    <m/>
    <s v=""/>
    <m/>
    <n v="9579.8319327731097"/>
    <n v="1820.1680672268903"/>
    <s v="Pirque"/>
    <s v="Conocido"/>
    <s v="SI"/>
    <m/>
    <m/>
    <x v="0"/>
    <m/>
  </r>
  <r>
    <s v="C558"/>
    <s v="Carola Pardo"/>
    <n v="0"/>
    <n v="2890"/>
    <m/>
    <m/>
    <n v="6461"/>
    <n v="19700"/>
    <m/>
    <n v="19700"/>
    <x v="96"/>
    <n v="0"/>
    <d v="2020-01-28T00:00:00"/>
    <s v="Pagado"/>
    <d v="2020-01-28T00:00:00"/>
    <n v="19700"/>
    <s v="Efectivo"/>
    <m/>
    <m/>
    <m/>
    <m/>
    <m/>
    <m/>
    <m/>
    <m/>
    <m/>
    <s v=""/>
    <m/>
    <n v="16554.621848739498"/>
    <n v="3145.3781512605019"/>
    <s v="Pirque"/>
    <s v="Revista"/>
    <s v="SI"/>
    <m/>
    <m/>
    <x v="0"/>
    <m/>
  </r>
  <r>
    <s v="C572"/>
    <s v="Aldo Tapia"/>
    <n v="0"/>
    <n v="2893"/>
    <m/>
    <m/>
    <n v="6457"/>
    <n v="16500"/>
    <m/>
    <n v="16500"/>
    <x v="96"/>
    <n v="0"/>
    <d v="2020-01-28T00:00:00"/>
    <s v="Pagado"/>
    <d v="2020-01-28T00:00:00"/>
    <n v="16500"/>
    <s v="Efectivo"/>
    <m/>
    <m/>
    <m/>
    <m/>
    <m/>
    <m/>
    <m/>
    <m/>
    <m/>
    <s v=""/>
    <m/>
    <n v="13865.546218487396"/>
    <n v="2634.4537815126041"/>
    <s v="Pirque"/>
    <s v="Revista"/>
    <s v="SI"/>
    <m/>
    <m/>
    <x v="0"/>
    <m/>
  </r>
  <r>
    <s v="C652"/>
    <s v="Verito Don Rafa"/>
    <n v="0"/>
    <n v="0"/>
    <m/>
    <m/>
    <s v="sn"/>
    <n v="9881"/>
    <m/>
    <n v="9881"/>
    <x v="97"/>
    <n v="0"/>
    <d v="2020-01-29T00:00:00"/>
    <s v="Pagado"/>
    <d v="2020-01-29T00:00:00"/>
    <n v="9881"/>
    <s v="Efectivo"/>
    <m/>
    <m/>
    <m/>
    <m/>
    <n v="7675294"/>
    <n v="9881"/>
    <d v="2020-02-03T00:00:00"/>
    <s v="Chile"/>
    <m/>
    <s v=""/>
    <m/>
    <n v="8303.361344537816"/>
    <n v="1577.638655462184"/>
    <s v="Cajon"/>
    <s v="Conocido"/>
    <s v="SI"/>
    <m/>
    <m/>
    <x v="0"/>
    <m/>
  </r>
  <r>
    <s v="C619"/>
    <s v="Luz Maria Streeter"/>
    <n v="0"/>
    <n v="2894"/>
    <m/>
    <m/>
    <n v="6463"/>
    <n v="33000"/>
    <m/>
    <n v="33000"/>
    <x v="97"/>
    <n v="0"/>
    <d v="2020-01-29T00:00:00"/>
    <s v="Pagado"/>
    <d v="2020-01-29T00:00:00"/>
    <n v="33000"/>
    <s v="Transferencia"/>
    <m/>
    <m/>
    <s v="Chile"/>
    <m/>
    <m/>
    <m/>
    <m/>
    <m/>
    <m/>
    <s v=""/>
    <m/>
    <n v="27731.092436974792"/>
    <n v="5268.9075630252082"/>
    <s v="Pirque"/>
    <s v="Revista"/>
    <s v="SI"/>
    <m/>
    <m/>
    <x v="0"/>
    <m/>
  </r>
  <r>
    <s v="C536"/>
    <s v="Katherine Gonzalez"/>
    <n v="0"/>
    <n v="0"/>
    <m/>
    <m/>
    <n v="6466"/>
    <n v="119600"/>
    <m/>
    <n v="119600"/>
    <x v="97"/>
    <n v="0"/>
    <d v="2020-01-29T00:00:00"/>
    <s v="Pagado"/>
    <d v="2020-01-31T00:00:00"/>
    <n v="119600"/>
    <s v="Transferencia"/>
    <m/>
    <m/>
    <s v="Santander"/>
    <m/>
    <m/>
    <m/>
    <m/>
    <m/>
    <m/>
    <s v=""/>
    <m/>
    <n v="100504.20168067227"/>
    <n v="19095.798319327732"/>
    <s v="Pirque"/>
    <s v="Matute Pirque"/>
    <s v="SI"/>
    <m/>
    <m/>
    <x v="0"/>
    <m/>
  </r>
  <r>
    <s v="C651"/>
    <s v="Javier Santander"/>
    <n v="0"/>
    <n v="2896"/>
    <m/>
    <m/>
    <n v="6464"/>
    <n v="23900"/>
    <m/>
    <n v="23900"/>
    <x v="97"/>
    <n v="0"/>
    <d v="2020-01-29T00:00:00"/>
    <s v="Pagado"/>
    <d v="2020-01-29T00:00:00"/>
    <n v="23900"/>
    <s v="Transferencia"/>
    <m/>
    <m/>
    <s v="Falabella"/>
    <m/>
    <m/>
    <m/>
    <m/>
    <m/>
    <m/>
    <s v=""/>
    <m/>
    <n v="20084.033613445379"/>
    <n v="3815.9663865546208"/>
    <s v="Pirque"/>
    <s v="Revista"/>
    <s v="SI"/>
    <m/>
    <m/>
    <x v="0"/>
    <m/>
  </r>
  <r>
    <s v="C534"/>
    <s v="Helga Nagilschmitz"/>
    <n v="0"/>
    <n v="202"/>
    <m/>
    <m/>
    <n v="6450"/>
    <n v="71000"/>
    <m/>
    <n v="71000"/>
    <x v="97"/>
    <n v="0"/>
    <d v="2020-01-29T00:00:00"/>
    <s v="Pagado"/>
    <d v="2020-01-29T00:00:00"/>
    <n v="71000"/>
    <s v="Transbank"/>
    <s v="Debito"/>
    <n v="202"/>
    <m/>
    <m/>
    <m/>
    <m/>
    <m/>
    <m/>
    <m/>
    <s v=""/>
    <m/>
    <n v="59663.865546218491"/>
    <n v="11336.134453781509"/>
    <s v="Pirque"/>
    <s v="Revista"/>
    <s v="SI"/>
    <m/>
    <m/>
    <x v="0"/>
    <m/>
  </r>
  <r>
    <s v="C641"/>
    <s v="Cristian Alvarez"/>
    <n v="0"/>
    <n v="0"/>
    <m/>
    <m/>
    <n v="6462"/>
    <n v="16500"/>
    <m/>
    <n v="16500"/>
    <x v="97"/>
    <n v="0"/>
    <d v="2020-01-29T00:00:00"/>
    <s v="Pagado"/>
    <d v="2020-01-29T00:00:00"/>
    <n v="16500"/>
    <s v="Efectivo"/>
    <m/>
    <m/>
    <m/>
    <m/>
    <n v="7675294"/>
    <n v="16500"/>
    <d v="2020-02-03T00:00:00"/>
    <s v="Chile"/>
    <m/>
    <s v=""/>
    <m/>
    <n v="13865.546218487396"/>
    <n v="2634.4537815126041"/>
    <s v="Cajon"/>
    <s v="Revista"/>
    <s v="SI"/>
    <m/>
    <m/>
    <x v="0"/>
    <m/>
  </r>
  <r>
    <s v="C445"/>
    <s v="Carmen Nuñez"/>
    <n v="0"/>
    <n v="2895"/>
    <m/>
    <m/>
    <n v="6465"/>
    <n v="15800"/>
    <m/>
    <n v="15800"/>
    <x v="97"/>
    <n v="0"/>
    <d v="2020-01-29T00:00:00"/>
    <s v="Pagado"/>
    <d v="2020-01-29T00:00:00"/>
    <n v="15800"/>
    <s v="Efectivo"/>
    <m/>
    <m/>
    <m/>
    <m/>
    <m/>
    <m/>
    <m/>
    <m/>
    <m/>
    <s v=""/>
    <m/>
    <n v="13277.310924369749"/>
    <n v="2522.689075630251"/>
    <s v="Pirque"/>
    <s v="Revista"/>
    <s v="SI"/>
    <m/>
    <m/>
    <x v="0"/>
    <m/>
  </r>
  <r>
    <s v="C068"/>
    <s v="Riddellco"/>
    <n v="3091"/>
    <n v="0"/>
    <m/>
    <m/>
    <s v="sn"/>
    <n v="19461"/>
    <m/>
    <n v="19461"/>
    <x v="98"/>
    <n v="30"/>
    <d v="2020-02-29T00:00:00"/>
    <s v="Pagado"/>
    <d v="2020-03-11T00:00:00"/>
    <n v="19500"/>
    <s v="Transferencia"/>
    <m/>
    <m/>
    <s v="Estado"/>
    <m/>
    <m/>
    <m/>
    <m/>
    <m/>
    <m/>
    <s v=""/>
    <m/>
    <n v="16353.781512605043"/>
    <n v="3107.2184873949573"/>
    <s v="Santiago"/>
    <s v="Conocido"/>
    <s v="SI"/>
    <m/>
    <m/>
    <x v="1"/>
    <m/>
  </r>
  <r>
    <s v="C620"/>
    <s v="Luz Maria Ossandon"/>
    <n v="0"/>
    <n v="2900"/>
    <m/>
    <m/>
    <n v="6471"/>
    <n v="19900"/>
    <m/>
    <n v="19900"/>
    <x v="98"/>
    <n v="0"/>
    <d v="2020-01-30T00:00:00"/>
    <s v="Pagado"/>
    <d v="2020-01-30T00:00:00"/>
    <n v="19900"/>
    <s v="Transferencia"/>
    <m/>
    <m/>
    <s v="Estado"/>
    <m/>
    <m/>
    <m/>
    <m/>
    <m/>
    <m/>
    <s v=""/>
    <m/>
    <n v="16722.689075630253"/>
    <n v="3177.3109243697472"/>
    <s v="Pirque"/>
    <s v="Conocido"/>
    <s v="SI"/>
    <m/>
    <m/>
    <x v="0"/>
    <m/>
  </r>
  <r>
    <s v="C243"/>
    <s v="Loreto Rojas"/>
    <n v="0"/>
    <n v="0"/>
    <m/>
    <m/>
    <n v="6472"/>
    <n v="10200"/>
    <m/>
    <n v="10200"/>
    <x v="98"/>
    <n v="0"/>
    <d v="2020-01-30T00:00:00"/>
    <s v="Pagado"/>
    <d v="2020-01-30T00:00:00"/>
    <n v="10200"/>
    <s v="Efectivo"/>
    <m/>
    <m/>
    <m/>
    <m/>
    <m/>
    <m/>
    <m/>
    <m/>
    <m/>
    <s v=""/>
    <m/>
    <n v="8571.4285714285725"/>
    <n v="1628.5714285714275"/>
    <s v="Pirque"/>
    <s v="Revista"/>
    <s v="SI"/>
    <m/>
    <m/>
    <x v="0"/>
    <m/>
  </r>
  <r>
    <s v="C136"/>
    <s v="Lily Caballero"/>
    <n v="0"/>
    <n v="2897"/>
    <m/>
    <m/>
    <n v="6469"/>
    <n v="31600"/>
    <m/>
    <n v="31600"/>
    <x v="98"/>
    <n v="0"/>
    <d v="2020-01-30T00:00:00"/>
    <s v="Pagado"/>
    <d v="2020-01-31T00:00:00"/>
    <n v="31600"/>
    <s v="Transferencia"/>
    <m/>
    <m/>
    <s v="Santander"/>
    <m/>
    <m/>
    <m/>
    <m/>
    <m/>
    <m/>
    <s v=""/>
    <m/>
    <n v="26554.621848739498"/>
    <n v="5045.3781512605019"/>
    <s v="Pirque"/>
    <s v="Conocido"/>
    <s v="SI"/>
    <m/>
    <m/>
    <x v="0"/>
    <m/>
  </r>
  <r>
    <s v="C158"/>
    <s v="Jose Miguel Osorio"/>
    <n v="0"/>
    <n v="206"/>
    <m/>
    <m/>
    <n v="6473"/>
    <n v="35500"/>
    <m/>
    <n v="35500"/>
    <x v="98"/>
    <n v="0"/>
    <d v="2020-01-30T00:00:00"/>
    <s v="Pagado"/>
    <d v="2020-01-30T00:00:00"/>
    <n v="35500"/>
    <s v="Transbank"/>
    <s v="Debito"/>
    <n v="206"/>
    <m/>
    <m/>
    <m/>
    <m/>
    <m/>
    <m/>
    <m/>
    <s v=""/>
    <m/>
    <n v="29831.932773109245"/>
    <n v="5668.0672268907547"/>
    <s v="Pirque"/>
    <s v="Conocido"/>
    <s v="SI"/>
    <m/>
    <m/>
    <x v="0"/>
    <m/>
  </r>
  <r>
    <s v="C509"/>
    <s v="Herman Mayenberger"/>
    <n v="0"/>
    <n v="2899"/>
    <m/>
    <m/>
    <n v="6467"/>
    <n v="49500"/>
    <m/>
    <n v="49500"/>
    <x v="98"/>
    <n v="0"/>
    <d v="2020-01-30T00:00:00"/>
    <s v="Pagado"/>
    <d v="2020-01-30T00:00:00"/>
    <n v="49500"/>
    <s v="Transferencia"/>
    <m/>
    <m/>
    <s v="Itaú"/>
    <m/>
    <m/>
    <m/>
    <m/>
    <m/>
    <m/>
    <s v=""/>
    <m/>
    <n v="41596.638655462186"/>
    <n v="7903.3613445378141"/>
    <s v="Pirque"/>
    <s v="Conocido"/>
    <s v="SI"/>
    <m/>
    <m/>
    <x v="0"/>
    <m/>
  </r>
  <r>
    <s v="C116"/>
    <s v="Angelica Bravo"/>
    <n v="0"/>
    <n v="205"/>
    <m/>
    <m/>
    <n v="6468"/>
    <n v="15800"/>
    <m/>
    <n v="15800"/>
    <x v="98"/>
    <n v="0"/>
    <d v="2020-01-30T00:00:00"/>
    <s v="Pagado"/>
    <d v="2020-01-30T00:00:00"/>
    <n v="15800"/>
    <s v="Transbank"/>
    <s v="Debito"/>
    <n v="205"/>
    <m/>
    <m/>
    <m/>
    <m/>
    <m/>
    <m/>
    <m/>
    <s v=""/>
    <m/>
    <n v="13277.310924369749"/>
    <n v="2522.689075630251"/>
    <s v="Pirque"/>
    <s v="Revista"/>
    <s v="SI"/>
    <m/>
    <m/>
    <x v="0"/>
    <m/>
  </r>
  <r>
    <s v="C584"/>
    <s v="Alejandra Hamame"/>
    <n v="0"/>
    <n v="2898"/>
    <m/>
    <m/>
    <n v="6470"/>
    <n v="35500"/>
    <m/>
    <n v="35500"/>
    <x v="98"/>
    <n v="0"/>
    <d v="2020-01-30T00:00:00"/>
    <s v="Pagado"/>
    <d v="2020-01-30T00:00:00"/>
    <n v="35500"/>
    <s v="Cheque al Día"/>
    <m/>
    <m/>
    <s v="Edward"/>
    <m/>
    <n v="7675295"/>
    <n v="35500"/>
    <d v="2020-02-03T00:00:00"/>
    <s v="Chile"/>
    <m/>
    <s v="Otros"/>
    <m/>
    <n v="29831.932773109245"/>
    <n v="5668.0672268907547"/>
    <s v="Pirque"/>
    <s v="Revista"/>
    <s v="SI"/>
    <m/>
    <m/>
    <x v="0"/>
    <m/>
  </r>
  <r>
    <s v="C041"/>
    <s v="Yanet Arriagada"/>
    <n v="0"/>
    <n v="0"/>
    <m/>
    <m/>
    <n v="6479"/>
    <n v="31800"/>
    <m/>
    <n v="31800"/>
    <x v="99"/>
    <n v="0"/>
    <d v="2020-01-31T00:00:00"/>
    <s v="Vencido"/>
    <m/>
    <m/>
    <m/>
    <m/>
    <m/>
    <m/>
    <m/>
    <m/>
    <m/>
    <m/>
    <m/>
    <m/>
    <s v=""/>
    <m/>
    <n v="26722.689075630253"/>
    <n v="5077.3109243697472"/>
    <s v="Pirque"/>
    <s v="Conocido"/>
    <s v="NO"/>
    <m/>
    <m/>
    <x v="0"/>
    <m/>
  </r>
  <r>
    <s v="C082"/>
    <s v="Ximena Uribe"/>
    <n v="0"/>
    <n v="2902"/>
    <m/>
    <m/>
    <n v="6478"/>
    <n v="10800"/>
    <m/>
    <n v="10800"/>
    <x v="99"/>
    <n v="0"/>
    <d v="2020-01-31T00:00:00"/>
    <s v="Pagado"/>
    <d v="2020-01-31T00:00:00"/>
    <n v="10800"/>
    <s v="Efectivo"/>
    <m/>
    <m/>
    <m/>
    <m/>
    <m/>
    <m/>
    <m/>
    <m/>
    <m/>
    <s v=""/>
    <m/>
    <n v="9075.6302521008402"/>
    <n v="1724.3697478991598"/>
    <s v="Pirque"/>
    <s v="Conocido"/>
    <s v="SI"/>
    <m/>
    <m/>
    <x v="0"/>
    <m/>
  </r>
  <r>
    <s v="C085"/>
    <s v="Sandra Paola Rojas Orellana"/>
    <n v="3089"/>
    <n v="0"/>
    <m/>
    <m/>
    <s v="sn"/>
    <n v="48265"/>
    <m/>
    <n v="48265"/>
    <x v="99"/>
    <n v="0"/>
    <d v="2020-01-31T00:00:00"/>
    <s v="Pagado"/>
    <d v="2020-01-31T00:00:00"/>
    <n v="48265"/>
    <s v="Efectivo"/>
    <m/>
    <m/>
    <m/>
    <m/>
    <n v="7675292"/>
    <n v="48265"/>
    <d v="2020-02-03T00:00:00"/>
    <s v="Chile"/>
    <m/>
    <s v=""/>
    <m/>
    <n v="40558.823529411769"/>
    <n v="7706.1764705882306"/>
    <s v="Chada"/>
    <s v="Visita"/>
    <s v="SI"/>
    <m/>
    <m/>
    <x v="1"/>
    <m/>
  </r>
  <r>
    <s v="C085"/>
    <s v="Sandra Paola Rojas Orellana"/>
    <n v="3092"/>
    <n v="0"/>
    <m/>
    <m/>
    <s v="sn"/>
    <n v="14591"/>
    <m/>
    <n v="14591"/>
    <x v="99"/>
    <n v="0"/>
    <d v="2020-01-31T00:00:00"/>
    <s v="Pagado"/>
    <d v="2020-01-31T00:00:00"/>
    <n v="14591"/>
    <s v="Efectivo"/>
    <m/>
    <m/>
    <m/>
    <m/>
    <n v="7675292"/>
    <n v="14591"/>
    <d v="2020-02-03T00:00:00"/>
    <s v="Chile"/>
    <m/>
    <s v=""/>
    <m/>
    <n v="12261.344537815126"/>
    <n v="2329.6554621848736"/>
    <s v="Chada"/>
    <s v="Visita"/>
    <s v="SI"/>
    <m/>
    <m/>
    <x v="1"/>
    <m/>
  </r>
  <r>
    <s v="C105"/>
    <s v="Paulina Andrea Araneda Cancino"/>
    <n v="3094"/>
    <n v="0"/>
    <m/>
    <m/>
    <s v="sn"/>
    <n v="29003"/>
    <m/>
    <n v="29003"/>
    <x v="99"/>
    <n v="0"/>
    <d v="2020-01-31T00:00:00"/>
    <s v="Abonado"/>
    <d v="2020-01-31T00:00:00"/>
    <n v="29000"/>
    <s v="Efectivo"/>
    <m/>
    <m/>
    <m/>
    <m/>
    <n v="7675292"/>
    <n v="29000"/>
    <d v="2020-02-03T00:00:00"/>
    <s v="Chile"/>
    <m/>
    <s v=""/>
    <m/>
    <n v="24372.268907563026"/>
    <n v="4630.731092436974"/>
    <s v="Chada"/>
    <s v="Visita"/>
    <s v="NO"/>
    <m/>
    <m/>
    <x v="1"/>
    <m/>
  </r>
  <r>
    <s v="C556"/>
    <s v="Patricio Tapia"/>
    <n v="0"/>
    <n v="2901"/>
    <m/>
    <m/>
    <n v="6477"/>
    <n v="15800"/>
    <m/>
    <n v="15800"/>
    <x v="99"/>
    <n v="0"/>
    <d v="2020-01-31T00:00:00"/>
    <s v="Pagado"/>
    <d v="2020-01-31T00:00:00"/>
    <n v="15800"/>
    <s v="Transferencia"/>
    <m/>
    <m/>
    <s v="Chile"/>
    <m/>
    <m/>
    <m/>
    <m/>
    <m/>
    <m/>
    <s v=""/>
    <m/>
    <n v="13277.310924369749"/>
    <n v="2522.689075630251"/>
    <s v="Pirque"/>
    <s v="Revista"/>
    <s v="SI"/>
    <m/>
    <m/>
    <x v="0"/>
    <m/>
  </r>
  <r>
    <s v="C395"/>
    <s v="Monica Meza"/>
    <n v="0"/>
    <n v="0"/>
    <m/>
    <m/>
    <n v="6476"/>
    <n v="15800"/>
    <m/>
    <n v="15800"/>
    <x v="99"/>
    <n v="0"/>
    <d v="2020-01-31T00:00:00"/>
    <s v="Pagado"/>
    <d v="2020-01-31T00:00:00"/>
    <n v="15800"/>
    <s v="Efectivo"/>
    <m/>
    <m/>
    <m/>
    <m/>
    <m/>
    <m/>
    <m/>
    <m/>
    <m/>
    <s v=""/>
    <m/>
    <n v="13277.310924369749"/>
    <n v="2522.689075630251"/>
    <s v="Pirque"/>
    <s v="Revista"/>
    <s v="SI"/>
    <m/>
    <m/>
    <x v="0"/>
    <m/>
  </r>
  <r>
    <s v="C554"/>
    <s v="Minimarket Doña Olga SPA"/>
    <n v="3087"/>
    <n v="0"/>
    <m/>
    <m/>
    <s v="sn"/>
    <n v="65289"/>
    <m/>
    <n v="65289"/>
    <x v="99"/>
    <n v="30"/>
    <d v="2020-03-01T00:00:00"/>
    <s v="Pagado"/>
    <d v="2020-02-28T00:00:00"/>
    <n v="65289"/>
    <s v="Cheque a Fecha"/>
    <m/>
    <n v="1075"/>
    <s v="Falabella"/>
    <d v="2020-03-15T00:00:00"/>
    <n v="4955377"/>
    <m/>
    <m/>
    <m/>
    <m/>
    <s v="Otros"/>
    <m/>
    <n v="54864.705882352944"/>
    <n v="10424.294117647056"/>
    <s v="Chada"/>
    <s v="Visita"/>
    <s v="SI"/>
    <m/>
    <m/>
    <x v="1"/>
    <m/>
  </r>
  <r>
    <s v="C490"/>
    <s v="Matias Moreno"/>
    <n v="0"/>
    <n v="0"/>
    <m/>
    <m/>
    <n v="6474"/>
    <n v="284000"/>
    <m/>
    <n v="284000"/>
    <x v="99"/>
    <n v="0"/>
    <d v="2020-01-31T00:00:00"/>
    <s v="Pagado"/>
    <d v="2020-01-31T00:00:00"/>
    <n v="284000"/>
    <s v="Transferencia"/>
    <m/>
    <m/>
    <s v="Chile"/>
    <m/>
    <m/>
    <m/>
    <m/>
    <m/>
    <m/>
    <s v=""/>
    <m/>
    <n v="238655.46218487396"/>
    <n v="45344.537815126037"/>
    <s v="Chada"/>
    <s v="Chat Matute Paine"/>
    <s v="SI"/>
    <m/>
    <m/>
    <x v="0"/>
    <m/>
  </r>
  <r>
    <s v="C595"/>
    <s v="Juan Neira"/>
    <n v="0"/>
    <n v="2903"/>
    <m/>
    <m/>
    <n v="6475"/>
    <n v="19700"/>
    <m/>
    <n v="19700"/>
    <x v="99"/>
    <n v="0"/>
    <d v="2020-01-31T00:00:00"/>
    <s v="Pagado"/>
    <d v="2020-01-31T00:00:00"/>
    <n v="19700"/>
    <s v="Transferencia"/>
    <m/>
    <m/>
    <s v="Estado"/>
    <m/>
    <m/>
    <m/>
    <m/>
    <m/>
    <m/>
    <s v=""/>
    <m/>
    <n v="16554.621848739498"/>
    <n v="3145.3781512605019"/>
    <s v="Pirque"/>
    <s v="Revista"/>
    <s v="SI"/>
    <m/>
    <m/>
    <x v="0"/>
    <m/>
  </r>
  <r>
    <s v="C035"/>
    <s v="Jimena Isabel Alfaro Navarro"/>
    <n v="3088"/>
    <n v="0"/>
    <m/>
    <m/>
    <s v="sn"/>
    <n v="21103"/>
    <m/>
    <n v="21103"/>
    <x v="99"/>
    <n v="0"/>
    <d v="2020-01-31T00:00:00"/>
    <s v="Pagado"/>
    <d v="2020-01-31T00:00:00"/>
    <n v="21103"/>
    <s v="Efectivo"/>
    <m/>
    <m/>
    <m/>
    <m/>
    <n v="7675292"/>
    <n v="21103"/>
    <d v="2020-02-03T00:00:00"/>
    <s v="Chile"/>
    <m/>
    <s v=""/>
    <m/>
    <n v="17733.613445378152"/>
    <n v="3369.3865546218476"/>
    <s v="Chada"/>
    <s v="Visita"/>
    <s v="SI"/>
    <m/>
    <m/>
    <x v="1"/>
    <m/>
  </r>
  <r>
    <s v="C021"/>
    <s v="Adelita del Carmen Leon Pizarro"/>
    <n v="3093"/>
    <n v="0"/>
    <n v="288"/>
    <m/>
    <s v="sn"/>
    <n v="99565"/>
    <n v="-29453"/>
    <n v="70112"/>
    <x v="99"/>
    <n v="0"/>
    <d v="2020-01-31T00:00:00"/>
    <s v="Pagado"/>
    <d v="2020-01-31T00:00:00"/>
    <n v="70112"/>
    <s v="Efectivo"/>
    <m/>
    <m/>
    <m/>
    <m/>
    <n v="7675292"/>
    <n v="70112"/>
    <d v="2020-02-03T00:00:00"/>
    <s v="Chile"/>
    <m/>
    <s v=""/>
    <m/>
    <n v="83668.067226890766"/>
    <n v="15896.932773109234"/>
    <s v="Chada"/>
    <s v="Visita"/>
    <s v="SI"/>
    <m/>
    <m/>
    <x v="1"/>
    <m/>
  </r>
  <r>
    <s v="C021"/>
    <s v="Adelita del Carmen Leon Pizarro"/>
    <n v="3095"/>
    <n v="0"/>
    <m/>
    <m/>
    <s v="sn"/>
    <n v="23981"/>
    <m/>
    <n v="23981"/>
    <x v="99"/>
    <n v="0"/>
    <d v="2020-01-31T00:00:00"/>
    <s v="Pagado"/>
    <d v="2020-01-31T00:00:00"/>
    <n v="23981"/>
    <s v="Efectivo"/>
    <m/>
    <m/>
    <m/>
    <m/>
    <n v="7675292"/>
    <n v="23981"/>
    <d v="2020-02-03T00:00:00"/>
    <s v="Chile"/>
    <m/>
    <s v=""/>
    <m/>
    <n v="20152.100840336134"/>
    <n v="3828.8991596638662"/>
    <s v="Chada"/>
    <s v="Visita"/>
    <s v="SI"/>
    <m/>
    <m/>
    <x v="1"/>
    <m/>
  </r>
  <r>
    <s v="C020"/>
    <s v="Sabores y Vinos Bernardita Munita EIRL"/>
    <n v="3096"/>
    <n v="0"/>
    <m/>
    <m/>
    <s v="OC 06"/>
    <n v="299946"/>
    <m/>
    <n v="299946"/>
    <x v="100"/>
    <n v="0"/>
    <d v="2020-02-03T00:00:00"/>
    <s v="Pagado"/>
    <d v="2020-02-04T00:00:00"/>
    <n v="299946"/>
    <s v="Transferencia"/>
    <m/>
    <m/>
    <s v="Chile"/>
    <m/>
    <m/>
    <m/>
    <m/>
    <m/>
    <d v="2020-01-15T00:00:00"/>
    <s v=""/>
    <m/>
    <n v="252055.46218487396"/>
    <n v="47890.537815126037"/>
    <s v="Pirque"/>
    <s v="Visita"/>
    <s v="SI"/>
    <m/>
    <m/>
    <x v="1"/>
    <m/>
  </r>
  <r>
    <s v="C020"/>
    <s v="Sabores y Vinos Bernardita Munita EIRL"/>
    <n v="3096"/>
    <n v="0"/>
    <m/>
    <m/>
    <s v="OC 07"/>
    <n v="181076"/>
    <m/>
    <n v="181076"/>
    <x v="100"/>
    <n v="0"/>
    <d v="2020-02-03T00:00:00"/>
    <s v="Pagado"/>
    <d v="2020-02-04T00:00:00"/>
    <n v="181076"/>
    <s v="Transferencia"/>
    <m/>
    <m/>
    <s v="Chile"/>
    <m/>
    <m/>
    <m/>
    <m/>
    <m/>
    <d v="2020-01-21T00:00:00"/>
    <s v=""/>
    <m/>
    <n v="152164.70588235295"/>
    <n v="28911.294117647049"/>
    <s v="Pirque"/>
    <s v="Visita"/>
    <s v="SI"/>
    <m/>
    <m/>
    <x v="1"/>
    <m/>
  </r>
  <r>
    <s v="C020"/>
    <s v="Sabores y Vinos Bernardita Munita EIRL"/>
    <n v="3096"/>
    <n v="0"/>
    <m/>
    <m/>
    <s v="OC 08"/>
    <n v="181076"/>
    <m/>
    <n v="181076"/>
    <x v="100"/>
    <n v="0"/>
    <d v="2020-02-03T00:00:00"/>
    <s v="Pagado"/>
    <d v="2020-02-04T00:00:00"/>
    <n v="181076"/>
    <s v="Transferencia"/>
    <m/>
    <m/>
    <s v="Chile"/>
    <m/>
    <m/>
    <m/>
    <m/>
    <m/>
    <d v="2020-01-30T00:00:00"/>
    <s v=""/>
    <m/>
    <n v="152164.70588235295"/>
    <n v="28911.294117647049"/>
    <s v="Pirque"/>
    <s v="Visita"/>
    <s v="SI"/>
    <m/>
    <m/>
    <x v="1"/>
    <m/>
  </r>
  <r>
    <s v="C359"/>
    <s v="Manuel Perez"/>
    <n v="0"/>
    <n v="2908"/>
    <m/>
    <m/>
    <n v="6487"/>
    <n v="29900"/>
    <m/>
    <n v="29900"/>
    <x v="100"/>
    <n v="0"/>
    <d v="2020-02-03T00:00:00"/>
    <s v="Pagado"/>
    <d v="2020-02-06T00:00:00"/>
    <n v="29900"/>
    <s v="Transferencia"/>
    <m/>
    <m/>
    <s v="Santander"/>
    <m/>
    <m/>
    <m/>
    <m/>
    <m/>
    <m/>
    <s v=""/>
    <m/>
    <n v="25126.050420168067"/>
    <n v="4773.9495798319331"/>
    <s v="Pirque"/>
    <s v="Conocido"/>
    <s v="SI"/>
    <m/>
    <m/>
    <x v="0"/>
    <m/>
  </r>
  <r>
    <s v="C476"/>
    <s v="Jose Gonzalez Salinas"/>
    <n v="0"/>
    <n v="2907"/>
    <m/>
    <m/>
    <n v="6486"/>
    <n v="30400"/>
    <m/>
    <n v="30400"/>
    <x v="100"/>
    <n v="0"/>
    <d v="2020-02-03T00:00:00"/>
    <s v="Pagado"/>
    <d v="2020-02-03T00:00:00"/>
    <n v="30400"/>
    <s v="Transferencia"/>
    <m/>
    <m/>
    <s v="Santander"/>
    <m/>
    <m/>
    <m/>
    <m/>
    <m/>
    <m/>
    <s v=""/>
    <m/>
    <n v="25546.218487394959"/>
    <n v="4853.7815126050409"/>
    <s v="Pirque"/>
    <s v="Revista"/>
    <s v="SI"/>
    <m/>
    <m/>
    <x v="0"/>
    <m/>
  </r>
  <r>
    <s v="C636"/>
    <s v="Jessica Cabello"/>
    <n v="0"/>
    <n v="204"/>
    <m/>
    <m/>
    <n v="6484"/>
    <n v="24800"/>
    <m/>
    <n v="24800"/>
    <x v="100"/>
    <n v="0"/>
    <d v="2020-02-03T00:00:00"/>
    <s v="Pagado"/>
    <d v="2020-02-03T00:00:00"/>
    <n v="24800"/>
    <s v="Transbank"/>
    <s v="Credito"/>
    <n v="204"/>
    <m/>
    <m/>
    <m/>
    <m/>
    <m/>
    <m/>
    <m/>
    <s v=""/>
    <m/>
    <n v="20840.336134453781"/>
    <n v="3959.6638655462193"/>
    <s v="Pirque"/>
    <s v="Revista"/>
    <s v="SI"/>
    <m/>
    <m/>
    <x v="0"/>
    <m/>
  </r>
  <r>
    <s v="C349"/>
    <s v="Elaine Pratt"/>
    <n v="0"/>
    <n v="2906"/>
    <m/>
    <m/>
    <n v="6485"/>
    <n v="23000"/>
    <m/>
    <n v="23000"/>
    <x v="100"/>
    <n v="0"/>
    <d v="2020-02-03T00:00:00"/>
    <s v="Pagado"/>
    <d v="2020-02-03T00:00:00"/>
    <n v="30000"/>
    <s v="Efectivo"/>
    <m/>
    <m/>
    <m/>
    <m/>
    <n v="7675296"/>
    <n v="30000"/>
    <d v="2020-02-06T00:00:00"/>
    <s v="Chile"/>
    <m/>
    <s v=""/>
    <m/>
    <n v="19327.731092436974"/>
    <n v="3672.268907563026"/>
    <s v="Pirque"/>
    <s v="Conocido"/>
    <s v="SI"/>
    <m/>
    <m/>
    <x v="0"/>
    <m/>
  </r>
  <r>
    <s v="C418"/>
    <s v="Claudia Ormazabal"/>
    <n v="0"/>
    <n v="2904"/>
    <m/>
    <m/>
    <n v="6481"/>
    <n v="28500"/>
    <m/>
    <n v="28500"/>
    <x v="100"/>
    <n v="0"/>
    <d v="2020-02-03T00:00:00"/>
    <s v="Pagado"/>
    <d v="2020-02-03T00:00:00"/>
    <n v="40000"/>
    <s v="Efectivo"/>
    <m/>
    <m/>
    <m/>
    <m/>
    <m/>
    <m/>
    <m/>
    <m/>
    <m/>
    <s v=""/>
    <m/>
    <n v="23949.579831932773"/>
    <n v="4550.4201680672268"/>
    <s v="Pirque"/>
    <s v="Conocido"/>
    <s v="SI"/>
    <m/>
    <m/>
    <x v="0"/>
    <m/>
  </r>
  <r>
    <s v="C160"/>
    <s v="Christian Ortiz Hurtado"/>
    <n v="0"/>
    <n v="2905"/>
    <m/>
    <m/>
    <n v="6488"/>
    <n v="19700"/>
    <m/>
    <n v="19700"/>
    <x v="100"/>
    <n v="0"/>
    <d v="2020-02-03T00:00:00"/>
    <s v="Pagado"/>
    <d v="2020-03-10T00:00:00"/>
    <n v="19700"/>
    <s v="Transferencia"/>
    <m/>
    <m/>
    <s v="Scotiabank"/>
    <m/>
    <m/>
    <m/>
    <m/>
    <m/>
    <m/>
    <s v=""/>
    <m/>
    <n v="16554.621848739498"/>
    <n v="3145.3781512605019"/>
    <s v="Pirque"/>
    <s v="Conocido"/>
    <s v="SI"/>
    <m/>
    <m/>
    <x v="0"/>
    <m/>
  </r>
  <r>
    <s v="C127"/>
    <s v="Carmen Gloria Venegas"/>
    <n v="0"/>
    <n v="203"/>
    <m/>
    <m/>
    <n v="6480"/>
    <n v="43500"/>
    <m/>
    <n v="43500"/>
    <x v="100"/>
    <n v="0"/>
    <d v="2020-02-03T00:00:00"/>
    <s v="Pagado"/>
    <d v="2020-02-03T00:00:00"/>
    <n v="43500"/>
    <s v="Transbank"/>
    <s v="Debito"/>
    <n v="203"/>
    <m/>
    <m/>
    <m/>
    <m/>
    <m/>
    <m/>
    <m/>
    <s v=""/>
    <m/>
    <n v="36554.621848739494"/>
    <n v="6945.3781512605055"/>
    <s v="Pirque"/>
    <s v="Revista"/>
    <s v="SI"/>
    <m/>
    <m/>
    <x v="0"/>
    <m/>
  </r>
  <r>
    <s v="C032"/>
    <s v="Carlos Jobbe-Duval"/>
    <n v="0"/>
    <n v="0"/>
    <m/>
    <m/>
    <n v="6488"/>
    <n v="38600"/>
    <m/>
    <n v="38600"/>
    <x v="100"/>
    <n v="0"/>
    <d v="2020-02-03T00:00:00"/>
    <s v="Vencido"/>
    <m/>
    <m/>
    <m/>
    <m/>
    <m/>
    <m/>
    <m/>
    <m/>
    <m/>
    <m/>
    <m/>
    <m/>
    <s v=""/>
    <m/>
    <n v="32436.974789915967"/>
    <n v="6163.0252100840335"/>
    <s v="Pirque"/>
    <s v="Conocido"/>
    <s v="NO"/>
    <m/>
    <m/>
    <x v="0"/>
    <m/>
  </r>
  <r>
    <s v="C390"/>
    <s v="Auria Villanueva"/>
    <n v="0"/>
    <n v="205"/>
    <m/>
    <m/>
    <n v="6482"/>
    <n v="10200"/>
    <m/>
    <n v="10200"/>
    <x v="100"/>
    <n v="0"/>
    <d v="2020-02-03T00:00:00"/>
    <s v="Pagado"/>
    <d v="2020-02-03T00:00:00"/>
    <n v="10200"/>
    <s v="Transbank"/>
    <s v="Debito"/>
    <n v="205"/>
    <m/>
    <m/>
    <m/>
    <m/>
    <m/>
    <m/>
    <m/>
    <s v=""/>
    <m/>
    <n v="8571.4285714285725"/>
    <n v="1628.5714285714275"/>
    <s v="Pirque"/>
    <s v="Revista"/>
    <s v="SI"/>
    <m/>
    <m/>
    <x v="0"/>
    <m/>
  </r>
  <r>
    <s v="C263"/>
    <s v="Jeanny Reyes"/>
    <n v="0"/>
    <n v="2911"/>
    <m/>
    <m/>
    <n v="6492"/>
    <n v="23500"/>
    <m/>
    <n v="23500"/>
    <x v="101"/>
    <n v="0"/>
    <d v="2020-02-04T00:00:00"/>
    <s v="Pagado"/>
    <d v="2020-02-04T00:00:00"/>
    <n v="23500"/>
    <s v="Efectivo"/>
    <m/>
    <m/>
    <m/>
    <m/>
    <m/>
    <m/>
    <m/>
    <m/>
    <m/>
    <s v=""/>
    <m/>
    <n v="19747.899159663866"/>
    <n v="3752.1008403361338"/>
    <s v="Pirque"/>
    <s v="Conocido"/>
    <s v="SI"/>
    <m/>
    <m/>
    <x v="0"/>
    <m/>
  </r>
  <r>
    <s v="C498"/>
    <s v="Javier Nuñez"/>
    <n v="0"/>
    <n v="2912"/>
    <m/>
    <m/>
    <n v="6491"/>
    <n v="36500"/>
    <m/>
    <n v="36500"/>
    <x v="101"/>
    <n v="0"/>
    <d v="2020-02-04T00:00:00"/>
    <s v="Pagado"/>
    <d v="2020-02-04T00:00:00"/>
    <n v="36500"/>
    <s v="Transferencia"/>
    <m/>
    <m/>
    <s v="BCI"/>
    <m/>
    <m/>
    <m/>
    <m/>
    <m/>
    <m/>
    <s v=""/>
    <m/>
    <n v="30672.268907563026"/>
    <n v="5827.731092436974"/>
    <s v="Pirque"/>
    <s v="Revista"/>
    <s v="SI"/>
    <m/>
    <m/>
    <x v="0"/>
    <m/>
  </r>
  <r>
    <s v="C086"/>
    <s v="Cristian Guillermo Ortiz Gonzalez"/>
    <n v="0"/>
    <n v="2909"/>
    <m/>
    <m/>
    <n v="6490"/>
    <n v="16300"/>
    <m/>
    <n v="16300"/>
    <x v="101"/>
    <n v="0"/>
    <d v="2020-02-04T00:00:00"/>
    <s v="Pagado"/>
    <d v="2020-02-08T00:00:00"/>
    <n v="16300"/>
    <s v="Transferencia"/>
    <m/>
    <m/>
    <s v="Chile"/>
    <m/>
    <m/>
    <m/>
    <m/>
    <m/>
    <m/>
    <s v=""/>
    <m/>
    <n v="13697.478991596639"/>
    <n v="2602.5210084033606"/>
    <s v="Pirque"/>
    <s v="Conocido"/>
    <s v="SI"/>
    <m/>
    <m/>
    <x v="0"/>
    <m/>
  </r>
  <r>
    <s v="C335"/>
    <s v="Alejandro Astorga"/>
    <n v="0"/>
    <n v="2910"/>
    <m/>
    <m/>
    <n v="6489"/>
    <n v="81000"/>
    <m/>
    <n v="81000"/>
    <x v="101"/>
    <n v="0"/>
    <d v="2020-02-04T00:00:00"/>
    <s v="Pagado"/>
    <d v="2020-02-04T00:00:00"/>
    <n v="81000"/>
    <s v="Transferencia"/>
    <m/>
    <m/>
    <s v="Santander"/>
    <m/>
    <m/>
    <m/>
    <m/>
    <m/>
    <m/>
    <s v=""/>
    <m/>
    <n v="68067.226890756312"/>
    <n v="12932.773109243688"/>
    <s v="Pirque"/>
    <s v="Revista"/>
    <s v="SI"/>
    <m/>
    <m/>
    <x v="0"/>
    <m/>
  </r>
  <r>
    <s v="C004"/>
    <s v="Rosa Gladys Vidal Mora"/>
    <n v="3097"/>
    <n v="0"/>
    <m/>
    <m/>
    <s v="sn"/>
    <n v="35873"/>
    <m/>
    <n v="35873"/>
    <x v="102"/>
    <n v="7"/>
    <d v="2020-02-12T00:00:00"/>
    <s v="Pagado"/>
    <d v="2020-02-19T00:00:00"/>
    <n v="35873"/>
    <s v="Cheque a Fecha"/>
    <m/>
    <m/>
    <m/>
    <m/>
    <m/>
    <m/>
    <m/>
    <m/>
    <m/>
    <s v="Otros"/>
    <m/>
    <n v="30145.378151260506"/>
    <n v="5727.6218487394945"/>
    <s v="Cajon"/>
    <s v="Visita"/>
    <s v="SI"/>
    <m/>
    <m/>
    <x v="1"/>
    <m/>
  </r>
  <r>
    <s v="C005"/>
    <s v="Julia Ines Rebolledo Retamal"/>
    <n v="3101"/>
    <n v="0"/>
    <m/>
    <m/>
    <s v="sn"/>
    <n v="21103"/>
    <m/>
    <n v="21103"/>
    <x v="102"/>
    <n v="7"/>
    <d v="2020-02-12T00:00:00"/>
    <s v="Abonado"/>
    <d v="2020-02-12T00:00:00"/>
    <n v="20000"/>
    <s v="Efectivo"/>
    <m/>
    <m/>
    <m/>
    <m/>
    <m/>
    <m/>
    <m/>
    <m/>
    <m/>
    <s v=""/>
    <m/>
    <n v="17733.613445378152"/>
    <n v="3369.3865546218476"/>
    <s v="Cajon"/>
    <s v="Visita"/>
    <s v="NO"/>
    <m/>
    <m/>
    <x v="1"/>
    <m/>
  </r>
  <r>
    <s v="C043"/>
    <s v="Consuelo Andrea Sanchez Bisbal"/>
    <n v="0"/>
    <n v="2913"/>
    <m/>
    <m/>
    <n v="6493"/>
    <n v="19700"/>
    <m/>
    <n v="19700"/>
    <x v="102"/>
    <n v="0"/>
    <d v="2020-02-05T00:00:00"/>
    <s v="Pagado"/>
    <d v="2020-02-07T00:00:00"/>
    <n v="19700"/>
    <s v="Transferencia"/>
    <m/>
    <m/>
    <s v="Falabella"/>
    <m/>
    <m/>
    <m/>
    <m/>
    <m/>
    <m/>
    <s v=""/>
    <m/>
    <n v="16554.621848739498"/>
    <n v="3145.3781512605019"/>
    <s v="Pirque"/>
    <s v="Revista"/>
    <s v="SI"/>
    <m/>
    <m/>
    <x v="0"/>
    <m/>
  </r>
  <r>
    <s v="C001"/>
    <s v="Benito Campos y Cia Ltda."/>
    <n v="3098"/>
    <n v="0"/>
    <m/>
    <m/>
    <s v="sn"/>
    <n v="146838"/>
    <m/>
    <n v="146838"/>
    <x v="102"/>
    <n v="30"/>
    <d v="2020-03-06T00:00:00"/>
    <s v="Pagado"/>
    <d v="2020-03-13T00:00:00"/>
    <n v="146838"/>
    <s v="Transferencia"/>
    <m/>
    <m/>
    <s v="Santander"/>
    <m/>
    <m/>
    <m/>
    <m/>
    <m/>
    <m/>
    <s v=""/>
    <m/>
    <n v="123393.27731092437"/>
    <n v="23444.722689075628"/>
    <s v="Cajon"/>
    <s v="Visita"/>
    <s v="SI"/>
    <m/>
    <m/>
    <x v="1"/>
    <m/>
  </r>
  <r>
    <s v="C001"/>
    <s v="Benito Campos y Cia Ltda."/>
    <n v="3100"/>
    <n v="0"/>
    <n v="289"/>
    <m/>
    <s v="sn"/>
    <n v="211217"/>
    <n v="-16268"/>
    <n v="194949"/>
    <x v="102"/>
    <n v="30"/>
    <d v="2020-03-06T00:00:00"/>
    <s v="Pagado"/>
    <d v="2020-03-13T00:00:00"/>
    <n v="194949"/>
    <s v="Transferencia"/>
    <m/>
    <m/>
    <s v="Santander"/>
    <m/>
    <m/>
    <m/>
    <m/>
    <m/>
    <m/>
    <s v=""/>
    <m/>
    <n v="177493.27731092437"/>
    <n v="33723.722689075628"/>
    <s v="Cajon"/>
    <s v="Visita"/>
    <s v="SI"/>
    <m/>
    <m/>
    <x v="1"/>
    <m/>
  </r>
  <r>
    <s v="C001"/>
    <s v="Benito Campos y Cia Ltda."/>
    <n v="3099"/>
    <n v="0"/>
    <m/>
    <m/>
    <s v="sn"/>
    <n v="340471"/>
    <m/>
    <n v="340471"/>
    <x v="102"/>
    <n v="30"/>
    <d v="2020-03-06T00:00:00"/>
    <s v="Pagado"/>
    <d v="2020-03-13T00:00:00"/>
    <n v="340471"/>
    <s v="Transferencia"/>
    <m/>
    <m/>
    <s v="Santander"/>
    <m/>
    <m/>
    <m/>
    <m/>
    <m/>
    <m/>
    <s v=""/>
    <m/>
    <n v="286110.08403361344"/>
    <n v="54360.915966386558"/>
    <s v="Cajon"/>
    <s v="Visita"/>
    <s v="SI"/>
    <m/>
    <m/>
    <x v="1"/>
    <m/>
  </r>
  <r>
    <n v="0"/>
    <s v="Trinidad Siviragol"/>
    <n v="0"/>
    <n v="2915"/>
    <m/>
    <m/>
    <n v="6496"/>
    <n v="51200"/>
    <m/>
    <n v="51200"/>
    <x v="103"/>
    <n v="0"/>
    <d v="2020-02-06T00:00:00"/>
    <s v="Pagado"/>
    <d v="2020-02-07T00:00:00"/>
    <n v="51200"/>
    <s v="Transferencia"/>
    <m/>
    <m/>
    <s v="Chile"/>
    <m/>
    <m/>
    <m/>
    <m/>
    <m/>
    <m/>
    <s v=""/>
    <m/>
    <n v="43025.210084033613"/>
    <n v="8174.7899159663866"/>
    <s v="Pirque"/>
    <s v="Revista"/>
    <s v="SI"/>
    <m/>
    <m/>
    <x v="0"/>
    <m/>
  </r>
  <r>
    <s v="C447"/>
    <s v="Silvia Berrios"/>
    <n v="0"/>
    <n v="2916"/>
    <m/>
    <m/>
    <n v="6497"/>
    <n v="23900"/>
    <m/>
    <n v="23900"/>
    <x v="103"/>
    <n v="0"/>
    <d v="2020-02-06T00:00:00"/>
    <s v="Pagado"/>
    <d v="2020-02-06T00:00:00"/>
    <n v="23900"/>
    <s v="Efectivo"/>
    <m/>
    <m/>
    <m/>
    <m/>
    <m/>
    <m/>
    <m/>
    <m/>
    <m/>
    <s v=""/>
    <m/>
    <n v="20084.033613445379"/>
    <n v="3815.9663865546208"/>
    <s v="Pirque"/>
    <s v="Conocido"/>
    <s v="SI"/>
    <m/>
    <m/>
    <x v="0"/>
    <m/>
  </r>
  <r>
    <s v="C510"/>
    <s v="Ricardo Edwards"/>
    <n v="0"/>
    <n v="2914"/>
    <m/>
    <m/>
    <n v="6500"/>
    <n v="78400"/>
    <m/>
    <n v="78400"/>
    <x v="103"/>
    <n v="0"/>
    <d v="2020-02-06T00:00:00"/>
    <s v="Pagado"/>
    <d v="2020-02-10T00:00:00"/>
    <n v="78400"/>
    <s v="Transferencia"/>
    <m/>
    <m/>
    <s v="Chile"/>
    <m/>
    <m/>
    <m/>
    <m/>
    <m/>
    <m/>
    <s v=""/>
    <m/>
    <n v="65882.352941176476"/>
    <n v="12517.647058823524"/>
    <s v="Pirque"/>
    <s v="Revista"/>
    <s v="SI"/>
    <m/>
    <m/>
    <x v="0"/>
    <m/>
  </r>
  <r>
    <s v="C620"/>
    <s v="Luz Maria Ossandon"/>
    <n v="0"/>
    <n v="2919"/>
    <m/>
    <m/>
    <n v="6502"/>
    <n v="39600"/>
    <m/>
    <n v="39600"/>
    <x v="103"/>
    <n v="0"/>
    <d v="2020-02-06T00:00:00"/>
    <s v="Pagado"/>
    <d v="2020-02-15T00:00:00"/>
    <n v="39600"/>
    <s v="Transferencia"/>
    <m/>
    <m/>
    <s v="Estado"/>
    <m/>
    <m/>
    <m/>
    <m/>
    <m/>
    <m/>
    <s v=""/>
    <m/>
    <n v="33277.310924369747"/>
    <n v="6322.6890756302528"/>
    <s v="Pirque"/>
    <s v="Conocido"/>
    <s v="SI"/>
    <m/>
    <m/>
    <x v="0"/>
    <m/>
  </r>
  <r>
    <s v="C656"/>
    <s v="Lorena Ahumada"/>
    <n v="0"/>
    <n v="2918"/>
    <m/>
    <m/>
    <n v="6501"/>
    <n v="19700"/>
    <m/>
    <n v="19700"/>
    <x v="103"/>
    <n v="0"/>
    <d v="2020-02-06T00:00:00"/>
    <s v="Pagado"/>
    <d v="2020-02-06T00:00:00"/>
    <n v="19700"/>
    <s v="Efectivo"/>
    <m/>
    <m/>
    <m/>
    <m/>
    <n v="7675303"/>
    <n v="19700"/>
    <d v="2020-02-11T00:00:00"/>
    <s v="Chile"/>
    <m/>
    <s v=""/>
    <m/>
    <n v="16554.621848739498"/>
    <n v="3145.3781512605019"/>
    <s v="Pirque"/>
    <s v="Revista"/>
    <s v="SI"/>
    <m/>
    <m/>
    <x v="0"/>
    <m/>
  </r>
  <r>
    <s v="C535"/>
    <s v="Juan Pablo Garcia"/>
    <n v="0"/>
    <n v="2917"/>
    <m/>
    <m/>
    <n v="6495"/>
    <n v="45400"/>
    <m/>
    <n v="45400"/>
    <x v="103"/>
    <n v="0"/>
    <d v="2020-02-06T00:00:00"/>
    <s v="Pagado"/>
    <d v="2020-02-07T00:00:00"/>
    <n v="45400"/>
    <s v="Transferencia"/>
    <m/>
    <m/>
    <s v="BCI"/>
    <m/>
    <m/>
    <m/>
    <m/>
    <m/>
    <m/>
    <s v=""/>
    <m/>
    <n v="38151.26050420168"/>
    <n v="7248.7394957983197"/>
    <s v="Pirque"/>
    <s v="Revista"/>
    <s v="SI"/>
    <m/>
    <m/>
    <x v="0"/>
    <m/>
  </r>
  <r>
    <s v="C394"/>
    <s v="Gabriela Ulloa"/>
    <n v="0"/>
    <n v="206"/>
    <m/>
    <m/>
    <n v="6494"/>
    <n v="15800"/>
    <m/>
    <n v="15800"/>
    <x v="103"/>
    <n v="0"/>
    <d v="2020-02-06T00:00:00"/>
    <s v="Pagado"/>
    <d v="2020-02-06T00:00:00"/>
    <n v="15800"/>
    <s v="Efectivo"/>
    <m/>
    <n v="206"/>
    <m/>
    <m/>
    <m/>
    <m/>
    <m/>
    <m/>
    <m/>
    <s v=""/>
    <m/>
    <n v="13277.310924369749"/>
    <n v="2522.689075630251"/>
    <s v="Pirque"/>
    <s v="Conocido"/>
    <s v="SI"/>
    <m/>
    <m/>
    <x v="0"/>
    <m/>
  </r>
  <r>
    <s v="C638"/>
    <s v="Catherine Barra"/>
    <n v="0"/>
    <n v="207"/>
    <m/>
    <m/>
    <n v="6498"/>
    <n v="23000"/>
    <m/>
    <n v="23000"/>
    <x v="103"/>
    <n v="0"/>
    <d v="2020-02-06T00:00:00"/>
    <s v="Pagado"/>
    <d v="2020-02-06T00:00:00"/>
    <n v="23000"/>
    <s v="Transbank"/>
    <s v="Debito"/>
    <n v="207"/>
    <m/>
    <m/>
    <m/>
    <m/>
    <m/>
    <m/>
    <m/>
    <s v=""/>
    <m/>
    <n v="19327.731092436974"/>
    <n v="3672.268907563026"/>
    <s v="Pirque"/>
    <s v="Revista"/>
    <s v="SI"/>
    <m/>
    <m/>
    <x v="0"/>
    <m/>
  </r>
  <r>
    <s v="C009"/>
    <s v="Sociedad Comercial y Agricola Chada Ltda"/>
    <n v="3102"/>
    <n v="0"/>
    <n v="290"/>
    <m/>
    <s v="sn"/>
    <n v="142669"/>
    <n v="-2478"/>
    <n v="140191"/>
    <x v="104"/>
    <n v="7"/>
    <d v="2020-02-14T00:00:00"/>
    <s v="Pagado"/>
    <d v="2020-02-07T00:00:00"/>
    <n v="140191"/>
    <s v="Cheque a Fecha"/>
    <m/>
    <n v="2490488"/>
    <s v="Scotiabank"/>
    <d v="2020-02-15T00:00:00"/>
    <m/>
    <m/>
    <m/>
    <m/>
    <m/>
    <s v="Otros"/>
    <m/>
    <n v="119889.91596638656"/>
    <n v="22779.084033613442"/>
    <s v="Chada"/>
    <s v="Visita"/>
    <s v="SI"/>
    <m/>
    <m/>
    <x v="1"/>
    <m/>
  </r>
  <r>
    <s v="C028"/>
    <s v="Luz María Velasquez"/>
    <n v="0"/>
    <s v="sn"/>
    <m/>
    <m/>
    <n v="6504"/>
    <n v="45200"/>
    <m/>
    <n v="45200"/>
    <x v="104"/>
    <n v="0"/>
    <d v="2020-02-07T00:00:00"/>
    <s v="Pagado"/>
    <d v="2020-03-09T00:00:00"/>
    <n v="45200"/>
    <s v="Transferencia"/>
    <m/>
    <m/>
    <s v="Scotiabank"/>
    <m/>
    <m/>
    <m/>
    <m/>
    <m/>
    <m/>
    <s v=""/>
    <m/>
    <n v="37983.193277310929"/>
    <n v="7216.8067226890707"/>
    <s v="Chada"/>
    <s v="Conocido"/>
    <s v="SI"/>
    <m/>
    <m/>
    <x v="0"/>
    <m/>
  </r>
  <r>
    <s v="C035"/>
    <s v="Jimena Isabel Alfaro Navarro"/>
    <n v="3103"/>
    <n v="0"/>
    <m/>
    <m/>
    <s v="sn"/>
    <n v="39679"/>
    <m/>
    <n v="39679"/>
    <x v="104"/>
    <n v="0"/>
    <d v="2020-02-07T00:00:00"/>
    <s v="Pagado"/>
    <d v="2020-02-07T00:00:00"/>
    <n v="39679"/>
    <s v="Efectivo"/>
    <m/>
    <m/>
    <m/>
    <m/>
    <m/>
    <m/>
    <m/>
    <m/>
    <m/>
    <s v=""/>
    <m/>
    <n v="33343.697478991598"/>
    <n v="6335.3025210084015"/>
    <s v="Chada"/>
    <s v="Visita"/>
    <s v="SI"/>
    <m/>
    <m/>
    <x v="1"/>
    <m/>
  </r>
  <r>
    <s v="C033"/>
    <s v="Catalina Daniela Peña Royo"/>
    <n v="0"/>
    <n v="2922"/>
    <m/>
    <m/>
    <n v="6503"/>
    <n v="17000"/>
    <m/>
    <n v="17000"/>
    <x v="104"/>
    <n v="0"/>
    <d v="2020-02-07T00:00:00"/>
    <s v="Pagado"/>
    <d v="2020-02-07T00:00:00"/>
    <n v="17000"/>
    <s v="Transferencia"/>
    <m/>
    <m/>
    <s v="Itaú"/>
    <m/>
    <m/>
    <m/>
    <m/>
    <m/>
    <m/>
    <s v=""/>
    <m/>
    <n v="14285.714285714286"/>
    <n v="2714.2857142857138"/>
    <s v="Chada"/>
    <s v="Conocido"/>
    <s v="SI"/>
    <m/>
    <m/>
    <x v="0"/>
    <m/>
  </r>
  <r>
    <s v="C113"/>
    <s v="Alvaro del Carmen Ruiz Farias y Otro (Hornito)"/>
    <n v="3104"/>
    <n v="0"/>
    <m/>
    <m/>
    <s v="sn"/>
    <n v="303974"/>
    <m/>
    <n v="303974"/>
    <x v="104"/>
    <n v="0"/>
    <d v="2020-02-07T00:00:00"/>
    <s v="Pagado"/>
    <d v="2020-02-07T00:00:00"/>
    <n v="303974"/>
    <s v="Efectivo"/>
    <m/>
    <m/>
    <m/>
    <m/>
    <m/>
    <m/>
    <m/>
    <m/>
    <m/>
    <s v=""/>
    <m/>
    <n v="255440.3361344538"/>
    <n v="48533.663865546201"/>
    <s v="Chada"/>
    <s v="Visita"/>
    <s v="SI"/>
    <m/>
    <m/>
    <x v="1"/>
    <m/>
  </r>
  <r>
    <s v="C608"/>
    <s v="Solange Villarroel"/>
    <n v="0"/>
    <n v="2926"/>
    <m/>
    <m/>
    <n v="6510"/>
    <n v="19700"/>
    <m/>
    <n v="19700"/>
    <x v="105"/>
    <n v="0"/>
    <d v="2020-02-08T00:00:00"/>
    <s v="Pagado"/>
    <d v="2020-02-08T00:00:00"/>
    <n v="19700"/>
    <s v="Transferencia"/>
    <m/>
    <m/>
    <s v="Falabella"/>
    <m/>
    <m/>
    <m/>
    <m/>
    <m/>
    <m/>
    <s v=""/>
    <m/>
    <n v="16554.621848739498"/>
    <n v="3145.3781512605019"/>
    <s v="Pirque"/>
    <s v="Revista"/>
    <s v="SI"/>
    <m/>
    <m/>
    <x v="0"/>
    <m/>
  </r>
  <r>
    <s v="C246"/>
    <s v="Rosa Paz (Municipalidad Pirque)"/>
    <n v="0"/>
    <n v="2921"/>
    <m/>
    <m/>
    <n v="6506"/>
    <n v="23200"/>
    <m/>
    <n v="23200"/>
    <x v="105"/>
    <n v="0"/>
    <d v="2020-02-08T00:00:00"/>
    <s v="Pagado"/>
    <d v="2020-02-08T00:00:00"/>
    <n v="23200"/>
    <s v="Transferencia"/>
    <m/>
    <m/>
    <s v="Chile"/>
    <m/>
    <m/>
    <m/>
    <m/>
    <m/>
    <m/>
    <s v=""/>
    <m/>
    <n v="19495.798319327732"/>
    <n v="3704.2016806722677"/>
    <s v="Pirque"/>
    <s v="Conocido"/>
    <s v="SI"/>
    <m/>
    <m/>
    <x v="0"/>
    <m/>
  </r>
  <r>
    <s v="C657"/>
    <s v="Patricio La Escuela"/>
    <n v="0"/>
    <s v="sn"/>
    <m/>
    <m/>
    <n v="6508"/>
    <n v="19700"/>
    <m/>
    <n v="19700"/>
    <x v="105"/>
    <n v="0"/>
    <d v="2020-02-08T00:00:00"/>
    <s v="Pagado"/>
    <d v="2020-02-08T00:00:00"/>
    <n v="19700"/>
    <s v="Efectivo"/>
    <m/>
    <m/>
    <m/>
    <m/>
    <m/>
    <m/>
    <m/>
    <m/>
    <m/>
    <s v=""/>
    <m/>
    <n v="16554.621848739498"/>
    <n v="3145.3781512605019"/>
    <s v="Pirque"/>
    <s v="Revista"/>
    <s v="SI"/>
    <m/>
    <m/>
    <x v="0"/>
    <m/>
  </r>
  <r>
    <s v="C064"/>
    <s v="Maria Estela Matte"/>
    <n v="0"/>
    <s v="sn"/>
    <m/>
    <m/>
    <n v="6499"/>
    <n v="4800"/>
    <m/>
    <n v="4800"/>
    <x v="105"/>
    <n v="0"/>
    <d v="2020-02-08T00:00:00"/>
    <s v="Pagado"/>
    <d v="2020-02-10T00:00:00"/>
    <n v="4800"/>
    <s v="Transferencia"/>
    <m/>
    <m/>
    <s v="Itaú"/>
    <m/>
    <m/>
    <m/>
    <m/>
    <m/>
    <m/>
    <s v=""/>
    <m/>
    <n v="4033.6134453781515"/>
    <n v="766.38655462184852"/>
    <s v="Pirque"/>
    <s v="Revista"/>
    <s v="SI"/>
    <m/>
    <m/>
    <x v="0"/>
    <m/>
  </r>
  <r>
    <s v="C595"/>
    <s v="Juan Neira"/>
    <n v="0"/>
    <n v="2923"/>
    <m/>
    <m/>
    <n v="6511"/>
    <n v="19700"/>
    <m/>
    <n v="19700"/>
    <x v="105"/>
    <n v="0"/>
    <d v="2020-02-08T00:00:00"/>
    <s v="Pagado"/>
    <d v="2020-02-08T00:00:00"/>
    <n v="19700"/>
    <s v="Transferencia"/>
    <m/>
    <m/>
    <s v="Estado"/>
    <m/>
    <m/>
    <m/>
    <m/>
    <m/>
    <m/>
    <s v=""/>
    <m/>
    <n v="16554.621848739498"/>
    <n v="3145.3781512605019"/>
    <s v="Pirque"/>
    <s v="Revista"/>
    <s v="SI"/>
    <m/>
    <m/>
    <x v="0"/>
    <m/>
  </r>
  <r>
    <s v="C364"/>
    <s v="Herminda Arriagada"/>
    <n v="0"/>
    <n v="0"/>
    <m/>
    <m/>
    <n v="6512"/>
    <n v="39300"/>
    <m/>
    <n v="39300"/>
    <x v="105"/>
    <n v="0"/>
    <d v="2020-02-08T00:00:00"/>
    <s v="Pagado"/>
    <d v="2020-02-08T00:00:00"/>
    <n v="39300"/>
    <s v="Transferencia"/>
    <m/>
    <m/>
    <s v="Estado"/>
    <m/>
    <m/>
    <m/>
    <m/>
    <m/>
    <m/>
    <s v=""/>
    <m/>
    <n v="33025.210084033613"/>
    <n v="6274.7899159663866"/>
    <s v="Pirque"/>
    <s v="Conocido"/>
    <s v="SI"/>
    <m/>
    <m/>
    <x v="0"/>
    <m/>
  </r>
  <r>
    <s v="C418"/>
    <s v="Claudia Ormazabal"/>
    <n v="0"/>
    <n v="2924"/>
    <m/>
    <m/>
    <n v="6509"/>
    <n v="22300"/>
    <m/>
    <n v="22300"/>
    <x v="105"/>
    <n v="0"/>
    <d v="2020-02-08T00:00:00"/>
    <s v="Pagado"/>
    <d v="2020-02-08T00:00:00"/>
    <n v="22300"/>
    <s v="Efectivo"/>
    <m/>
    <m/>
    <m/>
    <m/>
    <m/>
    <m/>
    <m/>
    <m/>
    <m/>
    <s v=""/>
    <m/>
    <n v="18739.495798319327"/>
    <n v="3560.5042016806728"/>
    <s v="Pirque"/>
    <s v="Conocido"/>
    <s v="SI"/>
    <m/>
    <m/>
    <x v="0"/>
    <m/>
  </r>
  <r>
    <s v="C063"/>
    <s v="Andrea Ramirez"/>
    <n v="0"/>
    <n v="2920"/>
    <m/>
    <m/>
    <n v="26505"/>
    <n v="9000"/>
    <m/>
    <n v="9000"/>
    <x v="105"/>
    <n v="0"/>
    <d v="2020-02-08T00:00:00"/>
    <s v="Pagado"/>
    <d v="2020-02-08T00:00:00"/>
    <n v="9000"/>
    <s v="Transferencia"/>
    <m/>
    <m/>
    <s v="Estado"/>
    <m/>
    <m/>
    <m/>
    <m/>
    <m/>
    <m/>
    <s v=""/>
    <m/>
    <n v="7563.0252100840344"/>
    <n v="1436.9747899159656"/>
    <s v="Pirque"/>
    <s v="Conocido"/>
    <s v="SI"/>
    <m/>
    <m/>
    <x v="0"/>
    <m/>
  </r>
  <r>
    <s v="C065"/>
    <s v="Peter De Lamare"/>
    <n v="0"/>
    <s v="sn"/>
    <m/>
    <m/>
    <n v="6516"/>
    <n v="9360"/>
    <m/>
    <n v="9360"/>
    <x v="106"/>
    <n v="0"/>
    <d v="2020-02-10T00:00:00"/>
    <s v="Pagado"/>
    <d v="2020-03-17T00:00:00"/>
    <n v="9360"/>
    <s v="Cheque a Fecha"/>
    <m/>
    <n v="2874834"/>
    <s v="BCI"/>
    <d v="2020-04-07T00:00:00"/>
    <m/>
    <m/>
    <m/>
    <m/>
    <m/>
    <s v="Otros"/>
    <m/>
    <n v="7865.546218487395"/>
    <n v="1494.453781512605"/>
    <s v="Pirque"/>
    <s v="Conocido"/>
    <s v="SI"/>
    <m/>
    <m/>
    <x v="0"/>
    <m/>
  </r>
  <r>
    <s v="C546"/>
    <s v="Martha Feres"/>
    <n v="0"/>
    <n v="2927"/>
    <m/>
    <m/>
    <n v="6513"/>
    <n v="35500"/>
    <m/>
    <n v="35500"/>
    <x v="106"/>
    <n v="0"/>
    <d v="2020-02-10T00:00:00"/>
    <s v="Pagado"/>
    <d v="2020-02-10T00:00:00"/>
    <n v="35500"/>
    <s v="Efectivo"/>
    <m/>
    <m/>
    <m/>
    <m/>
    <m/>
    <m/>
    <m/>
    <m/>
    <m/>
    <s v=""/>
    <m/>
    <n v="29831.932773109245"/>
    <n v="5668.0672268907547"/>
    <s v="Pirque"/>
    <s v="Revista"/>
    <s v="SI"/>
    <m/>
    <m/>
    <x v="0"/>
    <m/>
  </r>
  <r>
    <s v="C064"/>
    <s v="Maria Estela Matte"/>
    <n v="0"/>
    <s v="sn"/>
    <m/>
    <m/>
    <n v="6519"/>
    <n v="7300"/>
    <m/>
    <n v="7300"/>
    <x v="106"/>
    <n v="0"/>
    <d v="2020-02-10T00:00:00"/>
    <s v="Pagado"/>
    <d v="2020-02-10T00:00:00"/>
    <n v="7300"/>
    <s v="Transferencia"/>
    <m/>
    <m/>
    <s v="Itaú"/>
    <m/>
    <m/>
    <m/>
    <m/>
    <m/>
    <m/>
    <s v=""/>
    <m/>
    <n v="6134.453781512605"/>
    <n v="1165.546218487395"/>
    <s v="Pirque"/>
    <s v="Revista"/>
    <s v="SI"/>
    <m/>
    <m/>
    <x v="0"/>
    <m/>
  </r>
  <r>
    <s v="C538"/>
    <s v="Katherine Torres"/>
    <n v="0"/>
    <n v="208"/>
    <m/>
    <m/>
    <n v="6515"/>
    <n v="46400"/>
    <m/>
    <n v="46400"/>
    <x v="106"/>
    <n v="0"/>
    <d v="2020-02-10T00:00:00"/>
    <s v="Pagado"/>
    <d v="2020-02-10T00:00:00"/>
    <n v="46400"/>
    <s v="Transbank"/>
    <s v="Credito"/>
    <n v="208"/>
    <m/>
    <m/>
    <m/>
    <m/>
    <m/>
    <m/>
    <m/>
    <s v=""/>
    <m/>
    <n v="38991.596638655465"/>
    <n v="7408.4033613445354"/>
    <s v="Pirque"/>
    <s v="Revista"/>
    <s v="SI"/>
    <m/>
    <m/>
    <x v="0"/>
    <m/>
  </r>
  <r>
    <s v="C583"/>
    <s v="Karina Ormeño"/>
    <n v="0"/>
    <n v="2925"/>
    <m/>
    <m/>
    <n v="6507"/>
    <n v="30400"/>
    <m/>
    <n v="30400"/>
    <x v="106"/>
    <n v="0"/>
    <d v="2020-02-10T00:00:00"/>
    <s v="Pagado"/>
    <d v="2020-02-10T00:00:00"/>
    <n v="30400"/>
    <s v="Transferencia"/>
    <m/>
    <m/>
    <s v="Chile"/>
    <m/>
    <m/>
    <m/>
    <m/>
    <m/>
    <m/>
    <s v=""/>
    <m/>
    <n v="25546.218487394959"/>
    <n v="4853.7815126050409"/>
    <s v="Pirque"/>
    <s v="Revista"/>
    <s v="SI"/>
    <m/>
    <m/>
    <x v="0"/>
    <m/>
  </r>
  <r>
    <s v="C658"/>
    <s v="Isabel Valdes (Revista Todo Pirque)"/>
    <n v="0"/>
    <s v="sn"/>
    <m/>
    <m/>
    <n v="6518"/>
    <n v="37700"/>
    <m/>
    <n v="37700"/>
    <x v="106"/>
    <n v="0"/>
    <d v="2020-02-10T00:00:00"/>
    <s v="Vencido"/>
    <m/>
    <m/>
    <m/>
    <m/>
    <m/>
    <m/>
    <m/>
    <m/>
    <m/>
    <m/>
    <m/>
    <m/>
    <s v=""/>
    <m/>
    <n v="31680.672268907565"/>
    <n v="6019.327731092435"/>
    <s v="Pirque"/>
    <s v="Revista"/>
    <s v="NO"/>
    <m/>
    <m/>
    <x v="0"/>
    <m/>
  </r>
  <r>
    <s v="C001"/>
    <s v="Benito Campos y Cia Ltda."/>
    <n v="3105"/>
    <n v="0"/>
    <m/>
    <m/>
    <s v="sn"/>
    <n v="477002"/>
    <m/>
    <n v="477002"/>
    <x v="106"/>
    <n v="30"/>
    <d v="2020-03-11T00:00:00"/>
    <s v="Pagado"/>
    <d v="2020-03-17T00:00:00"/>
    <n v="477002"/>
    <s v="Transferencia"/>
    <m/>
    <m/>
    <m/>
    <m/>
    <m/>
    <m/>
    <m/>
    <m/>
    <m/>
    <s v=""/>
    <m/>
    <n v="400842.01680672274"/>
    <n v="76159.983193277265"/>
    <s v="Cajon"/>
    <s v="Visita"/>
    <s v="SI"/>
    <m/>
    <m/>
    <x v="1"/>
    <m/>
  </r>
  <r>
    <s v="C390"/>
    <s v="Auria Villanueva"/>
    <n v="0"/>
    <n v="209"/>
    <m/>
    <m/>
    <n v="6517"/>
    <n v="25500"/>
    <m/>
    <n v="25500"/>
    <x v="106"/>
    <n v="0"/>
    <d v="2020-02-10T00:00:00"/>
    <s v="Pagado"/>
    <d v="2020-02-10T00:00:00"/>
    <n v="25500"/>
    <s v="Transbank"/>
    <s v="Credito"/>
    <n v="209"/>
    <m/>
    <m/>
    <m/>
    <m/>
    <m/>
    <m/>
    <m/>
    <s v=""/>
    <m/>
    <n v="21428.571428571431"/>
    <n v="4071.4285714285688"/>
    <s v="Pirque"/>
    <s v="Revista"/>
    <s v="SI"/>
    <m/>
    <m/>
    <x v="0"/>
    <m/>
  </r>
  <r>
    <s v="C063"/>
    <s v="Andrea Ramirez"/>
    <n v="0"/>
    <n v="2928"/>
    <m/>
    <m/>
    <n v="6514"/>
    <n v="16500"/>
    <m/>
    <n v="16500"/>
    <x v="106"/>
    <n v="0"/>
    <d v="2020-02-10T00:00:00"/>
    <s v="Pagado"/>
    <d v="2020-02-10T00:00:00"/>
    <n v="16500"/>
    <s v="Transferencia"/>
    <m/>
    <m/>
    <s v="Estado"/>
    <m/>
    <m/>
    <m/>
    <m/>
    <m/>
    <m/>
    <s v=""/>
    <m/>
    <n v="13865.546218487396"/>
    <n v="2634.4537815126041"/>
    <s v="Pirque"/>
    <s v="Conocido"/>
    <s v="SI"/>
    <m/>
    <m/>
    <x v="0"/>
    <m/>
  </r>
  <r>
    <s v="C337"/>
    <s v="Petrova Alonso"/>
    <n v="0"/>
    <n v="2931"/>
    <m/>
    <m/>
    <n v="6526"/>
    <n v="11400"/>
    <m/>
    <n v="11400"/>
    <x v="107"/>
    <n v="0"/>
    <d v="2020-02-11T00:00:00"/>
    <s v="Pagado"/>
    <d v="2020-02-11T00:00:00"/>
    <n v="11400"/>
    <s v="Efectivo"/>
    <m/>
    <m/>
    <m/>
    <m/>
    <m/>
    <m/>
    <m/>
    <m/>
    <m/>
    <s v=""/>
    <m/>
    <n v="9579.8319327731097"/>
    <n v="1820.1680672268903"/>
    <s v="Pirque"/>
    <s v="Conocido"/>
    <s v="SI"/>
    <m/>
    <m/>
    <x v="0"/>
    <m/>
  </r>
  <r>
    <s v="C292"/>
    <s v="Juan Salvo"/>
    <n v="0"/>
    <n v="207"/>
    <m/>
    <m/>
    <n v="6525"/>
    <n v="33900"/>
    <m/>
    <n v="33900"/>
    <x v="107"/>
    <n v="0"/>
    <d v="2020-02-11T00:00:00"/>
    <s v="Pagado"/>
    <d v="2020-02-11T00:00:00"/>
    <n v="33900"/>
    <s v="Transbank"/>
    <s v="Debito"/>
    <n v="207"/>
    <m/>
    <m/>
    <m/>
    <m/>
    <m/>
    <m/>
    <m/>
    <s v=""/>
    <m/>
    <n v="28487.394957983193"/>
    <n v="5412.6050420168067"/>
    <s v="Pirque"/>
    <s v="Revista"/>
    <s v="SI"/>
    <m/>
    <m/>
    <x v="0"/>
    <m/>
  </r>
  <r>
    <s v="C389"/>
    <s v="Juan Pinilla"/>
    <n v="0"/>
    <s v="sn"/>
    <m/>
    <m/>
    <n v="6522"/>
    <n v="31500"/>
    <m/>
    <n v="31500"/>
    <x v="107"/>
    <n v="0"/>
    <d v="2020-02-11T00:00:00"/>
    <s v="Pagado"/>
    <d v="2020-02-18T00:00:00"/>
    <n v="31500"/>
    <s v="Transferencia"/>
    <m/>
    <m/>
    <s v="Security"/>
    <m/>
    <m/>
    <m/>
    <m/>
    <m/>
    <m/>
    <s v=""/>
    <m/>
    <n v="26470.588235294119"/>
    <n v="5029.4117647058811"/>
    <s v="Pirque"/>
    <s v="Conocido"/>
    <s v="SI"/>
    <m/>
    <m/>
    <x v="0"/>
    <m/>
  </r>
  <r>
    <s v="C496"/>
    <s v="Juan Jose Torres"/>
    <n v="0"/>
    <n v="2929"/>
    <m/>
    <m/>
    <n v="6521"/>
    <n v="9600"/>
    <m/>
    <n v="9600"/>
    <x v="107"/>
    <n v="0"/>
    <d v="2020-02-11T00:00:00"/>
    <s v="Pagado"/>
    <d v="2020-02-11T00:00:00"/>
    <n v="9600"/>
    <s v="Efectivo"/>
    <m/>
    <m/>
    <m/>
    <m/>
    <m/>
    <m/>
    <m/>
    <m/>
    <m/>
    <s v=""/>
    <m/>
    <n v="8067.226890756303"/>
    <n v="1532.773109243697"/>
    <s v="Pirque"/>
    <s v="Revista"/>
    <s v="SI"/>
    <m/>
    <m/>
    <x v="0"/>
    <m/>
  </r>
  <r>
    <s v="C660"/>
    <s v="Carolina Lama "/>
    <n v="0"/>
    <s v="sn"/>
    <m/>
    <m/>
    <n v="6523"/>
    <n v="33000"/>
    <m/>
    <n v="33000"/>
    <x v="107"/>
    <n v="0"/>
    <d v="2020-02-11T00:00:00"/>
    <s v="Pagado"/>
    <d v="2020-02-11T00:00:00"/>
    <n v="33000"/>
    <s v="Transferencia"/>
    <m/>
    <m/>
    <s v="BCI"/>
    <m/>
    <m/>
    <m/>
    <m/>
    <m/>
    <m/>
    <s v=""/>
    <m/>
    <n v="27731.092436974792"/>
    <n v="5268.9075630252082"/>
    <s v="Pirque"/>
    <s v="Revista"/>
    <s v="SI"/>
    <m/>
    <m/>
    <x v="0"/>
    <m/>
  </r>
  <r>
    <s v="C659"/>
    <s v="Carola Huerta"/>
    <n v="0"/>
    <s v="sn"/>
    <m/>
    <m/>
    <n v="6524"/>
    <n v="16500"/>
    <m/>
    <n v="16500"/>
    <x v="107"/>
    <n v="0"/>
    <d v="2020-02-11T00:00:00"/>
    <s v="Pagado"/>
    <d v="2020-02-11T00:00:00"/>
    <n v="16500"/>
    <s v="Transferencia"/>
    <m/>
    <m/>
    <s v="Santander"/>
    <m/>
    <m/>
    <m/>
    <m/>
    <m/>
    <m/>
    <s v=""/>
    <m/>
    <n v="13865.546218487396"/>
    <n v="2634.4537815126041"/>
    <s v="Pirque"/>
    <s v="Revista"/>
    <s v="SI"/>
    <m/>
    <m/>
    <x v="0"/>
    <m/>
  </r>
  <r>
    <s v="C584"/>
    <s v="Alejandra Hamame"/>
    <n v="0"/>
    <n v="2930"/>
    <m/>
    <m/>
    <n v="6520"/>
    <n v="35500"/>
    <m/>
    <n v="35500"/>
    <x v="107"/>
    <n v="0"/>
    <d v="2020-02-11T00:00:00"/>
    <s v="Pagado"/>
    <d v="2020-02-11T00:00:00"/>
    <n v="35500"/>
    <s v="Cheque al Día"/>
    <m/>
    <m/>
    <s v="Chile"/>
    <m/>
    <m/>
    <m/>
    <m/>
    <m/>
    <m/>
    <s v="Chile"/>
    <m/>
    <n v="29831.932773109245"/>
    <n v="5668.0672268907547"/>
    <s v="Pirque"/>
    <s v="Revista"/>
    <s v="SI"/>
    <m/>
    <m/>
    <x v="0"/>
    <m/>
  </r>
  <r>
    <s v="C004"/>
    <s v="Rosa Gladys Vidal Mora"/>
    <n v="3111"/>
    <n v="0"/>
    <m/>
    <m/>
    <s v="sn"/>
    <n v="36595"/>
    <m/>
    <n v="36595"/>
    <x v="108"/>
    <n v="7"/>
    <d v="2020-02-19T00:00:00"/>
    <s v="Pagado"/>
    <d v="2020-02-12T00:00:00"/>
    <n v="36595"/>
    <s v="Cheque a Fecha"/>
    <m/>
    <n v="1116369"/>
    <s v="Santander"/>
    <d v="2020-02-24T00:00:00"/>
    <m/>
    <m/>
    <m/>
    <m/>
    <m/>
    <s v="Otros"/>
    <m/>
    <n v="30752.100840336137"/>
    <n v="5842.8991596638625"/>
    <s v="Cajon"/>
    <s v="Visita"/>
    <s v="SI"/>
    <m/>
    <m/>
    <x v="1"/>
    <m/>
  </r>
  <r>
    <s v="C406"/>
    <s v="Naitana y Kufeke SPA"/>
    <n v="3106"/>
    <n v="0"/>
    <m/>
    <m/>
    <s v="sn"/>
    <n v="70497"/>
    <m/>
    <n v="70497"/>
    <x v="108"/>
    <n v="0"/>
    <d v="2020-02-12T00:00:00"/>
    <s v="Pagado"/>
    <d v="2020-03-16T00:00:00"/>
    <n v="70497"/>
    <s v="Transferencia"/>
    <m/>
    <m/>
    <s v="Santander"/>
    <m/>
    <m/>
    <m/>
    <m/>
    <m/>
    <m/>
    <s v=""/>
    <m/>
    <n v="59241.176470588238"/>
    <n v="11255.823529411762"/>
    <s v="Pirque"/>
    <s v="Visita"/>
    <s v="SI"/>
    <m/>
    <m/>
    <x v="1"/>
    <m/>
  </r>
  <r>
    <s v="C406"/>
    <s v="Naitana y Kufeke SPA"/>
    <n v="3109"/>
    <n v="0"/>
    <m/>
    <m/>
    <s v="sn"/>
    <n v="46580"/>
    <m/>
    <n v="46580"/>
    <x v="108"/>
    <n v="0"/>
    <d v="2020-02-12T00:00:00"/>
    <s v="Pagado"/>
    <d v="2020-03-16T00:00:00"/>
    <n v="46580"/>
    <s v="Transferencia"/>
    <m/>
    <m/>
    <s v="Santander"/>
    <m/>
    <m/>
    <m/>
    <m/>
    <m/>
    <m/>
    <s v=""/>
    <m/>
    <n v="39142.857142857145"/>
    <n v="7437.1428571428551"/>
    <s v="Pirque"/>
    <s v="Visita"/>
    <s v="SI"/>
    <m/>
    <m/>
    <x v="1"/>
    <m/>
  </r>
  <r>
    <s v="C582"/>
    <s v="Luis Narvaes"/>
    <n v="0"/>
    <n v="2936"/>
    <m/>
    <m/>
    <n v="6531"/>
    <n v="39900"/>
    <m/>
    <n v="39900"/>
    <x v="108"/>
    <n v="0"/>
    <d v="2020-02-12T00:00:00"/>
    <s v="Pagado"/>
    <d v="2020-02-12T00:00:00"/>
    <n v="39900"/>
    <s v="Efectivo"/>
    <m/>
    <m/>
    <m/>
    <m/>
    <m/>
    <m/>
    <m/>
    <m/>
    <m/>
    <s v=""/>
    <m/>
    <n v="33529.411764705881"/>
    <n v="6370.5882352941189"/>
    <s v="Pirque"/>
    <s v="Revista"/>
    <s v="SI"/>
    <m/>
    <m/>
    <x v="0"/>
    <m/>
  </r>
  <r>
    <s v="C079"/>
    <s v="Kim Cornely"/>
    <n v="0"/>
    <n v="2935"/>
    <m/>
    <m/>
    <n v="6532"/>
    <n v="16500"/>
    <m/>
    <n v="16500"/>
    <x v="108"/>
    <n v="0"/>
    <d v="2020-02-12T00:00:00"/>
    <s v="Pagado"/>
    <d v="2020-02-12T00:00:00"/>
    <n v="16500"/>
    <s v="Transferencia"/>
    <m/>
    <m/>
    <s v="Chile"/>
    <m/>
    <m/>
    <m/>
    <m/>
    <m/>
    <m/>
    <s v=""/>
    <m/>
    <n v="13865.546218487396"/>
    <n v="2634.4537815126041"/>
    <s v="Pirque"/>
    <s v="Conocido"/>
    <s v="SI"/>
    <m/>
    <m/>
    <x v="0"/>
    <m/>
  </r>
  <r>
    <s v="C005"/>
    <s v="Julia Ines Rebolledo Retamal"/>
    <n v="3110"/>
    <n v="0"/>
    <m/>
    <m/>
    <s v="sn"/>
    <n v="101568"/>
    <m/>
    <n v="101568"/>
    <x v="108"/>
    <n v="7"/>
    <d v="2020-02-19T00:00:00"/>
    <s v="Pagado"/>
    <d v="2020-02-19T00:00:00"/>
    <n v="101568"/>
    <s v="Efectivo"/>
    <m/>
    <m/>
    <m/>
    <m/>
    <n v="7679369"/>
    <n v="101568"/>
    <d v="2020-02-25T00:00:00"/>
    <s v="Chile"/>
    <m/>
    <s v=""/>
    <m/>
    <n v="85351.26050420168"/>
    <n v="16216.73949579832"/>
    <s v="Cajon"/>
    <s v="Visita"/>
    <s v="SI"/>
    <m/>
    <m/>
    <x v="1"/>
    <m/>
  </r>
  <r>
    <s v="C209"/>
    <s v="David Le May"/>
    <n v="0"/>
    <n v="2937"/>
    <m/>
    <m/>
    <n v="6529"/>
    <n v="22800"/>
    <m/>
    <n v="22800"/>
    <x v="108"/>
    <n v="0"/>
    <d v="2020-02-12T00:00:00"/>
    <s v="Pagado"/>
    <d v="2020-02-12T00:00:00"/>
    <n v="22800"/>
    <s v="Efectivo"/>
    <m/>
    <m/>
    <m/>
    <m/>
    <m/>
    <m/>
    <m/>
    <m/>
    <m/>
    <s v=""/>
    <m/>
    <n v="19159.663865546219"/>
    <n v="3640.3361344537807"/>
    <s v="Pirque"/>
    <s v="Revista"/>
    <s v="SI"/>
    <m/>
    <m/>
    <x v="0"/>
    <m/>
  </r>
  <r>
    <s v="C558"/>
    <s v="Carola Pardo"/>
    <n v="0"/>
    <n v="2932"/>
    <m/>
    <m/>
    <n v="6528"/>
    <n v="19700"/>
    <m/>
    <n v="19700"/>
    <x v="108"/>
    <n v="0"/>
    <d v="2020-02-12T00:00:00"/>
    <s v="Pagado"/>
    <d v="2020-02-12T00:00:00"/>
    <n v="19700"/>
    <s v="Efectivo"/>
    <m/>
    <m/>
    <m/>
    <m/>
    <m/>
    <m/>
    <m/>
    <m/>
    <m/>
    <s v=""/>
    <m/>
    <n v="16554.621848739498"/>
    <n v="3145.3781512605019"/>
    <s v="Pirque"/>
    <s v="Revista"/>
    <s v="SI"/>
    <m/>
    <m/>
    <x v="0"/>
    <m/>
  </r>
  <r>
    <s v="C001"/>
    <s v="Benito Campos y Cia Ltda."/>
    <n v="3107"/>
    <n v="0"/>
    <m/>
    <m/>
    <s v="sn"/>
    <n v="174758"/>
    <m/>
    <n v="174758"/>
    <x v="108"/>
    <n v="30"/>
    <d v="2020-03-13T00:00:00"/>
    <s v="Pagado"/>
    <d v="2020-03-23T00:00:00"/>
    <n v="174758"/>
    <s v="Transferencia"/>
    <m/>
    <m/>
    <m/>
    <m/>
    <m/>
    <m/>
    <m/>
    <m/>
    <m/>
    <s v=""/>
    <m/>
    <n v="146855.46218487396"/>
    <n v="27902.537815126037"/>
    <s v="Cajon"/>
    <s v="Visita"/>
    <s v="SI"/>
    <m/>
    <m/>
    <x v="1"/>
    <m/>
  </r>
  <r>
    <s v="C001"/>
    <s v="Benito Campos y Cia Ltda."/>
    <n v="3108"/>
    <n v="0"/>
    <m/>
    <m/>
    <s v="sn"/>
    <n v="57822"/>
    <m/>
    <n v="57822"/>
    <x v="108"/>
    <n v="30"/>
    <d v="2020-03-13T00:00:00"/>
    <s v="Pagado"/>
    <d v="2020-03-23T00:00:00"/>
    <n v="57822"/>
    <s v="Transferencia"/>
    <m/>
    <m/>
    <m/>
    <m/>
    <m/>
    <m/>
    <m/>
    <m/>
    <m/>
    <s v=""/>
    <m/>
    <n v="48589.915966386558"/>
    <n v="9232.0840336134424"/>
    <s v="Cajon"/>
    <s v="Visita"/>
    <s v="SI"/>
    <m/>
    <m/>
    <x v="1"/>
    <m/>
  </r>
  <r>
    <s v="C037"/>
    <s v="Amelia Cortes"/>
    <n v="0"/>
    <n v="2934"/>
    <m/>
    <m/>
    <n v="6530"/>
    <n v="35500"/>
    <m/>
    <n v="35500"/>
    <x v="108"/>
    <n v="0"/>
    <d v="2020-02-12T00:00:00"/>
    <s v="Pagado"/>
    <d v="2020-03-04T00:00:00"/>
    <n v="35500"/>
    <s v="Transferencia"/>
    <m/>
    <m/>
    <s v="Itaú"/>
    <m/>
    <m/>
    <m/>
    <m/>
    <m/>
    <m/>
    <s v=""/>
    <m/>
    <n v="29831.932773109245"/>
    <n v="5668.0672268907547"/>
    <s v="Cajon"/>
    <s v="Revista"/>
    <s v="SI"/>
    <m/>
    <m/>
    <x v="0"/>
    <m/>
  </r>
  <r>
    <s v="C572"/>
    <s v="Aldo Tapia"/>
    <n v="0"/>
    <n v="2933"/>
    <m/>
    <m/>
    <n v="6527"/>
    <n v="16500"/>
    <m/>
    <n v="16500"/>
    <x v="108"/>
    <n v="0"/>
    <d v="2020-02-12T00:00:00"/>
    <s v="Abonado"/>
    <d v="2020-02-12T00:00:00"/>
    <n v="15500"/>
    <s v="Efectivo"/>
    <m/>
    <m/>
    <m/>
    <m/>
    <m/>
    <m/>
    <m/>
    <m/>
    <m/>
    <s v=""/>
    <m/>
    <n v="13865.546218487396"/>
    <n v="2634.4537815126041"/>
    <s v="Pirque"/>
    <s v="Revista"/>
    <s v="NO"/>
    <m/>
    <m/>
    <x v="0"/>
    <m/>
  </r>
  <r>
    <s v="C501"/>
    <s v="Victor Rodriguez"/>
    <n v="0"/>
    <n v="2942"/>
    <m/>
    <m/>
    <n v="6533"/>
    <n v="22700"/>
    <m/>
    <n v="22700"/>
    <x v="109"/>
    <n v="0"/>
    <d v="2020-02-13T00:00:00"/>
    <s v="Pagado"/>
    <d v="2020-02-13T00:00:00"/>
    <n v="22700"/>
    <s v="Efectivo"/>
    <m/>
    <m/>
    <m/>
    <m/>
    <m/>
    <m/>
    <m/>
    <m/>
    <m/>
    <s v=""/>
    <m/>
    <n v="19075.63025210084"/>
    <n v="3624.3697478991598"/>
    <s v="Pirque"/>
    <s v="Revista"/>
    <s v="SI"/>
    <m/>
    <m/>
    <x v="0"/>
    <m/>
  </r>
  <r>
    <s v="C556"/>
    <s v="Patricio Tapia"/>
    <n v="0"/>
    <n v="2939"/>
    <m/>
    <m/>
    <n v="6537"/>
    <n v="15800"/>
    <m/>
    <n v="15800"/>
    <x v="109"/>
    <n v="0"/>
    <d v="2020-02-13T00:00:00"/>
    <s v="Pagado"/>
    <d v="2020-02-13T00:00:00"/>
    <n v="15800"/>
    <s v="Transferencia"/>
    <m/>
    <m/>
    <s v="Chile"/>
    <m/>
    <m/>
    <m/>
    <m/>
    <m/>
    <m/>
    <s v=""/>
    <m/>
    <n v="13277.310924369749"/>
    <n v="2522.689075630251"/>
    <s v="Pirque"/>
    <s v="Revista"/>
    <s v="SI"/>
    <m/>
    <m/>
    <x v="0"/>
    <m/>
  </r>
  <r>
    <s v="C625"/>
    <s v="Patricia Zapata"/>
    <n v="0"/>
    <n v="2945"/>
    <m/>
    <m/>
    <n v="6545"/>
    <n v="31600"/>
    <m/>
    <n v="31600"/>
    <x v="109"/>
    <n v="0"/>
    <d v="2020-02-13T00:00:00"/>
    <s v="Pagado"/>
    <d v="2020-02-13T00:00:00"/>
    <n v="31600"/>
    <s v="Transferencia"/>
    <m/>
    <m/>
    <s v="BCI"/>
    <m/>
    <m/>
    <m/>
    <m/>
    <m/>
    <m/>
    <s v=""/>
    <m/>
    <n v="26554.621848739498"/>
    <n v="5045.3781512605019"/>
    <s v="Pirque"/>
    <s v="Revista"/>
    <s v="SI"/>
    <m/>
    <m/>
    <x v="0"/>
    <m/>
  </r>
  <r>
    <s v="C079"/>
    <s v="Kim Cornely"/>
    <n v="0"/>
    <n v="2938"/>
    <m/>
    <m/>
    <n v="6538"/>
    <n v="11600"/>
    <m/>
    <n v="11600"/>
    <x v="109"/>
    <n v="0"/>
    <d v="2020-02-13T00:00:00"/>
    <s v="Pagado"/>
    <d v="2020-02-12T00:00:00"/>
    <n v="11600"/>
    <s v="Transferencia"/>
    <m/>
    <m/>
    <s v="Chile"/>
    <m/>
    <m/>
    <m/>
    <m/>
    <m/>
    <m/>
    <s v=""/>
    <m/>
    <n v="9747.8991596638662"/>
    <n v="1852.1008403361338"/>
    <s v="Pirque"/>
    <s v="Conocido"/>
    <s v="SI"/>
    <m/>
    <m/>
    <x v="0"/>
    <m/>
  </r>
  <r>
    <s v="C349"/>
    <s v="Elaine Pratt"/>
    <n v="0"/>
    <n v="2941"/>
    <m/>
    <m/>
    <n v="6535"/>
    <n v="23000"/>
    <m/>
    <n v="23000"/>
    <x v="109"/>
    <n v="0"/>
    <d v="2020-02-13T00:00:00"/>
    <s v="Pagado"/>
    <d v="2020-02-13T00:00:00"/>
    <n v="23000"/>
    <s v="Efectivo"/>
    <m/>
    <m/>
    <m/>
    <m/>
    <m/>
    <m/>
    <m/>
    <m/>
    <m/>
    <s v=""/>
    <m/>
    <n v="19327.731092436974"/>
    <n v="3672.268907563026"/>
    <s v="Pirque"/>
    <s v="Conocido"/>
    <s v="SI"/>
    <m/>
    <m/>
    <x v="0"/>
    <m/>
  </r>
  <r>
    <s v="C108"/>
    <s v="Denisse Marti"/>
    <n v="0"/>
    <n v="2943"/>
    <m/>
    <m/>
    <n v="6534"/>
    <n v="33100"/>
    <m/>
    <n v="33100"/>
    <x v="109"/>
    <n v="0"/>
    <d v="2020-02-13T00:00:00"/>
    <s v="Pagado"/>
    <d v="2020-02-13T00:00:00"/>
    <n v="33100"/>
    <s v="Transferencia"/>
    <m/>
    <m/>
    <s v="Santander"/>
    <m/>
    <m/>
    <m/>
    <m/>
    <m/>
    <m/>
    <s v=""/>
    <m/>
    <n v="27815.126050420171"/>
    <n v="5284.8739495798291"/>
    <s v="Pirque"/>
    <s v="Revista"/>
    <s v="SI"/>
    <m/>
    <m/>
    <x v="0"/>
    <m/>
  </r>
  <r>
    <s v="C661"/>
    <s v="Cecilia Figueroa"/>
    <n v="0"/>
    <n v="2944"/>
    <m/>
    <m/>
    <n v="6539"/>
    <n v="12500"/>
    <m/>
    <n v="12500"/>
    <x v="109"/>
    <n v="0"/>
    <d v="2020-02-13T00:00:00"/>
    <s v="Pagado"/>
    <d v="2020-02-13T00:00:00"/>
    <n v="12500"/>
    <s v="Efectivo"/>
    <m/>
    <m/>
    <m/>
    <m/>
    <m/>
    <m/>
    <m/>
    <m/>
    <m/>
    <s v=""/>
    <m/>
    <n v="10504.20168067227"/>
    <n v="1995.7983193277305"/>
    <s v="Pirque"/>
    <s v="Revista"/>
    <s v="SI"/>
    <m/>
    <m/>
    <x v="0"/>
    <m/>
  </r>
  <r>
    <s v="C452"/>
    <s v="Camila Zamorano"/>
    <n v="0"/>
    <n v="2940"/>
    <m/>
    <m/>
    <n v="6536"/>
    <n v="12500"/>
    <m/>
    <n v="12500"/>
    <x v="109"/>
    <n v="0"/>
    <d v="2020-02-13T00:00:00"/>
    <s v="Pagado"/>
    <d v="2020-02-13T00:00:00"/>
    <n v="12500"/>
    <s v="Transferencia"/>
    <m/>
    <m/>
    <s v="BCI"/>
    <m/>
    <m/>
    <m/>
    <m/>
    <m/>
    <m/>
    <s v=""/>
    <m/>
    <n v="10504.20168067227"/>
    <n v="1995.7983193277305"/>
    <s v="Pirque"/>
    <s v="Revista"/>
    <s v="SI"/>
    <m/>
    <m/>
    <x v="0"/>
    <m/>
  </r>
  <r>
    <s v="C062"/>
    <s v="Verena Scholtbach"/>
    <n v="0"/>
    <s v="sn"/>
    <m/>
    <m/>
    <n v="6541"/>
    <n v="33100"/>
    <m/>
    <n v="33100"/>
    <x v="110"/>
    <n v="0"/>
    <d v="2020-02-14T00:00:00"/>
    <s v="Pagado"/>
    <d v="2020-03-06T00:00:00"/>
    <n v="33100"/>
    <s v="Transferencia"/>
    <m/>
    <m/>
    <s v="BCI"/>
    <m/>
    <m/>
    <m/>
    <m/>
    <m/>
    <m/>
    <s v=""/>
    <m/>
    <n v="27815.126050420171"/>
    <n v="5284.8739495798291"/>
    <s v="Pirque"/>
    <s v="Conocido"/>
    <s v="SI"/>
    <m/>
    <m/>
    <x v="0"/>
    <m/>
  </r>
  <r>
    <s v="C555"/>
    <s v="Patricio Olmedo"/>
    <n v="0"/>
    <n v="2948"/>
    <m/>
    <m/>
    <n v="6546"/>
    <n v="12500"/>
    <m/>
    <n v="12500"/>
    <x v="110"/>
    <n v="0"/>
    <d v="2020-02-14T00:00:00"/>
    <s v="Pagado"/>
    <d v="2020-02-14T00:00:00"/>
    <n v="12500"/>
    <s v="Efectivo"/>
    <m/>
    <m/>
    <m/>
    <m/>
    <m/>
    <m/>
    <m/>
    <m/>
    <m/>
    <s v=""/>
    <m/>
    <n v="10504.20168067227"/>
    <n v="1995.7983193277305"/>
    <s v="Pirque"/>
    <s v="Revista"/>
    <s v="SI"/>
    <m/>
    <m/>
    <x v="0"/>
    <m/>
  </r>
  <r>
    <s v="C627"/>
    <s v="Luis Elola"/>
    <n v="0"/>
    <n v="208"/>
    <m/>
    <m/>
    <n v="6542"/>
    <n v="45600"/>
    <m/>
    <n v="45600"/>
    <x v="110"/>
    <n v="0"/>
    <d v="2020-02-14T00:00:00"/>
    <s v="Pagado"/>
    <d v="2020-02-14T00:00:00"/>
    <n v="45600"/>
    <s v="Efectivo"/>
    <m/>
    <n v="208"/>
    <m/>
    <m/>
    <m/>
    <m/>
    <m/>
    <m/>
    <m/>
    <s v=""/>
    <m/>
    <n v="38319.327731092439"/>
    <n v="7280.6722689075614"/>
    <s v="Pirque"/>
    <s v="Revista"/>
    <s v="SI"/>
    <m/>
    <m/>
    <x v="0"/>
    <m/>
  </r>
  <r>
    <s v="C590"/>
    <s v="Lorena Sanzana"/>
    <n v="0"/>
    <n v="2947"/>
    <m/>
    <m/>
    <n v="6543"/>
    <n v="39400"/>
    <m/>
    <n v="39400"/>
    <x v="110"/>
    <n v="0"/>
    <d v="2020-02-14T00:00:00"/>
    <s v="Pagado"/>
    <d v="2020-02-14T00:00:00"/>
    <n v="39400"/>
    <s v="Transferencia"/>
    <m/>
    <m/>
    <s v="Estado"/>
    <m/>
    <m/>
    <m/>
    <m/>
    <m/>
    <m/>
    <s v=""/>
    <m/>
    <n v="33109.243697478996"/>
    <n v="6290.7563025210038"/>
    <s v="Pirque"/>
    <s v="Revista"/>
    <s v="SI"/>
    <m/>
    <m/>
    <x v="0"/>
    <m/>
  </r>
  <r>
    <s v="C396"/>
    <s v="Alejandro Ossandon"/>
    <n v="0"/>
    <n v="209"/>
    <m/>
    <m/>
    <n v="6544"/>
    <n v="59100"/>
    <m/>
    <n v="59100"/>
    <x v="110"/>
    <n v="0"/>
    <d v="2020-02-14T00:00:00"/>
    <s v="Pagado"/>
    <d v="2020-02-14T00:00:00"/>
    <n v="59100"/>
    <s v="Transbank"/>
    <s v="Debito"/>
    <n v="209"/>
    <m/>
    <m/>
    <m/>
    <m/>
    <m/>
    <m/>
    <m/>
    <s v=""/>
    <m/>
    <n v="49663.865546218491"/>
    <n v="9436.1344537815094"/>
    <s v="Pirque"/>
    <s v="Conocido"/>
    <s v="SI"/>
    <m/>
    <m/>
    <x v="0"/>
    <m/>
  </r>
  <r>
    <s v="C612"/>
    <s v="Manuel Ponce"/>
    <n v="0"/>
    <n v="212"/>
    <m/>
    <m/>
    <n v="6549"/>
    <n v="15200"/>
    <m/>
    <n v="15200"/>
    <x v="111"/>
    <n v="0"/>
    <d v="2020-02-17T00:00:00"/>
    <s v="Pagado"/>
    <d v="2020-02-17T00:00:00"/>
    <n v="15200"/>
    <s v="Transbank"/>
    <s v="Debito"/>
    <n v="212"/>
    <m/>
    <m/>
    <m/>
    <m/>
    <m/>
    <m/>
    <m/>
    <s v=""/>
    <m/>
    <n v="12773.10924369748"/>
    <n v="2426.8907563025205"/>
    <s v="Pirque"/>
    <s v="Revista"/>
    <s v="SI"/>
    <m/>
    <m/>
    <x v="0"/>
    <m/>
  </r>
  <r>
    <s v="C620"/>
    <s v="Luz Maria Ossandon"/>
    <n v="0"/>
    <n v="2949"/>
    <m/>
    <m/>
    <n v="6547"/>
    <n v="19900"/>
    <m/>
    <n v="19900"/>
    <x v="111"/>
    <n v="0"/>
    <d v="2020-02-17T00:00:00"/>
    <s v="Pagado"/>
    <d v="2020-02-15T00:00:00"/>
    <n v="19900"/>
    <s v="Transferencia"/>
    <m/>
    <m/>
    <s v="Estado"/>
    <m/>
    <m/>
    <m/>
    <m/>
    <m/>
    <m/>
    <s v=""/>
    <m/>
    <n v="16722.689075630253"/>
    <n v="3177.3109243697472"/>
    <s v="Pirque"/>
    <s v="Conocido"/>
    <s v="SI"/>
    <m/>
    <m/>
    <x v="0"/>
    <m/>
  </r>
  <r>
    <s v="C371"/>
    <s v="Isabel Serrano"/>
    <n v="0"/>
    <s v="sn"/>
    <m/>
    <m/>
    <n v="6601"/>
    <n v="10800"/>
    <m/>
    <n v="10800"/>
    <x v="111"/>
    <n v="0"/>
    <d v="2020-02-17T00:00:00"/>
    <s v="Pagado"/>
    <d v="2020-03-05T00:00:00"/>
    <n v="10800"/>
    <s v="Transferencia"/>
    <m/>
    <m/>
    <s v="Santander"/>
    <m/>
    <m/>
    <m/>
    <m/>
    <m/>
    <m/>
    <s v=""/>
    <m/>
    <n v="9075.6302521008402"/>
    <n v="1724.3697478991598"/>
    <s v="Pirque"/>
    <s v="Conocido"/>
    <s v="SI"/>
    <m/>
    <m/>
    <x v="0"/>
    <m/>
  </r>
  <r>
    <s v="C662"/>
    <s v="Flavia Lopez"/>
    <n v="0"/>
    <n v="211"/>
    <m/>
    <m/>
    <n v="6548"/>
    <n v="88800"/>
    <m/>
    <n v="88800"/>
    <x v="111"/>
    <n v="0"/>
    <d v="2020-02-17T00:00:00"/>
    <s v="Pagado"/>
    <d v="2020-02-17T00:00:00"/>
    <n v="88800"/>
    <s v="Transbank"/>
    <s v="Debito"/>
    <n v="211"/>
    <m/>
    <m/>
    <m/>
    <m/>
    <m/>
    <m/>
    <m/>
    <s v=""/>
    <m/>
    <n v="74621.848739495807"/>
    <n v="14178.151260504193"/>
    <s v="Pirque"/>
    <s v="Revista"/>
    <s v="SI"/>
    <m/>
    <m/>
    <x v="0"/>
    <m/>
  </r>
  <r>
    <s v="C073"/>
    <s v="Celinda Varela"/>
    <n v="0"/>
    <n v="2950"/>
    <m/>
    <m/>
    <n v="6550"/>
    <n v="15600"/>
    <m/>
    <n v="15600"/>
    <x v="111"/>
    <n v="0"/>
    <d v="2020-02-17T00:00:00"/>
    <s v="Pagado"/>
    <d v="2020-02-24T00:00:00"/>
    <n v="15600"/>
    <s v="Efectivo"/>
    <m/>
    <m/>
    <m/>
    <m/>
    <n v="1860668"/>
    <n v="15600"/>
    <d v="2020-02-25T00:00:00"/>
    <s v="Chile"/>
    <m/>
    <s v=""/>
    <m/>
    <n v="13109.243697478993"/>
    <n v="2490.7563025210075"/>
    <s v="Pirque"/>
    <s v="Conocido"/>
    <s v="SI"/>
    <m/>
    <m/>
    <x v="0"/>
    <m/>
  </r>
  <r>
    <s v="C544"/>
    <s v="Carla Valencoa"/>
    <n v="0"/>
    <n v="213"/>
    <m/>
    <m/>
    <n v="6602"/>
    <n v="31500"/>
    <m/>
    <n v="31500"/>
    <x v="111"/>
    <n v="0"/>
    <d v="2020-02-17T00:00:00"/>
    <s v="Pagado"/>
    <d v="2020-02-17T00:00:00"/>
    <n v="31500"/>
    <s v="Transbank"/>
    <s v="Debito"/>
    <n v="213"/>
    <m/>
    <m/>
    <m/>
    <m/>
    <m/>
    <m/>
    <m/>
    <s v=""/>
    <m/>
    <n v="26470.588235294119"/>
    <n v="5029.4117647058811"/>
    <s v="Pirque"/>
    <s v="Revista"/>
    <s v="SI"/>
    <m/>
    <m/>
    <x v="0"/>
    <m/>
  </r>
  <r>
    <s v="C335"/>
    <s v="Alejandro Astorga"/>
    <n v="0"/>
    <n v="210"/>
    <m/>
    <m/>
    <n v="6603"/>
    <n v="108000"/>
    <m/>
    <n v="108000"/>
    <x v="111"/>
    <n v="0"/>
    <d v="2020-02-17T00:00:00"/>
    <s v="Pagado"/>
    <d v="2020-02-17T00:00:00"/>
    <n v="108800"/>
    <s v="Transbank"/>
    <s v="Debito"/>
    <n v="210"/>
    <m/>
    <m/>
    <m/>
    <m/>
    <m/>
    <m/>
    <m/>
    <s v=""/>
    <m/>
    <n v="90756.302521008402"/>
    <n v="17243.697478991598"/>
    <s v="Pirque"/>
    <s v="Revista"/>
    <s v="SI"/>
    <m/>
    <m/>
    <x v="0"/>
    <m/>
  </r>
  <r>
    <s v="C664"/>
    <s v="Sandra Simunovic"/>
    <n v="0"/>
    <n v="2952"/>
    <m/>
    <m/>
    <n v="6606"/>
    <n v="39800"/>
    <m/>
    <n v="39800"/>
    <x v="112"/>
    <n v="0"/>
    <d v="2020-02-18T00:00:00"/>
    <s v="Pagado"/>
    <d v="2020-02-18T00:00:00"/>
    <n v="39800"/>
    <s v="Transferencia"/>
    <m/>
    <m/>
    <s v="Chile"/>
    <m/>
    <m/>
    <m/>
    <m/>
    <m/>
    <m/>
    <s v=""/>
    <m/>
    <n v="33445.378151260506"/>
    <n v="6354.6218487394945"/>
    <s v="Pirque"/>
    <s v="Conocido"/>
    <s v="SI"/>
    <m/>
    <m/>
    <x v="0"/>
    <m/>
  </r>
  <r>
    <s v="C278"/>
    <s v="Ricardo Muñoz"/>
    <n v="0"/>
    <n v="210"/>
    <m/>
    <m/>
    <n v="6607"/>
    <n v="23000"/>
    <m/>
    <n v="23000"/>
    <x v="112"/>
    <n v="0"/>
    <d v="2020-02-18T00:00:00"/>
    <s v="Pagado"/>
    <d v="2020-02-18T00:00:00"/>
    <n v="23000"/>
    <s v="Transbank"/>
    <s v="Debito"/>
    <n v="210"/>
    <m/>
    <m/>
    <m/>
    <m/>
    <m/>
    <m/>
    <m/>
    <s v=""/>
    <m/>
    <n v="19327.731092436974"/>
    <n v="3672.268907563026"/>
    <s v="Pirque"/>
    <s v="Revista"/>
    <s v="SI"/>
    <m/>
    <m/>
    <x v="0"/>
    <m/>
  </r>
  <r>
    <s v="C370"/>
    <s v="Manuel Monteiro"/>
    <n v="0"/>
    <s v="sn"/>
    <m/>
    <m/>
    <n v="6608"/>
    <n v="37500"/>
    <m/>
    <n v="37500"/>
    <x v="112"/>
    <n v="0"/>
    <d v="2020-02-18T00:00:00"/>
    <s v="Pagado"/>
    <d v="2020-02-18T00:00:00"/>
    <n v="37500"/>
    <s v="Transferencia"/>
    <m/>
    <m/>
    <s v="Estado"/>
    <m/>
    <m/>
    <m/>
    <m/>
    <m/>
    <m/>
    <s v=""/>
    <m/>
    <n v="31512.605042016807"/>
    <n v="5987.3949579831933"/>
    <s v="Pirque"/>
    <s v="Conocido"/>
    <s v="SI"/>
    <m/>
    <m/>
    <x v="0"/>
    <m/>
  </r>
  <r>
    <s v="C663"/>
    <s v="Graciela Lobos"/>
    <n v="0"/>
    <s v="sn"/>
    <m/>
    <m/>
    <n v="6605"/>
    <n v="58600"/>
    <m/>
    <n v="58600"/>
    <x v="112"/>
    <n v="0"/>
    <d v="2020-02-18T00:00:00"/>
    <s v="Pagado"/>
    <d v="2020-02-18T00:00:00"/>
    <n v="58600"/>
    <s v="Cheque al Día"/>
    <m/>
    <m/>
    <s v="Chile"/>
    <m/>
    <n v="1860655"/>
    <n v="58600"/>
    <d v="2020-02-18T00:00:00"/>
    <s v="Chile"/>
    <m/>
    <s v="Chile"/>
    <m/>
    <n v="49243.697478991598"/>
    <n v="9356.3025210084015"/>
    <s v="Pirque"/>
    <s v="Revista"/>
    <s v="SI"/>
    <m/>
    <m/>
    <x v="0"/>
    <m/>
  </r>
  <r>
    <s v="C456"/>
    <s v="Carolina Muñoz"/>
    <n v="0"/>
    <n v="2951"/>
    <m/>
    <m/>
    <n v="6604"/>
    <n v="15800"/>
    <m/>
    <n v="15800"/>
    <x v="112"/>
    <n v="0"/>
    <d v="2020-02-18T00:00:00"/>
    <s v="Pagado"/>
    <d v="2020-02-18T00:00:00"/>
    <n v="15800"/>
    <s v="Transferencia"/>
    <m/>
    <m/>
    <s v="Estado"/>
    <m/>
    <m/>
    <m/>
    <m/>
    <m/>
    <m/>
    <s v=""/>
    <m/>
    <n v="13277.310924369749"/>
    <n v="2522.689075630251"/>
    <s v="Pirque"/>
    <s v="Conocido"/>
    <s v="SI"/>
    <m/>
    <m/>
    <x v="0"/>
    <m/>
  </r>
  <r>
    <s v="C004"/>
    <s v="Rosa Gladys Vidal Mora"/>
    <n v="3114"/>
    <n v="0"/>
    <m/>
    <m/>
    <s v="sn"/>
    <n v="30314"/>
    <m/>
    <n v="30314"/>
    <x v="113"/>
    <n v="7"/>
    <d v="2020-02-26T00:00:00"/>
    <s v="Vencido"/>
    <m/>
    <m/>
    <m/>
    <m/>
    <m/>
    <m/>
    <m/>
    <m/>
    <m/>
    <m/>
    <m/>
    <m/>
    <s v=""/>
    <m/>
    <n v="25473.949579831933"/>
    <n v="4840.0504201680669"/>
    <s v="Cajon"/>
    <s v="Visita"/>
    <s v="NO"/>
    <m/>
    <m/>
    <x v="1"/>
    <m/>
  </r>
  <r>
    <s v="C616"/>
    <s v="Patricia Sandoval"/>
    <n v="0"/>
    <n v="211"/>
    <m/>
    <m/>
    <n v="6611"/>
    <n v="12500"/>
    <m/>
    <n v="12500"/>
    <x v="113"/>
    <n v="0"/>
    <d v="2020-02-19T00:00:00"/>
    <s v="Pagado"/>
    <d v="2020-02-19T00:00:00"/>
    <n v="12500"/>
    <s v="Transbank"/>
    <s v="Debito"/>
    <n v="211"/>
    <m/>
    <m/>
    <m/>
    <m/>
    <m/>
    <m/>
    <m/>
    <s v=""/>
    <m/>
    <n v="10504.20168067227"/>
    <n v="1995.7983193277305"/>
    <s v="Pirque"/>
    <s v="Revista"/>
    <s v="SI"/>
    <m/>
    <m/>
    <x v="0"/>
    <m/>
  </r>
  <r>
    <s v="C406"/>
    <s v="Naitana y Kufeke SPA"/>
    <n v="3112"/>
    <n v="0"/>
    <m/>
    <m/>
    <s v="sn"/>
    <n v="28136"/>
    <m/>
    <n v="28136"/>
    <x v="113"/>
    <n v="0"/>
    <d v="2020-02-19T00:00:00"/>
    <s v="Pagado"/>
    <d v="2020-03-16T00:00:00"/>
    <n v="28136"/>
    <s v="Transferencia"/>
    <m/>
    <m/>
    <s v="Santander"/>
    <m/>
    <m/>
    <m/>
    <m/>
    <m/>
    <m/>
    <s v=""/>
    <m/>
    <n v="23643.697478991598"/>
    <n v="4492.3025210084015"/>
    <s v="Pirque"/>
    <s v="Visita"/>
    <s v="SI"/>
    <m/>
    <m/>
    <x v="1"/>
    <m/>
  </r>
  <r>
    <s v="C570"/>
    <s v="Miguel Diaz"/>
    <n v="0"/>
    <n v="2954"/>
    <m/>
    <m/>
    <n v="6612"/>
    <n v="39400"/>
    <m/>
    <n v="39400"/>
    <x v="113"/>
    <n v="0"/>
    <d v="2020-02-19T00:00:00"/>
    <s v="Pagado"/>
    <d v="2020-02-19T00:00:00"/>
    <n v="39400"/>
    <s v="Efectivo"/>
    <m/>
    <m/>
    <m/>
    <m/>
    <n v="7679370"/>
    <n v="39400"/>
    <d v="2020-02-25T00:00:00"/>
    <s v="Chile"/>
    <m/>
    <s v=""/>
    <m/>
    <n v="33109.243697478996"/>
    <n v="6290.7563025210038"/>
    <s v="Pirque"/>
    <s v="Revista"/>
    <s v="SI"/>
    <m/>
    <m/>
    <x v="0"/>
    <m/>
  </r>
  <r>
    <s v="C644"/>
    <s v="Marta Bravo"/>
    <n v="0"/>
    <n v="2955"/>
    <m/>
    <m/>
    <n v="6614"/>
    <n v="23000"/>
    <m/>
    <n v="23000"/>
    <x v="113"/>
    <n v="0"/>
    <d v="2020-02-19T00:00:00"/>
    <s v="Pagado"/>
    <d v="2020-02-19T00:00:00"/>
    <n v="23000"/>
    <s v="Efectivo"/>
    <m/>
    <m/>
    <m/>
    <m/>
    <n v="7679370"/>
    <n v="23000"/>
    <d v="2020-02-25T00:00:00"/>
    <s v="Chile"/>
    <m/>
    <s v=""/>
    <m/>
    <n v="19327.731092436974"/>
    <n v="3672.268907563026"/>
    <s v="Pirque"/>
    <s v="Revista"/>
    <s v="SI"/>
    <m/>
    <m/>
    <x v="0"/>
    <m/>
  </r>
  <r>
    <s v="C665"/>
    <s v="Marisol Pimentel"/>
    <n v="0"/>
    <n v="2957"/>
    <m/>
    <m/>
    <n v="6615"/>
    <n v="43200"/>
    <m/>
    <n v="43200"/>
    <x v="113"/>
    <n v="0"/>
    <d v="2020-02-19T00:00:00"/>
    <s v="Pagado"/>
    <d v="2020-02-19T00:00:00"/>
    <n v="43200"/>
    <s v="Transferencia"/>
    <m/>
    <m/>
    <s v="BCI"/>
    <m/>
    <m/>
    <m/>
    <m/>
    <m/>
    <m/>
    <s v=""/>
    <m/>
    <n v="36302.521008403361"/>
    <n v="6897.4789915966394"/>
    <s v="Pirque"/>
    <s v="Conocido"/>
    <s v="SI"/>
    <m/>
    <m/>
    <x v="0"/>
    <m/>
  </r>
  <r>
    <s v="C005"/>
    <s v="Julia Ines Rebolledo Retamal"/>
    <n v="3113"/>
    <n v="0"/>
    <m/>
    <m/>
    <s v="sn"/>
    <n v="126923"/>
    <m/>
    <n v="126923"/>
    <x v="113"/>
    <n v="7"/>
    <d v="2020-02-26T00:00:00"/>
    <s v="Pagado"/>
    <d v="2020-02-26T00:00:00"/>
    <n v="127000"/>
    <s v="Efectivo"/>
    <m/>
    <m/>
    <m/>
    <m/>
    <n v="7679360"/>
    <n v="127000"/>
    <d v="2020-03-02T00:00:00"/>
    <s v="Chile"/>
    <m/>
    <s v=""/>
    <m/>
    <n v="106657.98319327731"/>
    <n v="20265.016806722691"/>
    <s v="Cajon"/>
    <s v="Visita"/>
    <s v="SI"/>
    <m/>
    <m/>
    <x v="1"/>
    <m/>
  </r>
  <r>
    <s v="C087"/>
    <s v="Juan Pablo Valdes"/>
    <n v="0"/>
    <n v="2956"/>
    <m/>
    <m/>
    <n v="6616"/>
    <n v="69000"/>
    <m/>
    <n v="69000"/>
    <x v="113"/>
    <n v="0"/>
    <d v="2020-02-19T00:00:00"/>
    <s v="Pagado"/>
    <d v="2020-02-19T00:00:00"/>
    <n v="69000"/>
    <s v="Transferencia"/>
    <m/>
    <m/>
    <s v="Bice"/>
    <m/>
    <m/>
    <m/>
    <m/>
    <m/>
    <m/>
    <s v=""/>
    <m/>
    <n v="57983.193277310929"/>
    <n v="11016.806722689071"/>
    <s v="Pirque"/>
    <s v="Revista"/>
    <s v="SI"/>
    <m/>
    <m/>
    <x v="0"/>
    <m/>
  </r>
  <r>
    <s v="C158"/>
    <s v="Jose Miguel Osorio"/>
    <n v="0"/>
    <n v="213"/>
    <m/>
    <m/>
    <n v="6613"/>
    <n v="46300"/>
    <m/>
    <n v="46300"/>
    <x v="113"/>
    <n v="0"/>
    <d v="2020-02-19T00:00:00"/>
    <s v="Pagado"/>
    <d v="2020-02-19T00:00:00"/>
    <n v="46300"/>
    <s v="Transbank"/>
    <s v="Debito"/>
    <n v="213"/>
    <m/>
    <m/>
    <m/>
    <m/>
    <m/>
    <m/>
    <m/>
    <s v=""/>
    <m/>
    <n v="38907.563025210089"/>
    <n v="7392.4369747899109"/>
    <s v="Pirque"/>
    <s v="Conocido"/>
    <s v="SI"/>
    <m/>
    <m/>
    <x v="0"/>
    <m/>
  </r>
  <r>
    <s v="C045"/>
    <s v="Jeanny Andrea Arranz Cordero"/>
    <n v="0"/>
    <n v="2953"/>
    <m/>
    <m/>
    <n v="6609"/>
    <n v="47800"/>
    <m/>
    <n v="47800"/>
    <x v="113"/>
    <n v="0"/>
    <d v="2020-02-19T00:00:00"/>
    <s v="Pagado"/>
    <d v="2020-02-19T00:00:00"/>
    <n v="47800"/>
    <s v="Transferencia"/>
    <m/>
    <m/>
    <s v="Chile"/>
    <m/>
    <m/>
    <m/>
    <m/>
    <m/>
    <m/>
    <s v=""/>
    <m/>
    <n v="40168.067226890758"/>
    <n v="7631.9327731092417"/>
    <s v="Pirque"/>
    <s v="Conocido"/>
    <s v="SI"/>
    <m/>
    <m/>
    <x v="0"/>
    <m/>
  </r>
  <r>
    <s v="C641"/>
    <s v="Cristian Alvarez"/>
    <n v="0"/>
    <n v="212"/>
    <m/>
    <m/>
    <n v="6610"/>
    <n v="16500"/>
    <m/>
    <n v="16500"/>
    <x v="113"/>
    <n v="0"/>
    <d v="2020-02-19T00:00:00"/>
    <s v="Pagado"/>
    <d v="2020-02-19T00:00:00"/>
    <n v="16500"/>
    <s v="Transbank"/>
    <s v="Debito"/>
    <n v="212"/>
    <m/>
    <m/>
    <m/>
    <m/>
    <m/>
    <m/>
    <m/>
    <s v=""/>
    <m/>
    <n v="13865.546218487396"/>
    <n v="2634.4537815126041"/>
    <s v="Cajon"/>
    <s v="Revista"/>
    <s v="SI"/>
    <m/>
    <m/>
    <x v="0"/>
    <m/>
  </r>
  <r>
    <s v="C020"/>
    <s v="Sabores y Vinos Bernardita Munita EIRL"/>
    <n v="3115"/>
    <n v="0"/>
    <m/>
    <m/>
    <s v="OC01"/>
    <n v="365560"/>
    <m/>
    <n v="365560"/>
    <x v="114"/>
    <n v="0"/>
    <d v="2020-02-20T00:00:00"/>
    <s v="Pagado"/>
    <d v="2020-03-05T00:00:00"/>
    <n v="365560"/>
    <s v="Transferencia"/>
    <m/>
    <m/>
    <s v="Chile"/>
    <m/>
    <m/>
    <m/>
    <m/>
    <m/>
    <d v="2020-02-11T00:00:00"/>
    <s v=""/>
    <m/>
    <n v="307193.27731092437"/>
    <n v="58366.722689075628"/>
    <s v="Pirque"/>
    <s v="Visita"/>
    <s v="SI"/>
    <m/>
    <m/>
    <x v="1"/>
    <m/>
  </r>
  <r>
    <s v="C020"/>
    <s v="Sabores y Vinos Bernardita Munita EIRL"/>
    <n v="3115"/>
    <n v="0"/>
    <m/>
    <m/>
    <s v="OC02"/>
    <n v="135978"/>
    <m/>
    <n v="135978"/>
    <x v="114"/>
    <n v="0"/>
    <d v="2020-02-20T00:00:00"/>
    <s v="Pagado"/>
    <d v="2020-03-05T00:00:00"/>
    <n v="135978"/>
    <s v="Transferencia"/>
    <m/>
    <m/>
    <s v="Chile"/>
    <m/>
    <m/>
    <m/>
    <m/>
    <m/>
    <d v="2020-02-17T00:00:00"/>
    <s v=""/>
    <m/>
    <n v="114267.22689075631"/>
    <n v="21710.773109243688"/>
    <s v="Pirque"/>
    <s v="Visita"/>
    <s v="SI"/>
    <m/>
    <m/>
    <x v="1"/>
    <m/>
  </r>
  <r>
    <s v="C009"/>
    <s v="Sociedad Comercial y Agricola Chada Ltda"/>
    <n v="3118"/>
    <n v="0"/>
    <m/>
    <m/>
    <s v="sn"/>
    <n v="101969"/>
    <m/>
    <n v="101969"/>
    <x v="115"/>
    <n v="7"/>
    <d v="2020-02-28T00:00:00"/>
    <s v="Vencido"/>
    <m/>
    <m/>
    <m/>
    <m/>
    <m/>
    <m/>
    <m/>
    <m/>
    <m/>
    <m/>
    <m/>
    <m/>
    <s v=""/>
    <m/>
    <n v="85688.23529411765"/>
    <n v="16280.76470588235"/>
    <s v="Chada"/>
    <s v="Visita"/>
    <s v="NO"/>
    <m/>
    <m/>
    <x v="1"/>
    <m/>
  </r>
  <r>
    <s v="C105"/>
    <s v="Paulina Andrea Araneda Cancino"/>
    <n v="3116"/>
    <n v="0"/>
    <m/>
    <m/>
    <s v="sn"/>
    <n v="29000"/>
    <m/>
    <n v="29000"/>
    <x v="115"/>
    <n v="0"/>
    <d v="2020-02-21T00:00:00"/>
    <s v="Pagado"/>
    <d v="2020-02-21T00:00:00"/>
    <n v="29000"/>
    <s v="Efectivo"/>
    <m/>
    <m/>
    <m/>
    <m/>
    <m/>
    <m/>
    <m/>
    <m/>
    <m/>
    <s v=""/>
    <m/>
    <n v="24369.747899159665"/>
    <n v="4630.2521008403346"/>
    <s v="Chada"/>
    <s v="Visita"/>
    <s v="SI"/>
    <m/>
    <m/>
    <x v="1"/>
    <m/>
  </r>
  <r>
    <s v="C647"/>
    <s v="Patricia Salas"/>
    <n v="0"/>
    <n v="2961"/>
    <m/>
    <m/>
    <n v="6622"/>
    <n v="19000"/>
    <m/>
    <n v="19000"/>
    <x v="115"/>
    <n v="0"/>
    <d v="2020-02-21T00:00:00"/>
    <s v="Pagado"/>
    <d v="2020-02-21T00:00:00"/>
    <n v="19000"/>
    <s v="Cheque al Día"/>
    <m/>
    <n v="905189"/>
    <s v="Santander"/>
    <m/>
    <n v="7679359"/>
    <n v="19000"/>
    <d v="2020-03-02T00:00:00"/>
    <s v="Chile"/>
    <m/>
    <s v="Otros"/>
    <m/>
    <n v="15966.386554621849"/>
    <n v="3033.6134453781506"/>
    <s v="Chada"/>
    <s v="Conocido"/>
    <s v="SI"/>
    <m/>
    <m/>
    <x v="0"/>
    <m/>
  </r>
  <r>
    <s v="C344"/>
    <s v="Monica Aedo"/>
    <n v="0"/>
    <n v="2962"/>
    <m/>
    <m/>
    <n v="6627"/>
    <n v="31500"/>
    <m/>
    <n v="31500"/>
    <x v="115"/>
    <n v="0"/>
    <d v="2020-02-21T00:00:00"/>
    <s v="Pagado"/>
    <d v="2020-02-21T00:00:00"/>
    <n v="31500"/>
    <s v="Efectivo"/>
    <m/>
    <m/>
    <m/>
    <m/>
    <n v="7679370"/>
    <n v="31500"/>
    <d v="2020-02-25T00:00:00"/>
    <s v="Chile"/>
    <m/>
    <s v=""/>
    <m/>
    <n v="26470.588235294119"/>
    <n v="5029.4117647058811"/>
    <s v="Pirque"/>
    <s v="Revista"/>
    <s v="SI"/>
    <m/>
    <m/>
    <x v="0"/>
    <m/>
  </r>
  <r>
    <s v="C554"/>
    <s v="Minimarket Doña Olga SPA"/>
    <n v="3117"/>
    <n v="0"/>
    <m/>
    <m/>
    <s v="sn"/>
    <n v="65645"/>
    <m/>
    <n v="65645"/>
    <x v="115"/>
    <n v="30"/>
    <d v="2020-03-22T00:00:00"/>
    <s v="Pagado"/>
    <d v="2020-02-28T00:00:00"/>
    <n v="65645"/>
    <s v="Cheque a Fecha"/>
    <m/>
    <n v="1075"/>
    <s v="Falabella"/>
    <d v="2020-03-15T00:00:00"/>
    <n v="4955377"/>
    <m/>
    <m/>
    <m/>
    <m/>
    <s v="Otros"/>
    <m/>
    <n v="55163.865546218491"/>
    <n v="10481.134453781509"/>
    <s v="Chada"/>
    <s v="Visita"/>
    <s v="SI"/>
    <m/>
    <m/>
    <x v="1"/>
    <m/>
  </r>
  <r>
    <s v="C067"/>
    <s v="Marilu Salazar"/>
    <n v="0"/>
    <n v="2959"/>
    <m/>
    <m/>
    <n v="6619"/>
    <n v="46400"/>
    <m/>
    <n v="46400"/>
    <x v="115"/>
    <n v="0"/>
    <d v="2020-02-21T00:00:00"/>
    <s v="Pagado"/>
    <d v="2020-03-02T00:00:00"/>
    <n v="46400"/>
    <s v="Transferencia"/>
    <m/>
    <m/>
    <s v="Chile"/>
    <m/>
    <m/>
    <m/>
    <m/>
    <m/>
    <m/>
    <s v=""/>
    <m/>
    <n v="38991.596638655465"/>
    <n v="7408.4033613445354"/>
    <s v="Chada"/>
    <s v="Conocido"/>
    <s v="SI"/>
    <m/>
    <m/>
    <x v="0"/>
    <m/>
  </r>
  <r>
    <s v="C016"/>
    <s v="Maria Magaly Diaz Espinoza"/>
    <n v="3119"/>
    <n v="0"/>
    <m/>
    <m/>
    <s v="sn"/>
    <n v="56598"/>
    <m/>
    <n v="56598"/>
    <x v="115"/>
    <n v="0"/>
    <d v="2020-02-21T00:00:00"/>
    <s v="Pagado"/>
    <d v="2020-02-21T00:00:00"/>
    <n v="56598"/>
    <s v="Efectivo"/>
    <m/>
    <m/>
    <m/>
    <m/>
    <m/>
    <m/>
    <m/>
    <m/>
    <m/>
    <s v=""/>
    <m/>
    <n v="47561.34453781513"/>
    <n v="9036.65546218487"/>
    <s v="Chada"/>
    <s v="Visita"/>
    <s v="SI"/>
    <m/>
    <m/>
    <x v="1"/>
    <m/>
  </r>
  <r>
    <s v="C016"/>
    <s v="Maria Magaly Diaz Espinoza"/>
    <n v="3120"/>
    <n v="0"/>
    <m/>
    <m/>
    <s v="sn"/>
    <n v="33820"/>
    <m/>
    <n v="33820"/>
    <x v="115"/>
    <n v="0"/>
    <d v="2020-02-21T00:00:00"/>
    <s v="Pagado"/>
    <d v="2020-04-01T00:00:00"/>
    <n v="33820"/>
    <s v="Efectivo"/>
    <m/>
    <m/>
    <m/>
    <m/>
    <m/>
    <m/>
    <m/>
    <m/>
    <m/>
    <s v=""/>
    <m/>
    <n v="28420.168067226892"/>
    <n v="5399.8319327731078"/>
    <s v="Chada"/>
    <s v="Visita"/>
    <s v="SI"/>
    <m/>
    <m/>
    <x v="1"/>
    <m/>
  </r>
  <r>
    <s v="C076"/>
    <s v="Macarena Garcia"/>
    <n v="0"/>
    <n v="2960"/>
    <m/>
    <m/>
    <n v="6620"/>
    <n v="19700"/>
    <m/>
    <n v="19700"/>
    <x v="115"/>
    <n v="0"/>
    <d v="2020-02-21T00:00:00"/>
    <s v="Pagado"/>
    <d v="2020-02-22T00:00:00"/>
    <n v="19700"/>
    <s v="Depósito"/>
    <m/>
    <m/>
    <s v="Chile"/>
    <m/>
    <m/>
    <m/>
    <m/>
    <m/>
    <m/>
    <s v=""/>
    <m/>
    <n v="16554.621848739498"/>
    <n v="3145.3781512605019"/>
    <s v="Chada"/>
    <s v="Conocido"/>
    <s v="SI"/>
    <m/>
    <m/>
    <x v="0"/>
    <m/>
  </r>
  <r>
    <s v="C028"/>
    <s v="Luz María Velasquez"/>
    <n v="0"/>
    <n v="0"/>
    <m/>
    <m/>
    <n v="6624"/>
    <n v="16500"/>
    <m/>
    <n v="16500"/>
    <x v="115"/>
    <n v="0"/>
    <d v="2020-02-21T00:00:00"/>
    <s v="Pagado"/>
    <d v="2020-03-09T00:00:00"/>
    <n v="16500"/>
    <s v="Cheque a Fecha"/>
    <m/>
    <m/>
    <s v="Scotiabank"/>
    <m/>
    <m/>
    <m/>
    <m/>
    <m/>
    <m/>
    <s v="Otros"/>
    <m/>
    <n v="13865.546218487396"/>
    <n v="2634.4537815126041"/>
    <s v="Chada"/>
    <s v="Conocido"/>
    <s v="SI"/>
    <m/>
    <m/>
    <x v="0"/>
    <m/>
  </r>
  <r>
    <s v="C595"/>
    <s v="Juan Neira"/>
    <n v="0"/>
    <n v="2958"/>
    <m/>
    <m/>
    <n v="6618"/>
    <n v="19700"/>
    <m/>
    <n v="19700"/>
    <x v="115"/>
    <n v="0"/>
    <d v="2020-02-21T00:00:00"/>
    <s v="Pagado"/>
    <d v="2020-02-21T00:00:00"/>
    <n v="19700"/>
    <s v="Transferencia"/>
    <m/>
    <m/>
    <s v="Estado"/>
    <m/>
    <m/>
    <m/>
    <m/>
    <m/>
    <m/>
    <s v=""/>
    <m/>
    <n v="16554.621848739498"/>
    <n v="3145.3781512605019"/>
    <s v="Pirque"/>
    <s v="Revista"/>
    <s v="SI"/>
    <m/>
    <m/>
    <x v="0"/>
    <m/>
  </r>
  <r>
    <s v="C263"/>
    <s v="Jeanny Reyes"/>
    <n v="0"/>
    <n v="2964"/>
    <m/>
    <m/>
    <n v="6621"/>
    <n v="25500"/>
    <m/>
    <n v="25500"/>
    <x v="115"/>
    <n v="0"/>
    <d v="2020-02-21T00:00:00"/>
    <s v="Pagado"/>
    <d v="2020-02-21T00:00:00"/>
    <n v="25500"/>
    <s v="Efectivo"/>
    <m/>
    <m/>
    <m/>
    <m/>
    <n v="7679370"/>
    <n v="25500"/>
    <d v="2020-02-25T00:00:00"/>
    <s v="Chile"/>
    <m/>
    <s v=""/>
    <m/>
    <n v="21428.571428571431"/>
    <n v="4071.4285714285688"/>
    <s v="Pirque"/>
    <s v="Conocido"/>
    <s v="SI"/>
    <m/>
    <m/>
    <x v="0"/>
    <m/>
  </r>
  <r>
    <s v="C662"/>
    <s v="Flavia Lopez"/>
    <n v="0"/>
    <n v="215"/>
    <m/>
    <m/>
    <n v="6625"/>
    <n v="76000"/>
    <m/>
    <n v="76000"/>
    <x v="115"/>
    <n v="0"/>
    <d v="2020-02-21T00:00:00"/>
    <s v="Pagado"/>
    <d v="2020-02-21T00:00:00"/>
    <n v="76000"/>
    <s v="Transbank"/>
    <s v="Debito"/>
    <n v="215"/>
    <m/>
    <m/>
    <m/>
    <m/>
    <m/>
    <m/>
    <m/>
    <s v=""/>
    <m/>
    <n v="63865.546218487398"/>
    <n v="12134.453781512602"/>
    <s v="Pirque"/>
    <s v="Revista"/>
    <s v="SI"/>
    <m/>
    <m/>
    <x v="0"/>
    <m/>
  </r>
  <r>
    <s v="C033"/>
    <s v="Catalina Daniela Peña Royo"/>
    <n v="0"/>
    <n v="0"/>
    <m/>
    <m/>
    <n v="6626"/>
    <n v="5500"/>
    <m/>
    <n v="5500"/>
    <x v="115"/>
    <n v="0"/>
    <d v="2020-02-21T00:00:00"/>
    <s v="Vencido"/>
    <m/>
    <m/>
    <m/>
    <m/>
    <m/>
    <m/>
    <m/>
    <m/>
    <m/>
    <m/>
    <m/>
    <m/>
    <s v=""/>
    <m/>
    <n v="4621.8487394957983"/>
    <n v="878.15126050420167"/>
    <s v="Chada"/>
    <s v="Conocido"/>
    <s v="NO"/>
    <m/>
    <m/>
    <x v="0"/>
    <m/>
  </r>
  <r>
    <s v="C255"/>
    <s v="Carlos Manzano"/>
    <n v="0"/>
    <n v="214"/>
    <m/>
    <m/>
    <n v="6617"/>
    <n v="25000"/>
    <m/>
    <n v="25000"/>
    <x v="115"/>
    <n v="0"/>
    <d v="2020-02-21T00:00:00"/>
    <s v="Pagado"/>
    <d v="2020-02-21T00:00:00"/>
    <n v="25000"/>
    <s v="Transbank"/>
    <s v="Debito"/>
    <n v="214"/>
    <m/>
    <m/>
    <m/>
    <m/>
    <m/>
    <m/>
    <m/>
    <s v=""/>
    <m/>
    <n v="21008.403361344539"/>
    <n v="3991.596638655461"/>
    <s v="Pirque"/>
    <s v="Revista"/>
    <s v="SI"/>
    <m/>
    <m/>
    <x v="0"/>
    <m/>
  </r>
  <r>
    <s v="C666"/>
    <s v="Bernardo Carrasco"/>
    <n v="0"/>
    <n v="2963"/>
    <m/>
    <m/>
    <n v="6623"/>
    <n v="23100"/>
    <m/>
    <n v="23100"/>
    <x v="115"/>
    <n v="0"/>
    <d v="2020-02-21T00:00:00"/>
    <s v="Pagado"/>
    <d v="2020-02-21T00:00:00"/>
    <n v="23200"/>
    <s v="Efectivo"/>
    <m/>
    <m/>
    <m/>
    <m/>
    <n v="7679370"/>
    <n v="23200"/>
    <d v="2020-02-25T00:00:00"/>
    <s v="Chile"/>
    <m/>
    <s v=""/>
    <m/>
    <n v="19411.764705882353"/>
    <n v="3688.2352941176468"/>
    <s v="Pirque"/>
    <s v="Conocido"/>
    <s v="SI"/>
    <m/>
    <m/>
    <x v="0"/>
    <m/>
  </r>
  <r>
    <s v="C064"/>
    <s v="Maria Estela Matte"/>
    <n v="0"/>
    <n v="2967"/>
    <m/>
    <m/>
    <n v="6632"/>
    <n v="31700"/>
    <m/>
    <n v="31700"/>
    <x v="116"/>
    <n v="0"/>
    <d v="2020-02-22T00:00:00"/>
    <s v="Pagado"/>
    <d v="2020-02-22T00:00:00"/>
    <n v="31700"/>
    <s v="Transferencia"/>
    <m/>
    <m/>
    <s v="Itaú"/>
    <m/>
    <n v="7679370"/>
    <m/>
    <m/>
    <m/>
    <m/>
    <s v=""/>
    <m/>
    <n v="26638.655462184874"/>
    <n v="5061.3445378151264"/>
    <s v="Pirque"/>
    <s v="Revista"/>
    <s v="SI"/>
    <m/>
    <m/>
    <x v="0"/>
    <m/>
  </r>
  <r>
    <s v="C243"/>
    <s v="Loreto Rojas"/>
    <n v="0"/>
    <n v="2965"/>
    <m/>
    <m/>
    <n v="6630"/>
    <n v="15800"/>
    <m/>
    <n v="15800"/>
    <x v="116"/>
    <n v="0"/>
    <d v="2020-02-22T00:00:00"/>
    <s v="Pagado"/>
    <d v="2020-02-22T00:00:00"/>
    <n v="15800"/>
    <s v="Efectivo"/>
    <m/>
    <m/>
    <m/>
    <m/>
    <n v="7679370"/>
    <n v="15800"/>
    <d v="2020-02-25T00:00:00"/>
    <s v="Chile"/>
    <m/>
    <s v=""/>
    <m/>
    <n v="13277.310924369749"/>
    <n v="2522.689075630251"/>
    <s v="Pirque"/>
    <s v="Revista"/>
    <s v="SI"/>
    <m/>
    <m/>
    <x v="0"/>
    <m/>
  </r>
  <r>
    <s v="C667"/>
    <s v="Josefina Prieto"/>
    <n v="0"/>
    <n v="2966"/>
    <m/>
    <m/>
    <n v="6628"/>
    <n v="23000"/>
    <m/>
    <n v="23000"/>
    <x v="116"/>
    <n v="0"/>
    <d v="2020-02-22T00:00:00"/>
    <s v="Pagado"/>
    <d v="2020-02-22T00:00:00"/>
    <n v="23000"/>
    <s v="Efectivo"/>
    <m/>
    <m/>
    <m/>
    <m/>
    <n v="7679370"/>
    <n v="23000"/>
    <d v="2020-02-25T00:00:00"/>
    <s v="Chile"/>
    <m/>
    <s v=""/>
    <m/>
    <n v="19327.731092436974"/>
    <n v="3672.268907563026"/>
    <s v="Pirque"/>
    <s v="Revista"/>
    <s v="SI"/>
    <m/>
    <m/>
    <x v="0"/>
    <m/>
  </r>
  <r>
    <s v="C534"/>
    <s v="Helga Nagilschmitz"/>
    <n v="0"/>
    <n v="216"/>
    <m/>
    <m/>
    <n v="6629"/>
    <n v="77800"/>
    <m/>
    <n v="77800"/>
    <x v="116"/>
    <n v="0"/>
    <d v="2020-02-22T00:00:00"/>
    <s v="Pagado"/>
    <d v="2020-02-22T00:00:00"/>
    <n v="77800"/>
    <s v="Transbank"/>
    <s v="Debito"/>
    <n v="216"/>
    <m/>
    <m/>
    <m/>
    <m/>
    <m/>
    <m/>
    <m/>
    <s v=""/>
    <m/>
    <n v="65378.151260504208"/>
    <n v="12421.848739495792"/>
    <s v="Pirque"/>
    <s v="Revista"/>
    <s v="SI"/>
    <m/>
    <m/>
    <x v="0"/>
    <m/>
  </r>
  <r>
    <s v="C445"/>
    <s v="Carmen Nuñez"/>
    <n v="0"/>
    <n v="2968"/>
    <m/>
    <m/>
    <n v="6632"/>
    <n v="15800"/>
    <m/>
    <n v="15800"/>
    <x v="116"/>
    <n v="0"/>
    <d v="2020-02-22T00:00:00"/>
    <s v="Pagado"/>
    <d v="2020-02-22T00:00:00"/>
    <n v="15800"/>
    <s v="Efectivo"/>
    <m/>
    <m/>
    <m/>
    <m/>
    <n v="7679370"/>
    <n v="15800"/>
    <d v="2020-02-25T00:00:00"/>
    <s v="Chile"/>
    <m/>
    <s v=""/>
    <m/>
    <n v="13277.310924369749"/>
    <n v="2522.689075630251"/>
    <s v="Pirque"/>
    <s v="Revista"/>
    <s v="SI"/>
    <m/>
    <m/>
    <x v="0"/>
    <m/>
  </r>
  <r>
    <s v="C556"/>
    <s v="Patricio Tapia"/>
    <n v="0"/>
    <n v="2972"/>
    <m/>
    <m/>
    <n v="6635"/>
    <n v="15800"/>
    <m/>
    <n v="15800"/>
    <x v="117"/>
    <n v="0"/>
    <d v="2020-02-24T00:00:00"/>
    <s v="Pagado"/>
    <d v="2020-02-24T00:00:00"/>
    <n v="15800"/>
    <s v="Transferencia"/>
    <m/>
    <m/>
    <s v="Chile"/>
    <m/>
    <m/>
    <m/>
    <m/>
    <m/>
    <m/>
    <s v=""/>
    <m/>
    <n v="13277.310924369749"/>
    <n v="2522.689075630251"/>
    <s v="Pirque"/>
    <s v="Revista"/>
    <s v="SI"/>
    <m/>
    <m/>
    <x v="0"/>
    <m/>
  </r>
  <r>
    <s v="C451"/>
    <s v="Enrique Montero"/>
    <n v="0"/>
    <n v="2969"/>
    <m/>
    <m/>
    <n v="6636"/>
    <n v="15800"/>
    <m/>
    <n v="15800"/>
    <x v="117"/>
    <n v="0"/>
    <d v="2020-02-24T00:00:00"/>
    <s v="Pagado"/>
    <d v="2020-02-24T00:00:00"/>
    <n v="15800"/>
    <s v="Efectivo"/>
    <m/>
    <m/>
    <m/>
    <m/>
    <n v="1860668"/>
    <n v="15800"/>
    <d v="2020-02-25T00:00:00"/>
    <s v="Chile"/>
    <m/>
    <s v=""/>
    <m/>
    <n v="13277.310924369749"/>
    <n v="2522.689075630251"/>
    <s v="Pirque"/>
    <s v="Conocido"/>
    <s v="SI"/>
    <m/>
    <m/>
    <x v="0"/>
    <m/>
  </r>
  <r>
    <s v="C418"/>
    <s v="Claudia Ormazabal"/>
    <n v="0"/>
    <n v="2971"/>
    <m/>
    <m/>
    <n v="6633"/>
    <n v="15800"/>
    <m/>
    <n v="15800"/>
    <x v="117"/>
    <n v="0"/>
    <d v="2020-02-24T00:00:00"/>
    <s v="Pagado"/>
    <d v="2020-02-24T00:00:00"/>
    <n v="15800"/>
    <s v="Efectivo"/>
    <m/>
    <m/>
    <m/>
    <m/>
    <n v="1860668"/>
    <n v="15800"/>
    <d v="2020-02-25T00:00:00"/>
    <s v="Chile"/>
    <m/>
    <s v=""/>
    <m/>
    <n v="13277.310924369749"/>
    <n v="2522.689075630251"/>
    <s v="Pirque"/>
    <s v="Conocido"/>
    <s v="SI"/>
    <m/>
    <m/>
    <x v="0"/>
    <m/>
  </r>
  <r>
    <s v="C073"/>
    <s v="Celinda Varela"/>
    <n v="0"/>
    <n v="2970"/>
    <m/>
    <m/>
    <n v="6634"/>
    <n v="19700"/>
    <m/>
    <n v="19700"/>
    <x v="117"/>
    <n v="0"/>
    <d v="2020-02-24T00:00:00"/>
    <s v="Pagado"/>
    <d v="2020-02-24T00:00:00"/>
    <n v="19700"/>
    <s v="Efectivo"/>
    <m/>
    <m/>
    <m/>
    <m/>
    <n v="1860668"/>
    <n v="19700"/>
    <d v="2020-02-25T00:00:00"/>
    <s v="Chile"/>
    <m/>
    <s v=""/>
    <m/>
    <n v="16554.621848739498"/>
    <n v="3145.3781512605019"/>
    <s v="Pirque"/>
    <s v="Conocido"/>
    <s v="SI"/>
    <m/>
    <m/>
    <x v="0"/>
    <m/>
  </r>
  <r>
    <s v="C358"/>
    <s v="Patricia Lopez"/>
    <n v="0"/>
    <n v="2975"/>
    <m/>
    <m/>
    <n v="6638"/>
    <n v="15800"/>
    <m/>
    <n v="15800"/>
    <x v="118"/>
    <n v="0"/>
    <d v="2020-02-25T00:00:00"/>
    <s v="Pagado"/>
    <d v="2020-02-25T00:00:00"/>
    <n v="15800"/>
    <s v="Efectivo"/>
    <m/>
    <m/>
    <m/>
    <m/>
    <m/>
    <m/>
    <m/>
    <m/>
    <m/>
    <s v=""/>
    <m/>
    <n v="13277.310924369749"/>
    <n v="2522.689075630251"/>
    <s v="Pirque"/>
    <s v="Conocido"/>
    <s v="SI"/>
    <m/>
    <m/>
    <x v="0"/>
    <m/>
  </r>
  <r>
    <s v="C634"/>
    <s v="Isabel Luco"/>
    <n v="0"/>
    <n v="2973"/>
    <m/>
    <m/>
    <n v="6640"/>
    <n v="84800"/>
    <m/>
    <n v="84800"/>
    <x v="118"/>
    <n v="0"/>
    <d v="2020-02-25T00:00:00"/>
    <s v="Pagado"/>
    <d v="2020-02-25T00:00:00"/>
    <n v="85000"/>
    <s v="Transferencia"/>
    <m/>
    <m/>
    <s v="BCI"/>
    <m/>
    <m/>
    <m/>
    <m/>
    <m/>
    <m/>
    <s v=""/>
    <m/>
    <n v="71260.504201680669"/>
    <n v="13539.495798319331"/>
    <s v="Pirque"/>
    <s v="Conocido"/>
    <s v="SI"/>
    <m/>
    <m/>
    <x v="0"/>
    <m/>
  </r>
  <r>
    <s v="C364"/>
    <s v="Herminda Arriagada"/>
    <n v="0"/>
    <n v="2977"/>
    <m/>
    <m/>
    <n v="6641"/>
    <n v="39300"/>
    <m/>
    <n v="39300"/>
    <x v="118"/>
    <n v="0"/>
    <d v="2020-02-25T00:00:00"/>
    <s v="Pagado"/>
    <d v="2020-02-25T00:00:00"/>
    <n v="39300"/>
    <s v="Transferencia"/>
    <m/>
    <m/>
    <s v="Estado"/>
    <m/>
    <m/>
    <m/>
    <m/>
    <m/>
    <m/>
    <s v=""/>
    <m/>
    <n v="33025.210084033613"/>
    <n v="6274.7899159663866"/>
    <s v="Pirque"/>
    <s v="Conocido"/>
    <s v="SI"/>
    <m/>
    <m/>
    <x v="0"/>
    <m/>
  </r>
  <r>
    <s v="C668"/>
    <s v="Gastronomica Nikkei SPA."/>
    <n v="3121"/>
    <n v="0"/>
    <m/>
    <m/>
    <s v="sn"/>
    <n v="55930"/>
    <m/>
    <n v="55930"/>
    <x v="118"/>
    <n v="45"/>
    <d v="2020-04-10T00:00:00"/>
    <s v="Vencido"/>
    <m/>
    <m/>
    <m/>
    <m/>
    <m/>
    <m/>
    <m/>
    <m/>
    <m/>
    <m/>
    <m/>
    <m/>
    <s v=""/>
    <m/>
    <n v="47000"/>
    <n v="8930"/>
    <s v="Santiago"/>
    <s v="Conocido"/>
    <s v="NO"/>
    <m/>
    <m/>
    <x v="1"/>
    <m/>
  </r>
  <r>
    <s v="C668"/>
    <s v="Gastronomica Nikkei SPA."/>
    <n v="3122"/>
    <n v="0"/>
    <m/>
    <m/>
    <s v="sn"/>
    <n v="83895"/>
    <m/>
    <n v="83895"/>
    <x v="118"/>
    <n v="45"/>
    <d v="2020-04-10T00:00:00"/>
    <s v="Vencido"/>
    <m/>
    <m/>
    <m/>
    <m/>
    <m/>
    <m/>
    <m/>
    <m/>
    <m/>
    <m/>
    <m/>
    <m/>
    <s v=""/>
    <m/>
    <n v="70500"/>
    <n v="13395"/>
    <s v="Santiago"/>
    <s v="Conocido"/>
    <s v="NO"/>
    <m/>
    <m/>
    <x v="1"/>
    <m/>
  </r>
  <r>
    <s v="C668"/>
    <s v="Gastronomica Nikkei SPA."/>
    <n v="3125"/>
    <n v="0"/>
    <m/>
    <m/>
    <s v="sn"/>
    <n v="55930"/>
    <m/>
    <n v="55930"/>
    <x v="118"/>
    <n v="45"/>
    <d v="2020-04-10T00:00:00"/>
    <s v="Vencido"/>
    <m/>
    <m/>
    <m/>
    <m/>
    <m/>
    <m/>
    <m/>
    <m/>
    <m/>
    <m/>
    <m/>
    <m/>
    <s v=""/>
    <m/>
    <n v="47000"/>
    <n v="8930"/>
    <s v="Santiago"/>
    <s v="Conocido"/>
    <s v="NO"/>
    <m/>
    <m/>
    <x v="1"/>
    <m/>
  </r>
  <r>
    <s v="C668"/>
    <s v="Gastronomica Nikkei SPA."/>
    <n v="3126"/>
    <n v="0"/>
    <m/>
    <m/>
    <s v="sn"/>
    <n v="83895"/>
    <m/>
    <n v="83895"/>
    <x v="118"/>
    <n v="45"/>
    <d v="2020-04-10T00:00:00"/>
    <s v="Vencido"/>
    <m/>
    <m/>
    <m/>
    <m/>
    <m/>
    <m/>
    <m/>
    <m/>
    <m/>
    <m/>
    <m/>
    <m/>
    <s v=""/>
    <m/>
    <n v="70500"/>
    <n v="13395"/>
    <s v="Santiago"/>
    <s v="Conocido"/>
    <s v="NO"/>
    <m/>
    <m/>
    <x v="1"/>
    <m/>
  </r>
  <r>
    <s v="C668"/>
    <s v="Gastronomica Nikkei SPA."/>
    <n v="3128"/>
    <n v="0"/>
    <m/>
    <m/>
    <s v="sn"/>
    <n v="83895"/>
    <m/>
    <n v="83895"/>
    <x v="118"/>
    <n v="45"/>
    <d v="2020-04-10T00:00:00"/>
    <s v="Vencido"/>
    <m/>
    <m/>
    <m/>
    <m/>
    <m/>
    <m/>
    <m/>
    <m/>
    <m/>
    <m/>
    <m/>
    <m/>
    <s v=""/>
    <m/>
    <n v="70500"/>
    <n v="13395"/>
    <s v="Santiago"/>
    <s v="Conocido"/>
    <s v="NO"/>
    <m/>
    <m/>
    <x v="1"/>
    <m/>
  </r>
  <r>
    <s v="C668"/>
    <s v="Gastronomica Nikkei SPA."/>
    <n v="3129"/>
    <n v="0"/>
    <m/>
    <m/>
    <s v="sn"/>
    <n v="153808"/>
    <m/>
    <n v="153808"/>
    <x v="118"/>
    <n v="45"/>
    <d v="2020-04-10T00:00:00"/>
    <s v="Vencido"/>
    <m/>
    <m/>
    <m/>
    <m/>
    <m/>
    <m/>
    <m/>
    <m/>
    <m/>
    <m/>
    <m/>
    <m/>
    <s v=""/>
    <m/>
    <n v="129250.42016806723"/>
    <n v="24557.579831932773"/>
    <s v="Santiago"/>
    <s v="Conocido"/>
    <s v="NO"/>
    <m/>
    <m/>
    <x v="1"/>
    <m/>
  </r>
  <r>
    <s v="C668"/>
    <s v="Gastronomica Nikkei SPA."/>
    <n v="3123"/>
    <n v="0"/>
    <n v="292"/>
    <m/>
    <s v="sn"/>
    <n v="83895"/>
    <n v="-83895"/>
    <n v="0"/>
    <x v="118"/>
    <n v="45"/>
    <d v="2020-04-10T00:00:00"/>
    <s v="Nulo"/>
    <m/>
    <m/>
    <m/>
    <m/>
    <m/>
    <m/>
    <m/>
    <m/>
    <m/>
    <m/>
    <m/>
    <m/>
    <s v=""/>
    <m/>
    <n v="70500"/>
    <n v="13395"/>
    <s v="Santiago"/>
    <s v="Conocido"/>
    <s v="SI"/>
    <m/>
    <m/>
    <x v="1"/>
    <m/>
  </r>
  <r>
    <s v="C668"/>
    <s v="Gastronomica Nikkei SPA."/>
    <n v="3124"/>
    <n v="0"/>
    <n v="291"/>
    <m/>
    <s v="sn"/>
    <n v="83895"/>
    <n v="-83895"/>
    <n v="0"/>
    <x v="118"/>
    <n v="45"/>
    <d v="2020-04-10T00:00:00"/>
    <s v="Nulo"/>
    <m/>
    <m/>
    <m/>
    <m/>
    <m/>
    <m/>
    <m/>
    <m/>
    <m/>
    <m/>
    <m/>
    <m/>
    <s v=""/>
    <m/>
    <n v="70500"/>
    <n v="13395"/>
    <s v="Santiago"/>
    <s v="Conocido"/>
    <s v="SI"/>
    <m/>
    <m/>
    <x v="1"/>
    <m/>
  </r>
  <r>
    <s v="C668"/>
    <s v="Gastronomica Nikkei SPA."/>
    <n v="3127"/>
    <n v="0"/>
    <n v="293"/>
    <m/>
    <s v="sn"/>
    <n v="83895"/>
    <n v="-83895"/>
    <n v="0"/>
    <x v="118"/>
    <n v="45"/>
    <d v="2020-04-10T00:00:00"/>
    <s v="Nulo"/>
    <m/>
    <m/>
    <m/>
    <m/>
    <m/>
    <m/>
    <m/>
    <m/>
    <m/>
    <m/>
    <m/>
    <m/>
    <s v=""/>
    <m/>
    <n v="70500"/>
    <n v="13395"/>
    <s v="Santiago"/>
    <s v="Conocido"/>
    <s v="SI"/>
    <m/>
    <m/>
    <x v="1"/>
    <m/>
  </r>
  <r>
    <s v="C669"/>
    <s v="Consuelo Ruiz"/>
    <n v="0"/>
    <n v="2974"/>
    <m/>
    <m/>
    <n v="6639"/>
    <n v="23000"/>
    <m/>
    <n v="23000"/>
    <x v="118"/>
    <n v="0"/>
    <d v="2020-02-25T00:00:00"/>
    <s v="Pagado"/>
    <d v="2020-02-25T00:00:00"/>
    <n v="23000"/>
    <s v="Transferencia"/>
    <m/>
    <m/>
    <s v="Santander"/>
    <m/>
    <m/>
    <m/>
    <m/>
    <m/>
    <m/>
    <s v=""/>
    <m/>
    <n v="19327.731092436974"/>
    <n v="3672.268907563026"/>
    <s v="Pirque"/>
    <s v="Revista"/>
    <s v="SI"/>
    <m/>
    <m/>
    <x v="0"/>
    <m/>
  </r>
  <r>
    <s v="C584"/>
    <s v="Alejandra Hamame"/>
    <n v="0"/>
    <n v="2976"/>
    <m/>
    <m/>
    <n v="6637"/>
    <n v="21200"/>
    <m/>
    <n v="21200"/>
    <x v="118"/>
    <n v="0"/>
    <d v="2020-02-25T00:00:00"/>
    <s v="Pagado"/>
    <d v="2020-02-25T00:00:00"/>
    <n v="21200"/>
    <s v="Cheque al Día"/>
    <m/>
    <m/>
    <m/>
    <m/>
    <n v="4955409"/>
    <n v="21200"/>
    <d v="2020-03-03T00:00:00"/>
    <s v="Chile"/>
    <m/>
    <s v="Otros"/>
    <m/>
    <n v="17815.126050420167"/>
    <n v="3384.8739495798327"/>
    <s v="Pirque"/>
    <s v="Revista"/>
    <s v="SI"/>
    <m/>
    <m/>
    <x v="0"/>
    <m/>
  </r>
  <r>
    <s v="C088"/>
    <s v="Salvador Jesus Maulen Lizana e Hios Ltda"/>
    <n v="3135"/>
    <n v="0"/>
    <m/>
    <m/>
    <s v="sn"/>
    <n v="336608"/>
    <m/>
    <n v="336608"/>
    <x v="119"/>
    <n v="30"/>
    <d v="2020-03-27T00:00:00"/>
    <s v="Pagado"/>
    <d v="2020-02-26T00:00:00"/>
    <n v="336608"/>
    <s v="Cheque a Fecha"/>
    <m/>
    <n v="6390164"/>
    <s v="Chile"/>
    <d v="2020-03-15T00:00:00"/>
    <m/>
    <m/>
    <m/>
    <m/>
    <m/>
    <s v="Chile"/>
    <m/>
    <n v="282863.86554621853"/>
    <n v="53744.134453781473"/>
    <s v="Cajon"/>
    <s v="Visita"/>
    <s v="SI"/>
    <m/>
    <m/>
    <x v="1"/>
    <m/>
  </r>
  <r>
    <s v="C088"/>
    <s v="Salvador Jesus Maulen Lizana e Hios Ltda"/>
    <n v="3136"/>
    <n v="0"/>
    <m/>
    <m/>
    <s v="sn"/>
    <n v="145289"/>
    <m/>
    <n v="145289"/>
    <x v="119"/>
    <n v="30"/>
    <d v="2020-03-27T00:00:00"/>
    <s v="Pagado"/>
    <d v="2020-02-26T00:00:00"/>
    <n v="145289"/>
    <s v="Cheque a Fecha"/>
    <m/>
    <n v="6390164"/>
    <s v="Chile"/>
    <d v="2020-03-15T00:00:00"/>
    <m/>
    <m/>
    <m/>
    <m/>
    <m/>
    <s v="Chile"/>
    <m/>
    <n v="122091.59663865546"/>
    <n v="23197.403361344535"/>
    <s v="Cajon"/>
    <s v="Visita"/>
    <s v="SI"/>
    <m/>
    <m/>
    <x v="1"/>
    <m/>
  </r>
  <r>
    <s v="C020"/>
    <s v="Sabores y Vinos Bernardita Munita EIRL"/>
    <n v="3147"/>
    <n v="0"/>
    <m/>
    <m/>
    <s v="OC 03"/>
    <n v="306121"/>
    <m/>
    <n v="306121"/>
    <x v="119"/>
    <n v="0"/>
    <d v="2020-02-26T00:00:00"/>
    <s v="Pagado"/>
    <d v="2020-03-05T00:00:00"/>
    <n v="306121"/>
    <s v="Transferencia"/>
    <m/>
    <m/>
    <s v="Chile"/>
    <m/>
    <m/>
    <m/>
    <m/>
    <m/>
    <m/>
    <s v=""/>
    <m/>
    <n v="257244.53781512607"/>
    <n v="48876.462184873933"/>
    <s v="Pirque"/>
    <s v="Visita"/>
    <s v="SI"/>
    <m/>
    <m/>
    <x v="1"/>
    <m/>
  </r>
  <r>
    <s v="C670"/>
    <s v="Nella Marchetti"/>
    <n v="0"/>
    <n v="2980"/>
    <m/>
    <m/>
    <n v="6646"/>
    <n v="22700"/>
    <m/>
    <n v="22700"/>
    <x v="119"/>
    <n v="0"/>
    <d v="2020-02-26T00:00:00"/>
    <s v="Pagado"/>
    <d v="2020-02-26T00:00:00"/>
    <n v="22700"/>
    <s v="Efectivo"/>
    <m/>
    <m/>
    <m/>
    <m/>
    <n v="7679632"/>
    <n v="22700"/>
    <d v="2020-03-03T00:00:00"/>
    <s v="Chile"/>
    <m/>
    <s v=""/>
    <m/>
    <n v="19075.63025210084"/>
    <n v="3624.3697478991598"/>
    <s v="Pirque"/>
    <s v="Revista"/>
    <s v="SI"/>
    <m/>
    <m/>
    <x v="0"/>
    <m/>
  </r>
  <r>
    <s v="C406"/>
    <s v="Naitana y Kufeke SPA"/>
    <n v="3141"/>
    <n v="0"/>
    <m/>
    <m/>
    <s v="sn"/>
    <n v="91125"/>
    <m/>
    <n v="91125"/>
    <x v="119"/>
    <n v="0"/>
    <d v="2020-02-26T00:00:00"/>
    <s v="Pagado"/>
    <d v="2020-04-02T00:00:00"/>
    <n v="91125"/>
    <s v="Transferencia"/>
    <m/>
    <m/>
    <m/>
    <m/>
    <m/>
    <m/>
    <m/>
    <m/>
    <m/>
    <s v=""/>
    <m/>
    <n v="76575.630252100847"/>
    <n v="14549.369747899153"/>
    <s v="Pirque"/>
    <s v="Visita"/>
    <s v="SI"/>
    <m/>
    <m/>
    <x v="1"/>
    <m/>
  </r>
  <r>
    <s v="C005"/>
    <s v="Julia Ines Rebolledo Retamal"/>
    <n v="3134"/>
    <n v="0"/>
    <m/>
    <m/>
    <s v="sn"/>
    <n v="192644"/>
    <m/>
    <n v="192644"/>
    <x v="119"/>
    <n v="7"/>
    <d v="2020-03-04T00:00:00"/>
    <s v="Abonado"/>
    <d v="2020-03-04T00:00:00"/>
    <n v="100000"/>
    <s v="Efectivo"/>
    <m/>
    <m/>
    <m/>
    <m/>
    <n v="2270999"/>
    <n v="100000"/>
    <d v="2020-03-05T00:00:00"/>
    <s v="Chile"/>
    <m/>
    <s v=""/>
    <m/>
    <n v="161885.71428571429"/>
    <n v="30758.28571428571"/>
    <s v="Cajon"/>
    <s v="Visita"/>
    <s v="NO"/>
    <m/>
    <m/>
    <x v="1"/>
    <m/>
  </r>
  <r>
    <s v="C053"/>
    <s v="Jacqueline Bani Peralta Jimenez"/>
    <n v="0"/>
    <n v="2982"/>
    <m/>
    <m/>
    <n v="6647"/>
    <n v="43200"/>
    <m/>
    <n v="43200"/>
    <x v="119"/>
    <n v="0"/>
    <d v="2020-02-26T00:00:00"/>
    <s v="Pagado"/>
    <d v="2020-02-26T00:00:00"/>
    <n v="43200"/>
    <s v="Transferencia"/>
    <m/>
    <m/>
    <s v="Falabella"/>
    <m/>
    <m/>
    <m/>
    <m/>
    <m/>
    <m/>
    <s v=""/>
    <m/>
    <n v="36302.521008403361"/>
    <n v="6897.4789915966394"/>
    <s v="Pirque"/>
    <s v="Revista"/>
    <s v="SI"/>
    <m/>
    <m/>
    <x v="0"/>
    <m/>
  </r>
  <r>
    <s v="C003"/>
    <s v="Hector Felipe Ramos Osorio"/>
    <n v="3130"/>
    <n v="0"/>
    <n v="294"/>
    <m/>
    <s v="sn"/>
    <n v="239038"/>
    <n v="-63008"/>
    <n v="176030"/>
    <x v="119"/>
    <n v="30"/>
    <d v="2020-03-27T00:00:00"/>
    <s v="Pagado"/>
    <d v="2020-02-26T00:00:00"/>
    <n v="176030"/>
    <s v="Cheque a Fecha"/>
    <m/>
    <n v="78998"/>
    <s v="Estado"/>
    <d v="2020-04-04T00:00:00"/>
    <m/>
    <m/>
    <m/>
    <m/>
    <m/>
    <s v="Otros"/>
    <m/>
    <n v="200872.26890756303"/>
    <n v="38165.731092436967"/>
    <s v="Cajon"/>
    <s v="Visita"/>
    <s v="SI"/>
    <m/>
    <m/>
    <x v="1"/>
    <m/>
  </r>
  <r>
    <s v="C495"/>
    <s v="Felipe Saint Jean Metzen"/>
    <n v="0"/>
    <n v="2979"/>
    <m/>
    <m/>
    <n v="2979"/>
    <n v="32100"/>
    <m/>
    <n v="32100"/>
    <x v="119"/>
    <n v="0"/>
    <d v="2020-02-26T00:00:00"/>
    <s v="Pagado"/>
    <d v="2020-02-28T00:00:00"/>
    <n v="32100"/>
    <s v="Transferencia"/>
    <m/>
    <m/>
    <s v="Estado"/>
    <m/>
    <m/>
    <m/>
    <m/>
    <m/>
    <m/>
    <s v=""/>
    <m/>
    <n v="26974.789915966387"/>
    <n v="5125.2100840336134"/>
    <s v="Pirque"/>
    <s v="Revista"/>
    <s v="SI"/>
    <m/>
    <m/>
    <x v="0"/>
    <m/>
  </r>
  <r>
    <s v="C349"/>
    <s v="Elaine Pratt"/>
    <n v="0"/>
    <n v="2981"/>
    <m/>
    <m/>
    <n v="6644"/>
    <n v="23000"/>
    <m/>
    <n v="23000"/>
    <x v="119"/>
    <n v="0"/>
    <d v="2020-02-26T00:00:00"/>
    <s v="Pagado"/>
    <d v="2020-02-26T00:00:00"/>
    <n v="23000"/>
    <s v="Efectivo"/>
    <m/>
    <m/>
    <m/>
    <m/>
    <n v="7679632"/>
    <n v="23000"/>
    <d v="2020-03-03T00:00:00"/>
    <s v="Chile"/>
    <m/>
    <s v=""/>
    <m/>
    <n v="19327.731092436974"/>
    <n v="3672.268907563026"/>
    <s v="Pirque"/>
    <s v="Conocido"/>
    <s v="SI"/>
    <m/>
    <m/>
    <x v="0"/>
    <m/>
  </r>
  <r>
    <s v="C001"/>
    <s v="Benito Campos y Cia Ltda."/>
    <n v="3137"/>
    <n v="0"/>
    <m/>
    <m/>
    <n v="1039579"/>
    <n v="369095"/>
    <m/>
    <n v="369095"/>
    <x v="119"/>
    <n v="30"/>
    <d v="2020-03-27T00:00:00"/>
    <s v="Vencido"/>
    <m/>
    <m/>
    <m/>
    <m/>
    <m/>
    <m/>
    <m/>
    <m/>
    <m/>
    <m/>
    <m/>
    <m/>
    <s v=""/>
    <m/>
    <n v="310163.86554621853"/>
    <n v="58931.134453781473"/>
    <s v="Cajon"/>
    <s v="Visita"/>
    <s v="NO"/>
    <m/>
    <m/>
    <x v="1"/>
    <m/>
  </r>
  <r>
    <s v="C001"/>
    <s v="Benito Campos y Cia Ltda."/>
    <n v="3138"/>
    <n v="0"/>
    <m/>
    <m/>
    <n v="1039580"/>
    <n v="216451"/>
    <m/>
    <n v="216451"/>
    <x v="119"/>
    <n v="30"/>
    <d v="2020-03-27T00:00:00"/>
    <s v="Vencido"/>
    <m/>
    <m/>
    <m/>
    <m/>
    <m/>
    <m/>
    <m/>
    <m/>
    <m/>
    <m/>
    <m/>
    <m/>
    <s v=""/>
    <m/>
    <n v="181891.59663865546"/>
    <n v="34559.403361344535"/>
    <s v="Cajon"/>
    <s v="Visita"/>
    <s v="NO"/>
    <m/>
    <m/>
    <x v="1"/>
    <m/>
  </r>
  <r>
    <s v="C001"/>
    <s v="Benito Campos y Cia Ltda."/>
    <n v="3139"/>
    <n v="0"/>
    <m/>
    <m/>
    <n v="1039581"/>
    <n v="316798"/>
    <m/>
    <n v="316798"/>
    <x v="119"/>
    <n v="30"/>
    <d v="2020-03-27T00:00:00"/>
    <s v="Vencido"/>
    <m/>
    <m/>
    <m/>
    <m/>
    <m/>
    <m/>
    <m/>
    <m/>
    <m/>
    <m/>
    <m/>
    <m/>
    <s v=""/>
    <m/>
    <n v="266216.80672268907"/>
    <n v="50581.193277310929"/>
    <s v="Cajon"/>
    <s v="Visita"/>
    <s v="NO"/>
    <m/>
    <m/>
    <x v="1"/>
    <m/>
  </r>
  <r>
    <s v="C001"/>
    <s v="Benito Campos y Cia Ltda."/>
    <n v="3140"/>
    <n v="0"/>
    <m/>
    <m/>
    <n v="1039582"/>
    <n v="136256"/>
    <m/>
    <n v="136256"/>
    <x v="119"/>
    <n v="30"/>
    <d v="2020-03-27T00:00:00"/>
    <s v="Vencido"/>
    <m/>
    <m/>
    <m/>
    <m/>
    <m/>
    <m/>
    <m/>
    <m/>
    <m/>
    <m/>
    <m/>
    <m/>
    <s v=""/>
    <m/>
    <n v="114500.84033613445"/>
    <n v="21755.159663865546"/>
    <s v="Cajon"/>
    <s v="Visita"/>
    <s v="NO"/>
    <m/>
    <m/>
    <x v="1"/>
    <m/>
  </r>
  <r>
    <s v="C116"/>
    <s v="Angelica Bravo"/>
    <n v="0"/>
    <n v="2978"/>
    <m/>
    <m/>
    <n v="6645"/>
    <n v="19700"/>
    <m/>
    <n v="19700"/>
    <x v="119"/>
    <n v="0"/>
    <d v="2020-02-26T00:00:00"/>
    <s v="Pagado"/>
    <d v="2020-02-26T00:00:00"/>
    <n v="19700"/>
    <s v="Transferencia"/>
    <m/>
    <m/>
    <s v="BCI"/>
    <m/>
    <m/>
    <m/>
    <m/>
    <m/>
    <m/>
    <s v=""/>
    <m/>
    <n v="16554.621848739498"/>
    <n v="3145.3781512605019"/>
    <s v="Pirque"/>
    <s v="Revista"/>
    <s v="SI"/>
    <m/>
    <m/>
    <x v="0"/>
    <m/>
  </r>
  <r>
    <s v="C088"/>
    <s v="Salvador Jesus Maulen Lizana e Hios Ltda"/>
    <n v="3179"/>
    <n v="0"/>
    <n v="307"/>
    <m/>
    <s v="sn"/>
    <n v="244230"/>
    <n v="-11341"/>
    <n v="232889"/>
    <x v="119"/>
    <n v="30"/>
    <d v="2020-03-27T00:00:00"/>
    <s v="Pagado"/>
    <d v="2020-03-26T00:00:00"/>
    <n v="232889"/>
    <s v="Cheque a Fecha"/>
    <m/>
    <n v="6411308"/>
    <s v="Chile"/>
    <d v="2020-04-13T00:00:00"/>
    <m/>
    <m/>
    <m/>
    <m/>
    <m/>
    <s v="Chile"/>
    <m/>
    <n v="205235.29411764708"/>
    <n v="38994.705882352922"/>
    <s v="Cajon"/>
    <s v="Visita"/>
    <s v="SI"/>
    <m/>
    <m/>
    <x v="1"/>
    <m/>
  </r>
  <r>
    <s v="C264"/>
    <s v="Pedro Pais"/>
    <n v="3148"/>
    <n v="0"/>
    <m/>
    <m/>
    <n v="6648"/>
    <n v="19500"/>
    <m/>
    <n v="19500"/>
    <x v="120"/>
    <n v="0"/>
    <d v="2020-02-28T00:00:00"/>
    <s v="Pagado"/>
    <d v="2020-02-28T00:00:00"/>
    <n v="19500"/>
    <s v="Efectivo"/>
    <m/>
    <m/>
    <m/>
    <m/>
    <n v="7679362"/>
    <n v="19500"/>
    <d v="2020-03-03T00:00:00"/>
    <s v="Chile"/>
    <m/>
    <s v=""/>
    <m/>
    <n v="16386.55462184874"/>
    <n v="3113.4453781512602"/>
    <s v="Pirque"/>
    <s v="Conocido"/>
    <s v="SI"/>
    <m/>
    <m/>
    <x v="1"/>
    <m/>
  </r>
  <r>
    <s v="C406"/>
    <s v="Naitana y Kufeke SPA"/>
    <n v="3142"/>
    <n v="0"/>
    <m/>
    <m/>
    <s v="sn"/>
    <n v="34412"/>
    <m/>
    <n v="34412"/>
    <x v="120"/>
    <n v="0"/>
    <d v="2020-02-28T00:00:00"/>
    <s v="Pagado"/>
    <d v="2020-04-02T00:00:00"/>
    <n v="34412"/>
    <s v="Transferencia"/>
    <m/>
    <m/>
    <m/>
    <m/>
    <m/>
    <m/>
    <m/>
    <m/>
    <m/>
    <s v=""/>
    <m/>
    <n v="28917.647058823532"/>
    <n v="5494.3529411764684"/>
    <s v="Pirque"/>
    <s v="Visita"/>
    <s v="SI"/>
    <m/>
    <m/>
    <x v="1"/>
    <m/>
  </r>
  <r>
    <s v="C554"/>
    <s v="Minimarket Doña Olga SPA"/>
    <n v="3144"/>
    <n v="0"/>
    <m/>
    <m/>
    <s v="SN"/>
    <n v="81540"/>
    <m/>
    <n v="81540"/>
    <x v="120"/>
    <n v="30"/>
    <d v="2020-03-29T00:00:00"/>
    <s v="Vencido"/>
    <m/>
    <m/>
    <m/>
    <m/>
    <m/>
    <m/>
    <m/>
    <m/>
    <m/>
    <m/>
    <m/>
    <m/>
    <s v=""/>
    <m/>
    <n v="68521.008403361353"/>
    <n v="13018.991596638647"/>
    <s v="Chada"/>
    <s v="Visita"/>
    <s v="NO"/>
    <m/>
    <m/>
    <x v="1"/>
    <m/>
  </r>
  <r>
    <s v="C509"/>
    <s v="Herman Mayenberger"/>
    <n v="0"/>
    <n v="2984"/>
    <m/>
    <m/>
    <n v="6649"/>
    <n v="49500"/>
    <m/>
    <n v="49500"/>
    <x v="120"/>
    <n v="0"/>
    <d v="2020-02-28T00:00:00"/>
    <s v="Pagado"/>
    <d v="2020-02-28T00:00:00"/>
    <n v="49500"/>
    <s v="Transferencia"/>
    <m/>
    <m/>
    <s v="Itaú"/>
    <m/>
    <m/>
    <m/>
    <m/>
    <m/>
    <m/>
    <s v=""/>
    <m/>
    <n v="41596.638655462186"/>
    <n v="7903.3613445378141"/>
    <s v="Pirque"/>
    <s v="Conocido"/>
    <s v="SI"/>
    <m/>
    <m/>
    <x v="0"/>
    <m/>
  </r>
  <r>
    <s v="C638"/>
    <s v="Catherine Barra"/>
    <n v="0"/>
    <n v="214"/>
    <m/>
    <m/>
    <n v="6651"/>
    <n v="23000"/>
    <m/>
    <n v="23000"/>
    <x v="120"/>
    <n v="0"/>
    <d v="2020-02-28T00:00:00"/>
    <s v="Pagado"/>
    <d v="2020-02-28T00:00:00"/>
    <n v="23000"/>
    <s v="Transbank"/>
    <s v="Credito"/>
    <n v="214"/>
    <m/>
    <m/>
    <m/>
    <m/>
    <m/>
    <m/>
    <m/>
    <s v=""/>
    <m/>
    <n v="19327.731092436974"/>
    <n v="3672.268907563026"/>
    <s v="Pirque"/>
    <s v="Revista"/>
    <s v="SI"/>
    <m/>
    <m/>
    <x v="0"/>
    <m/>
  </r>
  <r>
    <s v="C006"/>
    <s v="Carolina del Pilar Contreras Gutierrez"/>
    <n v="3145"/>
    <n v="0"/>
    <m/>
    <m/>
    <s v="SN"/>
    <n v="169023"/>
    <m/>
    <n v="169023"/>
    <x v="120"/>
    <n v="30"/>
    <d v="2020-03-29T00:00:00"/>
    <s v="Pagado"/>
    <d v="2020-03-13T00:00:00"/>
    <n v="169023"/>
    <s v="Cheque a Fecha"/>
    <m/>
    <m/>
    <s v="Falabella"/>
    <d v="2020-03-30T00:00:00"/>
    <m/>
    <m/>
    <m/>
    <m/>
    <m/>
    <s v="Otros"/>
    <m/>
    <n v="142036.13445378153"/>
    <n v="26986.865546218469"/>
    <s v="Chada"/>
    <s v="Visita"/>
    <s v="SI"/>
    <m/>
    <m/>
    <x v="1"/>
    <m/>
  </r>
  <r>
    <s v="C558"/>
    <s v="Carola Pardo"/>
    <n v="0"/>
    <n v="2983"/>
    <m/>
    <m/>
    <n v="6650"/>
    <n v="19700"/>
    <m/>
    <n v="19700"/>
    <x v="120"/>
    <n v="0"/>
    <d v="2020-02-28T00:00:00"/>
    <s v="Pagado"/>
    <d v="2020-02-28T00:00:00"/>
    <n v="19700"/>
    <s v="Efectivo"/>
    <m/>
    <m/>
    <m/>
    <m/>
    <n v="7679362"/>
    <n v="19700"/>
    <d v="2020-03-03T00:00:00"/>
    <s v="Chile"/>
    <m/>
    <s v=""/>
    <m/>
    <n v="16554.621848739498"/>
    <n v="3145.3781512605019"/>
    <s v="Pirque"/>
    <s v="Revista"/>
    <s v="SI"/>
    <m/>
    <m/>
    <x v="0"/>
    <m/>
  </r>
  <r>
    <s v="C032"/>
    <s v="Carlos Jobbe-Duval"/>
    <n v="0"/>
    <n v="0"/>
    <m/>
    <m/>
    <n v="6551"/>
    <n v="36500"/>
    <m/>
    <n v="36500"/>
    <x v="120"/>
    <n v="0"/>
    <d v="2020-02-28T00:00:00"/>
    <s v="Vencido"/>
    <m/>
    <m/>
    <m/>
    <m/>
    <m/>
    <m/>
    <m/>
    <m/>
    <m/>
    <m/>
    <m/>
    <m/>
    <s v=""/>
    <m/>
    <n v="30672.268907563026"/>
    <n v="5827.731092436974"/>
    <s v="Pirque"/>
    <s v="Conocido"/>
    <s v="NO"/>
    <m/>
    <m/>
    <x v="0"/>
    <m/>
  </r>
  <r>
    <s v="C001"/>
    <s v="Benito Campos y Cia Ltda."/>
    <n v="3146"/>
    <n v="0"/>
    <m/>
    <m/>
    <s v="sn"/>
    <n v="477012"/>
    <m/>
    <n v="477012"/>
    <x v="120"/>
    <n v="30"/>
    <d v="2020-03-29T00:00:00"/>
    <s v="Vencido"/>
    <m/>
    <m/>
    <m/>
    <m/>
    <m/>
    <m/>
    <m/>
    <m/>
    <m/>
    <m/>
    <m/>
    <m/>
    <s v=""/>
    <m/>
    <n v="400850.42016806727"/>
    <n v="76161.57983193273"/>
    <s v="Cajon"/>
    <s v="Visita"/>
    <s v="NO"/>
    <m/>
    <m/>
    <x v="1"/>
    <m/>
  </r>
  <r>
    <s v="C595"/>
    <s v="Juan Neira"/>
    <n v="0"/>
    <n v="2985"/>
    <m/>
    <m/>
    <n v="6657"/>
    <n v="19700"/>
    <m/>
    <n v="19700"/>
    <x v="121"/>
    <n v="0"/>
    <d v="2020-02-29T00:00:00"/>
    <s v="Pagado"/>
    <d v="2020-02-29T00:00:00"/>
    <n v="19700"/>
    <s v="Efectivo"/>
    <m/>
    <m/>
    <m/>
    <m/>
    <n v="7679362"/>
    <n v="19700"/>
    <d v="2020-03-03T00:00:00"/>
    <s v="Chile"/>
    <m/>
    <s v=""/>
    <m/>
    <n v="16554.621848739498"/>
    <n v="3145.3781512605019"/>
    <s v="Pirque"/>
    <s v="Revista"/>
    <s v="SI"/>
    <m/>
    <m/>
    <x v="0"/>
    <m/>
  </r>
  <r>
    <s v="C636"/>
    <s v="Jessica Cabello"/>
    <n v="0"/>
    <n v="217"/>
    <m/>
    <m/>
    <n v="6654"/>
    <n v="26000"/>
    <m/>
    <n v="26000"/>
    <x v="121"/>
    <n v="0"/>
    <d v="2020-02-29T00:00:00"/>
    <s v="Pagado"/>
    <d v="2020-02-29T00:00:00"/>
    <n v="26000"/>
    <s v="Transbank"/>
    <s v="Debito"/>
    <n v="217"/>
    <m/>
    <m/>
    <m/>
    <m/>
    <m/>
    <m/>
    <m/>
    <s v=""/>
    <m/>
    <n v="21848.73949579832"/>
    <n v="4151.2605042016803"/>
    <s v="Pirque"/>
    <s v="Revista"/>
    <s v="SI"/>
    <m/>
    <m/>
    <x v="0"/>
    <m/>
  </r>
  <r>
    <s v="C394"/>
    <s v="Gabriela Ulloa"/>
    <n v="0"/>
    <n v="2987"/>
    <m/>
    <m/>
    <n v="6655"/>
    <n v="15800"/>
    <m/>
    <n v="15800"/>
    <x v="121"/>
    <n v="0"/>
    <d v="2020-02-29T00:00:00"/>
    <s v="Pagado"/>
    <d v="2020-02-29T00:00:00"/>
    <n v="15800"/>
    <s v="Efectivo"/>
    <m/>
    <m/>
    <m/>
    <m/>
    <n v="7679362"/>
    <n v="15800"/>
    <d v="2020-03-03T00:00:00"/>
    <s v="Chile"/>
    <m/>
    <s v=""/>
    <m/>
    <n v="13277.310924369749"/>
    <n v="2522.689075630251"/>
    <s v="Pirque"/>
    <s v="Conocido"/>
    <s v="SI"/>
    <m/>
    <m/>
    <x v="0"/>
    <m/>
  </r>
  <r>
    <s v="C038"/>
    <s v="Francisca Gonzalez"/>
    <n v="0"/>
    <n v="0"/>
    <m/>
    <m/>
    <n v="6653"/>
    <n v="32100"/>
    <m/>
    <n v="32100"/>
    <x v="121"/>
    <n v="0"/>
    <d v="2020-02-29T00:00:00"/>
    <s v="Pagado"/>
    <d v="2020-02-29T00:00:00"/>
    <n v="32100"/>
    <s v="Transferencia"/>
    <m/>
    <m/>
    <s v="Chile"/>
    <m/>
    <m/>
    <m/>
    <m/>
    <m/>
    <m/>
    <s v=""/>
    <m/>
    <n v="26974.789915966387"/>
    <n v="5125.2100840336134"/>
    <s v="Pirque"/>
    <s v="Conocido"/>
    <s v="SI"/>
    <m/>
    <m/>
    <x v="0"/>
    <m/>
  </r>
  <r>
    <s v="C572"/>
    <s v="Aldo Tapia"/>
    <n v="0"/>
    <n v="2986"/>
    <m/>
    <m/>
    <n v="6652"/>
    <n v="16500"/>
    <m/>
    <n v="16500"/>
    <x v="121"/>
    <n v="0"/>
    <d v="2020-02-29T00:00:00"/>
    <s v="Pagado"/>
    <d v="2020-02-29T00:00:00"/>
    <n v="16500"/>
    <s v="Efectivo"/>
    <m/>
    <m/>
    <m/>
    <m/>
    <n v="7679362"/>
    <n v="16500"/>
    <d v="2020-03-03T00:00:00"/>
    <s v="Chile"/>
    <m/>
    <s v=""/>
    <m/>
    <n v="13865.546218487396"/>
    <n v="2634.4537815126041"/>
    <s v="Pirque"/>
    <s v="Revista"/>
    <s v="SI"/>
    <m/>
    <m/>
    <x v="0"/>
    <m/>
  </r>
  <r>
    <s v="C488"/>
    <s v="Trinidad Siviragol"/>
    <n v="0"/>
    <n v="2994"/>
    <m/>
    <m/>
    <n v="6664"/>
    <n v="47400"/>
    <m/>
    <n v="47400"/>
    <x v="122"/>
    <n v="0"/>
    <d v="2020-03-02T00:00:00"/>
    <s v="Pagado"/>
    <d v="2020-03-05T00:00:00"/>
    <n v="47400"/>
    <s v="Transferencia"/>
    <m/>
    <m/>
    <s v="Chile"/>
    <m/>
    <m/>
    <m/>
    <m/>
    <m/>
    <m/>
    <s v=""/>
    <m/>
    <n v="39831.932773109249"/>
    <n v="7568.067226890751"/>
    <s v="Pirque"/>
    <s v="Revista"/>
    <s v="SI"/>
    <m/>
    <m/>
    <x v="0"/>
    <m/>
  </r>
  <r>
    <s v="C020"/>
    <s v="Sabores y Vinos Bernardita Munita EIRL"/>
    <s v="P"/>
    <n v="0"/>
    <m/>
    <m/>
    <s v="OC 01"/>
    <n v="141614"/>
    <m/>
    <n v="141614"/>
    <x v="122"/>
    <n v="0"/>
    <d v="2020-03-02T00:00:00"/>
    <s v="Vencido"/>
    <m/>
    <m/>
    <m/>
    <m/>
    <m/>
    <m/>
    <m/>
    <m/>
    <m/>
    <m/>
    <m/>
    <m/>
    <s v=""/>
    <m/>
    <n v="119003.36134453781"/>
    <n v="22610.638655462186"/>
    <s v="Pirque"/>
    <s v="Visita"/>
    <s v="NO"/>
    <m/>
    <m/>
    <x v="1"/>
    <m/>
  </r>
  <r>
    <s v="C264"/>
    <s v="Pedro Pais"/>
    <n v="3148"/>
    <n v="0"/>
    <m/>
    <m/>
    <n v="6662"/>
    <n v="180000"/>
    <m/>
    <n v="180000"/>
    <x v="122"/>
    <n v="0"/>
    <d v="2020-03-02T00:00:00"/>
    <s v="Pagado"/>
    <d v="2020-03-02T00:00:00"/>
    <n v="180000"/>
    <s v="Cheque al Día"/>
    <m/>
    <n v="2946131"/>
    <s v="Chile"/>
    <d v="2020-03-02T00:00:00"/>
    <n v="7679361"/>
    <n v="180000"/>
    <d v="2020-03-02T00:00:00"/>
    <s v="Chile"/>
    <m/>
    <s v="Chile"/>
    <m/>
    <n v="151260.50420168068"/>
    <n v="28739.495798319316"/>
    <s v="Pirque"/>
    <s v="Conocido"/>
    <s v="SI"/>
    <m/>
    <m/>
    <x v="1"/>
    <m/>
  </r>
  <r>
    <s v="C186"/>
    <s v="Monica Valdivieso"/>
    <n v="0"/>
    <n v="0"/>
    <m/>
    <m/>
    <n v="6663"/>
    <n v="16500"/>
    <m/>
    <n v="16500"/>
    <x v="122"/>
    <n v="0"/>
    <d v="2020-03-02T00:00:00"/>
    <s v="Pagado"/>
    <d v="2020-03-02T00:00:00"/>
    <n v="16500"/>
    <s v="Efectivo"/>
    <m/>
    <m/>
    <m/>
    <m/>
    <n v="7675274"/>
    <n v="16500"/>
    <d v="2020-03-05T00:00:00"/>
    <s v="Chile"/>
    <m/>
    <s v=""/>
    <m/>
    <n v="13865.546218487396"/>
    <n v="2634.4537815126041"/>
    <s v="Pirque"/>
    <s v="Revista"/>
    <s v="SI"/>
    <m/>
    <m/>
    <x v="0"/>
    <m/>
  </r>
  <r>
    <s v="C552"/>
    <s v="Miguel Cabrera"/>
    <n v="0"/>
    <n v="2993"/>
    <m/>
    <m/>
    <n v="6659"/>
    <n v="12500"/>
    <m/>
    <n v="12500"/>
    <x v="122"/>
    <n v="0"/>
    <d v="2020-03-02T00:00:00"/>
    <s v="Pagado"/>
    <d v="2020-03-02T00:00:00"/>
    <n v="12500"/>
    <s v="Efectivo"/>
    <m/>
    <m/>
    <m/>
    <m/>
    <n v="7675274"/>
    <n v="12500"/>
    <d v="2020-03-05T00:00:00"/>
    <s v="Chile"/>
    <m/>
    <s v=""/>
    <m/>
    <n v="10504.20168067227"/>
    <n v="1995.7983193277305"/>
    <s v="Pirque"/>
    <s v="Revista"/>
    <s v="SI"/>
    <m/>
    <m/>
    <x v="0"/>
    <m/>
  </r>
  <r>
    <s v="C620"/>
    <s v="Luz Maria Ossandon"/>
    <n v="0"/>
    <n v="2992"/>
    <m/>
    <m/>
    <n v="6658"/>
    <n v="19900"/>
    <m/>
    <n v="19900"/>
    <x v="122"/>
    <n v="0"/>
    <d v="2020-03-02T00:00:00"/>
    <s v="Pagado"/>
    <d v="2020-03-02T00:00:00"/>
    <n v="19900"/>
    <s v="Efectivo"/>
    <m/>
    <m/>
    <m/>
    <m/>
    <n v="2719738"/>
    <n v="19900"/>
    <d v="2020-03-13T00:00:00"/>
    <s v="Chile"/>
    <m/>
    <s v=""/>
    <m/>
    <n v="16722.689075630253"/>
    <n v="3177.3109243697472"/>
    <s v="Pirque"/>
    <s v="Conocido"/>
    <s v="SI"/>
    <m/>
    <m/>
    <x v="0"/>
    <m/>
  </r>
  <r>
    <s v="C627"/>
    <s v="Luis Elola"/>
    <n v="0"/>
    <n v="2990"/>
    <m/>
    <m/>
    <n v="6666"/>
    <n v="8300"/>
    <m/>
    <n v="8300"/>
    <x v="122"/>
    <n v="0"/>
    <d v="2020-03-02T00:00:00"/>
    <s v="Pagado"/>
    <d v="2020-03-02T00:00:00"/>
    <n v="8300"/>
    <s v="Transferencia"/>
    <m/>
    <m/>
    <s v="Scotiabank"/>
    <m/>
    <m/>
    <m/>
    <m/>
    <m/>
    <m/>
    <s v=""/>
    <m/>
    <n v="6974.7899159663866"/>
    <n v="1325.2100840336134"/>
    <s v="Pirque"/>
    <s v="Revista"/>
    <s v="SI"/>
    <m/>
    <m/>
    <x v="0"/>
    <m/>
  </r>
  <r>
    <s v="C307"/>
    <s v="Franklin Winston Smart Guevara"/>
    <n v="0"/>
    <n v="2989"/>
    <m/>
    <m/>
    <n v="6661"/>
    <n v="14200"/>
    <m/>
    <n v="14200"/>
    <x v="122"/>
    <n v="0"/>
    <d v="2020-03-02T00:00:00"/>
    <s v="Pagado"/>
    <d v="2020-02-03T00:00:00"/>
    <n v="14200"/>
    <s v="Transferencia"/>
    <m/>
    <m/>
    <s v="Santander"/>
    <m/>
    <m/>
    <m/>
    <m/>
    <m/>
    <m/>
    <s v=""/>
    <m/>
    <n v="11932.773109243699"/>
    <n v="2267.2268907563011"/>
    <s v="Pirque"/>
    <s v="Revista"/>
    <s v="SI"/>
    <m/>
    <m/>
    <x v="0"/>
    <m/>
  </r>
  <r>
    <s v="C611"/>
    <s v="Esmeralda Riveros"/>
    <n v="0"/>
    <n v="2991"/>
    <m/>
    <m/>
    <n v="6660"/>
    <n v="12500"/>
    <m/>
    <n v="12500"/>
    <x v="122"/>
    <n v="0"/>
    <d v="2020-03-02T00:00:00"/>
    <s v="Pagado"/>
    <d v="2020-03-02T00:00:00"/>
    <n v="12500"/>
    <s v="Efectivo"/>
    <m/>
    <m/>
    <m/>
    <m/>
    <n v="7675274"/>
    <n v="12500"/>
    <d v="2020-03-05T00:00:00"/>
    <s v="Chile"/>
    <m/>
    <s v=""/>
    <m/>
    <n v="10504.20168067227"/>
    <n v="1995.7983193277305"/>
    <s v="Pirque"/>
    <s v="Revista"/>
    <s v="SI"/>
    <m/>
    <m/>
    <x v="0"/>
    <m/>
  </r>
  <r>
    <s v="C660"/>
    <s v="Carolina Lama "/>
    <n v="0"/>
    <n v="2998"/>
    <m/>
    <m/>
    <n v="6665"/>
    <n v="33000"/>
    <m/>
    <n v="33000"/>
    <x v="122"/>
    <n v="0"/>
    <d v="2020-03-02T00:00:00"/>
    <s v="Pagado"/>
    <d v="2020-03-02T00:00:00"/>
    <n v="33000"/>
    <s v="Transferencia"/>
    <m/>
    <m/>
    <s v="BCI"/>
    <m/>
    <m/>
    <m/>
    <m/>
    <m/>
    <m/>
    <s v=""/>
    <m/>
    <n v="27731.092436974792"/>
    <n v="5268.9075630252082"/>
    <s v="Pirque"/>
    <s v="Revista"/>
    <s v="SI"/>
    <m/>
    <m/>
    <x v="0"/>
    <m/>
  </r>
  <r>
    <s v="C444"/>
    <s v="Solange Franjola"/>
    <n v="0"/>
    <n v="2995"/>
    <m/>
    <m/>
    <n v="6669"/>
    <n v="19900"/>
    <m/>
    <n v="19900"/>
    <x v="123"/>
    <n v="0"/>
    <d v="2020-03-03T00:00:00"/>
    <s v="Pagado"/>
    <d v="2020-03-02T00:00:00"/>
    <n v="19900"/>
    <s v="Transferencia"/>
    <m/>
    <m/>
    <s v="BCI"/>
    <m/>
    <m/>
    <m/>
    <m/>
    <m/>
    <m/>
    <s v=""/>
    <m/>
    <n v="16722.689075630253"/>
    <n v="3177.3109243697472"/>
    <s v="Pirque"/>
    <s v="Datito"/>
    <s v="SI"/>
    <m/>
    <m/>
    <x v="0"/>
    <m/>
  </r>
  <r>
    <s v="C066"/>
    <s v="Marisol Ximena Ibarra Medina"/>
    <n v="0"/>
    <n v="2996"/>
    <m/>
    <m/>
    <n v="6667"/>
    <n v="47500"/>
    <m/>
    <n v="47500"/>
    <x v="123"/>
    <n v="0"/>
    <d v="2020-03-03T00:00:00"/>
    <s v="Pagado"/>
    <d v="2020-03-03T00:00:00"/>
    <n v="47500"/>
    <s v="Transferencia"/>
    <m/>
    <m/>
    <s v="Santander"/>
    <m/>
    <m/>
    <m/>
    <m/>
    <m/>
    <m/>
    <s v=""/>
    <m/>
    <n v="39915.966386554624"/>
    <n v="7584.0336134453755"/>
    <s v="Pirque"/>
    <s v="Conocido"/>
    <s v="SI"/>
    <m/>
    <m/>
    <x v="0"/>
    <m/>
  </r>
  <r>
    <s v="C455"/>
    <s v="Grace Moore"/>
    <n v="0"/>
    <n v="215"/>
    <m/>
    <m/>
    <n v="6668"/>
    <n v="23000"/>
    <m/>
    <n v="23000"/>
    <x v="123"/>
    <n v="0"/>
    <d v="2020-03-03T00:00:00"/>
    <s v="Pagado"/>
    <d v="2020-02-03T00:00:00"/>
    <n v="23000"/>
    <s v="Transbank"/>
    <s v="Credito"/>
    <n v="215"/>
    <m/>
    <m/>
    <m/>
    <m/>
    <m/>
    <m/>
    <m/>
    <s v=""/>
    <m/>
    <n v="19327.731092436974"/>
    <n v="3672.268907563026"/>
    <s v="Pirque"/>
    <s v="Conocido"/>
    <s v="SI"/>
    <m/>
    <m/>
    <x v="0"/>
    <m/>
  </r>
  <r>
    <s v="C359"/>
    <s v="Manuel Perez"/>
    <n v="0"/>
    <n v="3002"/>
    <m/>
    <m/>
    <n v="6673"/>
    <n v="29900"/>
    <m/>
    <n v="29900"/>
    <x v="124"/>
    <n v="0"/>
    <d v="2020-03-04T00:00:00"/>
    <s v="Pagado"/>
    <d v="2020-03-05T00:00:00"/>
    <n v="29900"/>
    <s v="Transferencia"/>
    <m/>
    <m/>
    <s v="Santander"/>
    <m/>
    <m/>
    <m/>
    <m/>
    <m/>
    <m/>
    <s v=""/>
    <m/>
    <n v="25126.050420168067"/>
    <n v="4773.9495798319331"/>
    <s v="Pirque"/>
    <s v="Conocido"/>
    <s v="SI"/>
    <m/>
    <m/>
    <x v="0"/>
    <m/>
  </r>
  <r>
    <s v="C619"/>
    <s v="Luz Maria Streeter"/>
    <n v="0"/>
    <n v="3000"/>
    <m/>
    <m/>
    <n v="6672"/>
    <n v="33000"/>
    <m/>
    <n v="33000"/>
    <x v="124"/>
    <n v="0"/>
    <d v="2020-03-04T00:00:00"/>
    <s v="Pagado"/>
    <d v="2020-03-04T00:00:00"/>
    <n v="33000"/>
    <s v="Transferencia"/>
    <m/>
    <m/>
    <s v="Chile"/>
    <m/>
    <m/>
    <m/>
    <m/>
    <m/>
    <m/>
    <s v=""/>
    <m/>
    <n v="27731.092436974792"/>
    <n v="5268.9075630252082"/>
    <s v="Pirque"/>
    <s v="Revista"/>
    <s v="SI"/>
    <m/>
    <m/>
    <x v="0"/>
    <m/>
  </r>
  <r>
    <s v="C538"/>
    <s v="Katherine Torres"/>
    <n v="0"/>
    <n v="0"/>
    <m/>
    <m/>
    <n v="6678"/>
    <n v="38900"/>
    <m/>
    <n v="38900"/>
    <x v="124"/>
    <n v="0"/>
    <d v="2020-03-04T00:00:00"/>
    <s v="Pagado"/>
    <d v="2020-03-04T00:00:00"/>
    <n v="38900"/>
    <s v="Transferencia"/>
    <m/>
    <m/>
    <s v="Scotiabank"/>
    <m/>
    <m/>
    <m/>
    <m/>
    <m/>
    <m/>
    <s v=""/>
    <m/>
    <n v="32689.075630252104"/>
    <n v="6210.924369747896"/>
    <s v="Pirque"/>
    <s v="Revista"/>
    <s v="SI"/>
    <m/>
    <m/>
    <x v="0"/>
    <m/>
  </r>
  <r>
    <s v="C086"/>
    <s v="Cristian Guillermo Ortiz Gonzalez"/>
    <n v="0"/>
    <n v="3003"/>
    <m/>
    <m/>
    <n v="6677"/>
    <n v="18400"/>
    <m/>
    <n v="18400"/>
    <x v="124"/>
    <n v="0"/>
    <d v="2020-03-04T00:00:00"/>
    <s v="Pagado"/>
    <d v="2020-03-09T00:00:00"/>
    <n v="18400"/>
    <s v="Transferencia"/>
    <m/>
    <m/>
    <s v="Chile"/>
    <m/>
    <m/>
    <m/>
    <m/>
    <m/>
    <m/>
    <s v=""/>
    <m/>
    <n v="15462.18487394958"/>
    <n v="2937.8151260504201"/>
    <s v="Pirque"/>
    <s v="Conocido"/>
    <s v="SI"/>
    <m/>
    <m/>
    <x v="0"/>
    <m/>
  </r>
  <r>
    <s v="C043"/>
    <s v="Consuelo Andrea Sanchez Bisbal"/>
    <n v="0"/>
    <n v="2998"/>
    <m/>
    <m/>
    <n v="6671"/>
    <n v="19700"/>
    <m/>
    <n v="19700"/>
    <x v="124"/>
    <n v="0"/>
    <d v="2020-03-04T00:00:00"/>
    <s v="Pagado"/>
    <d v="2020-03-06T00:00:00"/>
    <n v="19700"/>
    <s v="Transferencia"/>
    <m/>
    <m/>
    <s v="Falabella"/>
    <m/>
    <m/>
    <m/>
    <m/>
    <m/>
    <m/>
    <s v=""/>
    <m/>
    <n v="16554.621848739498"/>
    <n v="3145.3781512605019"/>
    <s v="Pirque"/>
    <s v="Revista"/>
    <s v="SI"/>
    <m/>
    <m/>
    <x v="0"/>
    <m/>
  </r>
  <r>
    <s v="C659"/>
    <s v="Carola Huerta"/>
    <n v="0"/>
    <n v="3001"/>
    <m/>
    <m/>
    <n v="6674"/>
    <n v="16500"/>
    <m/>
    <n v="16500"/>
    <x v="124"/>
    <n v="0"/>
    <d v="2020-03-04T00:00:00"/>
    <s v="Pagado"/>
    <d v="2020-03-04T00:00:00"/>
    <n v="16500"/>
    <s v="Transferencia"/>
    <m/>
    <m/>
    <s v="Santander"/>
    <m/>
    <m/>
    <m/>
    <m/>
    <m/>
    <m/>
    <s v=""/>
    <m/>
    <n v="13865.546218487396"/>
    <n v="2634.4537815126041"/>
    <s v="Pirque"/>
    <s v="Revista"/>
    <s v="SI"/>
    <m/>
    <m/>
    <x v="0"/>
    <m/>
  </r>
  <r>
    <s v="C063"/>
    <s v="Andrea Ramirez"/>
    <n v="0"/>
    <n v="3004"/>
    <m/>
    <m/>
    <n v="6676"/>
    <n v="26700"/>
    <m/>
    <n v="26700"/>
    <x v="124"/>
    <n v="0"/>
    <d v="2020-03-04T00:00:00"/>
    <s v="Pagado"/>
    <d v="2020-03-04T00:00:00"/>
    <n v="26700"/>
    <s v="Transferencia"/>
    <m/>
    <m/>
    <s v="Estado"/>
    <m/>
    <m/>
    <m/>
    <m/>
    <m/>
    <m/>
    <s v=""/>
    <m/>
    <n v="22436.974789915967"/>
    <n v="4263.0252100840335"/>
    <s v="Pirque"/>
    <s v="Conocido"/>
    <s v="SI"/>
    <m/>
    <m/>
    <x v="0"/>
    <m/>
  </r>
  <r>
    <s v="C037"/>
    <s v="Amelia Cortes"/>
    <n v="0"/>
    <n v="2999"/>
    <m/>
    <m/>
    <n v="6670"/>
    <n v="45700"/>
    <m/>
    <n v="45700"/>
    <x v="124"/>
    <n v="0"/>
    <d v="2020-03-04T00:00:00"/>
    <s v="Pagado"/>
    <d v="2020-03-04T00:00:00"/>
    <n v="45700"/>
    <s v="Transferencia"/>
    <m/>
    <m/>
    <s v="Itaú"/>
    <m/>
    <m/>
    <m/>
    <m/>
    <m/>
    <m/>
    <s v=""/>
    <m/>
    <n v="38403.361344537814"/>
    <n v="7296.6386554621859"/>
    <s v="Cajon"/>
    <s v="Revista"/>
    <s v="SI"/>
    <m/>
    <m/>
    <x v="0"/>
    <m/>
  </r>
  <r>
    <s v="C020"/>
    <s v="Sabores y Vinos Bernardita Munita EIRL"/>
    <s v="P"/>
    <n v="0"/>
    <m/>
    <m/>
    <s v="OC 02"/>
    <n v="136461"/>
    <m/>
    <n v="136461"/>
    <x v="125"/>
    <n v="0"/>
    <d v="2020-03-05T00:00:00"/>
    <s v="Vencido"/>
    <m/>
    <m/>
    <m/>
    <m/>
    <m/>
    <m/>
    <m/>
    <m/>
    <m/>
    <m/>
    <m/>
    <m/>
    <s v=""/>
    <m/>
    <n v="114673.10924369749"/>
    <n v="21787.890756302513"/>
    <s v="Pirque"/>
    <s v="Visita"/>
    <s v="NO"/>
    <m/>
    <m/>
    <x v="1"/>
    <m/>
  </r>
  <r>
    <s v="C625"/>
    <s v="Patricia Zapata"/>
    <n v="0"/>
    <n v="0"/>
    <m/>
    <m/>
    <n v="6682"/>
    <n v="55500"/>
    <m/>
    <n v="55500"/>
    <x v="125"/>
    <n v="0"/>
    <d v="2020-03-05T00:00:00"/>
    <s v="Pagado"/>
    <d v="2020-03-05T00:00:00"/>
    <n v="55500"/>
    <s v="Transferencia"/>
    <m/>
    <m/>
    <s v="BCI"/>
    <m/>
    <m/>
    <m/>
    <m/>
    <m/>
    <m/>
    <s v=""/>
    <m/>
    <n v="46638.655462184877"/>
    <n v="8861.3445378151227"/>
    <s v="Pirque"/>
    <s v="Revista"/>
    <s v="SI"/>
    <m/>
    <m/>
    <x v="0"/>
    <m/>
  </r>
  <r>
    <s v="C079"/>
    <s v="Kim Cornely"/>
    <n v="0"/>
    <n v="3007"/>
    <m/>
    <m/>
    <n v="6679"/>
    <n v="16500"/>
    <m/>
    <n v="16500"/>
    <x v="125"/>
    <n v="0"/>
    <d v="2020-03-05T00:00:00"/>
    <s v="Pagado"/>
    <d v="2020-03-07T00:00:00"/>
    <n v="16500"/>
    <s v="Transferencia"/>
    <m/>
    <m/>
    <s v="Chile"/>
    <m/>
    <m/>
    <m/>
    <m/>
    <m/>
    <m/>
    <s v=""/>
    <m/>
    <n v="13865.546218487396"/>
    <n v="2634.4537815126041"/>
    <s v="Pirque"/>
    <s v="Conocido"/>
    <s v="SI"/>
    <m/>
    <m/>
    <x v="0"/>
    <m/>
  </r>
  <r>
    <s v="C342"/>
    <s v="Julio Cesar Contreras"/>
    <n v="0"/>
    <n v="3005"/>
    <m/>
    <m/>
    <n v="6681"/>
    <n v="16500"/>
    <m/>
    <n v="16500"/>
    <x v="125"/>
    <n v="0"/>
    <d v="2020-03-05T00:00:00"/>
    <s v="Pagado"/>
    <d v="2020-03-05T00:00:00"/>
    <n v="16500"/>
    <s v="Transferencia"/>
    <m/>
    <m/>
    <s v="Santander"/>
    <m/>
    <m/>
    <m/>
    <m/>
    <m/>
    <m/>
    <s v=""/>
    <m/>
    <n v="13865.546218487396"/>
    <n v="2634.4537815126041"/>
    <s v="Pirque"/>
    <s v="Revista"/>
    <s v="SI"/>
    <m/>
    <m/>
    <x v="0"/>
    <m/>
  </r>
  <r>
    <s v="C349"/>
    <s v="Elaine Pratt"/>
    <n v="0"/>
    <n v="3006"/>
    <m/>
    <m/>
    <n v="6680"/>
    <n v="47600"/>
    <m/>
    <n v="47600"/>
    <x v="125"/>
    <n v="0"/>
    <d v="2020-03-05T00:00:00"/>
    <s v="Pagado"/>
    <d v="2020-03-05T00:00:00"/>
    <n v="47600"/>
    <s v="Efectivo"/>
    <m/>
    <m/>
    <m/>
    <m/>
    <n v="2719736"/>
    <n v="47600"/>
    <d v="2020-03-11T00:00:00"/>
    <s v="Chile"/>
    <m/>
    <s v=""/>
    <m/>
    <n v="40000"/>
    <n v="7600"/>
    <s v="Pirque"/>
    <s v="Conocido"/>
    <s v="SI"/>
    <m/>
    <m/>
    <x v="0"/>
    <m/>
  </r>
  <r>
    <s v="C009"/>
    <s v="Sociedad Comercial y Agricola Chada Ltda"/>
    <n v="3152"/>
    <n v="0"/>
    <m/>
    <m/>
    <s v="sn"/>
    <n v="58001"/>
    <m/>
    <n v="58001"/>
    <x v="126"/>
    <n v="7"/>
    <d v="2020-03-13T00:00:00"/>
    <s v="Pagado"/>
    <d v="2020-03-06T00:00:00"/>
    <n v="58001"/>
    <s v="Efectivo"/>
    <m/>
    <m/>
    <m/>
    <m/>
    <n v="4955406"/>
    <n v="58001"/>
    <d v="2020-03-10T00:00:00"/>
    <s v="Chile"/>
    <m/>
    <s v=""/>
    <m/>
    <n v="48740.336134453784"/>
    <n v="9260.6638655462157"/>
    <s v="Chada"/>
    <s v="Visita"/>
    <s v="SI"/>
    <m/>
    <m/>
    <x v="1"/>
    <m/>
  </r>
  <r>
    <s v="C361"/>
    <s v="Marcela Biham"/>
    <n v="0"/>
    <n v="217"/>
    <m/>
    <m/>
    <n v="6684"/>
    <n v="45400"/>
    <m/>
    <n v="45400"/>
    <x v="126"/>
    <n v="0"/>
    <d v="2020-03-06T00:00:00"/>
    <s v="Pagado"/>
    <d v="2020-03-06T00:00:00"/>
    <n v="45400"/>
    <s v="Transbank"/>
    <s v="Credito"/>
    <n v="217"/>
    <m/>
    <m/>
    <m/>
    <m/>
    <m/>
    <m/>
    <m/>
    <s v=""/>
    <m/>
    <n v="38151.26050420168"/>
    <n v="7248.7394957983197"/>
    <s v="Chada"/>
    <s v="Revista"/>
    <s v="SI"/>
    <m/>
    <m/>
    <x v="0"/>
    <m/>
  </r>
  <r>
    <s v="C537"/>
    <s v="Ma Jose Garcia"/>
    <n v="0"/>
    <n v="3010"/>
    <m/>
    <m/>
    <n v="6687"/>
    <n v="22700"/>
    <m/>
    <n v="22700"/>
    <x v="126"/>
    <n v="0"/>
    <d v="2020-03-06T00:00:00"/>
    <s v="Pagado"/>
    <d v="2020-03-06T00:00:00"/>
    <n v="22700"/>
    <s v="Transferencia"/>
    <m/>
    <m/>
    <s v="BCI"/>
    <m/>
    <m/>
    <m/>
    <m/>
    <m/>
    <m/>
    <s v=""/>
    <m/>
    <n v="19075.63025210084"/>
    <n v="3624.3697478991598"/>
    <s v="Pirque"/>
    <s v="Revista"/>
    <s v="SI"/>
    <m/>
    <m/>
    <x v="0"/>
    <m/>
  </r>
  <r>
    <s v="C028"/>
    <s v="Luz María Velasquez"/>
    <n v="0"/>
    <n v="0"/>
    <m/>
    <m/>
    <n v="6686"/>
    <n v="41000"/>
    <m/>
    <n v="41000"/>
    <x v="126"/>
    <n v="0"/>
    <d v="2020-03-06T00:00:00"/>
    <s v="Vencido"/>
    <m/>
    <m/>
    <m/>
    <m/>
    <m/>
    <m/>
    <m/>
    <m/>
    <m/>
    <m/>
    <m/>
    <m/>
    <s v=""/>
    <m/>
    <n v="34453.781512605041"/>
    <n v="6546.2184873949591"/>
    <s v="Chada"/>
    <s v="Conocido"/>
    <s v="NO"/>
    <m/>
    <m/>
    <x v="0"/>
    <m/>
  </r>
  <r>
    <s v="C243"/>
    <s v="Loreto Rojas"/>
    <n v="0"/>
    <n v="3009"/>
    <m/>
    <m/>
    <n v="6689"/>
    <n v="10200"/>
    <m/>
    <n v="10200"/>
    <x v="126"/>
    <n v="0"/>
    <d v="2020-03-06T00:00:00"/>
    <s v="Pagado"/>
    <d v="2020-03-06T00:00:00"/>
    <n v="10200"/>
    <s v="Efectivo"/>
    <m/>
    <m/>
    <m/>
    <m/>
    <n v="2719735"/>
    <n v="10200"/>
    <d v="2020-03-10T00:00:00"/>
    <s v="Chile"/>
    <m/>
    <s v=""/>
    <m/>
    <n v="8571.4285714285725"/>
    <n v="1628.5714285714275"/>
    <s v="Pirque"/>
    <s v="Revista"/>
    <s v="SI"/>
    <m/>
    <m/>
    <x v="0"/>
    <m/>
  </r>
  <r>
    <s v="C057"/>
    <s v="Laura Thernan "/>
    <n v="0"/>
    <n v="3008"/>
    <m/>
    <m/>
    <n v="6685"/>
    <n v="31000"/>
    <m/>
    <n v="31000"/>
    <x v="126"/>
    <n v="0"/>
    <d v="2020-03-06T00:00:00"/>
    <s v="Vencido"/>
    <m/>
    <m/>
    <m/>
    <m/>
    <m/>
    <m/>
    <m/>
    <m/>
    <m/>
    <m/>
    <m/>
    <m/>
    <s v=""/>
    <m/>
    <n v="26050.420168067227"/>
    <n v="4949.5798319327732"/>
    <s v="Chada"/>
    <s v="Conocido"/>
    <s v="NO"/>
    <m/>
    <m/>
    <x v="0"/>
    <m/>
  </r>
  <r>
    <s v="C535"/>
    <s v="Juan Pablo Garcia"/>
    <n v="0"/>
    <n v="218"/>
    <m/>
    <m/>
    <n v="6688"/>
    <n v="45400"/>
    <m/>
    <n v="45400"/>
    <x v="126"/>
    <n v="0"/>
    <d v="2020-03-06T00:00:00"/>
    <s v="Pagado"/>
    <d v="2020-03-06T00:00:00"/>
    <n v="45400"/>
    <s v="Transbank"/>
    <s v="Credito"/>
    <n v="218"/>
    <m/>
    <m/>
    <m/>
    <m/>
    <m/>
    <m/>
    <m/>
    <s v=""/>
    <m/>
    <n v="38151.26050420168"/>
    <n v="7248.7394957983197"/>
    <s v="Pirque"/>
    <s v="Revista"/>
    <s v="SI"/>
    <m/>
    <m/>
    <x v="0"/>
    <m/>
  </r>
  <r>
    <s v="C035"/>
    <s v="Jimena Isabel Alfaro Navarro"/>
    <n v="3151"/>
    <n v="0"/>
    <m/>
    <m/>
    <s v="sn"/>
    <n v="45280"/>
    <m/>
    <n v="45280"/>
    <x v="126"/>
    <n v="0"/>
    <d v="2020-03-06T00:00:00"/>
    <s v="Pagado"/>
    <d v="2020-03-06T00:00:00"/>
    <n v="45280"/>
    <s v="Efectivo"/>
    <m/>
    <m/>
    <m/>
    <m/>
    <n v="4955406"/>
    <n v="45280"/>
    <d v="2020-03-10T00:00:00"/>
    <s v="Chile"/>
    <m/>
    <s v=""/>
    <m/>
    <n v="38050.420168067227"/>
    <n v="7229.5798319327732"/>
    <s v="Chada"/>
    <s v="Visita"/>
    <s v="SI"/>
    <m/>
    <m/>
    <x v="1"/>
    <m/>
  </r>
  <r>
    <s v="C560"/>
    <s v="Guillermo Garces"/>
    <n v="0"/>
    <n v="219"/>
    <m/>
    <m/>
    <n v="6683"/>
    <n v="97000"/>
    <m/>
    <n v="97000"/>
    <x v="126"/>
    <n v="0"/>
    <d v="2020-03-06T00:00:00"/>
    <s v="Pagado"/>
    <d v="2020-03-06T00:00:00"/>
    <n v="97000"/>
    <s v="Transbank"/>
    <s v="Debito"/>
    <n v="219"/>
    <m/>
    <m/>
    <m/>
    <m/>
    <m/>
    <m/>
    <m/>
    <s v=""/>
    <m/>
    <n v="81512.605042016818"/>
    <n v="15487.394957983182"/>
    <s v="Pirque"/>
    <s v="Revista"/>
    <s v="SI"/>
    <m/>
    <m/>
    <x v="0"/>
    <m/>
  </r>
  <r>
    <s v="C021"/>
    <s v="Adelita del Carmen Leon Pizarro"/>
    <n v="3150"/>
    <n v="0"/>
    <m/>
    <m/>
    <s v="SN"/>
    <n v="54494"/>
    <m/>
    <n v="54494"/>
    <x v="126"/>
    <n v="0"/>
    <d v="2020-03-06T00:00:00"/>
    <s v="Pagado"/>
    <d v="2020-03-06T00:00:00"/>
    <n v="54494"/>
    <s v="Efectivo"/>
    <m/>
    <m/>
    <m/>
    <m/>
    <n v="4955406"/>
    <n v="54494"/>
    <d v="2020-03-10T00:00:00"/>
    <s v="Chile"/>
    <m/>
    <s v=""/>
    <m/>
    <n v="45793.277310924372"/>
    <n v="8700.7226890756283"/>
    <s v="Chada"/>
    <s v="Visita"/>
    <s v="SI"/>
    <m/>
    <m/>
    <x v="1"/>
    <m/>
  </r>
  <r>
    <s v="C510"/>
    <s v="Ricardo Edwards"/>
    <n v="0"/>
    <n v="3012"/>
    <m/>
    <m/>
    <n v="6690"/>
    <n v="70800"/>
    <m/>
    <n v="70800"/>
    <x v="127"/>
    <n v="0"/>
    <d v="2020-03-07T00:00:00"/>
    <s v="Pagado"/>
    <d v="2020-03-15T00:00:00"/>
    <n v="70800"/>
    <s v="Transferencia"/>
    <m/>
    <m/>
    <s v="Chile"/>
    <m/>
    <m/>
    <m/>
    <m/>
    <m/>
    <m/>
    <s v=""/>
    <m/>
    <n v="59495.798319327732"/>
    <n v="11304.201680672268"/>
    <s v="Pirque"/>
    <s v="Revista"/>
    <s v="SI"/>
    <m/>
    <m/>
    <x v="0"/>
    <m/>
  </r>
  <r>
    <s v="C337"/>
    <s v="Petrova Alonso"/>
    <n v="0"/>
    <n v="3011"/>
    <m/>
    <m/>
    <n v="6675"/>
    <n v="48500"/>
    <m/>
    <n v="48500"/>
    <x v="127"/>
    <n v="0"/>
    <d v="2020-03-07T00:00:00"/>
    <s v="Pagado"/>
    <d v="2020-03-07T00:00:00"/>
    <n v="48500"/>
    <s v="Efectivo"/>
    <m/>
    <m/>
    <m/>
    <m/>
    <n v="2719735"/>
    <n v="48500"/>
    <d v="2020-03-10T00:00:00"/>
    <s v="Chile"/>
    <m/>
    <s v=""/>
    <m/>
    <n v="40756.302521008409"/>
    <n v="7743.6974789915912"/>
    <s v="Pirque"/>
    <s v="Conocido"/>
    <s v="SI"/>
    <m/>
    <m/>
    <x v="0"/>
    <m/>
  </r>
  <r>
    <s v="C556"/>
    <s v="Patricio Tapia"/>
    <n v="0"/>
    <n v="3013"/>
    <m/>
    <m/>
    <n v="6692"/>
    <n v="39300"/>
    <m/>
    <n v="39300"/>
    <x v="127"/>
    <n v="0"/>
    <d v="2020-03-07T00:00:00"/>
    <s v="Pagado"/>
    <d v="2020-03-07T00:00:00"/>
    <n v="39300"/>
    <s v="Transferencia"/>
    <m/>
    <m/>
    <s v="Chile"/>
    <m/>
    <m/>
    <m/>
    <m/>
    <m/>
    <m/>
    <s v=""/>
    <m/>
    <n v="33025.210084033613"/>
    <n v="6274.7899159663866"/>
    <s v="Pirque"/>
    <s v="Revista"/>
    <s v="SI"/>
    <m/>
    <m/>
    <x v="0"/>
    <m/>
  </r>
  <r>
    <s v="C518"/>
    <s v="Fernando Reyes"/>
    <n v="0"/>
    <n v="3014"/>
    <m/>
    <m/>
    <n v="6691"/>
    <n v="93500"/>
    <m/>
    <n v="93500"/>
    <x v="127"/>
    <n v="0"/>
    <d v="2020-03-07T00:00:00"/>
    <s v="Pagado"/>
    <d v="2020-03-07T00:00:00"/>
    <n v="93500"/>
    <s v="Transferencia"/>
    <m/>
    <m/>
    <s v="Estado"/>
    <m/>
    <m/>
    <m/>
    <m/>
    <m/>
    <m/>
    <s v=""/>
    <m/>
    <n v="78571.42857142858"/>
    <n v="14928.57142857142"/>
    <s v="Pirque"/>
    <s v="Revista"/>
    <s v="SI"/>
    <m/>
    <m/>
    <x v="0"/>
    <m/>
  </r>
  <r>
    <s v="C418"/>
    <s v="Claudia Ormazabal"/>
    <n v="0"/>
    <n v="3015"/>
    <m/>
    <m/>
    <n v="6696"/>
    <n v="41800"/>
    <m/>
    <n v="41800"/>
    <x v="127"/>
    <n v="0"/>
    <d v="2020-03-07T00:00:00"/>
    <s v="Pagado"/>
    <d v="2020-03-09T00:00:00"/>
    <n v="41800"/>
    <s v="Efectivo"/>
    <m/>
    <m/>
    <m/>
    <m/>
    <n v="2719736"/>
    <n v="41800"/>
    <d v="2020-03-13T00:00:00"/>
    <s v="Chile"/>
    <m/>
    <s v=""/>
    <m/>
    <n v="35126.050420168067"/>
    <n v="6673.9495798319331"/>
    <s v="Pirque"/>
    <s v="Conocido"/>
    <s v="SI"/>
    <m/>
    <m/>
    <x v="0"/>
    <m/>
  </r>
  <r>
    <s v="C335"/>
    <s v="Alejandro Astorga"/>
    <n v="0"/>
    <n v="217"/>
    <m/>
    <m/>
    <n v="6693"/>
    <n v="108000"/>
    <m/>
    <n v="108000"/>
    <x v="127"/>
    <n v="0"/>
    <d v="2020-03-07T00:00:00"/>
    <s v="Pagado"/>
    <d v="2020-03-07T00:00:00"/>
    <n v="108000"/>
    <s v="Transbank"/>
    <s v="Debito"/>
    <n v="217"/>
    <m/>
    <m/>
    <m/>
    <m/>
    <m/>
    <m/>
    <m/>
    <s v=""/>
    <m/>
    <n v="90756.302521008402"/>
    <n v="17243.697478991598"/>
    <s v="Pirque"/>
    <s v="Revista"/>
    <s v="SI"/>
    <m/>
    <m/>
    <x v="0"/>
    <m/>
  </r>
  <r>
    <s v="C635"/>
    <s v="Teresa Meza"/>
    <n v="0"/>
    <n v="3018"/>
    <m/>
    <m/>
    <n v="6694"/>
    <n v="19700"/>
    <m/>
    <n v="19700"/>
    <x v="128"/>
    <n v="0"/>
    <d v="2020-03-09T00:00:00"/>
    <s v="Pagado"/>
    <d v="2020-03-09T00:00:00"/>
    <n v="19700"/>
    <s v="Transferencia"/>
    <m/>
    <m/>
    <s v="Chile"/>
    <m/>
    <m/>
    <m/>
    <m/>
    <m/>
    <m/>
    <s v=""/>
    <m/>
    <n v="16554.621848739498"/>
    <n v="3145.3781512605019"/>
    <s v="Pirque"/>
    <s v="Revista"/>
    <s v="SI"/>
    <m/>
    <m/>
    <x v="0"/>
    <m/>
  </r>
  <r>
    <s v="C246"/>
    <s v="Rosa Paz (Municipalidad Pirque)"/>
    <n v="0"/>
    <n v="3017"/>
    <m/>
    <m/>
    <n v="6695"/>
    <n v="23200"/>
    <m/>
    <n v="23200"/>
    <x v="128"/>
    <n v="0"/>
    <d v="2020-03-09T00:00:00"/>
    <s v="Pagado"/>
    <d v="2020-03-09T00:00:00"/>
    <n v="23200"/>
    <s v="Transferencia"/>
    <m/>
    <m/>
    <s v="Chile"/>
    <m/>
    <m/>
    <m/>
    <m/>
    <m/>
    <m/>
    <s v=""/>
    <m/>
    <n v="19495.798319327732"/>
    <n v="3704.2016806722677"/>
    <s v="Pirque"/>
    <s v="Conocido"/>
    <s v="SI"/>
    <m/>
    <m/>
    <x v="0"/>
    <m/>
  </r>
  <r>
    <s v="C644"/>
    <s v="Marta Bravo"/>
    <n v="0"/>
    <n v="3016"/>
    <m/>
    <m/>
    <n v="6697"/>
    <n v="23000"/>
    <m/>
    <n v="23000"/>
    <x v="128"/>
    <n v="0"/>
    <d v="2020-03-09T00:00:00"/>
    <s v="Pagado"/>
    <d v="2020-03-09T00:00:00"/>
    <n v="23000"/>
    <s v="Efectivo"/>
    <m/>
    <m/>
    <m/>
    <m/>
    <n v="2719736"/>
    <n v="23000"/>
    <d v="2020-03-13T00:00:00"/>
    <s v="Chile"/>
    <m/>
    <s v=""/>
    <m/>
    <n v="19327.731092436974"/>
    <n v="3672.268907563026"/>
    <s v="Pirque"/>
    <s v="Revista"/>
    <s v="SI"/>
    <m/>
    <m/>
    <x v="0"/>
    <m/>
  </r>
  <r>
    <s v="C519"/>
    <s v="Eduardo Contreras"/>
    <n v="0"/>
    <n v="0"/>
    <m/>
    <m/>
    <n v="6698"/>
    <n v="15400"/>
    <m/>
    <n v="15400"/>
    <x v="128"/>
    <n v="0"/>
    <d v="2020-03-09T00:00:00"/>
    <s v="Pagado"/>
    <d v="2020-03-09T00:00:00"/>
    <n v="15400"/>
    <s v="Efectivo"/>
    <m/>
    <m/>
    <m/>
    <m/>
    <n v="2719735"/>
    <n v="15400"/>
    <d v="2020-03-10T00:00:00"/>
    <s v="Chile"/>
    <m/>
    <s v=""/>
    <m/>
    <n v="12941.176470588236"/>
    <n v="2458.823529411764"/>
    <s v="Pirque"/>
    <s v="Revista"/>
    <s v="SI"/>
    <m/>
    <m/>
    <x v="0"/>
    <m/>
  </r>
  <r>
    <s v="C577"/>
    <s v="Comercializadora de productos Agropecuarios Futrono SPA"/>
    <n v="3153"/>
    <n v="0"/>
    <m/>
    <m/>
    <s v="sn"/>
    <n v="84553"/>
    <m/>
    <n v="84553"/>
    <x v="128"/>
    <n v="30"/>
    <d v="2020-04-08T00:00:00"/>
    <s v="Vencido"/>
    <m/>
    <m/>
    <m/>
    <m/>
    <m/>
    <m/>
    <m/>
    <m/>
    <m/>
    <m/>
    <m/>
    <m/>
    <s v=""/>
    <m/>
    <n v="71052.941176470587"/>
    <n v="13500.058823529413"/>
    <s v="Pirque"/>
    <s v="Visita"/>
    <s v="NO"/>
    <m/>
    <m/>
    <x v="1"/>
    <m/>
  </r>
  <r>
    <s v="C068"/>
    <s v="Riddellco"/>
    <n v="3154"/>
    <n v="0"/>
    <m/>
    <m/>
    <s v="sn"/>
    <n v="19461"/>
    <m/>
    <n v="19461"/>
    <x v="129"/>
    <n v="30"/>
    <d v="2020-04-09T00:00:00"/>
    <s v="Vencido"/>
    <m/>
    <m/>
    <m/>
    <m/>
    <m/>
    <m/>
    <m/>
    <m/>
    <m/>
    <m/>
    <m/>
    <m/>
    <s v=""/>
    <m/>
    <n v="16353.781512605043"/>
    <n v="3107.2184873949573"/>
    <s v="Santiago"/>
    <s v="Conocido"/>
    <s v="NO"/>
    <m/>
    <m/>
    <x v="1"/>
    <m/>
  </r>
  <r>
    <s v="C032"/>
    <s v="Carlos Jobbe-Duval"/>
    <n v="0"/>
    <n v="0"/>
    <m/>
    <m/>
    <n v="6532"/>
    <n v="30900"/>
    <m/>
    <n v="30900"/>
    <x v="129"/>
    <n v="0"/>
    <d v="2020-03-10T00:00:00"/>
    <s v="Vencido"/>
    <m/>
    <m/>
    <m/>
    <m/>
    <m/>
    <m/>
    <m/>
    <m/>
    <m/>
    <m/>
    <m/>
    <m/>
    <s v=""/>
    <m/>
    <n v="25966.386554621851"/>
    <n v="4933.6134453781488"/>
    <s v="Pirque"/>
    <s v="Conocido"/>
    <s v="NO"/>
    <m/>
    <m/>
    <x v="0"/>
    <m/>
  </r>
  <r>
    <s v="C451"/>
    <s v="Enrique Montero"/>
    <n v="0"/>
    <n v="220"/>
    <m/>
    <m/>
    <n v="6699"/>
    <n v="21200"/>
    <m/>
    <n v="21200"/>
    <x v="129"/>
    <n v="0"/>
    <d v="2020-03-10T00:00:00"/>
    <s v="Pagado"/>
    <d v="2020-03-10T00:00:00"/>
    <n v="21200"/>
    <s v="Transbank"/>
    <s v="Credito"/>
    <m/>
    <m/>
    <m/>
    <m/>
    <m/>
    <m/>
    <m/>
    <m/>
    <s v=""/>
    <m/>
    <n v="17815.126050420167"/>
    <n v="3384.8739495798327"/>
    <s v="Pirque"/>
    <s v="Conocido"/>
    <s v="SI"/>
    <m/>
    <m/>
    <x v="0"/>
    <m/>
  </r>
  <r>
    <s v="C160"/>
    <s v="Christian Ortiz Hurtado"/>
    <n v="0"/>
    <n v="3022"/>
    <m/>
    <m/>
    <n v="6700"/>
    <n v="19700"/>
    <m/>
    <n v="19700"/>
    <x v="129"/>
    <n v="0"/>
    <d v="2020-03-10T00:00:00"/>
    <s v="Pagado"/>
    <d v="2020-03-10T00:00:00"/>
    <n v="19700"/>
    <s v="Transferencia"/>
    <m/>
    <m/>
    <s v="Scotiabank"/>
    <m/>
    <m/>
    <m/>
    <m/>
    <m/>
    <m/>
    <s v=""/>
    <m/>
    <n v="16554.621848739498"/>
    <n v="3145.3781512605019"/>
    <s v="Pirque"/>
    <s v="Conocido"/>
    <s v="SI"/>
    <m/>
    <m/>
    <x v="0"/>
    <m/>
  </r>
  <r>
    <s v="C669"/>
    <s v="Consuelo Ruiz"/>
    <n v="0"/>
    <n v="3019"/>
    <m/>
    <m/>
    <n v="6701"/>
    <n v="46000"/>
    <m/>
    <n v="46000"/>
    <x v="129"/>
    <n v="0"/>
    <d v="2020-03-10T00:00:00"/>
    <s v="Pagado"/>
    <d v="2020-03-09T00:00:00"/>
    <n v="46000"/>
    <s v="Transferencia"/>
    <m/>
    <m/>
    <s v="Santander"/>
    <m/>
    <m/>
    <m/>
    <m/>
    <m/>
    <m/>
    <s v=""/>
    <m/>
    <n v="38655.462184873948"/>
    <n v="7344.537815126052"/>
    <s v="Pirque"/>
    <s v="Revista"/>
    <s v="SI"/>
    <m/>
    <m/>
    <x v="0"/>
    <m/>
  </r>
  <r>
    <s v="C667"/>
    <s v="Josefina Prieto"/>
    <n v="0"/>
    <n v="3021"/>
    <m/>
    <m/>
    <n v="6702"/>
    <n v="23000"/>
    <m/>
    <n v="23000"/>
    <x v="129"/>
    <n v="0"/>
    <d v="2020-03-10T00:00:00"/>
    <s v="Pagado"/>
    <d v="2020-03-10T00:00:00"/>
    <n v="23000"/>
    <s v="Efectivo"/>
    <m/>
    <m/>
    <m/>
    <m/>
    <n v="7679489"/>
    <n v="23000"/>
    <d v="2020-03-13T00:00:00"/>
    <s v="Chile"/>
    <m/>
    <s v=""/>
    <m/>
    <n v="19327.731092436974"/>
    <n v="3672.268907563026"/>
    <s v="Pirque"/>
    <s v="Revista"/>
    <s v="SI"/>
    <m/>
    <m/>
    <x v="0"/>
    <m/>
  </r>
  <r>
    <s v="C595"/>
    <s v="Juan Neira"/>
    <n v="0"/>
    <n v="3020"/>
    <m/>
    <m/>
    <n v="6704"/>
    <n v="19700"/>
    <m/>
    <n v="19700"/>
    <x v="129"/>
    <n v="0"/>
    <d v="2020-03-10T00:00:00"/>
    <s v="Pagado"/>
    <d v="2020-03-10T00:00:00"/>
    <n v="19700"/>
    <s v="Efectivo"/>
    <m/>
    <m/>
    <m/>
    <m/>
    <n v="7679489"/>
    <n v="19700"/>
    <d v="2020-03-13T00:00:00"/>
    <s v="Chile"/>
    <m/>
    <s v=""/>
    <m/>
    <n v="16554.621848739498"/>
    <n v="3145.3781512605019"/>
    <s v="Pirque"/>
    <s v="Revista"/>
    <s v="SI"/>
    <m/>
    <m/>
    <x v="0"/>
    <m/>
  </r>
  <r>
    <s v="C582"/>
    <s v="Luis Narvaes"/>
    <n v="0"/>
    <n v="0"/>
    <m/>
    <m/>
    <n v="6705"/>
    <n v="45700"/>
    <m/>
    <n v="45700"/>
    <x v="129"/>
    <n v="0"/>
    <d v="2020-03-10T00:00:00"/>
    <s v="Pagado"/>
    <d v="2020-03-10T00:00:00"/>
    <n v="45700"/>
    <s v="Efectivo"/>
    <m/>
    <m/>
    <m/>
    <m/>
    <n v="7679489"/>
    <n v="45700"/>
    <d v="2020-03-13T00:00:00"/>
    <s v="Chile"/>
    <m/>
    <s v=""/>
    <m/>
    <n v="38403.361344537814"/>
    <n v="7296.6386554621859"/>
    <s v="Pirque"/>
    <s v="Revista"/>
    <s v="SI"/>
    <m/>
    <m/>
    <x v="0"/>
    <m/>
  </r>
  <r>
    <s v="C447"/>
    <s v="Silvia Berrios"/>
    <n v="0"/>
    <n v="3023"/>
    <m/>
    <m/>
    <n v="6706"/>
    <n v="23900"/>
    <m/>
    <n v="23900"/>
    <x v="129"/>
    <n v="0"/>
    <d v="2020-03-10T00:00:00"/>
    <s v="Pagado"/>
    <d v="2020-03-10T00:00:00"/>
    <n v="23900"/>
    <s v="Efectivo"/>
    <m/>
    <m/>
    <m/>
    <m/>
    <n v="7679489"/>
    <n v="23900"/>
    <d v="2020-03-13T00:00:00"/>
    <s v="Chile"/>
    <m/>
    <s v=""/>
    <m/>
    <n v="20084.033613445379"/>
    <n v="3815.9663865546208"/>
    <s v="Pirque"/>
    <s v="Conocido"/>
    <s v="SI"/>
    <m/>
    <m/>
    <x v="0"/>
    <m/>
  </r>
  <r>
    <s v="C662"/>
    <s v="Flavia Lopez"/>
    <n v="0"/>
    <n v="3025"/>
    <m/>
    <m/>
    <n v="6703"/>
    <n v="46000"/>
    <m/>
    <n v="46000"/>
    <x v="130"/>
    <n v="0"/>
    <d v="2020-03-11T00:00:00"/>
    <s v="Pagado"/>
    <d v="2020-03-11T00:00:00"/>
    <n v="46000"/>
    <s v="Cheque al Día"/>
    <m/>
    <n v="9972249"/>
    <s v="Santander"/>
    <m/>
    <n v="7679491"/>
    <n v="46000"/>
    <d v="2020-03-13T00:00:00"/>
    <s v="Chile"/>
    <m/>
    <s v="Otros"/>
    <m/>
    <n v="38655.462184873948"/>
    <n v="7344.537815126052"/>
    <s v="Pirque"/>
    <s v="Revista"/>
    <s v="SI"/>
    <m/>
    <m/>
    <x v="0"/>
    <m/>
  </r>
  <r>
    <s v="C445"/>
    <s v="Carmen Nuñez"/>
    <n v="0"/>
    <n v="3024"/>
    <m/>
    <m/>
    <n v="6707"/>
    <n v="15800"/>
    <m/>
    <n v="15800"/>
    <x v="130"/>
    <n v="0"/>
    <d v="2020-03-11T00:00:00"/>
    <s v="Pagado"/>
    <d v="2020-03-11T00:00:00"/>
    <n v="15800"/>
    <s v="Efectivo"/>
    <m/>
    <m/>
    <m/>
    <m/>
    <n v="7679492"/>
    <n v="15800"/>
    <d v="2020-03-13T00:00:00"/>
    <s v="Chile"/>
    <m/>
    <s v=""/>
    <m/>
    <n v="13277.310924369749"/>
    <n v="2522.689075630251"/>
    <s v="Pirque"/>
    <s v="Revista"/>
    <s v="SI"/>
    <m/>
    <m/>
    <x v="0"/>
    <m/>
  </r>
  <r>
    <s v="C584"/>
    <s v="Alejandra Hamame"/>
    <n v="0"/>
    <n v="3029"/>
    <m/>
    <m/>
    <n v="6708"/>
    <n v="23900"/>
    <m/>
    <n v="23900"/>
    <x v="131"/>
    <n v="0"/>
    <d v="2020-03-12T00:00:00"/>
    <s v="Pagado"/>
    <d v="2020-03-12T00:00:00"/>
    <n v="23900"/>
    <s v="Cheque al Día"/>
    <m/>
    <m/>
    <m/>
    <m/>
    <n v="1859455"/>
    <n v="23900"/>
    <d v="2020-03-13T00:00:00"/>
    <s v="Chile"/>
    <m/>
    <s v="Otros"/>
    <m/>
    <n v="20084.033613445379"/>
    <n v="3815.9663865546208"/>
    <s v="Pirque"/>
    <s v="Revista"/>
    <s v="SI"/>
    <m/>
    <m/>
    <x v="0"/>
    <m/>
  </r>
  <r>
    <s v="C620"/>
    <s v="Luz Maria Ossandon"/>
    <n v="0"/>
    <n v="221"/>
    <m/>
    <m/>
    <n v="6709"/>
    <n v="19900"/>
    <m/>
    <n v="19900"/>
    <x v="131"/>
    <n v="0"/>
    <d v="2020-03-12T00:00:00"/>
    <s v="Pagado"/>
    <d v="2020-03-12T00:00:00"/>
    <n v="19900"/>
    <s v="Transbank"/>
    <s v="Debito"/>
    <n v="221"/>
    <m/>
    <m/>
    <m/>
    <m/>
    <m/>
    <m/>
    <m/>
    <s v=""/>
    <m/>
    <n v="16722.689075630253"/>
    <n v="3177.3109243697472"/>
    <s v="Pirque"/>
    <s v="Conocido"/>
    <s v="SI"/>
    <m/>
    <m/>
    <x v="0"/>
    <m/>
  </r>
  <r>
    <s v="C673"/>
    <s v="Anamaria Feliu"/>
    <n v="0"/>
    <n v="3028"/>
    <m/>
    <m/>
    <n v="6710"/>
    <n v="37900"/>
    <m/>
    <n v="37900"/>
    <x v="131"/>
    <n v="0"/>
    <d v="2020-03-12T00:00:00"/>
    <s v="Pagado"/>
    <d v="2020-03-12T00:00:00"/>
    <n v="37900"/>
    <s v="Efectivo"/>
    <m/>
    <m/>
    <m/>
    <m/>
    <n v="464955371"/>
    <n v="37900"/>
    <d v="2020-03-13T00:00:00"/>
    <s v="Chile"/>
    <m/>
    <s v=""/>
    <m/>
    <n v="31848.73949579832"/>
    <n v="6051.2605042016803"/>
    <s v="Pirque"/>
    <s v="Revista"/>
    <s v="SI"/>
    <m/>
    <m/>
    <x v="0"/>
    <m/>
  </r>
  <r>
    <s v="C263"/>
    <s v="Jeanny Reyes"/>
    <n v="0"/>
    <n v="3027"/>
    <m/>
    <m/>
    <n v="6713"/>
    <n v="23500"/>
    <m/>
    <n v="23500"/>
    <x v="131"/>
    <n v="0"/>
    <d v="2020-03-12T00:00:00"/>
    <s v="Pagado"/>
    <d v="2020-03-12T00:00:00"/>
    <n v="23500"/>
    <s v="Efectivo"/>
    <m/>
    <m/>
    <m/>
    <m/>
    <n v="464955371"/>
    <n v="23500"/>
    <d v="2020-03-13T00:00:00"/>
    <s v="Chile"/>
    <m/>
    <s v=""/>
    <m/>
    <n v="19747.899159663866"/>
    <n v="3752.1008403361338"/>
    <s v="Pirque"/>
    <s v="Conocido"/>
    <s v="SI"/>
    <m/>
    <m/>
    <x v="0"/>
    <m/>
  </r>
  <r>
    <s v="C534"/>
    <s v="Helga Nagilschmitz"/>
    <n v="0"/>
    <n v="222"/>
    <m/>
    <m/>
    <n v="6714"/>
    <n v="77800"/>
    <m/>
    <n v="77800"/>
    <x v="131"/>
    <n v="0"/>
    <d v="2020-03-12T00:00:00"/>
    <s v="Pagado"/>
    <d v="2020-03-12T00:00:00"/>
    <n v="77800"/>
    <s v="Transbank"/>
    <s v="Debito"/>
    <n v="222"/>
    <m/>
    <m/>
    <m/>
    <m/>
    <m/>
    <m/>
    <m/>
    <s v=""/>
    <m/>
    <n v="65378.151260504208"/>
    <n v="12421.848739495792"/>
    <s v="Pirque"/>
    <s v="Revista"/>
    <s v="SI"/>
    <m/>
    <m/>
    <x v="0"/>
    <m/>
  </r>
  <r>
    <s v="C307"/>
    <s v="Franklin Winston Smart Guevara"/>
    <n v="0"/>
    <n v="3026"/>
    <m/>
    <m/>
    <n v="6715"/>
    <n v="21200"/>
    <m/>
    <n v="21200"/>
    <x v="131"/>
    <n v="0"/>
    <d v="2020-03-12T00:00:00"/>
    <s v="Pagado"/>
    <d v="2020-03-12T00:00:00"/>
    <n v="21200"/>
    <s v="Transferencia"/>
    <m/>
    <m/>
    <s v="Santander"/>
    <m/>
    <m/>
    <m/>
    <m/>
    <m/>
    <m/>
    <s v=""/>
    <m/>
    <n v="17815.126050420167"/>
    <n v="3384.8739495798327"/>
    <s v="Pirque"/>
    <s v="Revista"/>
    <s v="SI"/>
    <m/>
    <m/>
    <x v="0"/>
    <m/>
  </r>
  <r>
    <s v="C020"/>
    <s v="Sabores y Vinos Bernardita Munita EIRL"/>
    <s v="P"/>
    <n v="0"/>
    <m/>
    <m/>
    <s v="OC 03"/>
    <n v="192983"/>
    <m/>
    <n v="192983"/>
    <x v="131"/>
    <n v="0"/>
    <d v="2020-03-12T00:00:00"/>
    <s v="Vencido"/>
    <m/>
    <m/>
    <m/>
    <m/>
    <m/>
    <m/>
    <m/>
    <m/>
    <m/>
    <m/>
    <m/>
    <m/>
    <s v=""/>
    <m/>
    <n v="162170.58823529413"/>
    <n v="30812.411764705874"/>
    <s v="Pirque"/>
    <s v="Visita"/>
    <s v="NO"/>
    <m/>
    <m/>
    <x v="1"/>
    <m/>
  </r>
  <r>
    <s v="C674"/>
    <s v="Alejandra Castillo"/>
    <n v="0"/>
    <n v="0"/>
    <m/>
    <m/>
    <n v="6517"/>
    <n v="13200"/>
    <m/>
    <n v="13200"/>
    <x v="131"/>
    <n v="0"/>
    <d v="2020-03-12T00:00:00"/>
    <s v="Pagado"/>
    <d v="2020-03-12T00:00:00"/>
    <n v="13200"/>
    <s v="Efectivo"/>
    <m/>
    <m/>
    <m/>
    <m/>
    <n v="464955371"/>
    <n v="13200"/>
    <d v="2020-03-13T00:00:00"/>
    <s v="Chile"/>
    <m/>
    <s v=""/>
    <m/>
    <n v="11092.436974789916"/>
    <n v="2107.5630252100837"/>
    <s v="Pirque"/>
    <s v="Conocido"/>
    <s v="SI"/>
    <m/>
    <m/>
    <x v="0"/>
    <m/>
  </r>
  <r>
    <s v="C389"/>
    <s v="Juan Pinilla"/>
    <n v="0"/>
    <n v="3030"/>
    <m/>
    <m/>
    <n v="6716"/>
    <n v="31500"/>
    <m/>
    <n v="31500"/>
    <x v="132"/>
    <n v="0"/>
    <d v="2020-03-13T00:00:00"/>
    <s v="Vencido"/>
    <m/>
    <m/>
    <m/>
    <m/>
    <m/>
    <m/>
    <m/>
    <m/>
    <m/>
    <m/>
    <m/>
    <m/>
    <s v=""/>
    <m/>
    <n v="26470.588235294119"/>
    <n v="5029.4117647058811"/>
    <s v="Pirque"/>
    <s v="Conocido"/>
    <s v="NO"/>
    <m/>
    <m/>
    <x v="0"/>
    <m/>
  </r>
  <r>
    <s v="C536"/>
    <s v="Katherine Gonzalez"/>
    <n v="0"/>
    <n v="223"/>
    <m/>
    <m/>
    <n v="6711"/>
    <n v="60000"/>
    <m/>
    <n v="60000"/>
    <x v="132"/>
    <n v="0"/>
    <d v="2020-03-13T00:00:00"/>
    <s v="Pagado"/>
    <d v="2020-03-13T00:00:00"/>
    <n v="60000"/>
    <s v="Transbank"/>
    <s v="Credito"/>
    <n v="223"/>
    <m/>
    <m/>
    <m/>
    <m/>
    <m/>
    <m/>
    <m/>
    <s v=""/>
    <m/>
    <n v="50420.168067226892"/>
    <n v="9579.8319327731078"/>
    <s v="Pirque"/>
    <s v="Matute Pirque"/>
    <s v="SI"/>
    <m/>
    <m/>
    <x v="0"/>
    <m/>
  </r>
  <r>
    <s v="C344"/>
    <s v="Monica Aedo"/>
    <n v="0"/>
    <n v="3131"/>
    <m/>
    <m/>
    <n v="6718"/>
    <n v="35000"/>
    <m/>
    <n v="35000"/>
    <x v="132"/>
    <n v="0"/>
    <d v="2020-03-13T00:00:00"/>
    <s v="Abonado"/>
    <d v="2020-03-13T00:00:00"/>
    <n v="31500"/>
    <s v="Transferencia"/>
    <m/>
    <m/>
    <s v="Santander"/>
    <m/>
    <m/>
    <m/>
    <m/>
    <m/>
    <m/>
    <s v=""/>
    <m/>
    <n v="29411.764705882353"/>
    <n v="5588.2352941176468"/>
    <s v="Pirque"/>
    <s v="Revista"/>
    <s v="NO"/>
    <m/>
    <m/>
    <x v="0"/>
    <m/>
  </r>
  <r>
    <s v="C584"/>
    <s v="Alejandra Hamame"/>
    <n v="0"/>
    <n v="3032"/>
    <m/>
    <m/>
    <n v="6719"/>
    <n v="23700"/>
    <m/>
    <n v="23700"/>
    <x v="132"/>
    <n v="0"/>
    <d v="2020-03-13T00:00:00"/>
    <s v="Pagado"/>
    <d v="2020-03-13T00:00:00"/>
    <n v="23700"/>
    <s v="Cheque al Día"/>
    <m/>
    <n v="7205154"/>
    <s v="Edward"/>
    <d v="2020-03-12T00:00:00"/>
    <n v="4955375"/>
    <n v="23700"/>
    <m/>
    <s v="Chile"/>
    <m/>
    <s v="Otros"/>
    <m/>
    <n v="19915.966386554624"/>
    <n v="3784.0336134453755"/>
    <s v="Pirque"/>
    <s v="Revista"/>
    <s v="SI"/>
    <m/>
    <m/>
    <x v="0"/>
    <m/>
  </r>
  <r>
    <s v="C671"/>
    <s v="Comercial JMA SPA"/>
    <n v="3155"/>
    <n v="0"/>
    <m/>
    <m/>
    <s v="sn"/>
    <n v="34128"/>
    <m/>
    <n v="34128"/>
    <x v="132"/>
    <n v="30"/>
    <d v="2020-04-12T00:00:00"/>
    <s v="Vencido"/>
    <m/>
    <m/>
    <m/>
    <m/>
    <m/>
    <m/>
    <m/>
    <m/>
    <m/>
    <m/>
    <m/>
    <m/>
    <s v=""/>
    <m/>
    <n v="28678.991596638658"/>
    <n v="5449.0084033613421"/>
    <s v="Santiago"/>
    <s v="Visita"/>
    <s v="NO"/>
    <m/>
    <m/>
    <x v="1"/>
    <m/>
  </r>
  <r>
    <s v="C672"/>
    <s v="Inversiones y Comercial Bezeta Ltda "/>
    <n v="3156"/>
    <n v="0"/>
    <m/>
    <m/>
    <s v="sn"/>
    <n v="525000"/>
    <m/>
    <n v="525000"/>
    <x v="132"/>
    <n v="0"/>
    <d v="2020-03-13T00:00:00"/>
    <s v="Pagado"/>
    <d v="2020-03-13T00:00:00"/>
    <n v="525004"/>
    <s v="Cheque al Día"/>
    <m/>
    <n v="5735422"/>
    <s v="Chile"/>
    <d v="2020-03-13T00:00:00"/>
    <n v="7679493"/>
    <n v="525000"/>
    <d v="2020-03-13T00:00:00"/>
    <s v="Chile"/>
    <m/>
    <s v="Chile"/>
    <m/>
    <n v="441176.4705882353"/>
    <n v="83823.529411764699"/>
    <s v="Chada"/>
    <s v="Visita"/>
    <s v="SI"/>
    <m/>
    <m/>
    <x v="1"/>
    <m/>
  </r>
  <r>
    <s v="C554"/>
    <s v="Minimarket Doña Olga SPA"/>
    <n v="3159"/>
    <n v="0"/>
    <m/>
    <m/>
    <s v="sn"/>
    <n v="50262"/>
    <m/>
    <n v="50262"/>
    <x v="132"/>
    <n v="30"/>
    <d v="2020-04-12T00:00:00"/>
    <s v="Vencido"/>
    <m/>
    <m/>
    <m/>
    <m/>
    <m/>
    <m/>
    <m/>
    <m/>
    <m/>
    <m/>
    <m/>
    <m/>
    <s v=""/>
    <m/>
    <n v="42236.97478991597"/>
    <n v="8025.0252100840298"/>
    <s v="Chada"/>
    <s v="Visita"/>
    <s v="NO"/>
    <m/>
    <m/>
    <x v="1"/>
    <m/>
  </r>
  <r>
    <s v="C006"/>
    <s v="Carolina del Pilar Contreras Gutierrez"/>
    <n v="3157"/>
    <n v="0"/>
    <m/>
    <m/>
    <s v="sn"/>
    <n v="104826"/>
    <m/>
    <n v="104826"/>
    <x v="132"/>
    <n v="30"/>
    <d v="2020-04-12T00:00:00"/>
    <s v="Pagado"/>
    <d v="2020-03-28T00:00:00"/>
    <n v="104826"/>
    <s v="Cheque a Fecha"/>
    <m/>
    <n v="738"/>
    <s v="Falabella"/>
    <d v="2020-03-13T00:00:00"/>
    <m/>
    <m/>
    <m/>
    <m/>
    <m/>
    <s v="Otros"/>
    <m/>
    <n v="88089.075630252104"/>
    <n v="16736.924369747896"/>
    <s v="Chada"/>
    <s v="Visita"/>
    <s v="SI"/>
    <m/>
    <m/>
    <x v="1"/>
    <m/>
  </r>
  <r>
    <s v="C009"/>
    <s v="Sociedad Comercial y Agricola Chada Ltda"/>
    <n v="3161"/>
    <n v="0"/>
    <n v="305"/>
    <m/>
    <s v="sn"/>
    <n v="107618"/>
    <n v="-10799"/>
    <n v="96819"/>
    <x v="132"/>
    <n v="7"/>
    <d v="2020-03-20T00:00:00"/>
    <s v="Pagado"/>
    <d v="2020-03-13T00:00:00"/>
    <n v="96819"/>
    <s v="Cheque a Fecha"/>
    <m/>
    <m/>
    <m/>
    <m/>
    <m/>
    <m/>
    <m/>
    <m/>
    <m/>
    <s v="Otros"/>
    <m/>
    <n v="90435.294117647063"/>
    <n v="17182.705882352937"/>
    <s v="Chada"/>
    <s v="Visita"/>
    <s v="SI"/>
    <m/>
    <m/>
    <x v="1"/>
    <m/>
  </r>
  <r>
    <s v="C016"/>
    <s v="Maria Magaly Diaz Espinoza"/>
    <n v="3160"/>
    <n v="0"/>
    <m/>
    <m/>
    <s v="sn"/>
    <n v="70574"/>
    <m/>
    <n v="70574"/>
    <x v="132"/>
    <n v="0"/>
    <d v="2020-03-13T00:00:00"/>
    <s v="Pagado"/>
    <d v="2020-03-13T00:00:00"/>
    <n v="70574"/>
    <s v="Efectivo"/>
    <m/>
    <m/>
    <m/>
    <m/>
    <m/>
    <m/>
    <m/>
    <m/>
    <m/>
    <s v=""/>
    <m/>
    <n v="59305.882352941182"/>
    <n v="11268.117647058818"/>
    <s v="Chada"/>
    <s v="Visita"/>
    <s v="SI"/>
    <m/>
    <m/>
    <x v="1"/>
    <m/>
  </r>
  <r>
    <s v="C105"/>
    <s v="Paulina Andrea Araneda Cancino"/>
    <n v="3185"/>
    <n v="0"/>
    <m/>
    <m/>
    <s v="sn"/>
    <n v="30852"/>
    <m/>
    <n v="30852"/>
    <x v="132"/>
    <n v="0"/>
    <d v="2020-03-13T00:00:00"/>
    <s v="Pagado"/>
    <d v="2020-03-13T00:00:00"/>
    <n v="30852"/>
    <s v="Efectivo"/>
    <m/>
    <m/>
    <m/>
    <m/>
    <m/>
    <m/>
    <m/>
    <m/>
    <m/>
    <s v=""/>
    <m/>
    <n v="25926.050420168067"/>
    <n v="4925.9495798319331"/>
    <s v="Chada"/>
    <s v="Visita"/>
    <s v="SI"/>
    <m/>
    <m/>
    <x v="1"/>
    <m/>
  </r>
  <r>
    <s v="C676"/>
    <s v="Ximena Acuña"/>
    <n v="0"/>
    <n v="224"/>
    <m/>
    <m/>
    <n v="6720"/>
    <n v="12500"/>
    <m/>
    <n v="12500"/>
    <x v="133"/>
    <n v="0"/>
    <d v="2020-03-14T00:00:00"/>
    <s v="Pagado"/>
    <d v="2020-03-14T00:00:00"/>
    <n v="12500"/>
    <s v="Transbank"/>
    <s v="Debito"/>
    <n v="224"/>
    <m/>
    <m/>
    <m/>
    <m/>
    <m/>
    <m/>
    <m/>
    <s v=""/>
    <m/>
    <n v="10504.20168067227"/>
    <n v="1995.7983193277305"/>
    <s v="Pirque"/>
    <s v="Revista"/>
    <s v="SI"/>
    <m/>
    <m/>
    <x v="0"/>
    <m/>
  </r>
  <r>
    <s v="C406"/>
    <s v="Naitana y Kufeke SPA"/>
    <n v="3162"/>
    <n v="0"/>
    <m/>
    <m/>
    <s v="sn"/>
    <n v="39557"/>
    <m/>
    <n v="39557"/>
    <x v="133"/>
    <n v="0"/>
    <d v="2020-03-14T00:00:00"/>
    <s v="Pagado"/>
    <d v="2020-04-02T00:00:00"/>
    <n v="39557"/>
    <s v="Transferencia"/>
    <m/>
    <m/>
    <m/>
    <m/>
    <m/>
    <m/>
    <m/>
    <m/>
    <m/>
    <s v=""/>
    <m/>
    <n v="33241.176470588238"/>
    <n v="6315.8235294117621"/>
    <s v="Pirque"/>
    <s v="Visita"/>
    <s v="SI"/>
    <m/>
    <m/>
    <x v="1"/>
    <m/>
  </r>
  <r>
    <s v="C255"/>
    <s v="Carlos Manzano"/>
    <n v="0"/>
    <n v="225"/>
    <m/>
    <m/>
    <n v="6721"/>
    <n v="26800"/>
    <m/>
    <n v="26800"/>
    <x v="133"/>
    <n v="0"/>
    <d v="2020-03-14T00:00:00"/>
    <s v="Pagado"/>
    <d v="2020-03-14T00:00:00"/>
    <n v="26800"/>
    <s v="Transbank"/>
    <s v="Debito"/>
    <n v="225"/>
    <m/>
    <m/>
    <m/>
    <m/>
    <m/>
    <m/>
    <m/>
    <s v=""/>
    <m/>
    <n v="22521.008403361346"/>
    <n v="4278.9915966386543"/>
    <s v="Pirque"/>
    <s v="Revista"/>
    <s v="SI"/>
    <m/>
    <m/>
    <x v="0"/>
    <m/>
  </r>
  <r>
    <s v="C002"/>
    <s v="Miguel Moreno Fernandez"/>
    <n v="3163"/>
    <n v="0"/>
    <m/>
    <m/>
    <s v="sn"/>
    <n v="69224"/>
    <m/>
    <n v="69224"/>
    <x v="133"/>
    <n v="30"/>
    <d v="2020-04-13T00:00:00"/>
    <s v="Vencido"/>
    <m/>
    <m/>
    <m/>
    <m/>
    <m/>
    <m/>
    <m/>
    <m/>
    <m/>
    <m/>
    <m/>
    <m/>
    <s v=""/>
    <m/>
    <n v="58171.428571428572"/>
    <n v="11052.571428571428"/>
    <s v="Pirque"/>
    <s v="Visita"/>
    <s v="NO"/>
    <m/>
    <m/>
    <x v="1"/>
    <m/>
  </r>
  <r>
    <s v="C087"/>
    <s v="Juan Pablo Valdes"/>
    <n v="0"/>
    <n v="3033"/>
    <m/>
    <m/>
    <n v="6722"/>
    <n v="115000"/>
    <m/>
    <n v="115000"/>
    <x v="134"/>
    <n v="0"/>
    <d v="2020-03-16T00:00:00"/>
    <s v="Pagado"/>
    <d v="2020-03-17T00:00:00"/>
    <n v="115000"/>
    <s v="Transferencia"/>
    <m/>
    <m/>
    <s v="Bice"/>
    <m/>
    <m/>
    <m/>
    <m/>
    <m/>
    <m/>
    <s v=""/>
    <m/>
    <n v="96638.655462184877"/>
    <n v="18361.344537815123"/>
    <s v="Pirque"/>
    <s v="Revista"/>
    <s v="SI"/>
    <m/>
    <m/>
    <x v="0"/>
    <m/>
  </r>
  <r>
    <s v="C455"/>
    <s v="Grace Moore"/>
    <n v="0"/>
    <n v="218"/>
    <m/>
    <m/>
    <n v="6723"/>
    <n v="46000"/>
    <m/>
    <n v="46000"/>
    <x v="134"/>
    <n v="0"/>
    <d v="2020-03-16T00:00:00"/>
    <s v="Pagado"/>
    <d v="2020-03-16T00:00:00"/>
    <n v="46000"/>
    <s v="Transbank"/>
    <s v="Credito"/>
    <n v="218"/>
    <m/>
    <m/>
    <m/>
    <m/>
    <m/>
    <m/>
    <m/>
    <s v=""/>
    <m/>
    <n v="38655.462184873948"/>
    <n v="7344.537815126052"/>
    <s v="Pirque"/>
    <s v="Conocido"/>
    <s v="SI"/>
    <m/>
    <m/>
    <x v="0"/>
    <m/>
  </r>
  <r>
    <s v="C209"/>
    <s v="David Le May"/>
    <n v="0"/>
    <n v="3028"/>
    <m/>
    <m/>
    <n v="6724"/>
    <n v="38000"/>
    <m/>
    <n v="38000"/>
    <x v="134"/>
    <n v="0"/>
    <d v="2020-03-16T00:00:00"/>
    <s v="Pagado"/>
    <d v="2020-03-16T00:00:00"/>
    <n v="38000"/>
    <s v="Transferencia"/>
    <m/>
    <m/>
    <s v="Chile"/>
    <m/>
    <m/>
    <m/>
    <m/>
    <m/>
    <m/>
    <s v=""/>
    <m/>
    <n v="31932.773109243699"/>
    <n v="6067.2268907563011"/>
    <s v="Pirque"/>
    <s v="Revista"/>
    <s v="SI"/>
    <m/>
    <m/>
    <x v="0"/>
    <m/>
  </r>
  <r>
    <s v="C558"/>
    <s v="Carola Pardo"/>
    <n v="0"/>
    <n v="3037"/>
    <m/>
    <m/>
    <n v="6725"/>
    <n v="39400"/>
    <m/>
    <n v="39400"/>
    <x v="134"/>
    <n v="0"/>
    <d v="2020-03-16T00:00:00"/>
    <s v="Pagado"/>
    <d v="2020-03-16T00:00:00"/>
    <n v="39400"/>
    <s v="Transferencia"/>
    <m/>
    <m/>
    <s v="Santander"/>
    <m/>
    <m/>
    <m/>
    <m/>
    <m/>
    <m/>
    <s v=""/>
    <m/>
    <n v="33109.243697478996"/>
    <n v="6290.7563025210038"/>
    <s v="Pirque"/>
    <s v="Revista"/>
    <s v="SI"/>
    <m/>
    <m/>
    <x v="0"/>
    <m/>
  </r>
  <r>
    <s v="C456"/>
    <s v="Carolina Muñoz"/>
    <n v="0"/>
    <n v="3036"/>
    <m/>
    <m/>
    <n v="6726"/>
    <n v="15800"/>
    <m/>
    <n v="15800"/>
    <x v="134"/>
    <n v="0"/>
    <d v="2020-03-16T00:00:00"/>
    <s v="Pagado"/>
    <d v="2020-03-16T00:00:00"/>
    <n v="15800"/>
    <s v="Transferencia"/>
    <m/>
    <m/>
    <s v="Estado"/>
    <m/>
    <m/>
    <m/>
    <m/>
    <m/>
    <m/>
    <s v=""/>
    <m/>
    <n v="13277.310924369749"/>
    <n v="2522.689075630251"/>
    <s v="Pirque"/>
    <s v="Conocido"/>
    <s v="SI"/>
    <m/>
    <m/>
    <x v="0"/>
    <m/>
  </r>
  <r>
    <s v="C158"/>
    <s v="Jose Miguel Osorio"/>
    <n v="0"/>
    <n v="3035"/>
    <m/>
    <m/>
    <n v="6727"/>
    <n v="57100"/>
    <m/>
    <n v="57100"/>
    <x v="134"/>
    <n v="0"/>
    <d v="2020-03-16T00:00:00"/>
    <s v="Pagado"/>
    <d v="2020-03-16T00:00:00"/>
    <n v="57100"/>
    <s v="Transferencia"/>
    <m/>
    <m/>
    <s v="Santander"/>
    <m/>
    <m/>
    <m/>
    <m/>
    <m/>
    <m/>
    <s v=""/>
    <m/>
    <n v="47983.193277310929"/>
    <n v="9116.8067226890707"/>
    <s v="Pirque"/>
    <s v="Conocido"/>
    <s v="SI"/>
    <m/>
    <m/>
    <x v="0"/>
    <m/>
  </r>
  <r>
    <s v="C079"/>
    <s v="Kim Cornely"/>
    <n v="0"/>
    <n v="3034"/>
    <m/>
    <m/>
    <n v="6728"/>
    <n v="27300"/>
    <m/>
    <n v="27300"/>
    <x v="134"/>
    <n v="0"/>
    <d v="2020-03-16T00:00:00"/>
    <s v="Pagado"/>
    <d v="2020-03-18T00:00:00"/>
    <n v="27300"/>
    <s v="Transferencia"/>
    <m/>
    <m/>
    <s v="Chile"/>
    <m/>
    <m/>
    <m/>
    <m/>
    <m/>
    <m/>
    <s v=""/>
    <m/>
    <n v="22941.176470588238"/>
    <n v="4358.8235294117621"/>
    <s v="Pirque"/>
    <s v="Conocido"/>
    <s v="SI"/>
    <m/>
    <m/>
    <x v="0"/>
    <m/>
  </r>
  <r>
    <s v="C062"/>
    <s v="Verena Scholtbach"/>
    <n v="0"/>
    <n v="0"/>
    <m/>
    <m/>
    <n v="6729"/>
    <n v="80266"/>
    <m/>
    <n v="80266"/>
    <x v="134"/>
    <n v="0"/>
    <d v="2020-03-16T00:00:00"/>
    <s v="Pagado"/>
    <d v="2020-03-19T00:00:00"/>
    <n v="80266"/>
    <s v="Transferencia"/>
    <m/>
    <m/>
    <s v="BCI"/>
    <m/>
    <m/>
    <m/>
    <m/>
    <m/>
    <m/>
    <s v=""/>
    <m/>
    <n v="67450.420168067227"/>
    <n v="12815.579831932773"/>
    <s v="Pirque"/>
    <s v="Conocido"/>
    <s v="SI"/>
    <m/>
    <m/>
    <x v="0"/>
    <m/>
  </r>
  <r>
    <s v="C627"/>
    <s v="Luis Elola"/>
    <n v="0"/>
    <n v="3041"/>
    <m/>
    <m/>
    <n v="6730"/>
    <n v="19000"/>
    <m/>
    <n v="19000"/>
    <x v="134"/>
    <n v="0"/>
    <d v="2020-03-16T00:00:00"/>
    <s v="Pagado"/>
    <d v="2020-03-17T00:00:00"/>
    <n v="19000"/>
    <s v="Transferencia"/>
    <m/>
    <m/>
    <s v="Scotiabank"/>
    <m/>
    <m/>
    <m/>
    <m/>
    <m/>
    <m/>
    <s v=""/>
    <m/>
    <n v="15966.386554621849"/>
    <n v="3033.6134453781506"/>
    <s v="Pirque"/>
    <s v="Revista"/>
    <s v="SI"/>
    <m/>
    <m/>
    <x v="0"/>
    <m/>
  </r>
  <r>
    <s v="C527"/>
    <s v="Bercic y Cia Ltda"/>
    <n v="3172"/>
    <n v="0"/>
    <m/>
    <m/>
    <s v="sn"/>
    <n v="709382"/>
    <m/>
    <n v="709382"/>
    <x v="135"/>
    <n v="30"/>
    <d v="2020-04-17T00:00:00"/>
    <s v="Pagado"/>
    <d v="2020-03-18T00:00:00"/>
    <n v="709382"/>
    <s v="Cheque al Día"/>
    <m/>
    <n v="4591692"/>
    <s v="BCI"/>
    <d v="2020-03-18T00:00:00"/>
    <n v="1859692"/>
    <n v="709382"/>
    <d v="2020-03-19T00:00:00"/>
    <s v="Chile"/>
    <m/>
    <s v="Otros"/>
    <m/>
    <n v="596119.32773109246"/>
    <n v="113262.67226890754"/>
    <s v="Cajon"/>
    <s v="Visita"/>
    <s v="SI"/>
    <m/>
    <m/>
    <x v="1"/>
    <m/>
  </r>
  <r>
    <s v="C005"/>
    <s v="Julia Ines Rebolledo Retamal"/>
    <n v="3171"/>
    <n v="0"/>
    <m/>
    <m/>
    <s v="sn"/>
    <n v="100000"/>
    <m/>
    <n v="100000"/>
    <x v="135"/>
    <n v="7"/>
    <d v="2020-03-25T00:00:00"/>
    <s v="Pagado"/>
    <d v="2020-03-26T00:00:00"/>
    <n v="100000"/>
    <s v="Efectivo"/>
    <m/>
    <m/>
    <m/>
    <m/>
    <m/>
    <m/>
    <m/>
    <m/>
    <m/>
    <s v=""/>
    <m/>
    <n v="84033.613445378156"/>
    <n v="15966.386554621844"/>
    <s v="Cajon"/>
    <s v="Visita"/>
    <s v="SI"/>
    <m/>
    <m/>
    <x v="1"/>
    <m/>
  </r>
  <r>
    <s v="C005"/>
    <s v="Julia Ines Rebolledo Retamal"/>
    <n v="3171"/>
    <n v="0"/>
    <m/>
    <m/>
    <m/>
    <n v="65681"/>
    <m/>
    <n v="65681"/>
    <x v="135"/>
    <n v="7"/>
    <d v="2020-03-25T00:00:00"/>
    <s v="Pagado"/>
    <d v="2020-04-02T00:00:00"/>
    <n v="65681"/>
    <s v="Efectivo"/>
    <m/>
    <m/>
    <m/>
    <m/>
    <m/>
    <m/>
    <m/>
    <m/>
    <m/>
    <s v=""/>
    <m/>
    <n v="55194.117647058825"/>
    <n v="10486.882352941175"/>
    <m/>
    <m/>
    <s v="SI"/>
    <m/>
    <m/>
    <x v="1"/>
    <m/>
  </r>
  <r>
    <s v="C001"/>
    <s v="Benito Campos y Cia Ltda."/>
    <n v="3175"/>
    <n v="0"/>
    <n v="304"/>
    <m/>
    <s v="sn"/>
    <n v="379205"/>
    <n v="-33864"/>
    <n v="345341"/>
    <x v="135"/>
    <n v="30"/>
    <d v="2020-04-17T00:00:00"/>
    <s v="Vencido"/>
    <m/>
    <m/>
    <m/>
    <m/>
    <m/>
    <m/>
    <m/>
    <m/>
    <m/>
    <m/>
    <m/>
    <m/>
    <s v=""/>
    <m/>
    <n v="318659.66386554623"/>
    <n v="60545.33613445377"/>
    <s v="Cajon"/>
    <s v="Visita"/>
    <s v="NO"/>
    <m/>
    <m/>
    <x v="1"/>
    <m/>
  </r>
  <r>
    <s v="C001"/>
    <s v="Benito Campos y Cia Ltda."/>
    <n v="3173"/>
    <n v="0"/>
    <m/>
    <m/>
    <s v="sn"/>
    <n v="42101"/>
    <m/>
    <n v="42101"/>
    <x v="135"/>
    <n v="30"/>
    <d v="2020-04-17T00:00:00"/>
    <s v="Vencido"/>
    <m/>
    <m/>
    <m/>
    <m/>
    <m/>
    <m/>
    <m/>
    <m/>
    <m/>
    <m/>
    <m/>
    <m/>
    <s v=""/>
    <m/>
    <n v="35378.991596638654"/>
    <n v="6722.0084033613457"/>
    <s v="Cajon"/>
    <s v="Visita"/>
    <s v="NO"/>
    <m/>
    <m/>
    <x v="1"/>
    <m/>
  </r>
  <r>
    <s v="C001"/>
    <s v="Benito Campos y Cia Ltda."/>
    <n v="3174"/>
    <n v="0"/>
    <m/>
    <m/>
    <s v="sn"/>
    <n v="218735"/>
    <m/>
    <n v="218735"/>
    <x v="135"/>
    <n v="30"/>
    <d v="2020-04-17T00:00:00"/>
    <s v="Vencido"/>
    <m/>
    <m/>
    <m/>
    <m/>
    <m/>
    <m/>
    <m/>
    <m/>
    <m/>
    <m/>
    <m/>
    <m/>
    <s v=""/>
    <m/>
    <n v="183810.9243697479"/>
    <n v="34924.075630252104"/>
    <s v="Cajon"/>
    <s v="Visita"/>
    <s v="NO"/>
    <m/>
    <m/>
    <x v="1"/>
    <m/>
  </r>
  <r>
    <s v="C001"/>
    <s v="Benito Campos y Cia Ltda."/>
    <n v="3178"/>
    <n v="0"/>
    <n v="306"/>
    <m/>
    <s v="sn"/>
    <n v="194273"/>
    <n v="-59300"/>
    <n v="134973"/>
    <x v="136"/>
    <n v="30"/>
    <d v="2020-04-25T00:00:00"/>
    <s v="Vencido"/>
    <m/>
    <m/>
    <m/>
    <m/>
    <m/>
    <m/>
    <m/>
    <m/>
    <m/>
    <m/>
    <m/>
    <m/>
    <s v=""/>
    <m/>
    <n v="163254.62184873951"/>
    <n v="31018.378151260491"/>
    <s v="Cajon"/>
    <s v="Visita"/>
    <s v="NO"/>
    <m/>
    <m/>
    <x v="1"/>
    <m/>
  </r>
  <r>
    <s v="C005"/>
    <s v="Julia Ines Rebolledo Retamal"/>
    <n v="3177"/>
    <n v="0"/>
    <m/>
    <m/>
    <s v="sn"/>
    <n v="34319"/>
    <m/>
    <n v="34319"/>
    <x v="136"/>
    <n v="7"/>
    <d v="2020-04-02T00:00:00"/>
    <s v="Pagado"/>
    <d v="2020-04-02T00:00:00"/>
    <n v="34319"/>
    <s v="Efectivo"/>
    <m/>
    <m/>
    <m/>
    <m/>
    <m/>
    <m/>
    <m/>
    <m/>
    <m/>
    <s v=""/>
    <m/>
    <n v="28839.495798319331"/>
    <n v="5479.5042016806692"/>
    <s v="Cajon"/>
    <s v="Visita"/>
    <s v="SI"/>
    <m/>
    <m/>
    <x v="1"/>
    <m/>
  </r>
  <r>
    <s v="C005"/>
    <s v="Julia Ines Rebolledo Retamal"/>
    <n v="3177"/>
    <n v="0"/>
    <m/>
    <m/>
    <m/>
    <n v="8996"/>
    <m/>
    <n v="8996"/>
    <x v="136"/>
    <n v="7"/>
    <d v="2020-04-02T00:00:00"/>
    <s v="Vencido"/>
    <m/>
    <m/>
    <m/>
    <m/>
    <m/>
    <m/>
    <m/>
    <m/>
    <m/>
    <m/>
    <m/>
    <m/>
    <s v=""/>
    <m/>
    <n v="7559.6638655462184"/>
    <n v="1436.3361344537816"/>
    <m/>
    <m/>
    <s v="NO"/>
    <m/>
    <m/>
    <x v="1"/>
    <m/>
  </r>
  <r>
    <s v="C088"/>
    <s v="Salvador Jesus Maulen Lizana e Hios Ltda"/>
    <n v="3180"/>
    <n v="0"/>
    <m/>
    <m/>
    <s v="sn"/>
    <n v="58001"/>
    <m/>
    <n v="58001"/>
    <x v="136"/>
    <n v="30"/>
    <d v="2020-04-25T00:00:00"/>
    <s v="Pagado"/>
    <d v="2020-03-26T00:00:00"/>
    <n v="58001"/>
    <s v="Cheque a Fecha"/>
    <m/>
    <n v="6411308"/>
    <s v="Chile"/>
    <d v="2020-04-13T00:00:00"/>
    <m/>
    <m/>
    <m/>
    <m/>
    <m/>
    <s v="Chile"/>
    <m/>
    <n v="48740.336134453784"/>
    <n v="9260.6638655462157"/>
    <s v="Cajon"/>
    <s v="Visita"/>
    <s v="SI"/>
    <m/>
    <m/>
    <x v="1"/>
    <m/>
  </r>
  <r>
    <s v="C037"/>
    <s v="Amelia Cortes"/>
    <n v="0"/>
    <n v="3089"/>
    <m/>
    <m/>
    <n v="6799"/>
    <n v="69600"/>
    <m/>
    <n v="69600"/>
    <x v="136"/>
    <n v="0"/>
    <d v="2020-03-26T00:00:00"/>
    <s v="Pagado"/>
    <d v="2020-03-30T00:00:00"/>
    <n v="69600"/>
    <s v="Transferencia"/>
    <m/>
    <m/>
    <s v="Itaú"/>
    <m/>
    <m/>
    <m/>
    <m/>
    <m/>
    <m/>
    <s v=""/>
    <m/>
    <n v="58487.394957983197"/>
    <n v="11112.605042016803"/>
    <s v="Cajon"/>
    <s v="Revista"/>
    <s v="SI"/>
    <m/>
    <m/>
    <x v="0"/>
    <m/>
  </r>
  <r>
    <s v="C490"/>
    <s v="Matias Moreno"/>
    <n v="0"/>
    <s v="sn"/>
    <m/>
    <m/>
    <n v="6798"/>
    <n v="76000"/>
    <m/>
    <n v="76000"/>
    <x v="137"/>
    <n v="0"/>
    <d v="2020-03-28T00:00:00"/>
    <s v="Pagado"/>
    <d v="2020-03-30T00:00:00"/>
    <n v="76000"/>
    <s v="Transferencia"/>
    <m/>
    <m/>
    <m/>
    <m/>
    <m/>
    <m/>
    <m/>
    <m/>
    <m/>
    <s v=""/>
    <m/>
    <n v="63865.546218487398"/>
    <n v="12134.453781512602"/>
    <s v="Chada"/>
    <s v="Chat Matute Paine"/>
    <s v="SI"/>
    <m/>
    <m/>
    <x v="0"/>
    <m/>
  </r>
  <r>
    <s v="C035"/>
    <s v="Jimena Isabel Alfaro Navarro"/>
    <n v="3181"/>
    <n v="0"/>
    <m/>
    <m/>
    <s v="sn"/>
    <n v="38651"/>
    <m/>
    <n v="38651"/>
    <x v="137"/>
    <n v="0"/>
    <d v="2020-03-28T00:00:00"/>
    <s v="Pagado"/>
    <d v="2020-03-28T00:00:00"/>
    <n v="38651"/>
    <s v="Efectivo"/>
    <m/>
    <m/>
    <m/>
    <m/>
    <m/>
    <m/>
    <m/>
    <m/>
    <m/>
    <s v=""/>
    <m/>
    <n v="32479.831932773111"/>
    <n v="6171.1680672268885"/>
    <s v="Chada"/>
    <s v="Visita"/>
    <s v="SI"/>
    <m/>
    <m/>
    <x v="1"/>
    <m/>
  </r>
  <r>
    <s v="C016"/>
    <s v="Maria Magaly Diaz Espinoza"/>
    <n v="3183"/>
    <n v="0"/>
    <m/>
    <m/>
    <s v="sn"/>
    <n v="122432"/>
    <m/>
    <n v="122432"/>
    <x v="138"/>
    <n v="0"/>
    <d v="2020-03-30T00:00:00"/>
    <s v="Pagado"/>
    <d v="2020-03-16T00:00:00"/>
    <n v="122432"/>
    <s v="Efectivo"/>
    <m/>
    <m/>
    <m/>
    <m/>
    <m/>
    <m/>
    <m/>
    <m/>
    <m/>
    <s v=""/>
    <m/>
    <n v="102884.03361344538"/>
    <n v="19547.966386554617"/>
    <s v="Chada"/>
    <s v="Visita"/>
    <s v="SI"/>
    <m/>
    <m/>
    <x v="1"/>
    <m/>
  </r>
  <r>
    <s v="C622"/>
    <s v="Inversiones y Comercial BEZETA Ltda."/>
    <n v="3183"/>
    <n v="0"/>
    <m/>
    <m/>
    <s v="sn"/>
    <n v="898435"/>
    <m/>
    <n v="898435"/>
    <x v="138"/>
    <n v="0"/>
    <d v="2020-03-30T00:00:00"/>
    <s v="Pagado"/>
    <d v="2020-04-01T00:00:00"/>
    <n v="898435"/>
    <s v="Cheque al Día"/>
    <m/>
    <n v="5829130"/>
    <s v="Chile"/>
    <d v="2020-04-01T00:00:00"/>
    <n v="1867574"/>
    <n v="898435"/>
    <d v="2020-04-02T00:00:00"/>
    <s v="Chile"/>
    <m/>
    <s v="Chile"/>
    <m/>
    <n v="754987.39495798328"/>
    <n v="143447.60504201672"/>
    <s v="Chada"/>
    <s v="Visita"/>
    <s v="SI"/>
    <m/>
    <m/>
    <x v="1"/>
    <m/>
  </r>
  <r>
    <s v="C619"/>
    <s v="Luz Maria Streeter"/>
    <s v="sn"/>
    <n v="0"/>
    <m/>
    <m/>
    <n v="6817"/>
    <n v="33000"/>
    <m/>
    <n v="33000"/>
    <x v="139"/>
    <n v="0"/>
    <d v="2020-04-02T00:00:00"/>
    <s v="Pagado"/>
    <d v="2020-04-02T00:00:00"/>
    <n v="33000"/>
    <s v="Transferencia"/>
    <m/>
    <m/>
    <m/>
    <m/>
    <m/>
    <m/>
    <m/>
    <m/>
    <m/>
    <s v=""/>
    <m/>
    <n v="27731.092436974792"/>
    <n v="5268.9075630252082"/>
    <s v="Pirque"/>
    <s v="Revista"/>
    <s v="SI"/>
    <m/>
    <m/>
    <x v="1"/>
    <m/>
  </r>
  <r>
    <s v="C003"/>
    <s v="Hector Felipe Ramos Osorio"/>
    <n v="3184"/>
    <n v="0"/>
    <m/>
    <m/>
    <s v="sn"/>
    <n v="293036"/>
    <m/>
    <n v="293036"/>
    <x v="139"/>
    <n v="30"/>
    <d v="2020-05-02T00:00:00"/>
    <s v="Vencido"/>
    <m/>
    <m/>
    <m/>
    <m/>
    <m/>
    <m/>
    <m/>
    <m/>
    <m/>
    <m/>
    <m/>
    <m/>
    <s v=""/>
    <m/>
    <n v="246248.73949579833"/>
    <n v="46787.260504201666"/>
    <s v="Cajon"/>
    <s v="Visita"/>
    <s v="NO"/>
    <m/>
    <m/>
    <x v="1"/>
    <m/>
  </r>
  <r>
    <s v="C001"/>
    <s v="Benito Campos y Cia Ltda."/>
    <n v="3185"/>
    <n v="0"/>
    <m/>
    <m/>
    <s v="sn"/>
    <n v="189001"/>
    <m/>
    <n v="189001"/>
    <x v="139"/>
    <n v="30"/>
    <d v="2020-05-02T00:00:00"/>
    <s v="Vencido"/>
    <m/>
    <m/>
    <m/>
    <m/>
    <m/>
    <m/>
    <m/>
    <m/>
    <m/>
    <m/>
    <m/>
    <m/>
    <s v=""/>
    <m/>
    <n v="158824.36974789915"/>
    <n v="30176.630252100847"/>
    <s v="Cajon"/>
    <s v="Visita"/>
    <s v="NO"/>
    <m/>
    <m/>
    <x v="1"/>
    <m/>
  </r>
  <r>
    <s v="C572"/>
    <s v="Aldo Tapia"/>
    <n v="0"/>
    <n v="3039"/>
    <m/>
    <m/>
    <n v="6731"/>
    <n v="33000"/>
    <m/>
    <n v="33000"/>
    <x v="140"/>
    <n v="0"/>
    <d v="2020-03-17T00:00:00"/>
    <s v="Pagado"/>
    <d v="2020-03-17T00:00:00"/>
    <n v="33000"/>
    <s v="Efectivo"/>
    <m/>
    <m/>
    <m/>
    <m/>
    <n v="1858374"/>
    <n v="33000"/>
    <d v="2020-03-24T00:00:00"/>
    <s v="Chile"/>
    <m/>
    <s v=""/>
    <m/>
    <n v="27731.092436974792"/>
    <n v="5268.9075630252082"/>
    <s v="Pirque"/>
    <s v="Revista"/>
    <s v="SI"/>
    <m/>
    <m/>
    <x v="0"/>
    <m/>
  </r>
  <r>
    <s v="C390"/>
    <s v="Auria Villanueva"/>
    <n v="0"/>
    <n v="3040"/>
    <m/>
    <m/>
    <n v="6732"/>
    <n v="27800"/>
    <m/>
    <n v="27800"/>
    <x v="140"/>
    <n v="0"/>
    <d v="2020-03-17T00:00:00"/>
    <s v="Pagado"/>
    <d v="2020-03-17T00:00:00"/>
    <n v="27800"/>
    <s v="Transferencia"/>
    <m/>
    <m/>
    <s v="Estado"/>
    <m/>
    <m/>
    <m/>
    <m/>
    <m/>
    <m/>
    <s v=""/>
    <m/>
    <n v="23361.344537815126"/>
    <n v="4438.6554621848736"/>
    <s v="Pirque"/>
    <s v="Revista"/>
    <s v="SI"/>
    <m/>
    <m/>
    <x v="0"/>
    <m/>
  </r>
  <r>
    <s v="C065"/>
    <s v="Peter De Lamare"/>
    <n v="0"/>
    <n v="3047"/>
    <m/>
    <m/>
    <n v="6733"/>
    <n v="36400"/>
    <m/>
    <n v="36400"/>
    <x v="140"/>
    <n v="0"/>
    <d v="2020-03-17T00:00:00"/>
    <s v="Pagado"/>
    <d v="2020-03-17T00:00:00"/>
    <n v="36400"/>
    <s v="Cheque a Fecha"/>
    <m/>
    <n v="2874834"/>
    <s v="Bice"/>
    <d v="2020-04-07T00:00:00"/>
    <m/>
    <m/>
    <m/>
    <m/>
    <m/>
    <s v="Otros"/>
    <m/>
    <n v="30588.235294117647"/>
    <n v="5811.7647058823532"/>
    <s v="Pirque"/>
    <s v="Conocido"/>
    <s v="SI"/>
    <m/>
    <m/>
    <x v="0"/>
    <m/>
  </r>
  <r>
    <s v="C002"/>
    <s v="Miguel Moreno Fernandez"/>
    <n v="3170"/>
    <n v="0"/>
    <m/>
    <m/>
    <s v="sn"/>
    <n v="69225"/>
    <m/>
    <n v="69225"/>
    <x v="140"/>
    <n v="30"/>
    <d v="2020-04-16T00:00:00"/>
    <s v="Pagado"/>
    <d v="2020-04-01T00:00:00"/>
    <n v="69225"/>
    <s v="Cheque a Fecha"/>
    <m/>
    <n v="8761603"/>
    <s v="Estado"/>
    <d v="2020-04-17T00:00:00"/>
    <m/>
    <m/>
    <m/>
    <m/>
    <m/>
    <s v="Otros"/>
    <m/>
    <n v="58172.268907563026"/>
    <n v="11052.731092436974"/>
    <s v="Pirque"/>
    <s v="Visita"/>
    <s v="SI"/>
    <m/>
    <m/>
    <x v="1"/>
    <m/>
  </r>
  <r>
    <s v="C063"/>
    <s v="Andrea Ramirez"/>
    <n v="0"/>
    <n v="3046"/>
    <m/>
    <m/>
    <n v="6734"/>
    <n v="16500"/>
    <m/>
    <n v="16500"/>
    <x v="140"/>
    <n v="0"/>
    <d v="2020-03-17T00:00:00"/>
    <s v="Vencido"/>
    <m/>
    <m/>
    <m/>
    <m/>
    <m/>
    <m/>
    <m/>
    <m/>
    <m/>
    <m/>
    <m/>
    <m/>
    <s v=""/>
    <m/>
    <n v="13865.546218487396"/>
    <n v="2634.4537815126041"/>
    <s v="Pirque"/>
    <s v="Conocido"/>
    <s v="NO"/>
    <m/>
    <m/>
    <x v="0"/>
    <m/>
  </r>
  <r>
    <s v="C556"/>
    <s v="Patricio Tapia"/>
    <n v="0"/>
    <n v="3044"/>
    <m/>
    <m/>
    <n v="6735"/>
    <n v="31600"/>
    <m/>
    <n v="31600"/>
    <x v="140"/>
    <n v="0"/>
    <d v="2020-03-17T00:00:00"/>
    <s v="Pagado"/>
    <d v="2020-03-17T00:00:00"/>
    <n v="31600"/>
    <s v="Transferencia"/>
    <m/>
    <m/>
    <s v="Chile"/>
    <m/>
    <m/>
    <m/>
    <m/>
    <m/>
    <m/>
    <s v=""/>
    <m/>
    <n v="26554.621848739498"/>
    <n v="5045.3781512605019"/>
    <s v="Pirque"/>
    <s v="Revista"/>
    <s v="SI"/>
    <m/>
    <m/>
    <x v="0"/>
    <m/>
  </r>
  <r>
    <s v="C173"/>
    <s v="Joelle Buyse"/>
    <n v="0"/>
    <n v="3041"/>
    <m/>
    <m/>
    <n v="6738"/>
    <n v="19000"/>
    <m/>
    <n v="19000"/>
    <x v="140"/>
    <n v="0"/>
    <d v="2020-03-17T00:00:00"/>
    <s v="Pagado"/>
    <d v="2020-03-17T00:00:00"/>
    <n v="19000"/>
    <s v="Transferencia"/>
    <m/>
    <m/>
    <s v="Scotiabank"/>
    <m/>
    <m/>
    <m/>
    <m/>
    <m/>
    <m/>
    <s v=""/>
    <m/>
    <n v="15966.386554621849"/>
    <n v="3033.6134453781506"/>
    <s v="Pirque"/>
    <s v="Conocido"/>
    <s v="SI"/>
    <m/>
    <m/>
    <x v="0"/>
    <m/>
  </r>
  <r>
    <s v="C371"/>
    <s v="Isabel Serrano"/>
    <n v="0"/>
    <n v="3143"/>
    <m/>
    <m/>
    <n v="6739"/>
    <n v="21600"/>
    <m/>
    <n v="21600"/>
    <x v="140"/>
    <n v="0"/>
    <d v="2020-03-17T00:00:00"/>
    <s v="Pagado"/>
    <d v="2020-03-18T00:00:00"/>
    <n v="21600"/>
    <s v="Transferencia"/>
    <m/>
    <m/>
    <s v="Santander"/>
    <m/>
    <m/>
    <m/>
    <m/>
    <m/>
    <m/>
    <s v=""/>
    <m/>
    <n v="18151.26050420168"/>
    <n v="3448.7394957983197"/>
    <s v="Pirque"/>
    <s v="Conocido"/>
    <s v="SI"/>
    <m/>
    <m/>
    <x v="0"/>
    <m/>
  </r>
  <r>
    <s v="C071"/>
    <s v="Jose Beck"/>
    <n v="0"/>
    <n v="3042"/>
    <m/>
    <m/>
    <n v="6740"/>
    <n v="34400"/>
    <m/>
    <n v="34400"/>
    <x v="140"/>
    <n v="0"/>
    <d v="2020-03-17T00:00:00"/>
    <s v="Pagado"/>
    <d v="2020-03-20T00:00:00"/>
    <n v="34400"/>
    <s v="Transferencia"/>
    <m/>
    <m/>
    <s v="Chile"/>
    <m/>
    <m/>
    <m/>
    <m/>
    <m/>
    <m/>
    <s v=""/>
    <m/>
    <n v="28907.563025210085"/>
    <n v="5492.4369747899145"/>
    <s v="Pirque"/>
    <s v="Conocido"/>
    <s v="SI"/>
    <m/>
    <m/>
    <x v="0"/>
    <m/>
  </r>
  <r>
    <s v="C544"/>
    <s v="Carla Valencoa"/>
    <n v="0"/>
    <n v="219"/>
    <m/>
    <m/>
    <n v="6741"/>
    <n v="27000"/>
    <m/>
    <n v="27000"/>
    <x v="140"/>
    <n v="0"/>
    <d v="2020-03-17T00:00:00"/>
    <s v="Pagado"/>
    <d v="2020-03-17T00:00:00"/>
    <n v="27000"/>
    <s v="Transbank"/>
    <s v="Debito"/>
    <n v="219"/>
    <m/>
    <m/>
    <m/>
    <m/>
    <m/>
    <m/>
    <m/>
    <s v=""/>
    <m/>
    <n v="22689.0756302521"/>
    <n v="4310.9243697478996"/>
    <s v="Pirque"/>
    <s v="Revista"/>
    <s v="SI"/>
    <m/>
    <m/>
    <x v="0"/>
    <m/>
  </r>
  <r>
    <s v="C546"/>
    <s v="Martha Feres"/>
    <n v="0"/>
    <n v="3053"/>
    <m/>
    <m/>
    <n v="6742"/>
    <n v="27000"/>
    <m/>
    <n v="27000"/>
    <x v="140"/>
    <n v="0"/>
    <d v="2020-03-17T00:00:00"/>
    <s v="Pagado"/>
    <d v="2020-03-17T00:00:00"/>
    <n v="27000"/>
    <s v="Efectivo"/>
    <m/>
    <m/>
    <m/>
    <m/>
    <n v="1858374"/>
    <n v="27000"/>
    <d v="2020-03-24T00:00:00"/>
    <s v="Chile"/>
    <m/>
    <s v=""/>
    <m/>
    <n v="22689.0756302521"/>
    <n v="4310.9243697478996"/>
    <s v="Pirque"/>
    <s v="Revista"/>
    <s v="SI"/>
    <m/>
    <m/>
    <x v="0"/>
    <m/>
  </r>
  <r>
    <s v="C677"/>
    <s v="Paola Jorquera"/>
    <n v="0"/>
    <n v="3050"/>
    <m/>
    <m/>
    <n v="6744"/>
    <n v="10200"/>
    <m/>
    <n v="10200"/>
    <x v="135"/>
    <n v="0"/>
    <d v="2020-03-18T00:00:00"/>
    <s v="Pagado"/>
    <d v="2020-03-18T00:00:00"/>
    <n v="10200"/>
    <s v="Efectivo"/>
    <m/>
    <m/>
    <m/>
    <m/>
    <n v="1858374"/>
    <n v="10200"/>
    <d v="2020-03-24T00:00:00"/>
    <s v="Chile"/>
    <m/>
    <s v=""/>
    <m/>
    <n v="8571.4285714285725"/>
    <n v="1628.5714285714275"/>
    <s v="Pirque"/>
    <s v="Revista"/>
    <s v="SI"/>
    <m/>
    <m/>
    <x v="0"/>
    <m/>
  </r>
  <r>
    <s v="C108"/>
    <s v="Denisse Marti"/>
    <n v="0"/>
    <n v="3049"/>
    <m/>
    <m/>
    <n v="6748"/>
    <n v="36400"/>
    <m/>
    <n v="36400"/>
    <x v="135"/>
    <n v="0"/>
    <d v="2020-03-18T00:00:00"/>
    <s v="Pagado"/>
    <d v="2020-03-18T00:00:00"/>
    <n v="36400"/>
    <s v="Transferencia"/>
    <m/>
    <m/>
    <s v="Santander"/>
    <m/>
    <m/>
    <m/>
    <m/>
    <m/>
    <m/>
    <s v=""/>
    <m/>
    <n v="30588.235294117647"/>
    <n v="5811.7647058823532"/>
    <s v="Pirque"/>
    <s v="Revista"/>
    <s v="SI"/>
    <m/>
    <m/>
    <x v="0"/>
    <m/>
  </r>
  <r>
    <s v="C638"/>
    <s v="Catherine Barra"/>
    <n v="0"/>
    <n v="3054"/>
    <m/>
    <m/>
    <n v="6749"/>
    <n v="23000"/>
    <m/>
    <n v="23000"/>
    <x v="135"/>
    <n v="0"/>
    <d v="2020-03-18T00:00:00"/>
    <s v="Pagado"/>
    <d v="2020-03-19T00:00:00"/>
    <n v="23000"/>
    <s v="Transferencia"/>
    <m/>
    <m/>
    <s v="Santander"/>
    <m/>
    <m/>
    <m/>
    <m/>
    <m/>
    <m/>
    <s v=""/>
    <m/>
    <n v="19327.731092436974"/>
    <n v="3672.268907563026"/>
    <s v="Pirque"/>
    <s v="Revista"/>
    <s v="SI"/>
    <m/>
    <m/>
    <x v="0"/>
    <m/>
  </r>
  <r>
    <s v="C501"/>
    <s v="Victor Rodriguez"/>
    <n v="0"/>
    <n v="3048"/>
    <m/>
    <m/>
    <n v="6750"/>
    <n v="23500"/>
    <m/>
    <n v="23500"/>
    <x v="135"/>
    <n v="0"/>
    <d v="2020-03-18T00:00:00"/>
    <s v="Pagado"/>
    <d v="2020-03-18T00:00:00"/>
    <n v="23500"/>
    <s v="Transferencia"/>
    <m/>
    <m/>
    <s v="Chile"/>
    <m/>
    <m/>
    <m/>
    <m/>
    <m/>
    <m/>
    <s v=""/>
    <m/>
    <n v="19747.899159663866"/>
    <n v="3752.1008403361338"/>
    <s v="Pirque"/>
    <s v="Revista"/>
    <s v="SI"/>
    <m/>
    <m/>
    <x v="0"/>
    <m/>
  </r>
  <r>
    <s v="C636"/>
    <s v="Jessica Cabello"/>
    <n v="0"/>
    <n v="226"/>
    <m/>
    <m/>
    <n v="6752"/>
    <n v="15800"/>
    <m/>
    <n v="15800"/>
    <x v="135"/>
    <n v="0"/>
    <d v="2020-03-18T00:00:00"/>
    <s v="Pagado"/>
    <d v="2020-03-18T00:00:00"/>
    <n v="15800"/>
    <s v="Transbank"/>
    <s v="Credito"/>
    <n v="226"/>
    <m/>
    <m/>
    <m/>
    <m/>
    <m/>
    <m/>
    <m/>
    <s v=""/>
    <m/>
    <n v="13277.310924369749"/>
    <n v="2522.689075630251"/>
    <s v="Pirque"/>
    <s v="Revista"/>
    <s v="SI"/>
    <m/>
    <m/>
    <x v="0"/>
    <m/>
  </r>
  <r>
    <s v="C370"/>
    <s v="Manuel Monteiro"/>
    <s v="P"/>
    <n v="0"/>
    <m/>
    <m/>
    <n v="6753"/>
    <n v="37500"/>
    <m/>
    <n v="37500"/>
    <x v="135"/>
    <n v="0"/>
    <d v="2020-03-18T00:00:00"/>
    <s v="Pagado"/>
    <d v="2020-03-18T00:00:00"/>
    <n v="37500"/>
    <s v="Transferencia"/>
    <m/>
    <m/>
    <s v="Estado"/>
    <m/>
    <m/>
    <m/>
    <m/>
    <m/>
    <m/>
    <s v=""/>
    <m/>
    <n v="31512.605042016807"/>
    <n v="5987.3949579831933"/>
    <s v="Pirque"/>
    <s v="Conocido"/>
    <s v="SI"/>
    <m/>
    <m/>
    <x v="1"/>
    <m/>
  </r>
  <r>
    <s v="C371"/>
    <s v="Isabel Serrano"/>
    <n v="0"/>
    <n v="3055"/>
    <m/>
    <m/>
    <n v="6754"/>
    <n v="7000"/>
    <m/>
    <n v="7000"/>
    <x v="135"/>
    <n v="0"/>
    <d v="2020-03-18T00:00:00"/>
    <s v="Pagado"/>
    <d v="2020-03-18T00:00:00"/>
    <n v="7000"/>
    <s v="Transferencia"/>
    <m/>
    <m/>
    <s v="Santander"/>
    <m/>
    <m/>
    <m/>
    <m/>
    <m/>
    <m/>
    <s v=""/>
    <m/>
    <n v="5882.3529411764712"/>
    <n v="1117.6470588235288"/>
    <s v="Pirque"/>
    <s v="Conocido"/>
    <s v="SI"/>
    <m/>
    <m/>
    <x v="0"/>
    <m/>
  </r>
  <r>
    <s v="C249"/>
    <s v="Daniela Aviles"/>
    <n v="0"/>
    <n v="3051"/>
    <m/>
    <m/>
    <n v="6755"/>
    <n v="21200"/>
    <m/>
    <n v="21200"/>
    <x v="135"/>
    <n v="0"/>
    <d v="2020-03-18T00:00:00"/>
    <s v="Pagado"/>
    <d v="2020-03-18T00:00:00"/>
    <n v="21200"/>
    <s v="Transferencia"/>
    <m/>
    <m/>
    <s v="Estado"/>
    <m/>
    <m/>
    <m/>
    <m/>
    <m/>
    <m/>
    <s v=""/>
    <m/>
    <n v="17815.126050420167"/>
    <n v="3384.8739495798327"/>
    <s v="Pirque"/>
    <s v="Revista"/>
    <s v="SI"/>
    <m/>
    <m/>
    <x v="0"/>
    <m/>
  </r>
  <r>
    <s v="C097"/>
    <s v="Natalia Jorquera"/>
    <n v="0"/>
    <n v="0"/>
    <m/>
    <m/>
    <n v="6553"/>
    <n v="53200"/>
    <m/>
    <n v="53200"/>
    <x v="135"/>
    <n v="0"/>
    <d v="2020-03-18T00:00:00"/>
    <s v="Pagado"/>
    <d v="2020-04-01T00:00:00"/>
    <n v="53200"/>
    <s v="Efectivo"/>
    <m/>
    <m/>
    <m/>
    <m/>
    <m/>
    <m/>
    <m/>
    <m/>
    <m/>
    <s v=""/>
    <m/>
    <n v="44705.882352941182"/>
    <n v="8494.117647058818"/>
    <s v="Pirque"/>
    <s v="Conocido"/>
    <s v="SI"/>
    <m/>
    <m/>
    <x v="0"/>
    <m/>
  </r>
  <r>
    <s v="C072"/>
    <s v="Walter Folch"/>
    <n v="0"/>
    <n v="220"/>
    <m/>
    <m/>
    <n v="6756"/>
    <n v="47900"/>
    <m/>
    <n v="47900"/>
    <x v="135"/>
    <n v="0"/>
    <d v="2020-03-18T00:00:00"/>
    <s v="Pagado"/>
    <d v="2020-03-18T00:00:00"/>
    <n v="47900"/>
    <s v="Transbank"/>
    <s v="Debito"/>
    <n v="220"/>
    <m/>
    <m/>
    <m/>
    <m/>
    <m/>
    <m/>
    <m/>
    <s v=""/>
    <m/>
    <n v="40252.100840336134"/>
    <n v="7647.8991596638662"/>
    <s v="Pirque"/>
    <s v="Conocido"/>
    <s v="SI"/>
    <m/>
    <m/>
    <x v="0"/>
    <m/>
  </r>
  <r>
    <s v="C434"/>
    <s v="Betty Ravillot"/>
    <n v="0"/>
    <n v="3056"/>
    <m/>
    <m/>
    <n v="6735"/>
    <n v="19700"/>
    <m/>
    <n v="19700"/>
    <x v="141"/>
    <n v="0"/>
    <d v="2020-03-19T00:00:00"/>
    <s v="Pagado"/>
    <d v="2020-03-18T00:00:00"/>
    <n v="19700"/>
    <s v="Transferencia"/>
    <m/>
    <m/>
    <s v="Santander"/>
    <m/>
    <m/>
    <m/>
    <m/>
    <m/>
    <m/>
    <s v=""/>
    <m/>
    <n v="16554.621848739498"/>
    <n v="3145.3781512605019"/>
    <s v="Pirque"/>
    <s v="Revista"/>
    <s v="SI"/>
    <m/>
    <m/>
    <x v="0"/>
    <m/>
  </r>
  <r>
    <s v="C620"/>
    <s v="Luz Maria Ossandon"/>
    <n v="0"/>
    <n v="3066"/>
    <m/>
    <m/>
    <n v="6743"/>
    <n v="59700"/>
    <m/>
    <n v="59700"/>
    <x v="141"/>
    <n v="0"/>
    <d v="2020-03-19T00:00:00"/>
    <s v="Pagado"/>
    <d v="2020-03-23T00:00:00"/>
    <n v="59700"/>
    <s v="Transferencia"/>
    <m/>
    <m/>
    <s v="Estado"/>
    <m/>
    <m/>
    <m/>
    <m/>
    <m/>
    <m/>
    <s v=""/>
    <m/>
    <n v="50168.067226890758"/>
    <n v="9531.9327731092417"/>
    <s v="Pirque"/>
    <s v="Conocido"/>
    <s v="SI"/>
    <m/>
    <m/>
    <x v="0"/>
    <m/>
  </r>
  <r>
    <s v="C663"/>
    <s v="Graciela Lobos"/>
    <n v="0"/>
    <n v="3057"/>
    <m/>
    <m/>
    <n v="6745"/>
    <n v="46700"/>
    <m/>
    <n v="46700"/>
    <x v="141"/>
    <n v="0"/>
    <d v="2020-03-19T00:00:00"/>
    <s v="Pagado"/>
    <d v="2020-03-19T00:00:00"/>
    <n v="46700"/>
    <s v="Cheque al Día"/>
    <m/>
    <n v="2350685"/>
    <s v="Chile"/>
    <m/>
    <n v="1859693"/>
    <n v="46700"/>
    <d v="2020-03-24T00:00:00"/>
    <s v="Chile"/>
    <m/>
    <s v="Chile"/>
    <m/>
    <n v="39243.697478991598"/>
    <n v="7456.3025210084015"/>
    <s v="Pirque"/>
    <s v="Revista"/>
    <s v="SI"/>
    <m/>
    <m/>
    <x v="0"/>
    <m/>
  </r>
  <r>
    <s v="C359"/>
    <s v="Manuel Perez"/>
    <n v="0"/>
    <n v="3058"/>
    <m/>
    <m/>
    <n v="6747"/>
    <n v="29900"/>
    <m/>
    <n v="29900"/>
    <x v="141"/>
    <n v="0"/>
    <d v="2020-03-19T00:00:00"/>
    <s v="Pagado"/>
    <d v="2020-03-26T00:00:00"/>
    <n v="29900"/>
    <s v="Transferencia"/>
    <m/>
    <m/>
    <s v="Santander"/>
    <m/>
    <m/>
    <m/>
    <m/>
    <m/>
    <m/>
    <s v=""/>
    <m/>
    <n v="25126.050420168067"/>
    <n v="4773.9495798319331"/>
    <s v="Pirque"/>
    <s v="Conocido"/>
    <s v="SI"/>
    <m/>
    <m/>
    <x v="0"/>
    <m/>
  </r>
  <r>
    <s v="C434"/>
    <s v="Betty Ravillot"/>
    <n v="0"/>
    <n v="3056"/>
    <m/>
    <m/>
    <n v="6751"/>
    <n v="92600"/>
    <m/>
    <n v="92600"/>
    <x v="141"/>
    <n v="0"/>
    <d v="2020-03-19T00:00:00"/>
    <s v="Pagado"/>
    <d v="2020-03-18T00:00:00"/>
    <n v="92600"/>
    <s v="Transferencia"/>
    <m/>
    <m/>
    <s v="Santander"/>
    <m/>
    <m/>
    <m/>
    <m/>
    <m/>
    <m/>
    <s v=""/>
    <m/>
    <n v="77815.126050420178"/>
    <n v="14784.873949579822"/>
    <s v="Pirque"/>
    <s v="Revista"/>
    <s v="SI"/>
    <m/>
    <m/>
    <x v="0"/>
    <m/>
  </r>
  <r>
    <s v="C546"/>
    <s v="Martha Feres"/>
    <n v="0"/>
    <n v="3053"/>
    <m/>
    <m/>
    <n v="6757"/>
    <n v="35500"/>
    <m/>
    <n v="35500"/>
    <x v="141"/>
    <n v="0"/>
    <d v="2020-03-19T00:00:00"/>
    <s v="Pagado"/>
    <d v="2020-03-18T00:00:00"/>
    <n v="35500"/>
    <s v="Efectivo"/>
    <m/>
    <m/>
    <m/>
    <m/>
    <n v="1858374"/>
    <n v="35500"/>
    <d v="2020-03-24T00:00:00"/>
    <s v="Chile"/>
    <m/>
    <s v=""/>
    <m/>
    <n v="29831.932773109245"/>
    <n v="5668.0672268907547"/>
    <s v="Pirque"/>
    <s v="Revista"/>
    <s v="SI"/>
    <m/>
    <m/>
    <x v="0"/>
    <m/>
  </r>
  <r>
    <s v="C678"/>
    <s v="Lupe Gatica"/>
    <n v="0"/>
    <n v="227"/>
    <m/>
    <m/>
    <n v="6758"/>
    <n v="31500"/>
    <m/>
    <n v="31500"/>
    <x v="141"/>
    <n v="0"/>
    <d v="2020-03-19T00:00:00"/>
    <s v="Pagado"/>
    <d v="2020-03-19T00:00:00"/>
    <n v="31500"/>
    <s v="Transbank"/>
    <s v="Debito"/>
    <n v="227"/>
    <m/>
    <m/>
    <m/>
    <m/>
    <m/>
    <m/>
    <m/>
    <s v=""/>
    <m/>
    <n v="26470.588235294119"/>
    <n v="5029.4117647058811"/>
    <s v="Pirque"/>
    <s v="Revista"/>
    <s v="SI"/>
    <m/>
    <m/>
    <x v="0"/>
    <m/>
  </r>
  <r>
    <s v="C679"/>
    <s v="Ma Jose Olguin"/>
    <n v="0"/>
    <n v="3059"/>
    <m/>
    <m/>
    <n v="6759"/>
    <n v="33000"/>
    <m/>
    <n v="33000"/>
    <x v="141"/>
    <n v="0"/>
    <d v="2020-03-19T00:00:00"/>
    <s v="Pagado"/>
    <d v="2020-03-19T00:00:00"/>
    <n v="33000"/>
    <s v="Transferencia"/>
    <m/>
    <m/>
    <s v="Estado"/>
    <m/>
    <m/>
    <m/>
    <m/>
    <m/>
    <m/>
    <s v=""/>
    <m/>
    <n v="27731.092436974792"/>
    <n v="5268.9075630252082"/>
    <s v="Pirque"/>
    <s v="Revista"/>
    <s v="SI"/>
    <m/>
    <m/>
    <x v="0"/>
    <m/>
  </r>
  <r>
    <s v="C364"/>
    <s v="Herminda Arriagada"/>
    <n v="0"/>
    <n v="3062"/>
    <m/>
    <m/>
    <n v="6760"/>
    <n v="81400"/>
    <m/>
    <n v="81400"/>
    <x v="141"/>
    <n v="0"/>
    <d v="2020-03-19T00:00:00"/>
    <s v="Pagado"/>
    <d v="2020-03-20T00:00:00"/>
    <n v="81400"/>
    <s v="Transferencia"/>
    <m/>
    <m/>
    <s v="Estado"/>
    <m/>
    <m/>
    <m/>
    <m/>
    <m/>
    <m/>
    <s v=""/>
    <m/>
    <n v="68403.361344537814"/>
    <n v="12996.638655462186"/>
    <s v="Pirque"/>
    <s v="Conocido"/>
    <s v="SI"/>
    <m/>
    <m/>
    <x v="0"/>
    <m/>
  </r>
  <r>
    <s v="C608"/>
    <s v="Solange Villarroel"/>
    <n v="0"/>
    <n v="3060"/>
    <m/>
    <m/>
    <n v="6761"/>
    <n v="19700"/>
    <m/>
    <n v="19700"/>
    <x v="141"/>
    <n v="0"/>
    <d v="2020-03-19T00:00:00"/>
    <s v="Pagado"/>
    <d v="2020-03-19T00:00:00"/>
    <n v="19700"/>
    <s v="Transferencia"/>
    <m/>
    <m/>
    <s v="Falabella"/>
    <m/>
    <m/>
    <m/>
    <m/>
    <m/>
    <m/>
    <s v=""/>
    <m/>
    <n v="16554.621848739498"/>
    <n v="3145.3781512605019"/>
    <s v="Pirque"/>
    <s v="Revista"/>
    <s v="SI"/>
    <m/>
    <m/>
    <x v="0"/>
    <m/>
  </r>
  <r>
    <s v="C595"/>
    <s v="Juan Neira"/>
    <n v="0"/>
    <n v="3061"/>
    <m/>
    <m/>
    <n v="6764"/>
    <n v="59100"/>
    <m/>
    <n v="59100"/>
    <x v="141"/>
    <n v="0"/>
    <d v="2020-03-19T00:00:00"/>
    <s v="Pagado"/>
    <d v="2020-03-19T00:00:00"/>
    <n v="59100"/>
    <s v="Transferencia"/>
    <m/>
    <m/>
    <s v="Estado"/>
    <m/>
    <m/>
    <m/>
    <m/>
    <m/>
    <m/>
    <s v=""/>
    <m/>
    <n v="49663.865546218491"/>
    <n v="9436.1344537815094"/>
    <s v="Pirque"/>
    <s v="Revista"/>
    <s v="SI"/>
    <m/>
    <m/>
    <x v="0"/>
    <m/>
  </r>
  <r>
    <s v="C660"/>
    <s v="Carolina Lama "/>
    <n v="0"/>
    <n v="3059"/>
    <m/>
    <m/>
    <n v="6767"/>
    <n v="33000"/>
    <m/>
    <n v="33000"/>
    <x v="141"/>
    <n v="0"/>
    <d v="2020-03-19T00:00:00"/>
    <s v="Pagado"/>
    <d v="2020-03-19T00:00:00"/>
    <n v="33000"/>
    <s v="Transferencia"/>
    <m/>
    <m/>
    <s v="BCI"/>
    <m/>
    <m/>
    <m/>
    <m/>
    <m/>
    <m/>
    <s v=""/>
    <m/>
    <n v="27731.092436974792"/>
    <n v="5268.9075630252082"/>
    <s v="Pirque"/>
    <s v="Revista"/>
    <s v="SI"/>
    <m/>
    <m/>
    <x v="0"/>
    <m/>
  </r>
  <r>
    <s v="C680"/>
    <s v="Andrea Roccatagliata"/>
    <n v="0"/>
    <n v="3067"/>
    <m/>
    <m/>
    <n v="6763"/>
    <n v="51300"/>
    <m/>
    <n v="51300"/>
    <x v="141"/>
    <n v="0"/>
    <d v="2020-03-19T00:00:00"/>
    <s v="Pagado"/>
    <d v="2020-03-19T00:00:00"/>
    <n v="51300"/>
    <s v="Transferencia"/>
    <m/>
    <m/>
    <s v="Santander"/>
    <m/>
    <m/>
    <m/>
    <m/>
    <m/>
    <m/>
    <s v=""/>
    <m/>
    <n v="43109.243697478996"/>
    <n v="8190.7563025210038"/>
    <s v="Pirque"/>
    <s v="Revista"/>
    <s v="SI"/>
    <m/>
    <m/>
    <x v="0"/>
    <m/>
  </r>
  <r>
    <s v="C432"/>
    <s v="Silvia Zuñiga"/>
    <n v="0"/>
    <n v="3064"/>
    <m/>
    <m/>
    <n v="6768"/>
    <n v="23900"/>
    <m/>
    <n v="23900"/>
    <x v="141"/>
    <n v="0"/>
    <d v="2020-03-19T00:00:00"/>
    <s v="Pagado"/>
    <d v="2020-03-19T00:00:00"/>
    <n v="23900"/>
    <s v="Efectivo"/>
    <m/>
    <m/>
    <m/>
    <m/>
    <n v="1858374"/>
    <n v="23900"/>
    <m/>
    <m/>
    <m/>
    <s v=""/>
    <m/>
    <n v="20084.033613445379"/>
    <n v="3815.9663865546208"/>
    <s v="Pirque"/>
    <s v="Conocido"/>
    <s v="SI"/>
    <m/>
    <m/>
    <x v="0"/>
    <m/>
  </r>
  <r>
    <s v="C062"/>
    <s v="Verena Scholtbach"/>
    <n v="0"/>
    <n v="0"/>
    <m/>
    <m/>
    <n v="6769"/>
    <n v="48100"/>
    <m/>
    <n v="48100"/>
    <x v="141"/>
    <n v="0"/>
    <d v="2020-03-19T00:00:00"/>
    <s v="Vencido"/>
    <m/>
    <m/>
    <m/>
    <m/>
    <m/>
    <m/>
    <m/>
    <m/>
    <m/>
    <m/>
    <m/>
    <m/>
    <s v=""/>
    <m/>
    <n v="40420.168067226892"/>
    <n v="7679.8319327731078"/>
    <s v="Pirque"/>
    <s v="Conocido"/>
    <s v="NO"/>
    <m/>
    <m/>
    <x v="0"/>
    <m/>
  </r>
  <r>
    <s v="C028"/>
    <s v="Luz María Velasquez"/>
    <n v="0"/>
    <n v="0"/>
    <m/>
    <m/>
    <n v="6770"/>
    <n v="151205"/>
    <m/>
    <n v="151205"/>
    <x v="142"/>
    <n v="0"/>
    <d v="2020-03-20T00:00:00"/>
    <s v="Vencido"/>
    <m/>
    <m/>
    <m/>
    <m/>
    <m/>
    <m/>
    <m/>
    <m/>
    <m/>
    <m/>
    <m/>
    <m/>
    <s v=""/>
    <m/>
    <n v="127063.02521008404"/>
    <n v="24141.974789915956"/>
    <s v="Chada"/>
    <s v="Conocido"/>
    <s v="NO"/>
    <m/>
    <m/>
    <x v="0"/>
    <m/>
  </r>
  <r>
    <s v="C085"/>
    <s v="Sandra Paola Rojas Orellana"/>
    <n v="3176"/>
    <n v="0"/>
    <m/>
    <m/>
    <s v="sn"/>
    <n v="50387"/>
    <m/>
    <n v="50387"/>
    <x v="142"/>
    <n v="0"/>
    <d v="2020-03-20T00:00:00"/>
    <s v="Pagado"/>
    <d v="2020-03-20T00:00:00"/>
    <n v="50387"/>
    <s v="Efectivo"/>
    <m/>
    <m/>
    <m/>
    <m/>
    <n v="1858373"/>
    <n v="33000"/>
    <d v="2020-03-24T00:00:00"/>
    <s v="Chile"/>
    <m/>
    <s v=""/>
    <m/>
    <n v="42342.016806722691"/>
    <n v="8044.9831932773086"/>
    <s v="Chada"/>
    <s v="Visita"/>
    <s v="SI"/>
    <m/>
    <m/>
    <x v="1"/>
    <m/>
  </r>
  <r>
    <s v="C033"/>
    <s v="Catalina Daniela Peña Royo"/>
    <n v="0"/>
    <n v="0"/>
    <m/>
    <m/>
    <n v="6771"/>
    <n v="16500"/>
    <m/>
    <n v="16500"/>
    <x v="142"/>
    <n v="0"/>
    <d v="2020-03-20T00:00:00"/>
    <s v="Vencido"/>
    <m/>
    <m/>
    <m/>
    <m/>
    <m/>
    <m/>
    <m/>
    <m/>
    <m/>
    <m/>
    <m/>
    <m/>
    <s v=""/>
    <m/>
    <n v="13865.546218487396"/>
    <n v="2634.4537815126041"/>
    <s v="Chada"/>
    <s v="Conocido"/>
    <s v="NO"/>
    <m/>
    <m/>
    <x v="0"/>
    <m/>
  </r>
  <r>
    <s v="C032"/>
    <s v="Carlos Jobbe-Duval"/>
    <n v="0"/>
    <n v="0"/>
    <m/>
    <m/>
    <n v="6765"/>
    <n v="176327"/>
    <m/>
    <n v="176327"/>
    <x v="142"/>
    <n v="0"/>
    <d v="2020-03-20T00:00:00"/>
    <s v="Vencido"/>
    <m/>
    <m/>
    <m/>
    <m/>
    <m/>
    <m/>
    <m/>
    <m/>
    <m/>
    <m/>
    <m/>
    <m/>
    <s v=""/>
    <m/>
    <n v="148173.94957983194"/>
    <n v="28153.05042016806"/>
    <s v="Pirque"/>
    <s v="Conocido"/>
    <s v="NO"/>
    <m/>
    <m/>
    <x v="0"/>
    <m/>
  </r>
  <r>
    <s v="C136"/>
    <s v="Lily Caballero"/>
    <n v="0"/>
    <n v="3069"/>
    <m/>
    <m/>
    <n v="6772"/>
    <n v="31600"/>
    <m/>
    <n v="31600"/>
    <x v="142"/>
    <n v="0"/>
    <d v="2020-03-20T00:00:00"/>
    <s v="Pagado"/>
    <d v="2020-04-01T00:00:00"/>
    <n v="31600"/>
    <s v="Transferencia"/>
    <m/>
    <m/>
    <s v="Estado"/>
    <m/>
    <m/>
    <m/>
    <m/>
    <m/>
    <m/>
    <s v=""/>
    <m/>
    <n v="26554.621848739498"/>
    <n v="5045.3781512605019"/>
    <s v="Pirque"/>
    <s v="Conocido"/>
    <s v="SI"/>
    <m/>
    <m/>
    <x v="0"/>
    <m/>
  </r>
  <r>
    <s v="C544"/>
    <s v="Carla Valencoa"/>
    <n v="0"/>
    <n v="221"/>
    <m/>
    <m/>
    <n v="6773"/>
    <n v="27000"/>
    <m/>
    <n v="27000"/>
    <x v="142"/>
    <n v="0"/>
    <d v="2020-03-20T00:00:00"/>
    <s v="Pagado"/>
    <d v="2020-03-20T00:00:00"/>
    <n v="27000"/>
    <s v="Transbank"/>
    <s v="Debito"/>
    <n v="221"/>
    <m/>
    <m/>
    <m/>
    <m/>
    <m/>
    <m/>
    <m/>
    <s v=""/>
    <m/>
    <n v="22689.0756302521"/>
    <n v="4310.9243697478996"/>
    <s v="Pirque"/>
    <s v="Revista"/>
    <s v="SI"/>
    <m/>
    <m/>
    <x v="0"/>
    <m/>
  </r>
  <r>
    <s v="C045"/>
    <s v="Jeanny Andrea Arranz Cordero"/>
    <n v="0"/>
    <n v="3071"/>
    <m/>
    <m/>
    <n v="6774"/>
    <n v="47800"/>
    <m/>
    <n v="47800"/>
    <x v="142"/>
    <n v="0"/>
    <d v="2020-03-20T00:00:00"/>
    <s v="Pagado"/>
    <d v="2020-03-20T00:00:00"/>
    <n v="47800"/>
    <s v="Transferencia"/>
    <m/>
    <m/>
    <s v="Chile"/>
    <m/>
    <m/>
    <m/>
    <m/>
    <m/>
    <m/>
    <s v=""/>
    <m/>
    <n v="40168.067226890758"/>
    <n v="7631.9327731092417"/>
    <s v="Pirque"/>
    <s v="Conocido"/>
    <s v="SI"/>
    <m/>
    <m/>
    <x v="0"/>
    <m/>
  </r>
  <r>
    <s v="C073"/>
    <s v="Celinda Varela"/>
    <n v="0"/>
    <n v="3072"/>
    <m/>
    <m/>
    <n v="6746"/>
    <n v="19700"/>
    <m/>
    <n v="19700"/>
    <x v="143"/>
    <n v="0"/>
    <d v="2020-03-21T00:00:00"/>
    <s v="Pagado"/>
    <d v="2020-03-29T00:00:00"/>
    <n v="19700"/>
    <s v="Transferencia"/>
    <m/>
    <m/>
    <s v="BCI"/>
    <m/>
    <m/>
    <m/>
    <m/>
    <m/>
    <m/>
    <s v=""/>
    <m/>
    <n v="16554.621848739498"/>
    <n v="3145.3781512605019"/>
    <s v="Pirque"/>
    <s v="Conocido"/>
    <s v="SI"/>
    <m/>
    <m/>
    <x v="0"/>
    <m/>
  </r>
  <r>
    <s v="C043"/>
    <s v="Consuelo Andrea Sanchez Bisbal"/>
    <n v="0"/>
    <n v="3073"/>
    <m/>
    <m/>
    <n v="6775"/>
    <n v="39400"/>
    <m/>
    <n v="39400"/>
    <x v="143"/>
    <n v="0"/>
    <d v="2020-03-21T00:00:00"/>
    <s v="Pagado"/>
    <d v="2020-03-21T00:00:00"/>
    <n v="39400"/>
    <s v="Transferencia"/>
    <m/>
    <m/>
    <s v="Falabella"/>
    <m/>
    <m/>
    <m/>
    <m/>
    <m/>
    <m/>
    <s v=""/>
    <m/>
    <n v="33109.243697478996"/>
    <n v="6290.7563025210038"/>
    <s v="Pirque"/>
    <s v="Revista"/>
    <s v="SI"/>
    <m/>
    <m/>
    <x v="0"/>
    <m/>
  </r>
  <r>
    <s v="C116"/>
    <s v="Angelica Bravo"/>
    <n v="0"/>
    <n v="3074"/>
    <m/>
    <m/>
    <n v="6776"/>
    <n v="48400"/>
    <m/>
    <n v="48400"/>
    <x v="143"/>
    <n v="0"/>
    <d v="2020-03-21T00:00:00"/>
    <s v="Pagado"/>
    <d v="2020-03-21T00:00:00"/>
    <n v="48400"/>
    <s v="Transferencia"/>
    <m/>
    <m/>
    <s v="BCI"/>
    <m/>
    <m/>
    <m/>
    <m/>
    <m/>
    <m/>
    <s v=""/>
    <m/>
    <n v="40672.268907563026"/>
    <n v="7727.731092436974"/>
    <s v="Pirque"/>
    <s v="Revista"/>
    <s v="SI"/>
    <m/>
    <m/>
    <x v="0"/>
    <m/>
  </r>
  <r>
    <s v="C041"/>
    <s v="Yanet Arriagada"/>
    <n v="0"/>
    <n v="0"/>
    <m/>
    <m/>
    <n v="6777"/>
    <n v="36800"/>
    <m/>
    <n v="36800"/>
    <x v="143"/>
    <n v="0"/>
    <d v="2020-03-21T00:00:00"/>
    <s v="Vencido"/>
    <m/>
    <m/>
    <m/>
    <m/>
    <m/>
    <m/>
    <m/>
    <m/>
    <m/>
    <m/>
    <m/>
    <m/>
    <s v=""/>
    <m/>
    <n v="30924.36974789916"/>
    <n v="5875.6302521008402"/>
    <s v="Pirque"/>
    <s v="Conocido"/>
    <s v="NO"/>
    <m/>
    <m/>
    <x v="0"/>
    <m/>
  </r>
  <r>
    <s v="C657"/>
    <s v="Patricio La Escuela"/>
    <n v="0"/>
    <n v="228"/>
    <m/>
    <m/>
    <n v="6778"/>
    <n v="19700"/>
    <m/>
    <n v="19700"/>
    <x v="143"/>
    <n v="0"/>
    <d v="2020-03-21T00:00:00"/>
    <s v="Pagado"/>
    <d v="2020-03-21T00:00:00"/>
    <n v="19700"/>
    <s v="Transbank"/>
    <s v="Debito"/>
    <n v="228"/>
    <m/>
    <m/>
    <m/>
    <m/>
    <m/>
    <m/>
    <m/>
    <s v=""/>
    <m/>
    <n v="16554.621848739498"/>
    <n v="3145.3781512605019"/>
    <s v="Pirque"/>
    <s v="Revista"/>
    <s v="SI"/>
    <m/>
    <m/>
    <x v="0"/>
    <m/>
  </r>
  <r>
    <s v="C534"/>
    <s v="Helga Nagilschmitz"/>
    <n v="0"/>
    <n v="231"/>
    <m/>
    <m/>
    <n v="6779"/>
    <n v="305000"/>
    <m/>
    <n v="305000"/>
    <x v="144"/>
    <n v="0"/>
    <d v="2020-03-24T00:00:00"/>
    <s v="Pagado"/>
    <d v="2020-03-24T00:00:00"/>
    <n v="305000"/>
    <s v="Transbank"/>
    <s v="Credito"/>
    <n v="231"/>
    <m/>
    <m/>
    <m/>
    <m/>
    <m/>
    <m/>
    <m/>
    <s v=""/>
    <m/>
    <n v="256302.52100840336"/>
    <n v="48697.478991596639"/>
    <s v="Pirque"/>
    <s v="Revista"/>
    <s v="SI"/>
    <m/>
    <m/>
    <x v="0"/>
    <m/>
  </r>
  <r>
    <s v="C396"/>
    <s v="Alejandro Ossandon"/>
    <n v="0"/>
    <n v="3079"/>
    <m/>
    <m/>
    <n v="6780"/>
    <n v="98500"/>
    <m/>
    <n v="98500"/>
    <x v="144"/>
    <n v="0"/>
    <d v="2020-03-24T00:00:00"/>
    <s v="Pagado"/>
    <d v="2020-03-23T00:00:00"/>
    <n v="98500"/>
    <s v="Transferencia"/>
    <m/>
    <m/>
    <s v="Chile"/>
    <m/>
    <m/>
    <m/>
    <m/>
    <m/>
    <m/>
    <s v=""/>
    <m/>
    <n v="82773.109243697487"/>
    <n v="15726.890756302513"/>
    <s v="Pirque"/>
    <s v="Conocido"/>
    <s v="SI"/>
    <m/>
    <m/>
    <x v="0"/>
    <m/>
  </r>
  <r>
    <s v="C349"/>
    <s v="Elaine Pratt"/>
    <n v="0"/>
    <n v="3078"/>
    <m/>
    <m/>
    <n v="6782"/>
    <n v="47800"/>
    <m/>
    <n v="47800"/>
    <x v="144"/>
    <n v="0"/>
    <d v="2020-03-24T00:00:00"/>
    <s v="Pagado"/>
    <d v="2020-03-24T00:00:00"/>
    <n v="47800"/>
    <s v="Efectivo"/>
    <m/>
    <m/>
    <m/>
    <m/>
    <n v="1859730"/>
    <n v="47800"/>
    <d v="2020-03-30T00:00:00"/>
    <s v="Chile"/>
    <m/>
    <s v=""/>
    <m/>
    <n v="40168.067226890758"/>
    <n v="7631.9327731092417"/>
    <s v="Pirque"/>
    <s v="Conocido"/>
    <s v="SI"/>
    <m/>
    <m/>
    <x v="0"/>
    <m/>
  </r>
  <r>
    <s v="C106"/>
    <s v="Pilar Luan"/>
    <n v="0"/>
    <n v="230"/>
    <m/>
    <m/>
    <n v="6781"/>
    <n v="19700"/>
    <m/>
    <n v="19700"/>
    <x v="144"/>
    <n v="0"/>
    <d v="2020-03-24T00:00:00"/>
    <s v="Pagado"/>
    <d v="2020-03-24T00:00:00"/>
    <n v="19700"/>
    <s v="Transbank"/>
    <s v="Debito"/>
    <n v="230"/>
    <m/>
    <m/>
    <m/>
    <m/>
    <m/>
    <m/>
    <m/>
    <s v=""/>
    <m/>
    <n v="16554.621848739498"/>
    <n v="3145.3781512605019"/>
    <s v="Pirque"/>
    <s v="Conocido"/>
    <s v="SI"/>
    <m/>
    <m/>
    <x v="0"/>
    <m/>
  </r>
  <r>
    <s v="C394"/>
    <s v="Gabriela Ulloa"/>
    <n v="0"/>
    <n v="229"/>
    <m/>
    <m/>
    <n v="6783"/>
    <n v="15800"/>
    <m/>
    <n v="15800"/>
    <x v="144"/>
    <n v="0"/>
    <d v="2020-03-24T00:00:00"/>
    <s v="Pagado"/>
    <d v="2020-03-24T00:00:00"/>
    <n v="15800"/>
    <s v="Transbank"/>
    <s v="Debito"/>
    <n v="229"/>
    <m/>
    <m/>
    <m/>
    <m/>
    <m/>
    <m/>
    <m/>
    <s v=""/>
    <m/>
    <n v="13277.310924369749"/>
    <n v="2522.689075630251"/>
    <s v="Pirque"/>
    <s v="Conocido"/>
    <s v="SI"/>
    <m/>
    <m/>
    <x v="0"/>
    <m/>
  </r>
  <r>
    <s v="C681"/>
    <s v="Marilu Ossa"/>
    <n v="0"/>
    <n v="3077"/>
    <m/>
    <m/>
    <n v="6784"/>
    <n v="23500"/>
    <m/>
    <n v="23500"/>
    <x v="144"/>
    <n v="0"/>
    <d v="2020-03-24T00:00:00"/>
    <s v="Pagado"/>
    <d v="2020-03-23T00:00:00"/>
    <n v="23500"/>
    <s v="Transferencia"/>
    <m/>
    <m/>
    <s v="BCI"/>
    <m/>
    <m/>
    <m/>
    <m/>
    <m/>
    <m/>
    <s v=""/>
    <m/>
    <n v="19747.899159663866"/>
    <n v="3752.1008403361338"/>
    <s v="Pirque"/>
    <s v="Conocido"/>
    <s v="SI"/>
    <m/>
    <m/>
    <x v="0"/>
    <m/>
  </r>
  <r>
    <s v="C662"/>
    <s v="Flavia Lopez"/>
    <n v="0"/>
    <n v="3076"/>
    <m/>
    <m/>
    <n v="6785"/>
    <n v="47800"/>
    <m/>
    <n v="47800"/>
    <x v="144"/>
    <n v="0"/>
    <d v="2020-03-24T00:00:00"/>
    <s v="Pagado"/>
    <d v="2020-03-24T00:00:00"/>
    <n v="47800"/>
    <s v="Transferencia"/>
    <m/>
    <m/>
    <s v="Santander"/>
    <m/>
    <m/>
    <m/>
    <m/>
    <m/>
    <m/>
    <s v=""/>
    <m/>
    <n v="40168.067226890758"/>
    <n v="7631.9327731092417"/>
    <s v="Pirque"/>
    <s v="Revista"/>
    <s v="SI"/>
    <m/>
    <m/>
    <x v="0"/>
    <m/>
  </r>
  <r>
    <s v="C518"/>
    <s v="Fernando Reyes"/>
    <n v="0"/>
    <n v="3075"/>
    <m/>
    <m/>
    <n v="6786"/>
    <n v="54000"/>
    <m/>
    <n v="54000"/>
    <x v="144"/>
    <n v="0"/>
    <d v="2020-03-24T00:00:00"/>
    <s v="Pagado"/>
    <d v="2020-03-24T00:00:00"/>
    <n v="54000"/>
    <s v="Transferencia"/>
    <m/>
    <m/>
    <s v="Estado"/>
    <m/>
    <m/>
    <m/>
    <m/>
    <m/>
    <m/>
    <s v=""/>
    <m/>
    <n v="45378.151260504201"/>
    <n v="8621.8487394957992"/>
    <s v="Pirque"/>
    <s v="Revista"/>
    <s v="SI"/>
    <m/>
    <m/>
    <x v="0"/>
    <m/>
  </r>
  <r>
    <s v="C658"/>
    <s v="Isabel Valdes (Revista Todo Pirque)"/>
    <n v="0"/>
    <n v="0"/>
    <m/>
    <m/>
    <n v="6712"/>
    <n v="27000"/>
    <m/>
    <n v="27000"/>
    <x v="144"/>
    <n v="0"/>
    <d v="2020-03-24T00:00:00"/>
    <s v="Pagado"/>
    <d v="2020-03-24T00:00:00"/>
    <n v="27000"/>
    <s v="Cheque a Fecha"/>
    <m/>
    <n v="2372576"/>
    <s v="Chile"/>
    <d v="2020-04-10T00:00:00"/>
    <m/>
    <m/>
    <m/>
    <m/>
    <m/>
    <s v="Chile"/>
    <m/>
    <n v="22689.0756302521"/>
    <n v="4310.9243697478996"/>
    <s v="Pirque"/>
    <s v="Revista"/>
    <s v="SI"/>
    <m/>
    <m/>
    <x v="0"/>
    <m/>
  </r>
  <r>
    <s v="C682"/>
    <s v="Karina Lopez"/>
    <n v="0"/>
    <n v="3080"/>
    <m/>
    <m/>
    <n v="6787"/>
    <n v="33000"/>
    <m/>
    <n v="33000"/>
    <x v="144"/>
    <n v="0"/>
    <d v="2020-03-24T00:00:00"/>
    <s v="Pagado"/>
    <d v="2020-03-24T00:00:00"/>
    <n v="33000"/>
    <s v="Transferencia"/>
    <m/>
    <m/>
    <s v="Itaú"/>
    <m/>
    <m/>
    <m/>
    <m/>
    <m/>
    <m/>
    <s v=""/>
    <m/>
    <n v="27731.092436974792"/>
    <n v="5268.9075630252082"/>
    <s v="Pirque"/>
    <s v="Revista"/>
    <s v="SI"/>
    <m/>
    <m/>
    <x v="0"/>
    <m/>
  </r>
  <r>
    <s v="C683"/>
    <s v="Ma Teresa Wilson"/>
    <n v="0"/>
    <n v="3081"/>
    <m/>
    <m/>
    <n v="6788"/>
    <n v="15800"/>
    <m/>
    <n v="15800"/>
    <x v="144"/>
    <n v="0"/>
    <d v="2020-03-24T00:00:00"/>
    <s v="Pagado"/>
    <d v="2020-03-24T00:00:00"/>
    <n v="15800"/>
    <s v="Transferencia"/>
    <m/>
    <m/>
    <s v="Chile"/>
    <m/>
    <m/>
    <m/>
    <m/>
    <m/>
    <m/>
    <s v=""/>
    <m/>
    <n v="13277.310924369749"/>
    <n v="2522.689075630251"/>
    <s v="Pirque"/>
    <s v="Revista"/>
    <s v="SI"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62:F139" firstHeaderRow="1" firstDataRow="3" firstDataCol="1" rowPageCount="1" colPageCount="1"/>
  <pivotFields count="26">
    <pivotField showAll="0"/>
    <pivotField showAll="0"/>
    <pivotField axis="axisRow" showAll="0">
      <items count="262">
        <item x="64"/>
        <item x="137"/>
        <item x="207"/>
        <item x="107"/>
        <item x="27"/>
        <item x="10"/>
        <item x="45"/>
        <item x="170"/>
        <item x="140"/>
        <item x="237"/>
        <item x="105"/>
        <item x="109"/>
        <item x="63"/>
        <item x="5"/>
        <item x="30"/>
        <item x="111"/>
        <item x="81"/>
        <item x="222"/>
        <item x="31"/>
        <item x="41"/>
        <item x="2"/>
        <item x="175"/>
        <item x="213"/>
        <item x="26"/>
        <item x="186"/>
        <item x="138"/>
        <item x="103"/>
        <item x="98"/>
        <item x="34"/>
        <item x="74"/>
        <item x="153"/>
        <item x="94"/>
        <item x="108"/>
        <item x="246"/>
        <item x="154"/>
        <item x="216"/>
        <item x="230"/>
        <item x="248"/>
        <item x="113"/>
        <item x="178"/>
        <item x="149"/>
        <item x="150"/>
        <item x="156"/>
        <item x="157"/>
        <item x="236"/>
        <item x="15"/>
        <item x="57"/>
        <item x="13"/>
        <item x="25"/>
        <item x="40"/>
        <item x="71"/>
        <item x="43"/>
        <item x="80"/>
        <item x="101"/>
        <item x="139"/>
        <item x="135"/>
        <item x="167"/>
        <item x="220"/>
        <item x="221"/>
        <item x="211"/>
        <item x="210"/>
        <item x="115"/>
        <item x="114"/>
        <item x="42"/>
        <item x="158"/>
        <item x="234"/>
        <item x="233"/>
        <item x="256"/>
        <item x="165"/>
        <item x="35"/>
        <item x="214"/>
        <item x="183"/>
        <item x="259"/>
        <item x="228"/>
        <item x="251"/>
        <item x="250"/>
        <item x="232"/>
        <item x="192"/>
        <item x="6"/>
        <item x="14"/>
        <item x="245"/>
        <item x="198"/>
        <item x="185"/>
        <item x="204"/>
        <item x="16"/>
        <item x="39"/>
        <item x="33"/>
        <item x="199"/>
        <item x="159"/>
        <item x="141"/>
        <item x="142"/>
        <item x="61"/>
        <item x="72"/>
        <item x="201"/>
        <item x="48"/>
        <item x="21"/>
        <item x="257"/>
        <item x="49"/>
        <item x="152"/>
        <item x="231"/>
        <item x="187"/>
        <item x="7"/>
        <item x="203"/>
        <item x="100"/>
        <item x="88"/>
        <item x="102"/>
        <item x="166"/>
        <item x="77"/>
        <item x="60"/>
        <item x="83"/>
        <item x="75"/>
        <item x="160"/>
        <item x="161"/>
        <item x="162"/>
        <item x="65"/>
        <item x="67"/>
        <item x="68"/>
        <item x="66"/>
        <item x="44"/>
        <item x="136"/>
        <item x="143"/>
        <item x="144"/>
        <item x="223"/>
        <item x="117"/>
        <item x="145"/>
        <item x="224"/>
        <item x="146"/>
        <item x="193"/>
        <item x="50"/>
        <item x="51"/>
        <item x="116"/>
        <item x="4"/>
        <item x="112"/>
        <item x="110"/>
        <item x="93"/>
        <item x="147"/>
        <item x="89"/>
        <item x="235"/>
        <item x="90"/>
        <item x="260"/>
        <item x="106"/>
        <item x="238"/>
        <item x="0"/>
        <item x="240"/>
        <item x="195"/>
        <item x="217"/>
        <item x="148"/>
        <item x="173"/>
        <item x="218"/>
        <item x="119"/>
        <item x="241"/>
        <item x="197"/>
        <item x="253"/>
        <item x="82"/>
        <item x="28"/>
        <item x="37"/>
        <item x="120"/>
        <item x="78"/>
        <item x="79"/>
        <item x="46"/>
        <item x="29"/>
        <item x="163"/>
        <item x="85"/>
        <item x="86"/>
        <item x="164"/>
        <item x="121"/>
        <item x="122"/>
        <item x="87"/>
        <item x="155"/>
        <item x="206"/>
        <item x="123"/>
        <item x="124"/>
        <item x="95"/>
        <item x="169"/>
        <item x="9"/>
        <item x="209"/>
        <item x="125"/>
        <item x="62"/>
        <item x="52"/>
        <item x="200"/>
        <item x="91"/>
        <item x="225"/>
        <item x="126"/>
        <item x="127"/>
        <item x="190"/>
        <item x="226"/>
        <item x="151"/>
        <item x="128"/>
        <item x="129"/>
        <item x="130"/>
        <item x="227"/>
        <item x="53"/>
        <item x="54"/>
        <item x="168"/>
        <item x="96"/>
        <item x="179"/>
        <item x="55"/>
        <item x="22"/>
        <item x="23"/>
        <item x="24"/>
        <item x="219"/>
        <item x="131"/>
        <item x="132"/>
        <item x="208"/>
        <item x="247"/>
        <item x="242"/>
        <item x="12"/>
        <item x="184"/>
        <item x="244"/>
        <item x="36"/>
        <item x="17"/>
        <item x="3"/>
        <item x="20"/>
        <item x="19"/>
        <item x="18"/>
        <item x="174"/>
        <item x="255"/>
        <item x="254"/>
        <item x="202"/>
        <item x="99"/>
        <item x="104"/>
        <item x="38"/>
        <item x="215"/>
        <item x="205"/>
        <item x="172"/>
        <item x="76"/>
        <item x="212"/>
        <item x="32"/>
        <item x="194"/>
        <item x="84"/>
        <item x="47"/>
        <item x="177"/>
        <item x="176"/>
        <item x="92"/>
        <item x="73"/>
        <item x="133"/>
        <item x="134"/>
        <item x="249"/>
        <item x="1"/>
        <item x="70"/>
        <item x="69"/>
        <item x="171"/>
        <item x="56"/>
        <item x="258"/>
        <item x="58"/>
        <item x="11"/>
        <item x="188"/>
        <item x="118"/>
        <item x="97"/>
        <item x="59"/>
        <item x="196"/>
        <item x="191"/>
        <item x="239"/>
        <item x="189"/>
        <item x="243"/>
        <item x="229"/>
        <item x="8"/>
        <item x="180"/>
        <item x="252"/>
        <item x="181"/>
        <item x="182"/>
        <item t="default"/>
      </items>
    </pivotField>
    <pivotField axis="axisRow" multipleItemSelectionAllowed="1" showAll="0" sortType="descending">
      <items count="98">
        <item h="1" x="38"/>
        <item h="1" x="45"/>
        <item h="1" x="37"/>
        <item h="1" x="9"/>
        <item h="1" x="23"/>
        <item h="1" x="64"/>
        <item h="1" x="73"/>
        <item x="12"/>
        <item h="1" x="34"/>
        <item h="1" x="92"/>
        <item h="1" x="36"/>
        <item h="1" x="31"/>
        <item h="1" x="3"/>
        <item h="1" x="67"/>
        <item x="83"/>
        <item x="49"/>
        <item x="21"/>
        <item x="84"/>
        <item x="75"/>
        <item h="1" x="54"/>
        <item x="5"/>
        <item h="1" x="80"/>
        <item h="1" x="24"/>
        <item h="1" x="71"/>
        <item h="1" x="39"/>
        <item h="1" x="25"/>
        <item h="1" x="14"/>
        <item h="1" x="15"/>
        <item h="1" x="26"/>
        <item h="1" x="57"/>
        <item x="88"/>
        <item h="1" x="28"/>
        <item h="1" x="22"/>
        <item h="1" x="87"/>
        <item x="43"/>
        <item h="1" x="91"/>
        <item h="1" x="72"/>
        <item h="1" x="40"/>
        <item h="1" x="74"/>
        <item h="1" x="55"/>
        <item h="1" x="78"/>
        <item x="76"/>
        <item x="47"/>
        <item x="20"/>
        <item h="1" x="96"/>
        <item h="1" x="50"/>
        <item h="1" x="58"/>
        <item h="1" x="69"/>
        <item h="1" x="85"/>
        <item h="1" x="32"/>
        <item x="16"/>
        <item x="17"/>
        <item x="48"/>
        <item x="18"/>
        <item h="1" x="89"/>
        <item h="1" x="35"/>
        <item h="1" x="86"/>
        <item h="1" x="56"/>
        <item h="1" x="65"/>
        <item h="1" x="93"/>
        <item h="1" x="2"/>
        <item x="42"/>
        <item h="1" x="95"/>
        <item h="1" x="90"/>
        <item x="8"/>
        <item x="82"/>
        <item h="1" x="62"/>
        <item h="1" x="46"/>
        <item h="1" x="29"/>
        <item h="1" x="53"/>
        <item h="1" x="77"/>
        <item h="1" x="44"/>
        <item x="4"/>
        <item h="1" x="70"/>
        <item h="1" x="33"/>
        <item h="1" x="79"/>
        <item x="19"/>
        <item h="1" x="60"/>
        <item h="1" x="10"/>
        <item h="1" x="27"/>
        <item h="1" x="52"/>
        <item h="1" x="59"/>
        <item h="1" x="94"/>
        <item h="1" x="30"/>
        <item h="1" x="1"/>
        <item h="1" x="13"/>
        <item x="81"/>
        <item h="1" x="63"/>
        <item h="1" x="0"/>
        <item h="1" x="61"/>
        <item h="1" x="41"/>
        <item h="1" x="66"/>
        <item h="1" x="11"/>
        <item h="1" x="68"/>
        <item x="7"/>
        <item h="1" x="51"/>
        <item h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multipleItemSelectionAllowed="1" showAll="0">
      <items count="46">
        <item h="1" x="43"/>
        <item h="1" x="13"/>
        <item h="1" x="27"/>
        <item h="1" x="3"/>
        <item h="1" x="22"/>
        <item h="1" x="17"/>
        <item x="5"/>
        <item h="1" x="42"/>
        <item h="1" x="26"/>
        <item h="1" x="2"/>
        <item x="14"/>
        <item h="1" x="37"/>
        <item x="40"/>
        <item h="1" x="20"/>
        <item h="1" x="31"/>
        <item h="1" x="35"/>
        <item x="11"/>
        <item h="1" x="23"/>
        <item h="1" x="16"/>
        <item h="1" x="18"/>
        <item h="1" x="34"/>
        <item h="1" x="12"/>
        <item h="1" x="28"/>
        <item h="1" x="6"/>
        <item h="1" x="19"/>
        <item h="1" x="25"/>
        <item h="1" x="32"/>
        <item x="4"/>
        <item h="1" x="36"/>
        <item h="1" x="9"/>
        <item x="24"/>
        <item h="1" x="29"/>
        <item h="1" x="44"/>
        <item h="1" x="15"/>
        <item x="7"/>
        <item h="1" x="8"/>
        <item h="1" x="38"/>
        <item x="41"/>
        <item h="1" x="21"/>
        <item h="1" x="10"/>
        <item h="1" x="0"/>
        <item h="1" x="1"/>
        <item h="1" x="33"/>
        <item h="1" x="30"/>
        <item h="1" x="39"/>
        <item t="default"/>
      </items>
    </pivotField>
    <pivotField showAll="0"/>
    <pivotField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3"/>
    <field x="2"/>
  </rowFields>
  <rowItems count="75">
    <i>
      <x v="50"/>
    </i>
    <i r="1">
      <x v="153"/>
    </i>
    <i r="1">
      <x v="154"/>
    </i>
    <i r="1">
      <x v="155"/>
    </i>
    <i r="1">
      <x v="156"/>
    </i>
    <i r="1">
      <x v="157"/>
    </i>
    <i>
      <x v="94"/>
    </i>
    <i r="1">
      <x v="256"/>
    </i>
    <i>
      <x v="72"/>
    </i>
    <i r="1">
      <x v="12"/>
    </i>
    <i r="1">
      <x v="15"/>
    </i>
    <i r="1">
      <x v="16"/>
    </i>
    <i r="1">
      <x v="52"/>
    </i>
    <i r="1">
      <x v="128"/>
    </i>
    <i r="1">
      <x v="129"/>
    </i>
    <i r="1">
      <x v="130"/>
    </i>
    <i r="1">
      <x v="131"/>
    </i>
    <i r="1">
      <x v="132"/>
    </i>
    <i r="1">
      <x v="134"/>
    </i>
    <i>
      <x v="53"/>
    </i>
    <i r="1">
      <x v="14"/>
    </i>
    <i r="1">
      <x v="18"/>
    </i>
    <i r="1">
      <x v="53"/>
    </i>
    <i r="1">
      <x v="226"/>
    </i>
    <i r="1">
      <x v="227"/>
    </i>
    <i>
      <x v="64"/>
    </i>
    <i r="1">
      <x v="174"/>
    </i>
    <i>
      <x v="51"/>
    </i>
    <i r="1">
      <x v="158"/>
    </i>
    <i r="1">
      <x v="159"/>
    </i>
    <i r="1">
      <x v="160"/>
    </i>
    <i>
      <x v="16"/>
    </i>
    <i r="1">
      <x v="19"/>
    </i>
    <i r="1">
      <x v="54"/>
    </i>
    <i r="1">
      <x v="220"/>
    </i>
    <i>
      <x v="7"/>
    </i>
    <i r="1">
      <x v="46"/>
    </i>
    <i r="1">
      <x v="47"/>
    </i>
    <i>
      <x v="20"/>
    </i>
    <i r="1">
      <x v="13"/>
    </i>
    <i>
      <x v="43"/>
    </i>
    <i r="1">
      <x v="221"/>
    </i>
    <i>
      <x v="15"/>
    </i>
    <i r="1">
      <x v="59"/>
    </i>
    <i r="1">
      <x v="60"/>
    </i>
    <i r="1">
      <x v="61"/>
    </i>
    <i r="1">
      <x v="62"/>
    </i>
    <i>
      <x v="34"/>
    </i>
    <i r="1">
      <x v="25"/>
    </i>
    <i r="1">
      <x v="26"/>
    </i>
    <i r="1">
      <x v="27"/>
    </i>
    <i>
      <x v="30"/>
    </i>
    <i r="1">
      <x v="17"/>
    </i>
    <i>
      <x v="41"/>
    </i>
    <i r="1">
      <x v="144"/>
    </i>
    <i r="1">
      <x v="228"/>
    </i>
    <i>
      <x v="42"/>
    </i>
    <i r="1">
      <x v="11"/>
    </i>
    <i>
      <x v="61"/>
    </i>
    <i r="1">
      <x v="172"/>
    </i>
    <i>
      <x v="86"/>
    </i>
    <i r="1">
      <x v="223"/>
    </i>
    <i>
      <x v="76"/>
    </i>
    <i r="1">
      <x v="28"/>
    </i>
    <i>
      <x v="65"/>
    </i>
    <i r="1">
      <x v="169"/>
    </i>
    <i>
      <x v="52"/>
    </i>
    <i r="1">
      <x v="133"/>
    </i>
    <i>
      <x v="18"/>
    </i>
    <i r="1">
      <x v="127"/>
    </i>
    <i>
      <x v="14"/>
    </i>
    <i r="1">
      <x v="203"/>
    </i>
    <i>
      <x v="17"/>
    </i>
    <i r="1">
      <x v="175"/>
    </i>
    <i t="grand">
      <x/>
    </i>
  </rowItems>
  <colFields count="2">
    <field x="25"/>
    <field x="4"/>
  </colFields>
  <colItems count="5"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uenta de Cant" fld="11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outline="1" outlineData="1" multipleFieldFilters="0" chartFormat="1">
  <location ref="A1:D11" firstHeaderRow="1" firstDataRow="2" firstDataCol="1"/>
  <pivotFields count="3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axis="axisRow" numFmtId="14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1"/>
        <item x="0"/>
        <item m="1" x="2"/>
        <item t="default"/>
      </items>
    </pivotField>
    <pivotField showAll="0"/>
    <pivotField axis="axisRow" showAll="0">
      <items count="5">
        <item x="1"/>
        <item x="2"/>
        <item x="0"/>
        <item x="3"/>
        <item t="default"/>
      </items>
    </pivotField>
  </pivotFields>
  <rowFields count="2">
    <field x="37"/>
    <field x="10"/>
  </rowFields>
  <rowItems count="9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</rowItems>
  <colFields count="1">
    <field x="35"/>
  </colFields>
  <colItems count="3">
    <i>
      <x/>
    </i>
    <i>
      <x v="1"/>
    </i>
    <i t="grand">
      <x/>
    </i>
  </colItems>
  <dataFields count="1">
    <dataField name="Suma de Total" fld="9" baseField="0" baseItem="0" numFmtId="175"/>
  </dataFields>
  <conditionalFormats count="9">
    <conditionalFormat priority="1">
      <pivotAreas count="2">
        <pivotArea type="data" grandCol="1" collapsedLevelsAreSubtotals="1" fieldPosition="0">
          <references count="3">
            <reference field="4294967294" count="1" selected="0">
              <x v="0"/>
            </reference>
            <reference field="10" count="3">
              <x v="10"/>
              <x v="11"/>
              <x v="12"/>
            </reference>
            <reference field="37" count="1" selected="0">
              <x v="0"/>
            </reference>
          </references>
        </pivotArea>
        <pivotArea type="data" grandCol="1" collapsedLevelsAreSubtotals="1" fieldPosition="0">
          <references count="3">
            <reference field="4294967294" count="1" selected="0">
              <x v="0"/>
            </reference>
            <reference field="10" count="2">
              <x v="1"/>
              <x v="2"/>
            </reference>
            <reference field="37" count="1" selected="0">
              <x v="1"/>
            </reference>
          </references>
        </pivotArea>
      </pivotAreas>
    </conditionalFormat>
    <conditionalFormat priority="2">
      <pivotAreas count="2">
        <pivotArea type="data" collapsedLevelsAreSubtotals="1" fieldPosition="0">
          <references count="4">
            <reference field="4294967294" count="1" selected="0">
              <x v="0"/>
            </reference>
            <reference field="10" count="3">
              <x v="10"/>
              <x v="11"/>
              <x v="12"/>
            </reference>
            <reference field="35" count="1" selected="0">
              <x v="1"/>
            </reference>
            <reference field="37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0" count="2">
              <x v="1"/>
              <x v="2"/>
            </reference>
            <reference field="35" count="1" selected="0">
              <x v="1"/>
            </reference>
            <reference field="37" count="1" selected="0">
              <x v="1"/>
            </reference>
          </references>
        </pivotArea>
      </pivotAreas>
    </conditionalFormat>
    <conditionalFormat priority="3">
      <pivotAreas count="2">
        <pivotArea type="data" collapsedLevelsAreSubtotals="1" fieldPosition="0">
          <references count="4">
            <reference field="4294967294" count="1" selected="0">
              <x v="0"/>
            </reference>
            <reference field="10" count="3">
              <x v="10"/>
              <x v="11"/>
              <x v="12"/>
            </reference>
            <reference field="35" count="1" selected="0">
              <x v="0"/>
            </reference>
            <reference field="37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0" count="2">
              <x v="1"/>
              <x v="2"/>
            </reference>
            <reference field="35" count="1" selected="0">
              <x v="0"/>
            </reference>
            <reference field="37" count="1" selected="0">
              <x v="1"/>
            </reference>
          </references>
        </pivotArea>
      </pivotAreas>
    </conditionalFormat>
    <conditionalFormat priority="4">
      <pivotAreas count="1">
        <pivotArea type="data" grandCol="1" collapsedLevelsAreSubtotals="1" fieldPosition="0">
          <references count="3">
            <reference field="4294967294" count="1" selected="0">
              <x v="0"/>
            </reference>
            <reference field="10" count="12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</reference>
            <reference field="37" count="1" selected="0">
              <x v="0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0" count="12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</reference>
            <reference field="35" count="1" selected="0">
              <x v="1"/>
            </reference>
            <reference field="37" count="1" selected="0">
              <x v="0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0" count="12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</reference>
            <reference field="35" count="1" selected="0">
              <x v="0"/>
            </reference>
            <reference field="37" count="1" selected="0">
              <x v="0"/>
            </reference>
          </references>
        </pivotArea>
      </pivotAreas>
    </conditionalFormat>
    <conditionalFormat priority="51">
      <pivotAreas count="1">
        <pivotArea type="data" grandCol="1" collapsedLevelsAreSubtotals="1" fieldPosition="0">
          <references count="3">
            <reference field="4294967294" count="1" selected="0">
              <x v="0"/>
            </reference>
            <reference field="10" count="11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37" count="1" selected="0">
              <x v="0"/>
            </reference>
          </references>
        </pivotArea>
      </pivotAreas>
    </conditionalFormat>
    <conditionalFormat priority="52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0" count="11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35" count="1" selected="0">
              <x v="1"/>
            </reference>
            <reference field="37" count="1" selected="0">
              <x v="0"/>
            </reference>
          </references>
        </pivotArea>
      </pivotAreas>
    </conditionalFormat>
    <conditionalFormat priority="53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0" count="11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35" count="1" selected="0">
              <x v="0"/>
            </reference>
            <reference field="37" count="1" selected="0">
              <x v="0"/>
            </reference>
          </references>
        </pivotArea>
      </pivotAreas>
    </conditionalFormat>
  </conditional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3:B44" firstHeaderRow="1" firstDataRow="1" firstDataCol="1"/>
  <pivotFields count="24">
    <pivotField showAll="0"/>
    <pivotField showAll="0"/>
    <pivotField showAll="0"/>
    <pivotField showAll="0"/>
    <pivotField axis="axisRow" numFmtId="14" showAll="0">
      <items count="21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x="14"/>
        <item x="15"/>
        <item x="12"/>
        <item x="13"/>
        <item x="16"/>
        <item x="17"/>
        <item x="18"/>
        <item x="19"/>
        <item t="default"/>
      </items>
    </pivotField>
    <pivotField dataField="1" numFmtId="164" showAll="0"/>
    <pivotField showAll="0"/>
    <pivotField showAll="0"/>
    <pivotField showAll="0"/>
    <pivotField showAll="0"/>
    <pivotField numFmtId="168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a de Monto" fld="5" baseField="4" baseItem="2" numFmtId="17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AK1138" totalsRowShown="0" headerRowDxfId="66" headerRowBorderDxfId="65" tableBorderDxfId="64">
  <autoFilter ref="A2:AK1138"/>
  <sortState ref="A3:AK1079">
    <sortCondition ref="K2:K1079"/>
  </sortState>
  <tableColumns count="37">
    <tableColumn id="1" name="Cód Cliente" dataDxfId="63"/>
    <tableColumn id="2" name="Cliente" dataDxfId="62"/>
    <tableColumn id="3" name="Factura" dataDxfId="61"/>
    <tableColumn id="4" name="Boleta" dataDxfId="60"/>
    <tableColumn id="5" name="NC" dataDxfId="59"/>
    <tableColumn id="6" name="ND" dataDxfId="58"/>
    <tableColumn id="7" name="NV" dataDxfId="57"/>
    <tableColumn id="8" name="Debe" dataDxfId="56"/>
    <tableColumn id="9" name="Haber" dataDxfId="55"/>
    <tableColumn id="10" name="Total" dataDxfId="54">
      <calculatedColumnFormula>+H3+I3</calculatedColumnFormula>
    </tableColumn>
    <tableColumn id="11" name="Fecha Emisión" dataDxfId="53"/>
    <tableColumn id="12" name="Credito" dataDxfId="52"/>
    <tableColumn id="13" name="Fecha de Venc" dataDxfId="51">
      <calculatedColumnFormula>+L3+K3</calculatedColumnFormula>
    </tableColumn>
    <tableColumn id="14" name="Estado" dataDxfId="50">
      <calculatedColumnFormula>+IF(J3=0,"Nulo",IF(P3&gt;=J3,"Pagado",IF(P3&gt;0,"Abonado",IF(M3&lt;$M$1,"Vencido",IF(J3&gt;P3,"Pendiente","Vencido")))))</calculatedColumnFormula>
    </tableColumn>
    <tableColumn id="15" name="Fecha de Pago" dataDxfId="49"/>
    <tableColumn id="16" name="Monto Pagado" dataDxfId="48"/>
    <tableColumn id="17" name="Medio de Pago" dataDxfId="47"/>
    <tableColumn id="18" name="Tipo TBK" dataDxfId="46"/>
    <tableColumn id="19" name="Núm. Doc" dataDxfId="45"/>
    <tableColumn id="20" name="Banco" dataDxfId="44"/>
    <tableColumn id="21" name="Fecha Cobro" dataDxfId="43"/>
    <tableColumn id="22" name="Núm Dep" dataDxfId="42"/>
    <tableColumn id="23" name="Monto" dataDxfId="41"/>
    <tableColumn id="24" name="Fecha Dep" dataDxfId="40"/>
    <tableColumn id="25" name="Banco2" dataDxfId="39"/>
    <tableColumn id="26" name="Obvs" dataDxfId="38"/>
    <tableColumn id="27" name="Tipo Banco" dataDxfId="37">
      <calculatedColumnFormula>+IF(LEFT(Q3,6)="Cheque",IF(T3="Chile","Chile","Otros"),"")</calculatedColumnFormula>
    </tableColumn>
    <tableColumn id="28" name="Estado Cheque" dataDxfId="36"/>
    <tableColumn id="29" name="Neto" dataDxfId="35">
      <calculatedColumnFormula>+IF(C3="","",H3/1.19)</calculatedColumnFormula>
    </tableColumn>
    <tableColumn id="30" name="IVA" dataDxfId="34">
      <calculatedColumnFormula>+IF(C3="","",H3-AC3)</calculatedColumnFormula>
    </tableColumn>
    <tableColumn id="31" name="Ruta" dataDxfId="33"/>
    <tableColumn id="32" name="Origen" dataDxfId="32"/>
    <tableColumn id="33" name="C1" dataDxfId="31">
      <calculatedColumnFormula>+IF(N3="Pagado","SI",IF(N3="NULO","SI","NO"))</calculatedColumnFormula>
    </tableColumn>
    <tableColumn id="34" name="Envío Fact" dataDxfId="30"/>
    <tableColumn id="35" name="Envío NC" dataDxfId="29"/>
    <tableColumn id="36" name="Tipo Doc" dataDxfId="28">
      <calculatedColumnFormula>+IF(C3=0,"NV","Factura")</calculatedColumnFormula>
    </tableColumn>
    <tableColumn id="37" name="M. Cobrado" dataDxfId="2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X74" totalsRowShown="0" headerRowDxfId="26" headerRowBorderDxfId="25" tableBorderDxfId="24">
  <autoFilter ref="A2:X74"/>
  <sortState ref="A3:X58">
    <sortCondition ref="B2:B58"/>
  </sortState>
  <tableColumns count="24">
    <tableColumn id="1" name="Cód. Pvd" dataDxfId="23"/>
    <tableColumn id="2" name="Proovedor" dataDxfId="22"/>
    <tableColumn id="3" name="SII" dataDxfId="21"/>
    <tableColumn id="4" name="Factura" dataDxfId="20"/>
    <tableColumn id="5" name="Fecha Emisión" dataDxfId="19"/>
    <tableColumn id="6" name="Monto" dataDxfId="18"/>
    <tableColumn id="7" name="SII2" dataDxfId="17"/>
    <tableColumn id="8" name="NC" dataDxfId="16"/>
    <tableColumn id="9" name="F. Emisión" dataDxfId="15"/>
    <tableColumn id="10" name="Monto3" dataDxfId="14"/>
    <tableColumn id="11" name="TOTAL" dataDxfId="13">
      <calculatedColumnFormula>+Tabla2[[#This Row],[Monto]]+Tabla2[[#This Row],[Monto3]]</calculatedColumnFormula>
    </tableColumn>
    <tableColumn id="12" name="Credito" dataDxfId="12"/>
    <tableColumn id="13" name="Fecha Venc" dataDxfId="11"/>
    <tableColumn id="14" name="Estado" dataDxfId="10">
      <calculatedColumnFormula>+IF(K3=0,"Nulo",IF(P3&gt;=K3,"Pagado",IF(P3&gt;0,"Abonado",IF(M3&lt;$E$1,"Vencido",IF(K3&gt;P3,"Pendiente","Vencido")))))</calculatedColumnFormula>
    </tableColumn>
    <tableColumn id="15" name="Fecha de Pago" dataDxfId="9"/>
    <tableColumn id="16" name="Monto Pagado" dataDxfId="8"/>
    <tableColumn id="17" name="Forma de pago" dataDxfId="7"/>
    <tableColumn id="18" name="Tipo TBK" dataDxfId="6"/>
    <tableColumn id="19" name="Num CQ" dataDxfId="5"/>
    <tableColumn id="20" name="Fecha Cobro" dataDxfId="4"/>
    <tableColumn id="21" name="Obvs" dataDxfId="3"/>
    <tableColumn id="22" name="Envío Fact." dataDxfId="2"/>
    <tableColumn id="23" name="Envío NC" dataDxfId="1"/>
    <tableColumn id="24" name="M Cobro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hyperlink" Target="mailto:diego@cecinaslacriolla.cl" TargetMode="External"/><Relationship Id="rId1" Type="http://schemas.openxmlformats.org/officeDocument/2006/relationships/hyperlink" Target="mailto:vicentelosadak@gmail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:Z9"/>
  <sheetViews>
    <sheetView showGridLines="0" zoomScale="115" zoomScaleNormal="115" workbookViewId="0">
      <selection activeCell="S6" sqref="S6"/>
    </sheetView>
  </sheetViews>
  <sheetFormatPr baseColWidth="10" defaultColWidth="10.7109375" defaultRowHeight="15" x14ac:dyDescent="0.25"/>
  <cols>
    <col min="1" max="1" width="3.85546875" customWidth="1"/>
    <col min="2" max="2" width="13.28515625" customWidth="1"/>
    <col min="3" max="3" width="2.7109375" customWidth="1"/>
    <col min="5" max="5" width="11" customWidth="1"/>
    <col min="6" max="6" width="2.7109375" customWidth="1"/>
    <col min="7" max="7" width="1.42578125" customWidth="1"/>
    <col min="8" max="8" width="2.7109375" customWidth="1"/>
    <col min="10" max="10" width="11.140625" customWidth="1"/>
    <col min="11" max="11" width="2.7109375" customWidth="1"/>
    <col min="12" max="12" width="1.42578125" customWidth="1"/>
    <col min="13" max="13" width="2.7109375" customWidth="1"/>
    <col min="15" max="15" width="11.42578125" customWidth="1"/>
    <col min="16" max="16" width="2.7109375" customWidth="1"/>
    <col min="17" max="17" width="1.42578125" customWidth="1"/>
    <col min="18" max="18" width="2.7109375" customWidth="1"/>
    <col min="19" max="19" width="10.7109375" customWidth="1"/>
    <col min="20" max="20" width="11.140625" customWidth="1"/>
    <col min="21" max="21" width="2.7109375" customWidth="1"/>
    <col min="22" max="22" width="1.42578125" customWidth="1"/>
    <col min="23" max="23" width="2.7109375" customWidth="1"/>
    <col min="24" max="25" width="10.7109375" customWidth="1"/>
    <col min="26" max="26" width="2.7109375" customWidth="1"/>
  </cols>
  <sheetData>
    <row r="1" spans="2:26" ht="19.5" customHeight="1" thickBot="1" x14ac:dyDescent="0.25"/>
    <row r="2" spans="2:26" ht="50.25" customHeight="1" thickBot="1" x14ac:dyDescent="0.25">
      <c r="B2" s="659" t="s">
        <v>6122</v>
      </c>
      <c r="C2" s="660"/>
      <c r="D2" s="660"/>
      <c r="E2" s="660"/>
      <c r="F2" s="660"/>
      <c r="G2" s="660"/>
      <c r="H2" s="660"/>
      <c r="I2" s="660"/>
      <c r="J2" s="660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1"/>
      <c r="Y2" s="186"/>
      <c r="Z2" s="186"/>
    </row>
    <row r="3" spans="2:26" ht="17.25" customHeight="1" x14ac:dyDescent="0.2"/>
    <row r="4" spans="2:26" s="165" customFormat="1" ht="38.25" customHeight="1" x14ac:dyDescent="0.35">
      <c r="C4"/>
      <c r="D4"/>
      <c r="E4" t="s">
        <v>4488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9" spans="2:26" x14ac:dyDescent="0.25">
      <c r="P9" t="s">
        <v>4488</v>
      </c>
    </row>
  </sheetData>
  <sortState ref="A3:O19">
    <sortCondition ref="A2"/>
  </sortState>
  <mergeCells count="1">
    <mergeCell ref="B2:X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AF293"/>
  <sheetViews>
    <sheetView showGridLines="0" tabSelected="1" zoomScale="70" zoomScaleNormal="70" zoomScaleSheetLayoutView="70" zoomScalePageLayoutView="70" workbookViewId="0">
      <selection activeCell="D8" sqref="D8:I8"/>
    </sheetView>
  </sheetViews>
  <sheetFormatPr baseColWidth="10" defaultColWidth="10.7109375" defaultRowHeight="15" x14ac:dyDescent="0.25"/>
  <cols>
    <col min="1" max="1" width="6.140625" customWidth="1"/>
    <col min="2" max="2" width="16.85546875" bestFit="1" customWidth="1"/>
    <col min="3" max="3" width="1.42578125" style="15" hidden="1" customWidth="1"/>
    <col min="4" max="4" width="5.28515625" style="15" customWidth="1"/>
    <col min="5" max="5" width="25.85546875" customWidth="1"/>
    <col min="6" max="6" width="17.85546875" customWidth="1"/>
    <col min="7" max="7" width="2.7109375" customWidth="1"/>
    <col min="8" max="8" width="27" customWidth="1"/>
    <col min="9" max="9" width="16" customWidth="1"/>
    <col min="10" max="10" width="11.5703125" customWidth="1"/>
    <col min="11" max="11" width="12.42578125" customWidth="1"/>
    <col min="12" max="12" width="2.140625" bestFit="1" customWidth="1"/>
    <col min="13" max="13" width="17.5703125" customWidth="1"/>
    <col min="14" max="14" width="2.28515625" customWidth="1"/>
    <col min="15" max="15" width="14.5703125" bestFit="1" customWidth="1"/>
    <col min="16" max="16" width="1.28515625" customWidth="1"/>
    <col min="17" max="17" width="16.5703125" hidden="1" customWidth="1"/>
    <col min="18" max="25" width="9.85546875" style="30" customWidth="1"/>
    <col min="26" max="27" width="11.42578125" style="151"/>
    <col min="28" max="29" width="10.7109375" style="151"/>
    <col min="30" max="30" width="10.7109375" style="29"/>
  </cols>
  <sheetData>
    <row r="2" spans="2:32" ht="57.75" customHeight="1" x14ac:dyDescent="0.2">
      <c r="B2" s="665" t="s">
        <v>1820</v>
      </c>
      <c r="C2" s="665"/>
      <c r="D2" s="665"/>
      <c r="E2" s="665"/>
      <c r="F2" s="665"/>
      <c r="G2" s="665"/>
      <c r="H2" s="665"/>
      <c r="I2" s="665"/>
      <c r="J2" s="665"/>
      <c r="K2" s="665"/>
      <c r="L2" s="665"/>
      <c r="M2" s="665"/>
      <c r="N2" s="20"/>
      <c r="S2" s="166"/>
    </row>
    <row r="3" spans="2:32" ht="21" customHeight="1" x14ac:dyDescent="0.3">
      <c r="E3" s="20"/>
      <c r="F3" s="669"/>
      <c r="G3" s="669"/>
      <c r="H3" s="669"/>
      <c r="I3" s="669"/>
      <c r="J3" s="27"/>
      <c r="K3" s="125"/>
      <c r="L3" s="38" t="s">
        <v>1822</v>
      </c>
      <c r="M3" s="127"/>
      <c r="N3" s="4"/>
      <c r="S3" s="32"/>
    </row>
    <row r="4" spans="2:32" x14ac:dyDescent="0.2">
      <c r="S4" s="32"/>
    </row>
    <row r="5" spans="2:32" ht="25.5" customHeight="1" x14ac:dyDescent="0.2">
      <c r="B5" s="666" t="s">
        <v>1821</v>
      </c>
      <c r="C5" s="667"/>
      <c r="D5" s="667"/>
      <c r="E5" s="667"/>
      <c r="F5" s="667"/>
      <c r="G5" s="667"/>
      <c r="H5" s="667"/>
      <c r="I5" s="667"/>
      <c r="J5" s="667"/>
      <c r="K5" s="667"/>
      <c r="L5" s="667"/>
      <c r="M5" s="668"/>
      <c r="N5" s="28"/>
      <c r="S5" s="32"/>
    </row>
    <row r="6" spans="2:32" ht="21" x14ac:dyDescent="0.35">
      <c r="B6" s="35" t="s">
        <v>1161</v>
      </c>
      <c r="C6" s="36" t="s">
        <v>1822</v>
      </c>
      <c r="D6" s="37"/>
      <c r="E6" s="37"/>
      <c r="F6" s="38"/>
      <c r="G6" s="38"/>
      <c r="H6" s="38"/>
      <c r="I6" s="38"/>
      <c r="J6" s="671" t="s">
        <v>1823</v>
      </c>
      <c r="K6" s="671"/>
      <c r="L6" s="36" t="s">
        <v>1822</v>
      </c>
      <c r="M6" s="39">
        <v>4853</v>
      </c>
      <c r="N6" s="4"/>
      <c r="S6" s="32"/>
    </row>
    <row r="7" spans="2:32" ht="21" x14ac:dyDescent="0.35">
      <c r="B7" s="35" t="s">
        <v>1162</v>
      </c>
      <c r="C7" s="36" t="s">
        <v>1822</v>
      </c>
      <c r="D7" s="672"/>
      <c r="E7" s="672"/>
      <c r="F7" s="672"/>
      <c r="G7" s="672"/>
      <c r="H7" s="672"/>
      <c r="I7" s="672"/>
      <c r="J7" s="670" t="s">
        <v>1456</v>
      </c>
      <c r="K7" s="670"/>
      <c r="L7" s="36" t="s">
        <v>1822</v>
      </c>
      <c r="M7" s="150">
        <f ca="1">+TODAY()</f>
        <v>44018</v>
      </c>
      <c r="N7" s="4"/>
      <c r="S7" s="32"/>
    </row>
    <row r="8" spans="2:32" ht="21" x14ac:dyDescent="0.35">
      <c r="B8" s="35" t="s">
        <v>1163</v>
      </c>
      <c r="C8" s="36" t="s">
        <v>1822</v>
      </c>
      <c r="D8" s="662"/>
      <c r="E8" s="662"/>
      <c r="F8" s="662"/>
      <c r="G8" s="662"/>
      <c r="H8" s="662"/>
      <c r="I8" s="662"/>
      <c r="J8" s="670" t="s">
        <v>1843</v>
      </c>
      <c r="K8" s="670"/>
      <c r="L8" s="38" t="s">
        <v>1822</v>
      </c>
      <c r="M8" s="201"/>
      <c r="N8" s="4"/>
      <c r="S8" s="32"/>
    </row>
    <row r="9" spans="2:32" ht="21" x14ac:dyDescent="0.35">
      <c r="B9" s="35" t="s">
        <v>1166</v>
      </c>
      <c r="C9" s="36" t="s">
        <v>1822</v>
      </c>
      <c r="D9" s="662"/>
      <c r="E9" s="662"/>
      <c r="F9" s="662"/>
      <c r="G9" s="662"/>
      <c r="H9" s="662"/>
      <c r="I9" s="662"/>
      <c r="J9" s="40"/>
      <c r="K9" s="38"/>
      <c r="L9" s="38"/>
      <c r="M9" s="41"/>
      <c r="N9" s="4"/>
      <c r="S9" s="32"/>
    </row>
    <row r="10" spans="2:32" ht="21" x14ac:dyDescent="0.35">
      <c r="B10" s="35" t="s">
        <v>1167</v>
      </c>
      <c r="C10" s="36" t="s">
        <v>1822</v>
      </c>
      <c r="D10" s="36"/>
      <c r="E10" s="36"/>
      <c r="F10" s="75" t="s">
        <v>1466</v>
      </c>
      <c r="G10" s="76" t="s">
        <v>1822</v>
      </c>
      <c r="H10" s="36"/>
      <c r="I10" s="40"/>
      <c r="J10" s="40"/>
      <c r="K10" s="38"/>
      <c r="L10" s="38"/>
      <c r="M10" s="41"/>
      <c r="N10" s="4"/>
      <c r="S10" s="32"/>
    </row>
    <row r="11" spans="2:32" ht="21" x14ac:dyDescent="0.35">
      <c r="B11" s="42" t="s">
        <v>1174</v>
      </c>
      <c r="C11" s="43" t="s">
        <v>1822</v>
      </c>
      <c r="D11" s="43"/>
      <c r="E11" s="43"/>
      <c r="F11" s="44" t="s">
        <v>1981</v>
      </c>
      <c r="G11" s="43" t="s">
        <v>1822</v>
      </c>
      <c r="H11" s="43"/>
      <c r="I11" s="43"/>
      <c r="J11" s="43"/>
      <c r="K11" s="43"/>
      <c r="L11" s="43"/>
      <c r="M11" s="88"/>
      <c r="N11" s="4"/>
      <c r="S11" s="32"/>
    </row>
    <row r="12" spans="2:32" ht="8.25" customHeight="1" x14ac:dyDescent="0.2">
      <c r="N12" s="4"/>
      <c r="S12" s="32"/>
    </row>
    <row r="13" spans="2:32" ht="25.5" x14ac:dyDescent="0.35">
      <c r="B13" s="685" t="s">
        <v>1824</v>
      </c>
      <c r="C13" s="686"/>
      <c r="D13" s="686"/>
      <c r="E13" s="686"/>
      <c r="F13" s="686"/>
      <c r="G13" s="686"/>
      <c r="H13" s="686"/>
      <c r="I13" s="686"/>
      <c r="J13" s="686"/>
      <c r="K13" s="686"/>
      <c r="L13" s="686"/>
      <c r="M13" s="687"/>
      <c r="N13" s="4"/>
    </row>
    <row r="14" spans="2:32" ht="21" x14ac:dyDescent="0.35">
      <c r="B14" s="47" t="s">
        <v>1171</v>
      </c>
      <c r="C14" s="48" t="s">
        <v>1822</v>
      </c>
      <c r="D14" s="663"/>
      <c r="E14" s="663"/>
      <c r="F14" s="663"/>
      <c r="G14" s="663"/>
      <c r="H14" s="663"/>
      <c r="I14" s="663"/>
      <c r="J14" s="49"/>
      <c r="K14" s="50" t="s">
        <v>927</v>
      </c>
      <c r="L14" s="48" t="s">
        <v>1822</v>
      </c>
      <c r="M14" s="215"/>
      <c r="N14" s="4"/>
    </row>
    <row r="15" spans="2:32" ht="21" x14ac:dyDescent="0.35">
      <c r="B15" s="35" t="s">
        <v>1166</v>
      </c>
      <c r="C15" s="36" t="s">
        <v>1822</v>
      </c>
      <c r="D15" s="662"/>
      <c r="E15" s="662"/>
      <c r="F15" s="662"/>
      <c r="G15" s="662"/>
      <c r="H15" s="662"/>
      <c r="I15" s="662"/>
      <c r="J15" s="40"/>
      <c r="K15" s="51"/>
      <c r="L15" s="38"/>
      <c r="M15" s="282"/>
      <c r="N15" s="4"/>
      <c r="T15" s="152"/>
      <c r="AE15" s="160"/>
      <c r="AF15" s="160"/>
    </row>
    <row r="16" spans="2:32" ht="21" x14ac:dyDescent="0.35">
      <c r="B16" s="42" t="s">
        <v>1172</v>
      </c>
      <c r="C16" s="43" t="s">
        <v>1822</v>
      </c>
      <c r="D16" s="664"/>
      <c r="E16" s="664"/>
      <c r="F16" s="52" t="s">
        <v>1167</v>
      </c>
      <c r="G16" s="46" t="s">
        <v>1822</v>
      </c>
      <c r="H16" s="46"/>
      <c r="I16" s="52"/>
      <c r="J16" s="45"/>
      <c r="K16" s="52" t="s">
        <v>1170</v>
      </c>
      <c r="L16" s="46" t="s">
        <v>1822</v>
      </c>
      <c r="M16" s="53"/>
      <c r="N16" s="4"/>
      <c r="AE16" s="160"/>
      <c r="AF16" s="160"/>
    </row>
    <row r="17" spans="2:32" ht="9" customHeight="1" thickBot="1" x14ac:dyDescent="0.3">
      <c r="N17" s="4"/>
      <c r="AE17" s="160"/>
      <c r="AF17" s="160"/>
    </row>
    <row r="18" spans="2:32" s="15" customFormat="1" ht="24" customHeight="1" thickBot="1" x14ac:dyDescent="0.4">
      <c r="B18" s="54" t="s">
        <v>1825</v>
      </c>
      <c r="C18" s="55" t="s">
        <v>1486</v>
      </c>
      <c r="D18" s="55" t="s">
        <v>7</v>
      </c>
      <c r="E18" s="673" t="s">
        <v>1448</v>
      </c>
      <c r="F18" s="673"/>
      <c r="G18" s="673"/>
      <c r="H18" s="55" t="s">
        <v>1826</v>
      </c>
      <c r="I18" s="55" t="s">
        <v>1904</v>
      </c>
      <c r="J18" s="55" t="s">
        <v>2395</v>
      </c>
      <c r="K18" s="673" t="s">
        <v>1827</v>
      </c>
      <c r="L18" s="673"/>
      <c r="M18" s="56" t="s">
        <v>1828</v>
      </c>
      <c r="N18" s="57"/>
      <c r="O18" s="58" t="s">
        <v>1829</v>
      </c>
      <c r="P18" s="28"/>
      <c r="Q18" s="58" t="s">
        <v>3590</v>
      </c>
      <c r="R18" s="31"/>
      <c r="S18" s="31"/>
      <c r="T18" s="31"/>
      <c r="U18" s="31"/>
      <c r="V18" s="31" t="s">
        <v>925</v>
      </c>
      <c r="W18" s="31"/>
      <c r="X18" s="31" t="s">
        <v>2347</v>
      </c>
      <c r="Y18" s="31" t="s">
        <v>1461</v>
      </c>
      <c r="Z18" s="31" t="s">
        <v>2121</v>
      </c>
      <c r="AA18" s="188"/>
      <c r="AB18" s="188"/>
      <c r="AC18" s="188"/>
      <c r="AD18" s="184"/>
      <c r="AE18" s="161"/>
      <c r="AF18" s="161"/>
    </row>
    <row r="19" spans="2:32" ht="21" x14ac:dyDescent="0.35">
      <c r="B19" s="60"/>
      <c r="C19" s="61"/>
      <c r="D19" s="61"/>
      <c r="E19" s="96"/>
      <c r="F19" s="96"/>
      <c r="G19" s="180"/>
      <c r="H19" s="62"/>
      <c r="I19" s="265"/>
      <c r="J19" s="168"/>
      <c r="K19" s="182"/>
      <c r="L19" s="140"/>
      <c r="M19" s="59">
        <f>+IF($K$3="Factura",V19*J19,Y19*J19)</f>
        <v>0</v>
      </c>
      <c r="N19" s="57"/>
      <c r="O19" s="216">
        <f t="shared" ref="O19:O28" si="0">+IF(M19="","",Y19)</f>
        <v>0</v>
      </c>
      <c r="P19" s="63"/>
      <c r="Q19" s="99">
        <v>0</v>
      </c>
      <c r="R19" s="32">
        <f>+I19</f>
        <v>0</v>
      </c>
      <c r="S19" s="153">
        <f t="shared" ref="S19:S28" si="1">+K19</f>
        <v>0</v>
      </c>
      <c r="T19" s="154">
        <f>+R19-(S19*R19)</f>
        <v>0</v>
      </c>
      <c r="U19" s="153">
        <f t="shared" ref="U19:U28" si="2">+$J$29</f>
        <v>0</v>
      </c>
      <c r="V19" s="154">
        <f>+T19-(U19*T19)</f>
        <v>0</v>
      </c>
      <c r="W19" s="153">
        <v>0.19</v>
      </c>
      <c r="X19" s="154">
        <f>+V19*0.19*J19</f>
        <v>0</v>
      </c>
      <c r="Y19" s="154">
        <f>+V19*W19+V19</f>
        <v>0</v>
      </c>
      <c r="Z19" s="203">
        <f>+I19*Q19*J19</f>
        <v>0</v>
      </c>
      <c r="AC19" s="189"/>
      <c r="AE19" s="160"/>
      <c r="AF19" s="160"/>
    </row>
    <row r="20" spans="2:32" ht="21" x14ac:dyDescent="0.35">
      <c r="B20" s="609"/>
      <c r="C20" s="610"/>
      <c r="D20" s="611"/>
      <c r="E20" s="272"/>
      <c r="F20" s="272"/>
      <c r="G20" s="612"/>
      <c r="H20" s="613"/>
      <c r="I20" s="265"/>
      <c r="J20" s="614"/>
      <c r="K20" s="615"/>
      <c r="L20" s="616"/>
      <c r="M20" s="617">
        <f>+IF($K$3="Factura",V20*J20,Y20*J20)</f>
        <v>0</v>
      </c>
      <c r="N20" s="57"/>
      <c r="O20" s="216">
        <f t="shared" si="0"/>
        <v>0</v>
      </c>
      <c r="P20" s="63"/>
      <c r="Q20" s="99">
        <v>0</v>
      </c>
      <c r="R20" s="32">
        <f>+I20</f>
        <v>0</v>
      </c>
      <c r="S20" s="153">
        <f t="shared" si="1"/>
        <v>0</v>
      </c>
      <c r="T20" s="154">
        <f t="shared" ref="T20:T28" si="3">+R20-(S20*R20)</f>
        <v>0</v>
      </c>
      <c r="U20" s="153">
        <f t="shared" si="2"/>
        <v>0</v>
      </c>
      <c r="V20" s="154">
        <f t="shared" ref="V20:V28" si="4">+T20-(U20*T20)</f>
        <v>0</v>
      </c>
      <c r="W20" s="153">
        <v>0.19</v>
      </c>
      <c r="X20" s="154">
        <f>+V20*0.19*J20</f>
        <v>0</v>
      </c>
      <c r="Y20" s="154">
        <f t="shared" ref="Y20:Y28" si="5">+V20*W20+V20</f>
        <v>0</v>
      </c>
      <c r="Z20" s="203">
        <f>+I20*Q20*J20</f>
        <v>0</v>
      </c>
      <c r="AC20" s="189"/>
      <c r="AE20" s="160"/>
      <c r="AF20" s="160"/>
    </row>
    <row r="21" spans="2:32" ht="21" x14ac:dyDescent="0.35">
      <c r="B21" s="609"/>
      <c r="C21" s="611"/>
      <c r="D21" s="611"/>
      <c r="E21" s="618"/>
      <c r="F21" s="287"/>
      <c r="G21" s="612"/>
      <c r="H21" s="619"/>
      <c r="I21" s="265"/>
      <c r="J21" s="614"/>
      <c r="K21" s="615"/>
      <c r="L21" s="616"/>
      <c r="M21" s="617">
        <f t="shared" ref="M21:M22" si="6">+IF($K$3="Factura",V21*J21,Y21*J21)</f>
        <v>0</v>
      </c>
      <c r="N21" s="63"/>
      <c r="O21" s="216">
        <f t="shared" si="0"/>
        <v>0</v>
      </c>
      <c r="P21" s="63"/>
      <c r="Q21" s="99">
        <v>0</v>
      </c>
      <c r="R21" s="32">
        <f>+I21</f>
        <v>0</v>
      </c>
      <c r="S21" s="153">
        <f t="shared" si="1"/>
        <v>0</v>
      </c>
      <c r="T21" s="154">
        <f t="shared" si="3"/>
        <v>0</v>
      </c>
      <c r="U21" s="153">
        <f t="shared" si="2"/>
        <v>0</v>
      </c>
      <c r="V21" s="154">
        <f t="shared" si="4"/>
        <v>0</v>
      </c>
      <c r="W21" s="153">
        <v>0.19</v>
      </c>
      <c r="X21" s="154">
        <f t="shared" ref="X21:X28" si="7">+V21*0.19*J21</f>
        <v>0</v>
      </c>
      <c r="Y21" s="154">
        <f t="shared" si="5"/>
        <v>0</v>
      </c>
      <c r="Z21" s="203">
        <f>+I21*Q21*J21</f>
        <v>0</v>
      </c>
      <c r="AC21" s="189"/>
      <c r="AE21" s="160"/>
      <c r="AF21" s="160"/>
    </row>
    <row r="22" spans="2:32" ht="21" x14ac:dyDescent="0.35">
      <c r="B22" s="609"/>
      <c r="C22" s="611"/>
      <c r="D22" s="611"/>
      <c r="E22" s="618"/>
      <c r="F22" s="287"/>
      <c r="G22" s="612"/>
      <c r="H22" s="619"/>
      <c r="I22" s="265"/>
      <c r="J22" s="614"/>
      <c r="K22" s="615"/>
      <c r="L22" s="616"/>
      <c r="M22" s="617">
        <f t="shared" si="6"/>
        <v>0</v>
      </c>
      <c r="N22" s="63"/>
      <c r="O22" s="216">
        <f t="shared" si="0"/>
        <v>0</v>
      </c>
      <c r="P22" s="63"/>
      <c r="Q22" s="99">
        <v>0</v>
      </c>
      <c r="R22" s="32">
        <f t="shared" ref="R22:R28" si="8">+I22</f>
        <v>0</v>
      </c>
      <c r="S22" s="153">
        <f t="shared" si="1"/>
        <v>0</v>
      </c>
      <c r="T22" s="154">
        <f t="shared" si="3"/>
        <v>0</v>
      </c>
      <c r="U22" s="153">
        <f t="shared" si="2"/>
        <v>0</v>
      </c>
      <c r="V22" s="154">
        <f>+T22-(U22*T22)</f>
        <v>0</v>
      </c>
      <c r="W22" s="153">
        <v>0.19</v>
      </c>
      <c r="X22" s="154">
        <f t="shared" si="7"/>
        <v>0</v>
      </c>
      <c r="Y22" s="154">
        <f t="shared" si="5"/>
        <v>0</v>
      </c>
      <c r="Z22" s="203">
        <f t="shared" ref="Z22:Z28" si="9">+I22*Q22*J22</f>
        <v>0</v>
      </c>
      <c r="AC22" s="189"/>
      <c r="AE22" s="160"/>
      <c r="AF22" s="160"/>
    </row>
    <row r="23" spans="2:32" ht="21" x14ac:dyDescent="0.35">
      <c r="B23" s="285"/>
      <c r="C23" s="286"/>
      <c r="D23" s="286"/>
      <c r="E23" s="287"/>
      <c r="F23" s="287"/>
      <c r="G23" s="287"/>
      <c r="H23" s="288"/>
      <c r="I23" s="289"/>
      <c r="J23" s="614"/>
      <c r="K23" s="615"/>
      <c r="L23" s="616"/>
      <c r="M23" s="617">
        <f t="shared" ref="M23:M28" si="10">+IF($K$3="Factura",V23*J23,Y23*J23)</f>
        <v>0</v>
      </c>
      <c r="N23" s="63"/>
      <c r="O23" s="216">
        <f t="shared" si="0"/>
        <v>0</v>
      </c>
      <c r="P23" s="63"/>
      <c r="Q23" s="99">
        <v>0</v>
      </c>
      <c r="R23" s="32">
        <f>+I23</f>
        <v>0</v>
      </c>
      <c r="S23" s="153">
        <f>+K23</f>
        <v>0</v>
      </c>
      <c r="T23" s="154">
        <f t="shared" si="3"/>
        <v>0</v>
      </c>
      <c r="U23" s="153">
        <f t="shared" si="2"/>
        <v>0</v>
      </c>
      <c r="V23" s="154">
        <f t="shared" si="4"/>
        <v>0</v>
      </c>
      <c r="W23" s="153">
        <v>0.19</v>
      </c>
      <c r="X23" s="154">
        <f>+V23*0.19*J23</f>
        <v>0</v>
      </c>
      <c r="Y23" s="154">
        <f>+V23*W23+V23</f>
        <v>0</v>
      </c>
      <c r="Z23" s="203">
        <f>+I23*Q23*J23</f>
        <v>0</v>
      </c>
      <c r="AC23" s="189"/>
      <c r="AE23" s="160"/>
      <c r="AF23" s="160"/>
    </row>
    <row r="24" spans="2:32" ht="21" x14ac:dyDescent="0.35">
      <c r="B24" s="60"/>
      <c r="C24" s="61"/>
      <c r="D24" s="61"/>
      <c r="E24" s="202"/>
      <c r="F24" s="202"/>
      <c r="G24" s="181"/>
      <c r="H24" s="64"/>
      <c r="I24" s="265"/>
      <c r="J24" s="168"/>
      <c r="K24" s="182"/>
      <c r="L24" s="171"/>
      <c r="M24" s="59">
        <f>+IF($K$3="Factura",V24*J24,Y24*J24)</f>
        <v>0</v>
      </c>
      <c r="N24" s="63"/>
      <c r="O24" s="216">
        <f t="shared" si="0"/>
        <v>0</v>
      </c>
      <c r="P24" s="63"/>
      <c r="Q24" s="99">
        <v>0</v>
      </c>
      <c r="R24" s="32">
        <f>+I24</f>
        <v>0</v>
      </c>
      <c r="S24" s="153">
        <f>+K24</f>
        <v>0</v>
      </c>
      <c r="T24" s="154">
        <f t="shared" si="3"/>
        <v>0</v>
      </c>
      <c r="U24" s="153">
        <f t="shared" si="2"/>
        <v>0</v>
      </c>
      <c r="V24" s="154">
        <f t="shared" si="4"/>
        <v>0</v>
      </c>
      <c r="W24" s="153">
        <v>0.19</v>
      </c>
      <c r="X24" s="154">
        <f>+V24*0.19*J24</f>
        <v>0</v>
      </c>
      <c r="Y24" s="154">
        <f t="shared" si="5"/>
        <v>0</v>
      </c>
      <c r="Z24" s="203">
        <f>+I24*Q24*J24</f>
        <v>0</v>
      </c>
      <c r="AC24" s="189"/>
      <c r="AE24" s="160"/>
      <c r="AF24" s="160"/>
    </row>
    <row r="25" spans="2:32" ht="21" x14ac:dyDescent="0.35">
      <c r="B25" s="60"/>
      <c r="C25" s="61"/>
      <c r="D25" s="61"/>
      <c r="E25" s="170"/>
      <c r="F25" s="170"/>
      <c r="G25" s="181"/>
      <c r="H25" s="64"/>
      <c r="I25" s="265"/>
      <c r="J25" s="168"/>
      <c r="K25" s="182"/>
      <c r="L25" s="171"/>
      <c r="M25" s="59">
        <f>+IF($K$3="Factura",V25*J25,Y25*J25)</f>
        <v>0</v>
      </c>
      <c r="N25" s="63"/>
      <c r="O25" s="216">
        <f t="shared" si="0"/>
        <v>0</v>
      </c>
      <c r="P25" s="63"/>
      <c r="Q25" s="99">
        <v>0</v>
      </c>
      <c r="R25" s="32">
        <f>+I25</f>
        <v>0</v>
      </c>
      <c r="S25" s="153">
        <f>+K25</f>
        <v>0</v>
      </c>
      <c r="T25" s="154">
        <f t="shared" si="3"/>
        <v>0</v>
      </c>
      <c r="U25" s="153">
        <f t="shared" si="2"/>
        <v>0</v>
      </c>
      <c r="V25" s="154">
        <f t="shared" si="4"/>
        <v>0</v>
      </c>
      <c r="W25" s="153">
        <v>0.19</v>
      </c>
      <c r="X25" s="154">
        <f>+V25*0.19*J25</f>
        <v>0</v>
      </c>
      <c r="Y25" s="154">
        <f t="shared" si="5"/>
        <v>0</v>
      </c>
      <c r="Z25" s="203">
        <f>+I25*Q25*J25</f>
        <v>0</v>
      </c>
      <c r="AC25" s="189"/>
      <c r="AE25" s="160"/>
      <c r="AF25" s="160"/>
    </row>
    <row r="26" spans="2:32" ht="21" x14ac:dyDescent="0.35">
      <c r="B26" s="60"/>
      <c r="C26" s="61"/>
      <c r="D26" s="61"/>
      <c r="E26" s="170"/>
      <c r="F26" s="170"/>
      <c r="G26" s="181"/>
      <c r="H26" s="64"/>
      <c r="I26" s="265"/>
      <c r="J26" s="168"/>
      <c r="K26" s="182"/>
      <c r="L26" s="171"/>
      <c r="M26" s="59">
        <f t="shared" si="10"/>
        <v>0</v>
      </c>
      <c r="N26" s="63"/>
      <c r="O26" s="216">
        <f t="shared" si="0"/>
        <v>0</v>
      </c>
      <c r="P26" s="63"/>
      <c r="Q26" s="99">
        <v>0</v>
      </c>
      <c r="R26" s="32">
        <f t="shared" si="8"/>
        <v>0</v>
      </c>
      <c r="S26" s="153">
        <f t="shared" si="1"/>
        <v>0</v>
      </c>
      <c r="T26" s="154">
        <f t="shared" si="3"/>
        <v>0</v>
      </c>
      <c r="U26" s="153">
        <f t="shared" si="2"/>
        <v>0</v>
      </c>
      <c r="V26" s="154">
        <f t="shared" si="4"/>
        <v>0</v>
      </c>
      <c r="W26" s="153">
        <v>0.19</v>
      </c>
      <c r="X26" s="154">
        <f t="shared" si="7"/>
        <v>0</v>
      </c>
      <c r="Y26" s="154">
        <f t="shared" si="5"/>
        <v>0</v>
      </c>
      <c r="Z26" s="203">
        <f t="shared" si="9"/>
        <v>0</v>
      </c>
      <c r="AC26" s="189"/>
      <c r="AE26" s="160"/>
      <c r="AF26" s="160"/>
    </row>
    <row r="27" spans="2:32" ht="21" x14ac:dyDescent="0.35">
      <c r="B27" s="60"/>
      <c r="C27" s="61"/>
      <c r="D27" s="61"/>
      <c r="E27" s="170"/>
      <c r="F27" s="170"/>
      <c r="G27" s="181"/>
      <c r="H27" s="64"/>
      <c r="I27" s="265"/>
      <c r="J27" s="168"/>
      <c r="K27" s="182"/>
      <c r="L27" s="171"/>
      <c r="M27" s="59">
        <f t="shared" si="10"/>
        <v>0</v>
      </c>
      <c r="N27" s="63"/>
      <c r="O27" s="216">
        <f t="shared" si="0"/>
        <v>0</v>
      </c>
      <c r="P27" s="63"/>
      <c r="Q27" s="99">
        <v>0</v>
      </c>
      <c r="R27" s="32">
        <f t="shared" si="8"/>
        <v>0</v>
      </c>
      <c r="S27" s="153">
        <f t="shared" si="1"/>
        <v>0</v>
      </c>
      <c r="T27" s="154">
        <f t="shared" si="3"/>
        <v>0</v>
      </c>
      <c r="U27" s="153">
        <f t="shared" si="2"/>
        <v>0</v>
      </c>
      <c r="V27" s="154">
        <f t="shared" si="4"/>
        <v>0</v>
      </c>
      <c r="W27" s="153">
        <v>0.19</v>
      </c>
      <c r="X27" s="154">
        <f t="shared" si="7"/>
        <v>0</v>
      </c>
      <c r="Y27" s="154">
        <f t="shared" si="5"/>
        <v>0</v>
      </c>
      <c r="Z27" s="203">
        <f t="shared" si="9"/>
        <v>0</v>
      </c>
      <c r="AC27" s="189"/>
      <c r="AE27" s="160"/>
      <c r="AF27" s="160"/>
    </row>
    <row r="28" spans="2:32" ht="21.75" thickBot="1" x14ac:dyDescent="0.4">
      <c r="B28" s="60"/>
      <c r="C28" s="65"/>
      <c r="D28" s="61"/>
      <c r="E28" s="170"/>
      <c r="F28" s="170"/>
      <c r="G28" s="181"/>
      <c r="H28" s="66"/>
      <c r="I28" s="265"/>
      <c r="J28" s="169"/>
      <c r="K28" s="182"/>
      <c r="L28" s="172"/>
      <c r="M28" s="59">
        <f t="shared" si="10"/>
        <v>0</v>
      </c>
      <c r="N28" s="63"/>
      <c r="O28" s="216">
        <f t="shared" si="0"/>
        <v>0</v>
      </c>
      <c r="P28" s="63"/>
      <c r="Q28" s="99">
        <v>0</v>
      </c>
      <c r="R28" s="32">
        <f t="shared" si="8"/>
        <v>0</v>
      </c>
      <c r="S28" s="153">
        <f t="shared" si="1"/>
        <v>0</v>
      </c>
      <c r="T28" s="154">
        <f t="shared" si="3"/>
        <v>0</v>
      </c>
      <c r="U28" s="153">
        <f t="shared" si="2"/>
        <v>0</v>
      </c>
      <c r="V28" s="154">
        <f t="shared" si="4"/>
        <v>0</v>
      </c>
      <c r="W28" s="153">
        <v>0.19</v>
      </c>
      <c r="X28" s="154">
        <f t="shared" si="7"/>
        <v>0</v>
      </c>
      <c r="Y28" s="154">
        <f t="shared" si="5"/>
        <v>0</v>
      </c>
      <c r="Z28" s="203">
        <f t="shared" si="9"/>
        <v>0</v>
      </c>
      <c r="AC28" s="189"/>
      <c r="AE28" s="160"/>
      <c r="AF28" s="160"/>
    </row>
    <row r="29" spans="2:32" ht="21.75" thickBot="1" x14ac:dyDescent="0.4">
      <c r="B29" s="38"/>
      <c r="C29" s="36"/>
      <c r="D29" s="36"/>
      <c r="E29" s="40"/>
      <c r="F29" s="40"/>
      <c r="G29" s="40"/>
      <c r="H29" s="683"/>
      <c r="I29" s="684"/>
      <c r="J29" s="67"/>
      <c r="K29" s="68" t="s">
        <v>1828</v>
      </c>
      <c r="L29" s="173" t="s">
        <v>1822</v>
      </c>
      <c r="M29" s="176">
        <f>+IF(M19="","",SUM(M19:M28))</f>
        <v>0</v>
      </c>
      <c r="N29" s="69"/>
      <c r="O29" s="38"/>
      <c r="P29" s="38"/>
      <c r="Q29" s="134"/>
      <c r="R29" s="32"/>
    </row>
    <row r="30" spans="2:32" ht="21" x14ac:dyDescent="0.35">
      <c r="B30" s="38"/>
      <c r="C30" s="36"/>
      <c r="D30" s="36"/>
      <c r="E30" s="38"/>
      <c r="F30" s="38"/>
      <c r="G30" s="38"/>
      <c r="H30" s="38"/>
      <c r="I30" s="38"/>
      <c r="J30" s="70"/>
      <c r="K30" s="71" t="s">
        <v>2347</v>
      </c>
      <c r="L30" s="174" t="s">
        <v>1822</v>
      </c>
      <c r="M30" s="177">
        <f>+IF(K3="Factura",SUM(X19:X28),0)</f>
        <v>0</v>
      </c>
      <c r="N30" s="69"/>
      <c r="O30" s="38"/>
      <c r="P30" s="38"/>
      <c r="Q30" s="38"/>
      <c r="R30" s="32"/>
    </row>
    <row r="31" spans="2:32" ht="20.25" hidden="1" customHeight="1" x14ac:dyDescent="0.35">
      <c r="B31" s="38"/>
      <c r="C31" s="36"/>
      <c r="D31" s="36"/>
      <c r="E31" s="38"/>
      <c r="F31" s="38"/>
      <c r="G31" s="38"/>
      <c r="H31" s="38"/>
      <c r="I31" s="38"/>
      <c r="J31" s="70"/>
      <c r="K31" s="98" t="s">
        <v>2121</v>
      </c>
      <c r="L31" s="37" t="s">
        <v>1822</v>
      </c>
      <c r="M31" s="178">
        <f>+SUM(Z19:Z28)</f>
        <v>0</v>
      </c>
      <c r="N31" s="69"/>
      <c r="O31" s="38"/>
      <c r="P31" s="38"/>
      <c r="Q31" s="38"/>
      <c r="R31" s="32"/>
    </row>
    <row r="32" spans="2:32" ht="21.75" thickBot="1" x14ac:dyDescent="0.4">
      <c r="B32" s="38"/>
      <c r="C32" s="36"/>
      <c r="D32" s="36"/>
      <c r="E32" s="38"/>
      <c r="F32" s="38"/>
      <c r="G32" s="38"/>
      <c r="H32" s="38"/>
      <c r="I32" s="38"/>
      <c r="J32" s="38"/>
      <c r="K32" s="72" t="s">
        <v>1830</v>
      </c>
      <c r="L32" s="175" t="s">
        <v>1822</v>
      </c>
      <c r="M32" s="179">
        <f>+IF(M29="","",IF(K3="Boleta",M29+M31,M30+M29+M31))</f>
        <v>0</v>
      </c>
      <c r="N32" s="73"/>
      <c r="O32" s="38"/>
      <c r="P32" s="38"/>
      <c r="Q32" s="38"/>
      <c r="R32" s="32"/>
    </row>
    <row r="33" spans="2:20" ht="21" x14ac:dyDescent="0.35">
      <c r="B33" s="38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183"/>
      <c r="N33" s="38"/>
      <c r="O33" s="190"/>
      <c r="P33" s="38"/>
      <c r="Q33" s="38"/>
      <c r="R33" s="32"/>
    </row>
    <row r="34" spans="2:20" ht="21" x14ac:dyDescent="0.35">
      <c r="B34" s="74" t="s">
        <v>1909</v>
      </c>
      <c r="R34" s="32"/>
    </row>
    <row r="35" spans="2:20" ht="23.25" customHeight="1" x14ac:dyDescent="0.25">
      <c r="B35" s="674"/>
      <c r="C35" s="675"/>
      <c r="D35" s="675"/>
      <c r="E35" s="675"/>
      <c r="F35" s="675"/>
      <c r="G35" s="675"/>
      <c r="H35" s="675"/>
      <c r="I35" s="675"/>
      <c r="J35" s="675"/>
      <c r="K35" s="675"/>
      <c r="L35" s="675"/>
      <c r="M35" s="676"/>
      <c r="R35" s="32"/>
      <c r="T35" s="32"/>
    </row>
    <row r="36" spans="2:20" x14ac:dyDescent="0.25">
      <c r="B36" s="677"/>
      <c r="C36" s="678"/>
      <c r="D36" s="678"/>
      <c r="E36" s="678"/>
      <c r="F36" s="678"/>
      <c r="G36" s="678"/>
      <c r="H36" s="678"/>
      <c r="I36" s="678"/>
      <c r="J36" s="678"/>
      <c r="K36" s="678"/>
      <c r="L36" s="678"/>
      <c r="M36" s="679"/>
      <c r="R36" s="32"/>
      <c r="T36" s="32"/>
    </row>
    <row r="37" spans="2:20" x14ac:dyDescent="0.25">
      <c r="B37" s="677"/>
      <c r="C37" s="678"/>
      <c r="D37" s="678"/>
      <c r="E37" s="678"/>
      <c r="F37" s="678"/>
      <c r="G37" s="678"/>
      <c r="H37" s="678"/>
      <c r="I37" s="678"/>
      <c r="J37" s="678"/>
      <c r="K37" s="678"/>
      <c r="L37" s="678"/>
      <c r="M37" s="679"/>
      <c r="T37" s="32"/>
    </row>
    <row r="38" spans="2:20" x14ac:dyDescent="0.25">
      <c r="B38" s="677"/>
      <c r="C38" s="678"/>
      <c r="D38" s="678"/>
      <c r="E38" s="678"/>
      <c r="F38" s="678"/>
      <c r="G38" s="678"/>
      <c r="H38" s="678"/>
      <c r="I38" s="678"/>
      <c r="J38" s="678"/>
      <c r="K38" s="678"/>
      <c r="L38" s="678"/>
      <c r="M38" s="679"/>
      <c r="T38" s="32"/>
    </row>
    <row r="39" spans="2:20" x14ac:dyDescent="0.25">
      <c r="B39" s="677"/>
      <c r="C39" s="678"/>
      <c r="D39" s="678"/>
      <c r="E39" s="678"/>
      <c r="F39" s="678"/>
      <c r="G39" s="678"/>
      <c r="H39" s="678"/>
      <c r="I39" s="678"/>
      <c r="J39" s="678"/>
      <c r="K39" s="678"/>
      <c r="L39" s="678"/>
      <c r="M39" s="679"/>
      <c r="T39" s="32"/>
    </row>
    <row r="40" spans="2:20" x14ac:dyDescent="0.25">
      <c r="B40" s="680"/>
      <c r="C40" s="681"/>
      <c r="D40" s="681"/>
      <c r="E40" s="681"/>
      <c r="F40" s="681"/>
      <c r="G40" s="681"/>
      <c r="H40" s="681"/>
      <c r="I40" s="681"/>
      <c r="J40" s="681"/>
      <c r="K40" s="681"/>
      <c r="L40" s="681"/>
      <c r="M40" s="682"/>
      <c r="T40" s="32"/>
    </row>
    <row r="41" spans="2:20" x14ac:dyDescent="0.25">
      <c r="T41" s="32"/>
    </row>
    <row r="42" spans="2:20" x14ac:dyDescent="0.25">
      <c r="T42" s="32"/>
    </row>
    <row r="43" spans="2:20" x14ac:dyDescent="0.25">
      <c r="T43" s="32"/>
    </row>
    <row r="44" spans="2:20" x14ac:dyDescent="0.25">
      <c r="T44" s="32"/>
    </row>
    <row r="45" spans="2:20" x14ac:dyDescent="0.25">
      <c r="T45" s="32"/>
    </row>
    <row r="47" spans="2:20" x14ac:dyDescent="0.25">
      <c r="H47" s="7"/>
    </row>
    <row r="48" spans="2:20" x14ac:dyDescent="0.25">
      <c r="H48" s="7"/>
    </row>
    <row r="49" spans="8:8" x14ac:dyDescent="0.25">
      <c r="H49" s="7"/>
    </row>
    <row r="50" spans="8:8" x14ac:dyDescent="0.25">
      <c r="H50" s="7"/>
    </row>
    <row r="51" spans="8:8" x14ac:dyDescent="0.25">
      <c r="H51" s="7"/>
    </row>
    <row r="52" spans="8:8" x14ac:dyDescent="0.25">
      <c r="H52" s="7"/>
    </row>
    <row r="53" spans="8:8" x14ac:dyDescent="0.25">
      <c r="H53" s="7"/>
    </row>
    <row r="54" spans="8:8" x14ac:dyDescent="0.25">
      <c r="H54" s="7"/>
    </row>
    <row r="55" spans="8:8" x14ac:dyDescent="0.25">
      <c r="H55" s="7"/>
    </row>
    <row r="56" spans="8:8" x14ac:dyDescent="0.25">
      <c r="H56" s="187"/>
    </row>
    <row r="57" spans="8:8" x14ac:dyDescent="0.25">
      <c r="H57" s="7"/>
    </row>
    <row r="58" spans="8:8" x14ac:dyDescent="0.25">
      <c r="H58" s="7"/>
    </row>
    <row r="59" spans="8:8" x14ac:dyDescent="0.25">
      <c r="H59" s="7"/>
    </row>
    <row r="60" spans="8:8" x14ac:dyDescent="0.25">
      <c r="H60" s="7"/>
    </row>
    <row r="61" spans="8:8" x14ac:dyDescent="0.25">
      <c r="H61" s="7"/>
    </row>
    <row r="62" spans="8:8" x14ac:dyDescent="0.25">
      <c r="H62" s="7"/>
    </row>
    <row r="63" spans="8:8" x14ac:dyDescent="0.25">
      <c r="H63" s="7"/>
    </row>
    <row r="64" spans="8:8" x14ac:dyDescent="0.25">
      <c r="H64" s="7"/>
    </row>
    <row r="65" spans="8:8" x14ac:dyDescent="0.25">
      <c r="H65" s="7"/>
    </row>
    <row r="66" spans="8:8" x14ac:dyDescent="0.25">
      <c r="H66" s="7"/>
    </row>
    <row r="67" spans="8:8" x14ac:dyDescent="0.25">
      <c r="H67" s="7"/>
    </row>
    <row r="293" spans="2:5" x14ac:dyDescent="0.25">
      <c r="B293" t="s">
        <v>343</v>
      </c>
      <c r="E293" t="s">
        <v>344</v>
      </c>
    </row>
  </sheetData>
  <dataConsolidate link="1"/>
  <mergeCells count="17">
    <mergeCell ref="K18:L18"/>
    <mergeCell ref="B35:M40"/>
    <mergeCell ref="H29:I29"/>
    <mergeCell ref="E18:G18"/>
    <mergeCell ref="B13:M13"/>
    <mergeCell ref="B2:M2"/>
    <mergeCell ref="B5:M5"/>
    <mergeCell ref="F3:I3"/>
    <mergeCell ref="J8:K8"/>
    <mergeCell ref="J7:K7"/>
    <mergeCell ref="J6:K6"/>
    <mergeCell ref="D7:I7"/>
    <mergeCell ref="D9:I9"/>
    <mergeCell ref="D8:I8"/>
    <mergeCell ref="D14:I14"/>
    <mergeCell ref="D15:I15"/>
    <mergeCell ref="D16:E16"/>
  </mergeCells>
  <conditionalFormatting sqref="K3">
    <cfRule type="expression" dxfId="73" priority="11">
      <formula>$K$3=0</formula>
    </cfRule>
  </conditionalFormatting>
  <conditionalFormatting sqref="M8">
    <cfRule type="expression" dxfId="72" priority="10">
      <formula>$M$8=0</formula>
    </cfRule>
  </conditionalFormatting>
  <conditionalFormatting sqref="M14">
    <cfRule type="expression" dxfId="71" priority="9">
      <formula>$M$14=0</formula>
    </cfRule>
  </conditionalFormatting>
  <conditionalFormatting sqref="F3">
    <cfRule type="expression" dxfId="70" priority="6">
      <formula>$K$3&gt;0</formula>
    </cfRule>
  </conditionalFormatting>
  <conditionalFormatting sqref="J3">
    <cfRule type="expression" dxfId="69" priority="12">
      <formula>$K$3&gt;0</formula>
    </cfRule>
  </conditionalFormatting>
  <conditionalFormatting sqref="H10">
    <cfRule type="expression" dxfId="68" priority="4">
      <formula>$H$10=""</formula>
    </cfRule>
  </conditionalFormatting>
  <conditionalFormatting sqref="H11">
    <cfRule type="expression" dxfId="67" priority="1">
      <formula>$H$11=0</formula>
    </cfRule>
  </conditionalFormatting>
  <pageMargins left="0.25" right="0.25" top="0.75" bottom="0.75" header="0.3" footer="0.3"/>
  <pageSetup scale="52" orientation="portrait" r:id="rId1"/>
  <ignoredErrors>
    <ignoredError sqref="U19:U2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squedaCliente">
                <anchor moveWithCells="1">
                  <from>
                    <xdr:col>1</xdr:col>
                    <xdr:colOff>47625</xdr:colOff>
                    <xdr:row>4</xdr:row>
                    <xdr:rowOff>38100</xdr:rowOff>
                  </from>
                  <to>
                    <xdr:col>1</xdr:col>
                    <xdr:colOff>1038225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1">
              <controlPr defaultSize="0" print="0" autoFill="0" autoPict="0" macro="[0]!BusquedaProducto">
                <anchor moveWithCells="1">
                  <from>
                    <xdr:col>4</xdr:col>
                    <xdr:colOff>47625</xdr:colOff>
                    <xdr:row>17</xdr:row>
                    <xdr:rowOff>38100</xdr:rowOff>
                  </from>
                  <to>
                    <xdr:col>4</xdr:col>
                    <xdr:colOff>800100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1">
              <controlPr defaultSize="0" print="0" autoFill="0" autoPict="0" macro="[0]!GenerarOV">
                <anchor moveWithCells="1">
                  <from>
                    <xdr:col>1</xdr:col>
                    <xdr:colOff>28575</xdr:colOff>
                    <xdr:row>29</xdr:row>
                    <xdr:rowOff>76200</xdr:rowOff>
                  </from>
                  <to>
                    <xdr:col>8</xdr:col>
                    <xdr:colOff>228600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otón 6">
              <controlPr defaultSize="0" print="0" autoFill="0" autoPict="0" macro="[0]!Boleta">
                <anchor moveWithCells="1">
                  <from>
                    <xdr:col>10</xdr:col>
                    <xdr:colOff>638175</xdr:colOff>
                    <xdr:row>1</xdr:row>
                    <xdr:rowOff>257175</xdr:rowOff>
                  </from>
                  <to>
                    <xdr:col>12</xdr:col>
                    <xdr:colOff>723900</xdr:colOff>
                    <xdr:row>1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otón 7">
              <controlPr defaultSize="0" print="0" autoFill="0" autoPict="0" macro="[0]!Factura">
                <anchor moveWithCells="1">
                  <from>
                    <xdr:col>9</xdr:col>
                    <xdr:colOff>285750</xdr:colOff>
                    <xdr:row>1</xdr:row>
                    <xdr:rowOff>247650</xdr:rowOff>
                  </from>
                  <to>
                    <xdr:col>10</xdr:col>
                    <xdr:colOff>542925</xdr:colOff>
                    <xdr:row>1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otón 6">
              <controlPr defaultSize="0" print="0" autoFill="0" autoPict="0" macro="[0]!Macro1">
                <anchor moveWithCells="1">
                  <from>
                    <xdr:col>13</xdr:col>
                    <xdr:colOff>95250</xdr:colOff>
                    <xdr:row>13</xdr:row>
                    <xdr:rowOff>66675</xdr:rowOff>
                  </from>
                  <to>
                    <xdr:col>14</xdr:col>
                    <xdr:colOff>942975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otón 6">
              <controlPr defaultSize="0" print="0" autoFill="0" autoPict="0" macro="[0]!LimpiarImpAc">
                <anchor moveWithCells="1">
                  <from>
                    <xdr:col>16</xdr:col>
                    <xdr:colOff>0</xdr:colOff>
                    <xdr:row>13</xdr:row>
                    <xdr:rowOff>66675</xdr:rowOff>
                  </from>
                  <to>
                    <xdr:col>18</xdr:col>
                    <xdr:colOff>342900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Hoy">
                <anchor moveWithCells="1">
                  <from>
                    <xdr:col>11</xdr:col>
                    <xdr:colOff>133350</xdr:colOff>
                    <xdr:row>12</xdr:row>
                    <xdr:rowOff>57150</xdr:rowOff>
                  </from>
                  <to>
                    <xdr:col>12</xdr:col>
                    <xdr:colOff>1143000</xdr:colOff>
                    <xdr:row>12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LValid!$D$18:$D$20</xm:f>
          </x14:formula1>
          <xm:sqref>H11</xm:sqref>
        </x14:dataValidation>
        <x14:dataValidation type="list" allowBlank="1" showInputMessage="1" showErrorMessage="1">
          <x14:formula1>
            <xm:f>LValid!$D$3:$D$8</xm:f>
          </x14:formula1>
          <xm:sqref>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Y1220"/>
  <sheetViews>
    <sheetView showGridLines="0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2" sqref="C12"/>
    </sheetView>
  </sheetViews>
  <sheetFormatPr baseColWidth="10" defaultColWidth="10.7109375" defaultRowHeight="15" x14ac:dyDescent="0.25"/>
  <cols>
    <col min="1" max="1" width="7.5703125" style="4" bestFit="1" customWidth="1"/>
    <col min="2" max="2" width="9.5703125" style="4" bestFit="1" customWidth="1"/>
    <col min="3" max="3" width="39.5703125" style="6" customWidth="1"/>
    <col min="4" max="4" width="13.28515625" style="6" customWidth="1"/>
    <col min="5" max="5" width="12" style="4" customWidth="1"/>
    <col min="6" max="6" width="7" style="4" customWidth="1"/>
    <col min="7" max="7" width="5.42578125" style="4" customWidth="1"/>
    <col min="8" max="8" width="10.28515625" style="4" customWidth="1"/>
    <col min="9" max="9" width="5.5703125" style="4" customWidth="1"/>
    <col min="10" max="10" width="7.42578125" style="4" customWidth="1"/>
    <col min="11" max="11" width="23.85546875" style="6" customWidth="1"/>
    <col min="12" max="12" width="7.140625" style="4" customWidth="1"/>
    <col min="13" max="15" width="9.5703125" style="4" customWidth="1"/>
    <col min="16" max="16" width="8.5703125" style="4" customWidth="1"/>
    <col min="17" max="17" width="10.7109375" style="4" customWidth="1"/>
    <col min="18" max="18" width="11.5703125" customWidth="1"/>
    <col min="19" max="19" width="7.7109375" style="4" customWidth="1"/>
    <col min="20" max="20" width="12.5703125" style="4" customWidth="1"/>
    <col min="21" max="21" width="6.85546875" customWidth="1"/>
    <col min="22" max="22" width="11" customWidth="1"/>
    <col min="23" max="23" width="10.28515625" bestFit="1" customWidth="1"/>
    <col min="24" max="24" width="9.85546875" bestFit="1" customWidth="1"/>
  </cols>
  <sheetData>
    <row r="1" spans="1:25" ht="33" customHeight="1" x14ac:dyDescent="0.2">
      <c r="C1" s="4"/>
      <c r="D1" s="4"/>
      <c r="E1" s="250" t="s">
        <v>4284</v>
      </c>
      <c r="K1" s="4"/>
      <c r="R1" s="4"/>
    </row>
    <row r="2" spans="1:25" s="6" customFormat="1" ht="27" customHeight="1" x14ac:dyDescent="0.25">
      <c r="A2" s="149" t="s">
        <v>1518</v>
      </c>
      <c r="B2" s="149" t="s">
        <v>1476</v>
      </c>
      <c r="C2" s="149" t="s">
        <v>1448</v>
      </c>
      <c r="D2" s="149" t="s">
        <v>1826</v>
      </c>
      <c r="E2" s="251" t="s">
        <v>2396</v>
      </c>
      <c r="F2" s="149" t="s">
        <v>1450</v>
      </c>
      <c r="G2" s="149" t="s">
        <v>1455</v>
      </c>
      <c r="H2" s="149" t="s">
        <v>1908</v>
      </c>
      <c r="I2" s="149" t="s">
        <v>1460</v>
      </c>
      <c r="J2" s="149" t="s">
        <v>1161</v>
      </c>
      <c r="K2" s="149" t="s">
        <v>924</v>
      </c>
      <c r="L2" s="149" t="s">
        <v>2395</v>
      </c>
      <c r="M2" s="149" t="s">
        <v>2174</v>
      </c>
      <c r="N2" s="149" t="s">
        <v>1827</v>
      </c>
      <c r="O2" s="149" t="s">
        <v>2885</v>
      </c>
      <c r="P2" s="149" t="s">
        <v>2239</v>
      </c>
      <c r="Q2" s="149" t="s">
        <v>2341</v>
      </c>
      <c r="R2" s="149" t="s">
        <v>2407</v>
      </c>
      <c r="S2" s="149" t="s">
        <v>1170</v>
      </c>
      <c r="T2" s="149" t="s">
        <v>2394</v>
      </c>
      <c r="U2" s="149" t="s">
        <v>2101</v>
      </c>
      <c r="V2" s="149" t="s">
        <v>3492</v>
      </c>
      <c r="W2" s="130" t="s">
        <v>3493</v>
      </c>
      <c r="X2" s="6" t="s">
        <v>2886</v>
      </c>
      <c r="Y2" s="130" t="s">
        <v>3566</v>
      </c>
    </row>
    <row r="3" spans="1:25" x14ac:dyDescent="0.25">
      <c r="A3" s="4">
        <v>4290</v>
      </c>
      <c r="B3" s="4" t="s">
        <v>4218</v>
      </c>
      <c r="C3" s="6" t="s">
        <v>4219</v>
      </c>
      <c r="D3" s="6" t="s">
        <v>3950</v>
      </c>
      <c r="E3" s="21">
        <v>43832</v>
      </c>
      <c r="F3" s="4" t="s">
        <v>925</v>
      </c>
      <c r="H3" s="4" t="s">
        <v>2528</v>
      </c>
      <c r="I3" s="4">
        <v>4233</v>
      </c>
      <c r="J3" s="4" t="s">
        <v>3460</v>
      </c>
      <c r="K3" s="6" t="s">
        <v>3461</v>
      </c>
      <c r="L3" s="4">
        <v>2</v>
      </c>
      <c r="M3" s="379">
        <v>8310</v>
      </c>
      <c r="N3" s="519" t="s">
        <v>2886</v>
      </c>
      <c r="O3" s="379">
        <v>8310</v>
      </c>
      <c r="P3" s="379">
        <v>9889</v>
      </c>
      <c r="Q3" s="379">
        <v>19778</v>
      </c>
      <c r="R3" s="26">
        <v>43838</v>
      </c>
      <c r="S3" s="4" t="s">
        <v>2050</v>
      </c>
      <c r="T3" s="379">
        <v>126109</v>
      </c>
      <c r="U3" t="s">
        <v>1645</v>
      </c>
      <c r="V3" s="380">
        <v>6000</v>
      </c>
      <c r="W3" s="380">
        <v>2310</v>
      </c>
      <c r="X3" s="375">
        <v>0.28000000000000003</v>
      </c>
    </row>
    <row r="4" spans="1:25" x14ac:dyDescent="0.25">
      <c r="A4" s="4">
        <v>4290</v>
      </c>
      <c r="B4" s="4" t="s">
        <v>1834</v>
      </c>
      <c r="C4" s="6" t="s">
        <v>1878</v>
      </c>
      <c r="D4" s="6" t="s">
        <v>1879</v>
      </c>
      <c r="E4" s="21">
        <v>43832</v>
      </c>
      <c r="F4" s="4" t="s">
        <v>925</v>
      </c>
      <c r="H4" s="4" t="s">
        <v>2528</v>
      </c>
      <c r="I4" s="4">
        <v>4233</v>
      </c>
      <c r="J4" s="4" t="s">
        <v>3460</v>
      </c>
      <c r="K4" s="6" t="s">
        <v>3461</v>
      </c>
      <c r="L4" s="4">
        <v>50</v>
      </c>
      <c r="M4" s="379">
        <v>367</v>
      </c>
      <c r="N4" s="519" t="s">
        <v>2886</v>
      </c>
      <c r="O4" s="379">
        <v>367</v>
      </c>
      <c r="P4" s="379">
        <v>436</v>
      </c>
      <c r="Q4" s="379">
        <v>21800</v>
      </c>
      <c r="R4" s="26">
        <v>43838</v>
      </c>
      <c r="S4" s="4" t="s">
        <v>2050</v>
      </c>
      <c r="T4" s="379">
        <v>126109</v>
      </c>
      <c r="U4" t="s">
        <v>1879</v>
      </c>
      <c r="V4" s="380">
        <v>265</v>
      </c>
      <c r="W4" s="380">
        <v>102</v>
      </c>
      <c r="X4" s="375">
        <v>0.28000000000000003</v>
      </c>
    </row>
    <row r="5" spans="1:25" x14ac:dyDescent="0.25">
      <c r="A5" s="4">
        <v>4290</v>
      </c>
      <c r="B5" s="4" t="s">
        <v>4159</v>
      </c>
      <c r="C5" s="6" t="s">
        <v>4164</v>
      </c>
      <c r="D5" s="6" t="s">
        <v>4161</v>
      </c>
      <c r="E5" s="21">
        <v>43832</v>
      </c>
      <c r="F5" s="4" t="s">
        <v>925</v>
      </c>
      <c r="H5" s="4" t="s">
        <v>2528</v>
      </c>
      <c r="I5" s="4">
        <v>4233</v>
      </c>
      <c r="J5" s="4" t="s">
        <v>3460</v>
      </c>
      <c r="K5" s="6" t="s">
        <v>3461</v>
      </c>
      <c r="L5" s="4">
        <v>2</v>
      </c>
      <c r="M5" s="379">
        <v>15475</v>
      </c>
      <c r="N5" s="519" t="s">
        <v>2886</v>
      </c>
      <c r="O5" s="379">
        <v>15475</v>
      </c>
      <c r="P5" s="379">
        <v>18415</v>
      </c>
      <c r="Q5" s="379">
        <v>36830</v>
      </c>
      <c r="R5" s="26">
        <v>43838</v>
      </c>
      <c r="S5" s="4" t="s">
        <v>2050</v>
      </c>
      <c r="T5" s="379">
        <v>126109</v>
      </c>
      <c r="U5" t="s">
        <v>1561</v>
      </c>
      <c r="V5" s="380">
        <v>11173</v>
      </c>
      <c r="W5" s="380">
        <v>4302</v>
      </c>
      <c r="X5" s="375">
        <v>0.28000000000000003</v>
      </c>
    </row>
    <row r="6" spans="1:25" x14ac:dyDescent="0.25">
      <c r="A6" s="4">
        <v>4290</v>
      </c>
      <c r="B6" s="4" t="s">
        <v>5238</v>
      </c>
      <c r="C6" s="6" t="s">
        <v>5239</v>
      </c>
      <c r="D6" s="6" t="s">
        <v>4705</v>
      </c>
      <c r="E6" s="21">
        <v>43832</v>
      </c>
      <c r="F6" s="4" t="s">
        <v>925</v>
      </c>
      <c r="H6" s="4" t="s">
        <v>2528</v>
      </c>
      <c r="I6" s="4">
        <v>4233</v>
      </c>
      <c r="J6" s="4" t="s">
        <v>3460</v>
      </c>
      <c r="K6" s="6" t="s">
        <v>3461</v>
      </c>
      <c r="L6" s="4">
        <v>3</v>
      </c>
      <c r="M6" s="379">
        <v>11385</v>
      </c>
      <c r="N6" s="519" t="s">
        <v>2886</v>
      </c>
      <c r="O6" s="379">
        <v>11385</v>
      </c>
      <c r="P6" s="379">
        <v>13549</v>
      </c>
      <c r="Q6" s="379">
        <v>40647</v>
      </c>
      <c r="R6" s="26">
        <v>43838</v>
      </c>
      <c r="S6" s="4" t="s">
        <v>2050</v>
      </c>
      <c r="T6" s="379">
        <v>126109</v>
      </c>
      <c r="U6" t="s">
        <v>4774</v>
      </c>
      <c r="V6" s="380">
        <v>7912</v>
      </c>
      <c r="W6" s="380">
        <v>3473</v>
      </c>
      <c r="X6" s="375">
        <v>0.31</v>
      </c>
    </row>
    <row r="7" spans="1:25" x14ac:dyDescent="0.25">
      <c r="A7" s="4">
        <v>4289</v>
      </c>
      <c r="B7" s="4" t="s">
        <v>2614</v>
      </c>
      <c r="C7" s="6" t="s">
        <v>2644</v>
      </c>
      <c r="D7" s="6" t="s">
        <v>1469</v>
      </c>
      <c r="E7" s="21">
        <v>43832</v>
      </c>
      <c r="F7" s="4" t="s">
        <v>925</v>
      </c>
      <c r="H7" s="4" t="s">
        <v>2528</v>
      </c>
      <c r="I7" s="4">
        <v>4232</v>
      </c>
      <c r="J7" s="4" t="s">
        <v>1178</v>
      </c>
      <c r="K7" s="6" t="s">
        <v>950</v>
      </c>
      <c r="L7" s="4">
        <v>2</v>
      </c>
      <c r="M7" s="379">
        <v>19446</v>
      </c>
      <c r="N7" s="374">
        <v>0.1</v>
      </c>
      <c r="O7" s="379">
        <v>17718</v>
      </c>
      <c r="P7" s="379">
        <v>20885</v>
      </c>
      <c r="Q7" s="379">
        <v>41770</v>
      </c>
      <c r="R7" s="26">
        <v>43832</v>
      </c>
      <c r="S7" s="4" t="s">
        <v>2050</v>
      </c>
      <c r="T7" s="379">
        <v>41769</v>
      </c>
      <c r="U7" t="s">
        <v>1570</v>
      </c>
      <c r="V7" s="380">
        <v>14040</v>
      </c>
      <c r="W7" s="380">
        <v>3678</v>
      </c>
      <c r="X7" s="375">
        <v>0.21</v>
      </c>
    </row>
    <row r="8" spans="1:25" x14ac:dyDescent="0.25">
      <c r="A8" s="4">
        <v>4294</v>
      </c>
      <c r="B8" s="4" t="s">
        <v>3968</v>
      </c>
      <c r="C8" s="6" t="s">
        <v>4018</v>
      </c>
      <c r="D8" s="6" t="s">
        <v>4019</v>
      </c>
      <c r="E8" s="21">
        <v>43833</v>
      </c>
      <c r="F8" s="4" t="s">
        <v>1461</v>
      </c>
      <c r="H8" s="4">
        <v>6345</v>
      </c>
      <c r="I8" s="4">
        <v>4237</v>
      </c>
      <c r="J8" s="4" t="s">
        <v>2437</v>
      </c>
      <c r="K8" s="6" t="s">
        <v>2438</v>
      </c>
      <c r="L8" s="4">
        <v>1</v>
      </c>
      <c r="M8" s="379">
        <v>19076</v>
      </c>
      <c r="N8" s="376" t="s">
        <v>2886</v>
      </c>
      <c r="O8" s="379">
        <v>19076</v>
      </c>
      <c r="P8" s="379">
        <v>22700</v>
      </c>
      <c r="Q8" s="379">
        <v>22700</v>
      </c>
      <c r="R8" s="26">
        <v>43833</v>
      </c>
      <c r="S8" s="4" t="s">
        <v>1501</v>
      </c>
      <c r="T8" s="379">
        <v>40400</v>
      </c>
      <c r="U8" t="s">
        <v>1551</v>
      </c>
      <c r="V8" s="380">
        <v>14122</v>
      </c>
      <c r="W8" s="380">
        <v>4954</v>
      </c>
      <c r="X8" s="375">
        <v>0.26</v>
      </c>
    </row>
    <row r="9" spans="1:25" x14ac:dyDescent="0.25">
      <c r="A9" s="4">
        <v>4294</v>
      </c>
      <c r="B9" s="4" t="s">
        <v>1647</v>
      </c>
      <c r="C9" s="6" t="s">
        <v>1670</v>
      </c>
      <c r="D9" s="6" t="s">
        <v>1504</v>
      </c>
      <c r="E9" s="21">
        <v>43833</v>
      </c>
      <c r="F9" s="4" t="s">
        <v>1461</v>
      </c>
      <c r="H9" s="4">
        <v>6345</v>
      </c>
      <c r="I9" s="4">
        <v>4237</v>
      </c>
      <c r="J9" s="4" t="s">
        <v>2437</v>
      </c>
      <c r="K9" s="6" t="s">
        <v>2438</v>
      </c>
      <c r="L9" s="4">
        <v>4</v>
      </c>
      <c r="M9" s="379">
        <v>3193</v>
      </c>
      <c r="N9" s="376" t="s">
        <v>2886</v>
      </c>
      <c r="O9" s="379">
        <v>3193</v>
      </c>
      <c r="P9" s="379">
        <v>3800</v>
      </c>
      <c r="Q9" s="379">
        <v>15200</v>
      </c>
      <c r="R9" s="26">
        <v>43833</v>
      </c>
      <c r="S9" s="4" t="s">
        <v>1501</v>
      </c>
      <c r="T9" s="379">
        <v>40400</v>
      </c>
      <c r="U9" t="s">
        <v>1545</v>
      </c>
      <c r="V9" s="380">
        <v>2085</v>
      </c>
      <c r="W9" s="380">
        <v>1108</v>
      </c>
      <c r="X9" s="375">
        <v>0.35</v>
      </c>
    </row>
    <row r="10" spans="1:25" x14ac:dyDescent="0.25">
      <c r="A10" s="4">
        <v>4294</v>
      </c>
      <c r="B10" s="4" t="s">
        <v>1924</v>
      </c>
      <c r="C10" s="6" t="s">
        <v>1897</v>
      </c>
      <c r="D10" s="6" t="s">
        <v>1504</v>
      </c>
      <c r="E10" s="21">
        <v>43833</v>
      </c>
      <c r="F10" s="4" t="s">
        <v>1461</v>
      </c>
      <c r="H10" s="4">
        <v>6345</v>
      </c>
      <c r="I10" s="4">
        <v>4237</v>
      </c>
      <c r="J10" s="4" t="s">
        <v>2437</v>
      </c>
      <c r="K10" s="6" t="s">
        <v>2438</v>
      </c>
      <c r="L10" s="4">
        <v>1</v>
      </c>
      <c r="M10" s="379">
        <v>2101</v>
      </c>
      <c r="N10" s="376" t="s">
        <v>2886</v>
      </c>
      <c r="O10" s="379">
        <v>2101</v>
      </c>
      <c r="P10" s="379">
        <v>2500</v>
      </c>
      <c r="Q10" s="379">
        <v>2500</v>
      </c>
      <c r="R10" s="26">
        <v>43833</v>
      </c>
      <c r="S10" s="4" t="s">
        <v>1501</v>
      </c>
      <c r="T10" s="379">
        <v>40400</v>
      </c>
      <c r="U10" t="s">
        <v>1545</v>
      </c>
      <c r="V10" s="380">
        <v>850</v>
      </c>
      <c r="W10" s="380">
        <v>1251</v>
      </c>
      <c r="X10" s="375">
        <v>0.6</v>
      </c>
    </row>
    <row r="11" spans="1:25" x14ac:dyDescent="0.25">
      <c r="A11" s="4">
        <v>4296</v>
      </c>
      <c r="B11" s="4" t="s">
        <v>855</v>
      </c>
      <c r="C11" s="6" t="s">
        <v>2499</v>
      </c>
      <c r="D11" s="6" t="s">
        <v>857</v>
      </c>
      <c r="E11" s="21">
        <v>43833</v>
      </c>
      <c r="F11" s="4" t="s">
        <v>1461</v>
      </c>
      <c r="H11" s="4">
        <v>6347</v>
      </c>
      <c r="I11" s="4">
        <v>4239</v>
      </c>
      <c r="J11" s="4" t="s">
        <v>4028</v>
      </c>
      <c r="K11" s="6" t="s">
        <v>4029</v>
      </c>
      <c r="L11" s="4">
        <v>1</v>
      </c>
      <c r="M11" s="379">
        <v>12437</v>
      </c>
      <c r="N11" s="376" t="s">
        <v>2886</v>
      </c>
      <c r="O11" s="379">
        <v>12437</v>
      </c>
      <c r="P11" s="379">
        <v>14800</v>
      </c>
      <c r="Q11" s="379">
        <v>14800</v>
      </c>
      <c r="R11" s="26">
        <v>43833</v>
      </c>
      <c r="S11" s="4" t="s">
        <v>1501</v>
      </c>
      <c r="T11" s="379">
        <v>18600</v>
      </c>
      <c r="U11" t="s">
        <v>1551</v>
      </c>
      <c r="V11" s="380">
        <v>9067</v>
      </c>
      <c r="W11" s="380">
        <v>3370</v>
      </c>
      <c r="X11" s="375">
        <v>0.27</v>
      </c>
    </row>
    <row r="12" spans="1:25" x14ac:dyDescent="0.25">
      <c r="A12" s="4">
        <v>4296</v>
      </c>
      <c r="B12" s="4" t="s">
        <v>1647</v>
      </c>
      <c r="C12" s="6" t="s">
        <v>1670</v>
      </c>
      <c r="D12" s="6" t="s">
        <v>1504</v>
      </c>
      <c r="E12" s="21">
        <v>43833</v>
      </c>
      <c r="F12" s="4" t="s">
        <v>1461</v>
      </c>
      <c r="H12" s="4">
        <v>6347</v>
      </c>
      <c r="I12" s="4">
        <v>4239</v>
      </c>
      <c r="J12" s="4" t="s">
        <v>4028</v>
      </c>
      <c r="K12" s="6" t="s">
        <v>4029</v>
      </c>
      <c r="L12" s="4">
        <v>1</v>
      </c>
      <c r="M12" s="379">
        <v>3193</v>
      </c>
      <c r="N12" s="376" t="s">
        <v>2886</v>
      </c>
      <c r="O12" s="379">
        <v>3193</v>
      </c>
      <c r="P12" s="379">
        <v>3800</v>
      </c>
      <c r="Q12" s="379">
        <v>3800</v>
      </c>
      <c r="R12" s="26">
        <v>43833</v>
      </c>
      <c r="S12" s="4" t="s">
        <v>1501</v>
      </c>
      <c r="T12" s="379">
        <v>18600</v>
      </c>
      <c r="U12" t="s">
        <v>1545</v>
      </c>
      <c r="V12" s="380">
        <v>2085</v>
      </c>
      <c r="W12" s="380">
        <v>1108</v>
      </c>
      <c r="X12" s="375">
        <v>0.35</v>
      </c>
    </row>
    <row r="13" spans="1:25" x14ac:dyDescent="0.25">
      <c r="A13" s="4">
        <v>4295</v>
      </c>
      <c r="B13" s="4" t="s">
        <v>830</v>
      </c>
      <c r="C13" s="6" t="s">
        <v>2495</v>
      </c>
      <c r="D13" s="6" t="s">
        <v>837</v>
      </c>
      <c r="E13" s="21">
        <v>43833</v>
      </c>
      <c r="F13" s="4" t="s">
        <v>1461</v>
      </c>
      <c r="H13" s="4">
        <v>6346</v>
      </c>
      <c r="I13" s="4">
        <v>4238</v>
      </c>
      <c r="J13" s="4" t="s">
        <v>1200</v>
      </c>
      <c r="K13" s="6" t="s">
        <v>2316</v>
      </c>
      <c r="L13" s="4">
        <v>1</v>
      </c>
      <c r="M13" s="379">
        <v>13866</v>
      </c>
      <c r="N13" s="441" t="s">
        <v>2886</v>
      </c>
      <c r="O13" s="379">
        <v>13866</v>
      </c>
      <c r="P13" s="379">
        <v>16500</v>
      </c>
      <c r="Q13" s="379">
        <v>16500</v>
      </c>
      <c r="R13" s="26">
        <v>43833</v>
      </c>
      <c r="S13" s="4" t="s">
        <v>1501</v>
      </c>
      <c r="T13" s="379">
        <v>41000</v>
      </c>
      <c r="U13" t="s">
        <v>1572</v>
      </c>
      <c r="V13" s="380">
        <v>9870</v>
      </c>
      <c r="W13" s="380">
        <v>3996</v>
      </c>
      <c r="X13" s="375">
        <v>0.28999999999999998</v>
      </c>
    </row>
    <row r="14" spans="1:25" x14ac:dyDescent="0.25">
      <c r="A14" s="4">
        <v>4295</v>
      </c>
      <c r="B14" s="4" t="s">
        <v>2289</v>
      </c>
      <c r="C14" s="6" t="s">
        <v>2620</v>
      </c>
      <c r="D14" s="6" t="s">
        <v>1539</v>
      </c>
      <c r="E14" s="21">
        <v>43833</v>
      </c>
      <c r="F14" s="4" t="s">
        <v>1461</v>
      </c>
      <c r="H14" s="4">
        <v>6346</v>
      </c>
      <c r="I14" s="4">
        <v>4238</v>
      </c>
      <c r="J14" s="4" t="s">
        <v>1200</v>
      </c>
      <c r="K14" s="6" t="s">
        <v>2316</v>
      </c>
      <c r="L14" s="4">
        <v>1</v>
      </c>
      <c r="M14" s="379">
        <v>20588</v>
      </c>
      <c r="N14" s="4" t="s">
        <v>2886</v>
      </c>
      <c r="O14" s="379">
        <v>20588</v>
      </c>
      <c r="P14" s="379">
        <v>24500</v>
      </c>
      <c r="Q14" s="379">
        <v>24500</v>
      </c>
      <c r="R14" s="26">
        <v>43833</v>
      </c>
      <c r="S14" s="4" t="s">
        <v>1501</v>
      </c>
      <c r="T14" s="379">
        <v>41000</v>
      </c>
      <c r="U14" t="s">
        <v>1524</v>
      </c>
      <c r="V14" s="380">
        <v>16386</v>
      </c>
      <c r="W14" s="380">
        <v>4202</v>
      </c>
      <c r="X14" s="375">
        <v>0.2</v>
      </c>
    </row>
    <row r="15" spans="1:25" x14ac:dyDescent="0.25">
      <c r="A15" s="4">
        <v>4293</v>
      </c>
      <c r="B15" s="4" t="s">
        <v>855</v>
      </c>
      <c r="C15" s="6" t="s">
        <v>2499</v>
      </c>
      <c r="D15" s="6" t="s">
        <v>857</v>
      </c>
      <c r="E15" s="21">
        <v>43833</v>
      </c>
      <c r="F15" s="4" t="s">
        <v>1461</v>
      </c>
      <c r="H15" s="4">
        <v>6344</v>
      </c>
      <c r="I15" s="4">
        <v>4236</v>
      </c>
      <c r="J15" s="4" t="s">
        <v>4586</v>
      </c>
      <c r="K15" s="6" t="s">
        <v>4587</v>
      </c>
      <c r="L15" s="4">
        <v>1</v>
      </c>
      <c r="M15" s="379">
        <v>12437</v>
      </c>
      <c r="N15" s="441" t="s">
        <v>2886</v>
      </c>
      <c r="O15" s="379">
        <v>12437</v>
      </c>
      <c r="P15" s="379">
        <v>14800</v>
      </c>
      <c r="Q15" s="379">
        <v>14800</v>
      </c>
      <c r="R15" s="26">
        <v>43833</v>
      </c>
      <c r="S15" s="4" t="s">
        <v>1501</v>
      </c>
      <c r="T15" s="379">
        <v>14800</v>
      </c>
      <c r="U15" t="s">
        <v>1551</v>
      </c>
      <c r="V15" s="380">
        <v>9067</v>
      </c>
      <c r="W15" s="380">
        <v>3370</v>
      </c>
      <c r="X15" s="375">
        <v>0.27</v>
      </c>
    </row>
    <row r="16" spans="1:25" x14ac:dyDescent="0.25">
      <c r="A16" s="4">
        <v>4291</v>
      </c>
      <c r="B16" s="4" t="s">
        <v>35</v>
      </c>
      <c r="C16" s="6" t="s">
        <v>2855</v>
      </c>
      <c r="D16" s="6" t="s">
        <v>1693</v>
      </c>
      <c r="E16" s="21">
        <v>43833</v>
      </c>
      <c r="F16" s="4" t="s">
        <v>925</v>
      </c>
      <c r="H16" s="4" t="s">
        <v>5599</v>
      </c>
      <c r="I16" s="4">
        <v>4234</v>
      </c>
      <c r="J16" s="4" t="s">
        <v>1192</v>
      </c>
      <c r="K16" s="6" t="s">
        <v>1061</v>
      </c>
      <c r="L16" s="4">
        <v>6</v>
      </c>
      <c r="M16" s="379">
        <v>6151</v>
      </c>
      <c r="N16" s="4" t="s">
        <v>2886</v>
      </c>
      <c r="O16" s="379">
        <v>6151</v>
      </c>
      <c r="P16" s="379">
        <v>7320</v>
      </c>
      <c r="Q16" s="379">
        <v>43920</v>
      </c>
      <c r="R16" s="26">
        <v>43833</v>
      </c>
      <c r="S16" s="4" t="s">
        <v>1501</v>
      </c>
      <c r="T16" s="379">
        <v>91718</v>
      </c>
      <c r="U16" t="s">
        <v>1563</v>
      </c>
      <c r="V16" s="380">
        <v>4600</v>
      </c>
      <c r="W16" s="380">
        <v>1551</v>
      </c>
      <c r="X16" s="375">
        <v>0.25</v>
      </c>
    </row>
    <row r="17" spans="1:24" x14ac:dyDescent="0.25">
      <c r="A17" s="4">
        <v>4291</v>
      </c>
      <c r="B17" s="4" t="s">
        <v>2289</v>
      </c>
      <c r="C17" s="6" t="s">
        <v>2620</v>
      </c>
      <c r="D17" s="6" t="s">
        <v>1539</v>
      </c>
      <c r="E17" s="21">
        <v>43833</v>
      </c>
      <c r="F17" s="4" t="s">
        <v>925</v>
      </c>
      <c r="H17" s="4" t="s">
        <v>5599</v>
      </c>
      <c r="I17" s="4">
        <v>4234</v>
      </c>
      <c r="J17" s="4" t="s">
        <v>1192</v>
      </c>
      <c r="K17" s="6" t="s">
        <v>1061</v>
      </c>
      <c r="L17" s="4">
        <v>2</v>
      </c>
      <c r="M17" s="379">
        <v>20084</v>
      </c>
      <c r="N17" s="4" t="s">
        <v>2886</v>
      </c>
      <c r="O17" s="379">
        <v>20084</v>
      </c>
      <c r="P17" s="379">
        <v>23900</v>
      </c>
      <c r="Q17" s="379">
        <v>47800</v>
      </c>
      <c r="R17" s="26">
        <v>43833</v>
      </c>
      <c r="S17" s="4" t="s">
        <v>1501</v>
      </c>
      <c r="T17" s="379">
        <v>91718</v>
      </c>
      <c r="U17" t="s">
        <v>1524</v>
      </c>
      <c r="V17" s="380">
        <v>16386</v>
      </c>
      <c r="W17" s="380">
        <v>3698</v>
      </c>
      <c r="X17" s="375">
        <v>0.18</v>
      </c>
    </row>
    <row r="18" spans="1:24" x14ac:dyDescent="0.25">
      <c r="A18" s="4">
        <v>4292</v>
      </c>
      <c r="B18" s="4" t="s">
        <v>4218</v>
      </c>
      <c r="C18" s="6" t="s">
        <v>4219</v>
      </c>
      <c r="D18" s="6" t="s">
        <v>3950</v>
      </c>
      <c r="E18" s="21">
        <v>43833</v>
      </c>
      <c r="F18" s="4" t="s">
        <v>925</v>
      </c>
      <c r="H18" s="4" t="s">
        <v>5600</v>
      </c>
      <c r="I18" s="4">
        <v>4235</v>
      </c>
      <c r="J18" s="4" t="s">
        <v>1192</v>
      </c>
      <c r="K18" s="6" t="s">
        <v>1061</v>
      </c>
      <c r="L18" s="4">
        <v>10</v>
      </c>
      <c r="M18" s="379">
        <v>7895</v>
      </c>
      <c r="N18" s="519" t="s">
        <v>2886</v>
      </c>
      <c r="O18" s="379">
        <v>7895</v>
      </c>
      <c r="P18" s="379">
        <v>9395</v>
      </c>
      <c r="Q18" s="379">
        <v>93950</v>
      </c>
      <c r="R18" s="26">
        <v>43836</v>
      </c>
      <c r="S18" s="4" t="s">
        <v>1501</v>
      </c>
      <c r="T18" s="379">
        <v>228312</v>
      </c>
      <c r="U18" t="s">
        <v>3934</v>
      </c>
      <c r="V18" s="380">
        <v>6000</v>
      </c>
      <c r="W18" s="380">
        <v>1895</v>
      </c>
      <c r="X18" s="375">
        <v>0.24</v>
      </c>
    </row>
    <row r="19" spans="1:24" x14ac:dyDescent="0.25">
      <c r="A19" s="4">
        <v>4292</v>
      </c>
      <c r="B19" s="4" t="s">
        <v>3907</v>
      </c>
      <c r="C19" s="6" t="s">
        <v>3814</v>
      </c>
      <c r="D19" s="6" t="s">
        <v>1646</v>
      </c>
      <c r="E19" s="21">
        <v>43833</v>
      </c>
      <c r="F19" s="4" t="s">
        <v>925</v>
      </c>
      <c r="H19" s="4" t="s">
        <v>5600</v>
      </c>
      <c r="I19" s="4">
        <v>4235</v>
      </c>
      <c r="J19" s="4" t="s">
        <v>1192</v>
      </c>
      <c r="K19" s="6" t="s">
        <v>1061</v>
      </c>
      <c r="L19" s="4">
        <v>6</v>
      </c>
      <c r="M19" s="379">
        <v>17642</v>
      </c>
      <c r="N19" s="4" t="s">
        <v>2886</v>
      </c>
      <c r="O19" s="379">
        <v>17642</v>
      </c>
      <c r="P19" s="379">
        <v>20994</v>
      </c>
      <c r="Q19" s="379">
        <v>125964</v>
      </c>
      <c r="R19" s="26">
        <v>43836</v>
      </c>
      <c r="S19" s="4" t="s">
        <v>1501</v>
      </c>
      <c r="T19" s="379">
        <v>228312</v>
      </c>
      <c r="U19" t="s">
        <v>3934</v>
      </c>
      <c r="V19" s="380">
        <v>13408</v>
      </c>
      <c r="W19" s="380">
        <v>4234</v>
      </c>
      <c r="X19" s="375">
        <v>0.24</v>
      </c>
    </row>
    <row r="20" spans="1:24" x14ac:dyDescent="0.25">
      <c r="A20" s="4">
        <v>2</v>
      </c>
      <c r="B20" s="4" t="s">
        <v>5147</v>
      </c>
      <c r="C20" s="6" t="s">
        <v>5148</v>
      </c>
      <c r="D20" s="6" t="s">
        <v>4618</v>
      </c>
      <c r="E20" s="21">
        <v>43835</v>
      </c>
      <c r="F20" s="4" t="s">
        <v>1461</v>
      </c>
      <c r="H20" s="4">
        <v>6349</v>
      </c>
      <c r="I20" s="4">
        <v>4240</v>
      </c>
      <c r="J20" s="4" t="s">
        <v>2226</v>
      </c>
      <c r="K20" s="6" t="s">
        <v>2227</v>
      </c>
      <c r="L20" s="4">
        <v>2</v>
      </c>
      <c r="M20" s="377">
        <v>24238</v>
      </c>
      <c r="N20" s="374">
        <v>0.06</v>
      </c>
      <c r="O20" s="377">
        <v>22783</v>
      </c>
      <c r="P20" s="377">
        <v>27000</v>
      </c>
      <c r="Q20" s="377">
        <v>54000</v>
      </c>
      <c r="R20" s="26">
        <v>43835</v>
      </c>
      <c r="S20" s="4" t="s">
        <v>1501</v>
      </c>
      <c r="T20" s="377">
        <v>54000</v>
      </c>
      <c r="U20" t="s">
        <v>4602</v>
      </c>
      <c r="V20" s="378">
        <v>19390</v>
      </c>
      <c r="W20" s="378">
        <v>3393</v>
      </c>
      <c r="X20" s="375">
        <v>0.15</v>
      </c>
    </row>
    <row r="21" spans="1:24" x14ac:dyDescent="0.25">
      <c r="A21" s="4">
        <v>4</v>
      </c>
      <c r="B21" s="4" t="s">
        <v>2250</v>
      </c>
      <c r="C21" s="6" t="s">
        <v>2249</v>
      </c>
      <c r="D21" s="6" t="s">
        <v>1638</v>
      </c>
      <c r="E21" s="21">
        <v>43835</v>
      </c>
      <c r="F21" s="4" t="s">
        <v>925</v>
      </c>
      <c r="H21" s="4">
        <v>5293</v>
      </c>
      <c r="I21" s="4">
        <v>4242</v>
      </c>
      <c r="J21" s="4" t="s">
        <v>1180</v>
      </c>
      <c r="K21" s="6" t="s">
        <v>1048</v>
      </c>
      <c r="L21" s="4">
        <v>40</v>
      </c>
      <c r="M21" s="377">
        <v>3062</v>
      </c>
      <c r="N21" s="374">
        <v>0.1</v>
      </c>
      <c r="O21" s="377">
        <v>2790</v>
      </c>
      <c r="P21" s="377">
        <v>3288</v>
      </c>
      <c r="Q21" s="377">
        <v>131520</v>
      </c>
      <c r="R21" s="26">
        <v>43840</v>
      </c>
      <c r="S21" s="4" t="s">
        <v>1445</v>
      </c>
      <c r="T21" s="377">
        <v>245516</v>
      </c>
      <c r="U21" t="s">
        <v>1545</v>
      </c>
      <c r="V21" s="378">
        <v>2100</v>
      </c>
      <c r="W21" s="378">
        <v>690</v>
      </c>
      <c r="X21" s="375">
        <v>0.25</v>
      </c>
    </row>
    <row r="22" spans="1:24" x14ac:dyDescent="0.25">
      <c r="A22" s="4">
        <v>4</v>
      </c>
      <c r="B22" s="4" t="s">
        <v>2109</v>
      </c>
      <c r="C22" s="6" t="s">
        <v>2110</v>
      </c>
      <c r="D22" s="6" t="s">
        <v>1504</v>
      </c>
      <c r="E22" s="21">
        <v>43835</v>
      </c>
      <c r="F22" s="4" t="s">
        <v>925</v>
      </c>
      <c r="H22" s="4">
        <v>5293</v>
      </c>
      <c r="I22" s="4">
        <v>4242</v>
      </c>
      <c r="J22" s="4" t="s">
        <v>1180</v>
      </c>
      <c r="K22" s="6" t="s">
        <v>1048</v>
      </c>
      <c r="L22" s="4">
        <v>12</v>
      </c>
      <c r="M22" s="377">
        <v>1677</v>
      </c>
      <c r="N22" s="374">
        <v>0.1</v>
      </c>
      <c r="O22" s="377">
        <v>1528</v>
      </c>
      <c r="P22" s="377">
        <v>1801</v>
      </c>
      <c r="Q22" s="377">
        <v>21612</v>
      </c>
      <c r="R22" s="26">
        <v>43840</v>
      </c>
      <c r="S22" s="4" t="s">
        <v>1445</v>
      </c>
      <c r="T22" s="377">
        <v>245516</v>
      </c>
      <c r="U22" t="s">
        <v>1545</v>
      </c>
      <c r="V22" s="378">
        <v>1150</v>
      </c>
      <c r="W22" s="378">
        <v>378</v>
      </c>
      <c r="X22" s="375">
        <v>0.25</v>
      </c>
    </row>
    <row r="23" spans="1:24" x14ac:dyDescent="0.25">
      <c r="A23" s="4">
        <v>4</v>
      </c>
      <c r="B23" s="4" t="s">
        <v>1503</v>
      </c>
      <c r="C23" s="6" t="s">
        <v>1972</v>
      </c>
      <c r="D23" s="6" t="s">
        <v>1638</v>
      </c>
      <c r="E23" s="21">
        <v>43835</v>
      </c>
      <c r="F23" s="4" t="s">
        <v>925</v>
      </c>
      <c r="H23" s="4">
        <v>5293</v>
      </c>
      <c r="I23" s="4">
        <v>4242</v>
      </c>
      <c r="J23" s="4" t="s">
        <v>1180</v>
      </c>
      <c r="K23" s="6" t="s">
        <v>1048</v>
      </c>
      <c r="L23" s="4">
        <v>20</v>
      </c>
      <c r="M23" s="377">
        <v>3062</v>
      </c>
      <c r="N23" s="374">
        <v>0.1</v>
      </c>
      <c r="O23" s="377">
        <v>2790</v>
      </c>
      <c r="P23" s="377">
        <v>3288</v>
      </c>
      <c r="Q23" s="377">
        <v>65760</v>
      </c>
      <c r="R23" s="26">
        <v>43840</v>
      </c>
      <c r="S23" s="4" t="s">
        <v>1445</v>
      </c>
      <c r="T23" s="377">
        <v>245516</v>
      </c>
      <c r="U23" t="s">
        <v>1545</v>
      </c>
      <c r="V23" s="378">
        <v>2100</v>
      </c>
      <c r="W23" s="378">
        <v>690</v>
      </c>
      <c r="X23" s="375">
        <v>0.25</v>
      </c>
    </row>
    <row r="24" spans="1:24" x14ac:dyDescent="0.25">
      <c r="A24" s="4">
        <v>4</v>
      </c>
      <c r="B24" s="4" t="s">
        <v>1924</v>
      </c>
      <c r="C24" s="6" t="s">
        <v>1897</v>
      </c>
      <c r="D24" s="6" t="s">
        <v>1504</v>
      </c>
      <c r="E24" s="21">
        <v>43835</v>
      </c>
      <c r="F24" s="4" t="s">
        <v>925</v>
      </c>
      <c r="H24" s="4">
        <v>5293</v>
      </c>
      <c r="I24" s="4">
        <v>4242</v>
      </c>
      <c r="J24" s="4" t="s">
        <v>1180</v>
      </c>
      <c r="K24" s="6" t="s">
        <v>1048</v>
      </c>
      <c r="L24" s="4">
        <v>20</v>
      </c>
      <c r="M24" s="377">
        <v>1239</v>
      </c>
      <c r="N24" s="374">
        <v>0.1</v>
      </c>
      <c r="O24" s="377">
        <v>1129</v>
      </c>
      <c r="P24" s="377">
        <v>1331</v>
      </c>
      <c r="Q24" s="377">
        <v>26620</v>
      </c>
      <c r="R24" s="26">
        <v>43840</v>
      </c>
      <c r="S24" s="4" t="s">
        <v>1445</v>
      </c>
      <c r="T24" s="377">
        <v>245516</v>
      </c>
      <c r="U24" t="s">
        <v>1545</v>
      </c>
      <c r="V24" s="378">
        <v>850</v>
      </c>
      <c r="W24" s="378">
        <v>279</v>
      </c>
      <c r="X24" s="375">
        <v>0.25</v>
      </c>
    </row>
    <row r="25" spans="1:24" x14ac:dyDescent="0.25">
      <c r="A25" s="4">
        <v>5</v>
      </c>
      <c r="B25" s="4" t="s">
        <v>5393</v>
      </c>
      <c r="C25" s="6" t="s">
        <v>5394</v>
      </c>
      <c r="D25" s="6" t="s">
        <v>4705</v>
      </c>
      <c r="E25" s="21">
        <v>43835</v>
      </c>
      <c r="F25" s="4" t="s">
        <v>1461</v>
      </c>
      <c r="H25" s="4">
        <v>6353</v>
      </c>
      <c r="I25" s="4">
        <v>4243</v>
      </c>
      <c r="J25" s="4" t="s">
        <v>5585</v>
      </c>
      <c r="K25" s="6" t="s">
        <v>5586</v>
      </c>
      <c r="L25" s="4">
        <v>1</v>
      </c>
      <c r="M25" s="377">
        <v>12605</v>
      </c>
      <c r="N25" s="441" t="s">
        <v>2886</v>
      </c>
      <c r="O25" s="377">
        <v>12605</v>
      </c>
      <c r="P25" s="377">
        <v>15000</v>
      </c>
      <c r="Q25" s="377">
        <v>15000</v>
      </c>
      <c r="R25" s="26">
        <v>43835</v>
      </c>
      <c r="S25" s="4" t="s">
        <v>1501</v>
      </c>
      <c r="T25" s="377">
        <v>44073</v>
      </c>
      <c r="U25" t="s">
        <v>4774</v>
      </c>
      <c r="V25" s="440">
        <v>7912</v>
      </c>
      <c r="W25" s="378">
        <v>4693</v>
      </c>
      <c r="X25" s="375">
        <v>0.37</v>
      </c>
    </row>
    <row r="26" spans="1:24" x14ac:dyDescent="0.25">
      <c r="A26" s="4">
        <v>5</v>
      </c>
      <c r="B26" s="4" t="s">
        <v>5355</v>
      </c>
      <c r="C26" s="6" t="s">
        <v>5356</v>
      </c>
      <c r="D26" s="6" t="s">
        <v>4705</v>
      </c>
      <c r="E26" s="21">
        <v>43835</v>
      </c>
      <c r="F26" s="4" t="s">
        <v>1461</v>
      </c>
      <c r="H26" s="4">
        <v>6353</v>
      </c>
      <c r="I26" s="4">
        <v>4243</v>
      </c>
      <c r="J26" s="4" t="s">
        <v>5585</v>
      </c>
      <c r="K26" s="6" t="s">
        <v>5586</v>
      </c>
      <c r="L26" s="4">
        <v>1</v>
      </c>
      <c r="M26" s="377">
        <v>6807</v>
      </c>
      <c r="N26" s="441" t="s">
        <v>2886</v>
      </c>
      <c r="O26" s="377">
        <v>6807</v>
      </c>
      <c r="P26" s="377">
        <v>8100</v>
      </c>
      <c r="Q26" s="377">
        <v>8100</v>
      </c>
      <c r="R26" s="26">
        <v>43835</v>
      </c>
      <c r="S26" s="4" t="s">
        <v>1501</v>
      </c>
      <c r="T26" s="377">
        <v>44073</v>
      </c>
      <c r="U26" t="s">
        <v>4774</v>
      </c>
      <c r="V26" s="378">
        <v>4447</v>
      </c>
      <c r="W26" s="378">
        <v>2360</v>
      </c>
      <c r="X26" s="375">
        <v>0.35</v>
      </c>
    </row>
    <row r="27" spans="1:24" x14ac:dyDescent="0.25">
      <c r="A27" s="4">
        <v>5</v>
      </c>
      <c r="B27" s="4" t="s">
        <v>5353</v>
      </c>
      <c r="C27" s="6" t="s">
        <v>5354</v>
      </c>
      <c r="D27" s="6" t="s">
        <v>4705</v>
      </c>
      <c r="E27" s="21">
        <v>43835</v>
      </c>
      <c r="F27" s="4" t="s">
        <v>1461</v>
      </c>
      <c r="H27" s="4">
        <v>6353</v>
      </c>
      <c r="I27" s="4">
        <v>4243</v>
      </c>
      <c r="J27" s="4" t="s">
        <v>5585</v>
      </c>
      <c r="K27" s="6" t="s">
        <v>5586</v>
      </c>
      <c r="L27" s="4">
        <v>0</v>
      </c>
      <c r="M27" s="377">
        <v>13025</v>
      </c>
      <c r="N27" s="441" t="s">
        <v>2886</v>
      </c>
      <c r="O27" s="377">
        <v>13025</v>
      </c>
      <c r="P27" s="377">
        <v>15500</v>
      </c>
      <c r="Q27" s="519" t="s">
        <v>5584</v>
      </c>
      <c r="R27" s="26">
        <v>43835</v>
      </c>
      <c r="S27" s="4" t="s">
        <v>1501</v>
      </c>
      <c r="T27" s="377">
        <v>44073</v>
      </c>
      <c r="U27" t="s">
        <v>4774</v>
      </c>
      <c r="V27" s="378">
        <v>7912</v>
      </c>
      <c r="W27" s="378">
        <v>5113</v>
      </c>
      <c r="X27" s="375">
        <v>0.39</v>
      </c>
    </row>
    <row r="28" spans="1:24" x14ac:dyDescent="0.25">
      <c r="A28" s="4">
        <v>5</v>
      </c>
      <c r="B28" s="4" t="s">
        <v>4086</v>
      </c>
      <c r="C28" s="6" t="s">
        <v>5576</v>
      </c>
      <c r="D28" s="6" t="s">
        <v>1646</v>
      </c>
      <c r="E28" s="21">
        <v>43835</v>
      </c>
      <c r="F28" s="4" t="s">
        <v>1461</v>
      </c>
      <c r="H28" s="4">
        <v>6353</v>
      </c>
      <c r="I28" s="4">
        <v>4243</v>
      </c>
      <c r="J28" s="4" t="s">
        <v>5585</v>
      </c>
      <c r="K28" s="6" t="s">
        <v>5586</v>
      </c>
      <c r="L28" s="4">
        <v>5</v>
      </c>
      <c r="M28" s="377">
        <v>3529</v>
      </c>
      <c r="N28" s="441" t="s">
        <v>2886</v>
      </c>
      <c r="O28" s="377">
        <v>3529</v>
      </c>
      <c r="P28" s="377">
        <v>4200</v>
      </c>
      <c r="Q28" s="377">
        <v>21000</v>
      </c>
      <c r="R28" s="26">
        <v>43835</v>
      </c>
      <c r="S28" s="4" t="s">
        <v>1501</v>
      </c>
      <c r="T28" s="377">
        <v>44073</v>
      </c>
      <c r="U28" t="s">
        <v>1645</v>
      </c>
      <c r="V28" s="378">
        <v>2408</v>
      </c>
      <c r="W28" s="378">
        <v>1121</v>
      </c>
      <c r="X28" s="375">
        <v>0.32</v>
      </c>
    </row>
    <row r="29" spans="1:24" x14ac:dyDescent="0.25">
      <c r="A29" s="4">
        <v>3</v>
      </c>
      <c r="B29" s="4" t="s">
        <v>1647</v>
      </c>
      <c r="C29" s="6" t="s">
        <v>1670</v>
      </c>
      <c r="D29" s="6" t="s">
        <v>1504</v>
      </c>
      <c r="E29" s="21">
        <v>43835</v>
      </c>
      <c r="F29" s="4" t="s">
        <v>925</v>
      </c>
      <c r="H29" s="4">
        <v>5292</v>
      </c>
      <c r="I29" s="4">
        <v>4241</v>
      </c>
      <c r="J29" s="4" t="s">
        <v>1183</v>
      </c>
      <c r="K29" s="6" t="s">
        <v>1999</v>
      </c>
      <c r="L29" s="4">
        <v>40</v>
      </c>
      <c r="M29" s="377">
        <v>3040</v>
      </c>
      <c r="N29" s="374">
        <v>0.05</v>
      </c>
      <c r="O29" s="377">
        <v>2895</v>
      </c>
      <c r="P29" s="377">
        <v>3436</v>
      </c>
      <c r="Q29" s="377">
        <v>137440</v>
      </c>
      <c r="R29" s="26">
        <v>43840</v>
      </c>
      <c r="S29" s="4" t="s">
        <v>1445</v>
      </c>
      <c r="T29" s="377">
        <v>273993</v>
      </c>
      <c r="U29" t="s">
        <v>1545</v>
      </c>
      <c r="V29" s="378">
        <v>2085</v>
      </c>
      <c r="W29" s="378">
        <v>810</v>
      </c>
      <c r="X29" s="375">
        <v>0.28000000000000003</v>
      </c>
    </row>
    <row r="30" spans="1:24" x14ac:dyDescent="0.25">
      <c r="A30" s="4">
        <v>3</v>
      </c>
      <c r="B30" s="4" t="s">
        <v>1888</v>
      </c>
      <c r="C30" s="6" t="s">
        <v>3508</v>
      </c>
      <c r="D30" s="6" t="s">
        <v>1900</v>
      </c>
      <c r="E30" s="21">
        <v>43835</v>
      </c>
      <c r="F30" s="4" t="s">
        <v>925</v>
      </c>
      <c r="H30" s="4">
        <v>5292</v>
      </c>
      <c r="I30" s="4">
        <v>4241</v>
      </c>
      <c r="J30" s="4" t="s">
        <v>1183</v>
      </c>
      <c r="K30" s="6" t="s">
        <v>1999</v>
      </c>
      <c r="L30" s="4">
        <v>12</v>
      </c>
      <c r="M30" s="377">
        <v>1796</v>
      </c>
      <c r="N30" s="374">
        <v>0.05</v>
      </c>
      <c r="O30" s="377">
        <v>1710</v>
      </c>
      <c r="P30" s="377">
        <v>2031</v>
      </c>
      <c r="Q30" s="377">
        <v>24372</v>
      </c>
      <c r="R30" s="26">
        <v>43840</v>
      </c>
      <c r="S30" s="4" t="s">
        <v>1445</v>
      </c>
      <c r="T30" s="377">
        <v>273993</v>
      </c>
      <c r="U30" t="s">
        <v>1562</v>
      </c>
      <c r="V30" s="378">
        <v>1297</v>
      </c>
      <c r="W30" s="378">
        <v>413</v>
      </c>
      <c r="X30" s="375">
        <v>0.24</v>
      </c>
    </row>
    <row r="31" spans="1:24" x14ac:dyDescent="0.25">
      <c r="A31" s="4">
        <v>3</v>
      </c>
      <c r="B31" s="4" t="s">
        <v>698</v>
      </c>
      <c r="C31" s="6" t="s">
        <v>3437</v>
      </c>
      <c r="D31" s="6" t="s">
        <v>694</v>
      </c>
      <c r="E31" s="21">
        <v>43835</v>
      </c>
      <c r="F31" s="4" t="s">
        <v>925</v>
      </c>
      <c r="H31" s="4">
        <v>5292</v>
      </c>
      <c r="I31" s="4">
        <v>4241</v>
      </c>
      <c r="J31" s="4" t="s">
        <v>1183</v>
      </c>
      <c r="K31" s="6" t="s">
        <v>1999</v>
      </c>
      <c r="L31" s="4">
        <v>10</v>
      </c>
      <c r="M31" s="377">
        <v>4119</v>
      </c>
      <c r="N31" s="374">
        <v>0.27</v>
      </c>
      <c r="O31" s="377">
        <v>3242</v>
      </c>
      <c r="P31" s="377">
        <v>3576</v>
      </c>
      <c r="Q31" s="377">
        <v>35760</v>
      </c>
      <c r="R31" s="26">
        <v>43840</v>
      </c>
      <c r="S31" s="4" t="s">
        <v>1445</v>
      </c>
      <c r="T31" s="377">
        <v>273993</v>
      </c>
      <c r="U31" t="s">
        <v>693</v>
      </c>
      <c r="V31" s="378">
        <v>2974</v>
      </c>
      <c r="W31" s="378">
        <v>268</v>
      </c>
      <c r="X31" s="375">
        <v>0.08</v>
      </c>
    </row>
    <row r="32" spans="1:24" x14ac:dyDescent="0.25">
      <c r="A32" s="376">
        <v>3</v>
      </c>
      <c r="B32" s="376" t="s">
        <v>700</v>
      </c>
      <c r="C32" s="6" t="s">
        <v>3439</v>
      </c>
      <c r="D32" s="6" t="s">
        <v>694</v>
      </c>
      <c r="E32" s="21">
        <v>43835</v>
      </c>
      <c r="F32" s="376" t="s">
        <v>925</v>
      </c>
      <c r="G32" s="376"/>
      <c r="H32" s="376">
        <v>5292</v>
      </c>
      <c r="I32" s="376">
        <v>4241</v>
      </c>
      <c r="J32" s="376" t="s">
        <v>1183</v>
      </c>
      <c r="K32" s="6" t="s">
        <v>1999</v>
      </c>
      <c r="L32" s="376">
        <v>10</v>
      </c>
      <c r="M32" s="377">
        <v>1857</v>
      </c>
      <c r="N32" s="374">
        <v>0.19</v>
      </c>
      <c r="O32" s="377">
        <v>1559</v>
      </c>
      <c r="P32" s="377">
        <v>1788</v>
      </c>
      <c r="Q32" s="439">
        <v>17880</v>
      </c>
      <c r="R32" s="26">
        <v>43840</v>
      </c>
      <c r="S32" s="376" t="s">
        <v>1445</v>
      </c>
      <c r="T32" s="377">
        <v>273993</v>
      </c>
      <c r="U32" t="s">
        <v>693</v>
      </c>
      <c r="V32" s="378">
        <v>1341</v>
      </c>
      <c r="W32" s="378">
        <v>218</v>
      </c>
      <c r="X32" s="375">
        <v>0.14000000000000001</v>
      </c>
    </row>
    <row r="33" spans="1:24" x14ac:dyDescent="0.25">
      <c r="A33" s="376">
        <v>3</v>
      </c>
      <c r="B33" s="376" t="s">
        <v>692</v>
      </c>
      <c r="C33" s="6" t="s">
        <v>3436</v>
      </c>
      <c r="D33" s="6" t="s">
        <v>694</v>
      </c>
      <c r="E33" s="21">
        <v>43835</v>
      </c>
      <c r="F33" s="376" t="s">
        <v>925</v>
      </c>
      <c r="G33" s="376"/>
      <c r="H33" s="376">
        <v>5292</v>
      </c>
      <c r="I33" s="376">
        <v>4241</v>
      </c>
      <c r="J33" s="376" t="s">
        <v>1183</v>
      </c>
      <c r="K33" s="6" t="s">
        <v>1999</v>
      </c>
      <c r="L33" s="376">
        <v>32</v>
      </c>
      <c r="M33" s="377">
        <v>1921</v>
      </c>
      <c r="N33" s="374">
        <v>0.2</v>
      </c>
      <c r="O33" s="377">
        <v>1601</v>
      </c>
      <c r="P33" s="377">
        <v>1829</v>
      </c>
      <c r="Q33" s="377">
        <v>58528</v>
      </c>
      <c r="R33" s="26">
        <v>43840</v>
      </c>
      <c r="S33" s="376" t="s">
        <v>1445</v>
      </c>
      <c r="T33" s="377">
        <v>273993</v>
      </c>
      <c r="U33" t="s">
        <v>693</v>
      </c>
      <c r="V33" t="s">
        <v>5584</v>
      </c>
      <c r="W33" s="378">
        <v>1601</v>
      </c>
      <c r="X33" s="375">
        <v>1</v>
      </c>
    </row>
    <row r="34" spans="1:24" x14ac:dyDescent="0.25">
      <c r="A34" s="376">
        <v>7</v>
      </c>
      <c r="B34" s="376" t="s">
        <v>1647</v>
      </c>
      <c r="C34" s="6" t="s">
        <v>1670</v>
      </c>
      <c r="D34" s="6" t="s">
        <v>1504</v>
      </c>
      <c r="E34" s="21">
        <v>43836</v>
      </c>
      <c r="F34" s="376" t="s">
        <v>1461</v>
      </c>
      <c r="G34" s="376"/>
      <c r="H34" s="376">
        <v>6349</v>
      </c>
      <c r="I34" s="376">
        <v>4245</v>
      </c>
      <c r="J34" s="376" t="s">
        <v>1204</v>
      </c>
      <c r="K34" s="6" t="s">
        <v>1052</v>
      </c>
      <c r="L34" s="376">
        <v>4</v>
      </c>
      <c r="M34" s="379">
        <v>3193</v>
      </c>
      <c r="N34" s="441" t="s">
        <v>2886</v>
      </c>
      <c r="O34" s="379">
        <v>3193</v>
      </c>
      <c r="P34" s="379">
        <v>3800</v>
      </c>
      <c r="Q34" s="379">
        <v>15200</v>
      </c>
      <c r="R34" s="26">
        <v>43834</v>
      </c>
      <c r="S34" s="376" t="s">
        <v>1501</v>
      </c>
      <c r="T34" s="379">
        <v>51400</v>
      </c>
      <c r="U34" t="s">
        <v>1545</v>
      </c>
      <c r="V34" s="380">
        <v>2085</v>
      </c>
      <c r="W34" s="380">
        <v>1108</v>
      </c>
      <c r="X34" s="375">
        <v>0.35</v>
      </c>
    </row>
    <row r="35" spans="1:24" x14ac:dyDescent="0.25">
      <c r="A35" s="376">
        <v>7</v>
      </c>
      <c r="B35" s="376" t="s">
        <v>1971</v>
      </c>
      <c r="C35" s="6" t="s">
        <v>5111</v>
      </c>
      <c r="D35" s="6" t="s">
        <v>1504</v>
      </c>
      <c r="E35" s="21">
        <v>43836</v>
      </c>
      <c r="F35" s="376" t="s">
        <v>1461</v>
      </c>
      <c r="G35" s="376"/>
      <c r="H35" s="376">
        <v>6349</v>
      </c>
      <c r="I35" s="376">
        <v>4245</v>
      </c>
      <c r="J35" s="376" t="s">
        <v>1204</v>
      </c>
      <c r="K35" s="6" t="s">
        <v>1052</v>
      </c>
      <c r="L35" s="376">
        <v>1</v>
      </c>
      <c r="M35" s="379">
        <v>4958</v>
      </c>
      <c r="N35" s="441" t="s">
        <v>2886</v>
      </c>
      <c r="O35" s="379">
        <v>4958</v>
      </c>
      <c r="P35" s="379">
        <v>5900</v>
      </c>
      <c r="Q35" s="379">
        <v>5900</v>
      </c>
      <c r="R35" s="26">
        <v>43834</v>
      </c>
      <c r="S35" s="376" t="s">
        <v>1501</v>
      </c>
      <c r="T35" s="379">
        <v>51400</v>
      </c>
      <c r="U35" t="s">
        <v>1545</v>
      </c>
      <c r="V35" s="380">
        <v>3624</v>
      </c>
      <c r="W35" s="380">
        <v>1334</v>
      </c>
      <c r="X35" s="375">
        <v>0.27</v>
      </c>
    </row>
    <row r="36" spans="1:24" x14ac:dyDescent="0.25">
      <c r="A36" s="376">
        <v>7</v>
      </c>
      <c r="B36" s="376" t="s">
        <v>1515</v>
      </c>
      <c r="C36" s="6" t="s">
        <v>1652</v>
      </c>
      <c r="D36" s="6" t="s">
        <v>1638</v>
      </c>
      <c r="E36" s="21">
        <v>43836</v>
      </c>
      <c r="F36" s="376" t="s">
        <v>1461</v>
      </c>
      <c r="G36" s="376"/>
      <c r="H36" s="376">
        <v>6349</v>
      </c>
      <c r="I36" s="376">
        <v>4245</v>
      </c>
      <c r="J36" s="376" t="s">
        <v>1204</v>
      </c>
      <c r="K36" s="6" t="s">
        <v>1052</v>
      </c>
      <c r="L36" s="376">
        <v>1</v>
      </c>
      <c r="M36" s="379">
        <v>4874</v>
      </c>
      <c r="N36" s="441" t="s">
        <v>2886</v>
      </c>
      <c r="O36" s="379">
        <v>4874</v>
      </c>
      <c r="P36" s="379">
        <v>5800</v>
      </c>
      <c r="Q36" s="379">
        <v>5800</v>
      </c>
      <c r="R36" s="26">
        <v>43834</v>
      </c>
      <c r="S36" s="376" t="s">
        <v>1501</v>
      </c>
      <c r="T36" s="379">
        <v>51400</v>
      </c>
      <c r="U36" t="s">
        <v>1545</v>
      </c>
      <c r="V36" s="380">
        <v>2400</v>
      </c>
      <c r="W36" s="380">
        <v>2474</v>
      </c>
      <c r="X36" s="375">
        <v>0.51</v>
      </c>
    </row>
    <row r="37" spans="1:24" x14ac:dyDescent="0.25">
      <c r="A37" s="376">
        <v>7</v>
      </c>
      <c r="B37" s="376" t="s">
        <v>2567</v>
      </c>
      <c r="C37" s="6" t="s">
        <v>2624</v>
      </c>
      <c r="D37" s="6" t="s">
        <v>1539</v>
      </c>
      <c r="E37" s="21">
        <v>43836</v>
      </c>
      <c r="F37" s="376" t="s">
        <v>1461</v>
      </c>
      <c r="G37" s="376"/>
      <c r="H37" s="376">
        <v>6349</v>
      </c>
      <c r="I37" s="376">
        <v>4245</v>
      </c>
      <c r="J37" s="376" t="s">
        <v>1204</v>
      </c>
      <c r="K37" s="6" t="s">
        <v>1052</v>
      </c>
      <c r="L37" s="376">
        <v>1</v>
      </c>
      <c r="M37" s="379">
        <v>20588</v>
      </c>
      <c r="N37" s="519" t="s">
        <v>2886</v>
      </c>
      <c r="O37" s="379">
        <v>20588</v>
      </c>
      <c r="P37" s="379">
        <v>24500</v>
      </c>
      <c r="Q37" s="379">
        <v>24500</v>
      </c>
      <c r="R37" s="26">
        <v>43834</v>
      </c>
      <c r="S37" s="376" t="s">
        <v>1501</v>
      </c>
      <c r="T37" s="379">
        <v>51400</v>
      </c>
      <c r="U37" t="s">
        <v>1524</v>
      </c>
      <c r="V37" s="380">
        <v>16387</v>
      </c>
      <c r="W37" s="380">
        <v>4201</v>
      </c>
      <c r="X37" s="375">
        <v>0.2</v>
      </c>
    </row>
    <row r="38" spans="1:24" x14ac:dyDescent="0.25">
      <c r="A38" s="376">
        <v>6</v>
      </c>
      <c r="B38" s="376" t="s">
        <v>843</v>
      </c>
      <c r="C38" s="6" t="s">
        <v>2058</v>
      </c>
      <c r="D38" s="6" t="s">
        <v>840</v>
      </c>
      <c r="E38" s="21">
        <v>43836</v>
      </c>
      <c r="F38" s="376" t="s">
        <v>1461</v>
      </c>
      <c r="G38" s="376"/>
      <c r="H38" s="376">
        <v>6348</v>
      </c>
      <c r="I38" s="376">
        <v>4244</v>
      </c>
      <c r="J38" s="376" t="s">
        <v>5588</v>
      </c>
      <c r="K38" s="6" t="s">
        <v>5589</v>
      </c>
      <c r="L38" s="376">
        <v>1</v>
      </c>
      <c r="M38" s="379">
        <v>16723</v>
      </c>
      <c r="N38" s="519" t="s">
        <v>2886</v>
      </c>
      <c r="O38" s="379">
        <v>16723</v>
      </c>
      <c r="P38" s="379">
        <v>19900</v>
      </c>
      <c r="Q38" s="379">
        <v>19900</v>
      </c>
      <c r="R38" s="26">
        <v>43834</v>
      </c>
      <c r="S38" s="376" t="s">
        <v>1501</v>
      </c>
      <c r="T38" s="379">
        <v>19900</v>
      </c>
      <c r="U38" t="s">
        <v>1572</v>
      </c>
      <c r="V38" s="380">
        <v>11888</v>
      </c>
      <c r="W38" s="380">
        <v>4835</v>
      </c>
      <c r="X38" s="375">
        <v>0.28999999999999998</v>
      </c>
    </row>
    <row r="39" spans="1:24" x14ac:dyDescent="0.25">
      <c r="A39" s="376">
        <v>9</v>
      </c>
      <c r="B39" s="376" t="s">
        <v>830</v>
      </c>
      <c r="C39" s="6" t="s">
        <v>2495</v>
      </c>
      <c r="D39" s="6" t="s">
        <v>837</v>
      </c>
      <c r="E39" s="21">
        <v>43836</v>
      </c>
      <c r="F39" s="376" t="s">
        <v>1461</v>
      </c>
      <c r="G39" s="376"/>
      <c r="H39" s="376">
        <v>6351</v>
      </c>
      <c r="I39" s="376">
        <v>4247</v>
      </c>
      <c r="J39" s="376" t="s">
        <v>5591</v>
      </c>
      <c r="K39" s="6" t="s">
        <v>5592</v>
      </c>
      <c r="L39" s="376">
        <v>1</v>
      </c>
      <c r="M39" s="379">
        <v>13866</v>
      </c>
      <c r="N39" s="519" t="s">
        <v>2886</v>
      </c>
      <c r="O39" s="379">
        <v>13866</v>
      </c>
      <c r="P39" s="379">
        <v>16500</v>
      </c>
      <c r="Q39" s="379">
        <v>16500</v>
      </c>
      <c r="R39" s="26">
        <v>43834</v>
      </c>
      <c r="S39" s="376" t="s">
        <v>1501</v>
      </c>
      <c r="T39" s="379">
        <v>16500</v>
      </c>
      <c r="U39" t="s">
        <v>1572</v>
      </c>
      <c r="V39" s="380">
        <v>9870</v>
      </c>
      <c r="W39" s="380">
        <v>3996</v>
      </c>
      <c r="X39" s="375">
        <v>0.28999999999999998</v>
      </c>
    </row>
    <row r="40" spans="1:24" x14ac:dyDescent="0.25">
      <c r="A40" s="376">
        <v>14</v>
      </c>
      <c r="B40" s="376" t="s">
        <v>845</v>
      </c>
      <c r="C40" s="6" t="s">
        <v>2199</v>
      </c>
      <c r="D40" s="6" t="s">
        <v>2198</v>
      </c>
      <c r="E40" s="21">
        <v>43836</v>
      </c>
      <c r="F40" s="376" t="s">
        <v>1461</v>
      </c>
      <c r="G40" s="376"/>
      <c r="H40" s="376">
        <v>6358</v>
      </c>
      <c r="I40" s="376">
        <v>4252</v>
      </c>
      <c r="J40" s="376" t="s">
        <v>1419</v>
      </c>
      <c r="K40" s="6" t="s">
        <v>1119</v>
      </c>
      <c r="L40" s="376">
        <v>1</v>
      </c>
      <c r="M40" s="379">
        <v>19748</v>
      </c>
      <c r="N40" s="519" t="s">
        <v>2886</v>
      </c>
      <c r="O40" s="379">
        <v>19748</v>
      </c>
      <c r="P40" s="379">
        <v>23500</v>
      </c>
      <c r="Q40" s="379">
        <v>23500</v>
      </c>
      <c r="R40" s="26">
        <v>43836</v>
      </c>
      <c r="S40" s="376" t="s">
        <v>1501</v>
      </c>
      <c r="T40" s="379">
        <v>23500</v>
      </c>
      <c r="U40" t="s">
        <v>1572</v>
      </c>
      <c r="V40" s="380">
        <v>14112</v>
      </c>
      <c r="W40" s="380">
        <v>5636</v>
      </c>
      <c r="X40" s="375">
        <v>0.28999999999999998</v>
      </c>
    </row>
    <row r="41" spans="1:24" x14ac:dyDescent="0.25">
      <c r="A41" s="376">
        <v>10</v>
      </c>
      <c r="B41" s="376" t="s">
        <v>1971</v>
      </c>
      <c r="C41" s="6" t="s">
        <v>5111</v>
      </c>
      <c r="D41" s="6" t="s">
        <v>1504</v>
      </c>
      <c r="E41" s="21">
        <v>43836</v>
      </c>
      <c r="F41" s="376" t="s">
        <v>1461</v>
      </c>
      <c r="G41" s="376"/>
      <c r="H41" s="376">
        <v>6354</v>
      </c>
      <c r="I41" s="376">
        <v>4248</v>
      </c>
      <c r="J41" s="376" t="s">
        <v>5594</v>
      </c>
      <c r="K41" s="6" t="s">
        <v>5595</v>
      </c>
      <c r="L41" s="376">
        <v>1</v>
      </c>
      <c r="M41" s="379">
        <v>4958</v>
      </c>
      <c r="N41" s="519" t="s">
        <v>2886</v>
      </c>
      <c r="O41" s="379">
        <v>4958</v>
      </c>
      <c r="P41" s="379">
        <v>5900</v>
      </c>
      <c r="Q41" s="379">
        <v>5900</v>
      </c>
      <c r="R41" s="26">
        <v>43835</v>
      </c>
      <c r="S41" s="376" t="s">
        <v>1501</v>
      </c>
      <c r="T41" s="379">
        <v>11700</v>
      </c>
      <c r="U41" t="s">
        <v>1545</v>
      </c>
      <c r="V41" s="380">
        <v>3624</v>
      </c>
      <c r="W41" s="380">
        <v>1334</v>
      </c>
      <c r="X41" s="375">
        <v>0.27</v>
      </c>
    </row>
    <row r="42" spans="1:24" x14ac:dyDescent="0.25">
      <c r="A42" s="376">
        <v>10</v>
      </c>
      <c r="B42" s="376" t="s">
        <v>1515</v>
      </c>
      <c r="C42" s="6" t="s">
        <v>1652</v>
      </c>
      <c r="D42" s="6" t="s">
        <v>1638</v>
      </c>
      <c r="E42" s="21">
        <v>43836</v>
      </c>
      <c r="F42" s="376" t="s">
        <v>1461</v>
      </c>
      <c r="G42" s="376"/>
      <c r="H42" s="376">
        <v>6354</v>
      </c>
      <c r="I42" s="376">
        <v>4248</v>
      </c>
      <c r="J42" s="376" t="s">
        <v>5594</v>
      </c>
      <c r="K42" s="6" t="s">
        <v>5595</v>
      </c>
      <c r="L42" s="376">
        <v>1</v>
      </c>
      <c r="M42" s="379">
        <v>4874</v>
      </c>
      <c r="N42" s="519" t="s">
        <v>2886</v>
      </c>
      <c r="O42" s="379">
        <v>4874</v>
      </c>
      <c r="P42" s="379">
        <v>5800</v>
      </c>
      <c r="Q42" s="379">
        <v>5800</v>
      </c>
      <c r="R42" s="26">
        <v>43835</v>
      </c>
      <c r="S42" s="376" t="s">
        <v>1501</v>
      </c>
      <c r="T42" s="379">
        <v>11700</v>
      </c>
      <c r="U42" t="s">
        <v>1545</v>
      </c>
      <c r="V42" s="380">
        <v>2400</v>
      </c>
      <c r="W42" s="380">
        <v>2474</v>
      </c>
      <c r="X42" s="375">
        <v>0.51</v>
      </c>
    </row>
    <row r="43" spans="1:24" x14ac:dyDescent="0.25">
      <c r="A43" s="376">
        <v>12</v>
      </c>
      <c r="B43" s="376" t="s">
        <v>656</v>
      </c>
      <c r="C43" s="6" t="s">
        <v>1973</v>
      </c>
      <c r="D43" s="6" t="s">
        <v>794</v>
      </c>
      <c r="E43" s="21">
        <v>43836</v>
      </c>
      <c r="F43" s="376" t="s">
        <v>1461</v>
      </c>
      <c r="G43" s="376"/>
      <c r="H43" s="376">
        <v>6356</v>
      </c>
      <c r="I43" s="376">
        <v>4250</v>
      </c>
      <c r="J43" s="376" t="s">
        <v>1198</v>
      </c>
      <c r="K43" s="6" t="s">
        <v>2158</v>
      </c>
      <c r="L43" s="376">
        <v>1</v>
      </c>
      <c r="M43" s="379">
        <v>19328</v>
      </c>
      <c r="N43" s="519" t="s">
        <v>2886</v>
      </c>
      <c r="O43" s="379">
        <v>19328</v>
      </c>
      <c r="P43" s="379">
        <v>23000</v>
      </c>
      <c r="Q43" s="379">
        <v>23000</v>
      </c>
      <c r="R43" s="26">
        <v>43836</v>
      </c>
      <c r="S43" s="376" t="s">
        <v>1501</v>
      </c>
      <c r="T43" s="379">
        <v>46000</v>
      </c>
      <c r="U43" t="s">
        <v>1551</v>
      </c>
      <c r="V43" s="380">
        <v>14604</v>
      </c>
      <c r="W43" s="380">
        <v>4724</v>
      </c>
      <c r="X43" s="375">
        <v>0.24</v>
      </c>
    </row>
    <row r="44" spans="1:24" x14ac:dyDescent="0.25">
      <c r="A44" s="376">
        <v>12</v>
      </c>
      <c r="B44" s="376" t="s">
        <v>658</v>
      </c>
      <c r="C44" s="6" t="s">
        <v>1974</v>
      </c>
      <c r="D44" s="6" t="s">
        <v>794</v>
      </c>
      <c r="E44" s="21">
        <v>43836</v>
      </c>
      <c r="F44" s="376" t="s">
        <v>1461</v>
      </c>
      <c r="G44" s="376"/>
      <c r="H44" s="376">
        <v>6356</v>
      </c>
      <c r="I44" s="376">
        <v>4250</v>
      </c>
      <c r="J44" s="376" t="s">
        <v>1198</v>
      </c>
      <c r="K44" s="6" t="s">
        <v>2158</v>
      </c>
      <c r="L44" s="376">
        <v>1</v>
      </c>
      <c r="M44" s="379">
        <v>19328</v>
      </c>
      <c r="N44" s="519" t="s">
        <v>2886</v>
      </c>
      <c r="O44" s="379">
        <v>19328</v>
      </c>
      <c r="P44" s="379">
        <v>23000</v>
      </c>
      <c r="Q44" s="379">
        <v>23000</v>
      </c>
      <c r="R44" s="26">
        <v>43836</v>
      </c>
      <c r="S44" s="376" t="s">
        <v>1501</v>
      </c>
      <c r="T44" s="379">
        <v>46000</v>
      </c>
      <c r="U44" t="s">
        <v>1551</v>
      </c>
      <c r="V44" s="380">
        <v>14604</v>
      </c>
      <c r="W44" s="380">
        <v>4724</v>
      </c>
      <c r="X44" s="375">
        <v>0.24</v>
      </c>
    </row>
    <row r="45" spans="1:24" x14ac:dyDescent="0.25">
      <c r="A45" s="376">
        <v>11</v>
      </c>
      <c r="B45" s="376" t="s">
        <v>2038</v>
      </c>
      <c r="C45" s="6" t="s">
        <v>2097</v>
      </c>
      <c r="D45" s="6" t="s">
        <v>794</v>
      </c>
      <c r="E45" s="21">
        <v>43836</v>
      </c>
      <c r="F45" s="376" t="s">
        <v>925</v>
      </c>
      <c r="G45" s="376"/>
      <c r="H45" s="376">
        <v>6355</v>
      </c>
      <c r="I45" s="376">
        <v>4249</v>
      </c>
      <c r="J45" s="376" t="s">
        <v>2729</v>
      </c>
      <c r="K45" s="6" t="s">
        <v>2730</v>
      </c>
      <c r="L45" s="376">
        <v>3</v>
      </c>
      <c r="M45" s="439">
        <v>9664</v>
      </c>
      <c r="N45" s="519" t="s">
        <v>2886</v>
      </c>
      <c r="O45" s="439">
        <v>9664</v>
      </c>
      <c r="P45" s="439">
        <v>11500</v>
      </c>
      <c r="Q45" s="439">
        <v>34500</v>
      </c>
      <c r="R45" s="26">
        <v>43836</v>
      </c>
      <c r="S45" s="376" t="s">
        <v>1501</v>
      </c>
      <c r="T45" s="439">
        <v>34500</v>
      </c>
      <c r="U45" t="s">
        <v>1551</v>
      </c>
      <c r="V45" s="440">
        <v>7956</v>
      </c>
      <c r="W45" s="440">
        <v>1708</v>
      </c>
      <c r="X45" s="375">
        <v>0.18</v>
      </c>
    </row>
    <row r="46" spans="1:24" x14ac:dyDescent="0.25">
      <c r="A46" s="376">
        <v>8</v>
      </c>
      <c r="B46" s="376" t="s">
        <v>1516</v>
      </c>
      <c r="C46" s="6" t="s">
        <v>1737</v>
      </c>
      <c r="D46" s="6" t="s">
        <v>1504</v>
      </c>
      <c r="E46" s="21">
        <v>43836</v>
      </c>
      <c r="F46" s="376" t="s">
        <v>1461</v>
      </c>
      <c r="G46" s="376"/>
      <c r="H46" s="376">
        <v>6350</v>
      </c>
      <c r="I46" s="376">
        <v>4246</v>
      </c>
      <c r="J46" s="376" t="s">
        <v>1333</v>
      </c>
      <c r="K46" s="6" t="s">
        <v>959</v>
      </c>
      <c r="L46" s="376">
        <v>2</v>
      </c>
      <c r="M46" s="379">
        <v>3193</v>
      </c>
      <c r="N46" s="376" t="s">
        <v>2886</v>
      </c>
      <c r="O46" s="379">
        <v>3193</v>
      </c>
      <c r="P46" s="379">
        <v>3800</v>
      </c>
      <c r="Q46" s="379">
        <v>7600</v>
      </c>
      <c r="R46" s="26">
        <v>43834</v>
      </c>
      <c r="S46" s="376" t="s">
        <v>1501</v>
      </c>
      <c r="T46" s="379">
        <v>22700</v>
      </c>
      <c r="U46" t="s">
        <v>1545</v>
      </c>
      <c r="V46" s="380">
        <v>2195</v>
      </c>
      <c r="W46" s="380">
        <v>998</v>
      </c>
      <c r="X46" s="375">
        <v>0.31</v>
      </c>
    </row>
    <row r="47" spans="1:24" x14ac:dyDescent="0.25">
      <c r="A47" s="376">
        <v>8</v>
      </c>
      <c r="B47" s="376" t="s">
        <v>1647</v>
      </c>
      <c r="C47" s="6" t="s">
        <v>1670</v>
      </c>
      <c r="D47" s="6" t="s">
        <v>1504</v>
      </c>
      <c r="E47" s="21">
        <v>43836</v>
      </c>
      <c r="F47" s="376" t="s">
        <v>1461</v>
      </c>
      <c r="G47" s="376"/>
      <c r="H47" s="376">
        <v>6350</v>
      </c>
      <c r="I47" s="376">
        <v>4246</v>
      </c>
      <c r="J47" s="376" t="s">
        <v>1333</v>
      </c>
      <c r="K47" s="6" t="s">
        <v>959</v>
      </c>
      <c r="L47" s="376">
        <v>2</v>
      </c>
      <c r="M47" s="379">
        <v>3193</v>
      </c>
      <c r="N47" s="519" t="s">
        <v>2886</v>
      </c>
      <c r="O47" s="379">
        <v>3193</v>
      </c>
      <c r="P47" s="379">
        <v>3800</v>
      </c>
      <c r="Q47" s="379">
        <v>7600</v>
      </c>
      <c r="R47" s="26">
        <v>43834</v>
      </c>
      <c r="S47" s="376" t="s">
        <v>1501</v>
      </c>
      <c r="T47" s="379">
        <v>22700</v>
      </c>
      <c r="U47" t="s">
        <v>1545</v>
      </c>
      <c r="V47" s="380">
        <v>2085</v>
      </c>
      <c r="W47" s="380">
        <v>1108</v>
      </c>
      <c r="X47" s="375">
        <v>0.35</v>
      </c>
    </row>
    <row r="48" spans="1:24" x14ac:dyDescent="0.25">
      <c r="A48" s="376">
        <v>8</v>
      </c>
      <c r="B48" s="376" t="s">
        <v>1924</v>
      </c>
      <c r="C48" s="6" t="s">
        <v>1897</v>
      </c>
      <c r="D48" s="6" t="s">
        <v>1504</v>
      </c>
      <c r="E48" s="21">
        <v>43836</v>
      </c>
      <c r="F48" s="376" t="s">
        <v>1461</v>
      </c>
      <c r="G48" s="376"/>
      <c r="H48" s="376">
        <v>6350</v>
      </c>
      <c r="I48" s="376">
        <v>4246</v>
      </c>
      <c r="J48" s="376" t="s">
        <v>1333</v>
      </c>
      <c r="K48" s="6" t="s">
        <v>959</v>
      </c>
      <c r="L48" s="376">
        <v>3</v>
      </c>
      <c r="M48" s="379">
        <v>2101</v>
      </c>
      <c r="N48" s="376" t="s">
        <v>2886</v>
      </c>
      <c r="O48" s="379">
        <v>2101</v>
      </c>
      <c r="P48" s="379">
        <v>2500</v>
      </c>
      <c r="Q48" s="379">
        <v>7500</v>
      </c>
      <c r="R48" s="26">
        <v>43834</v>
      </c>
      <c r="S48" s="376" t="s">
        <v>1501</v>
      </c>
      <c r="T48" s="379">
        <v>22700</v>
      </c>
      <c r="U48" t="s">
        <v>1545</v>
      </c>
      <c r="V48" s="380">
        <v>850</v>
      </c>
      <c r="W48" s="380">
        <v>1251</v>
      </c>
      <c r="X48" s="375">
        <v>0.6</v>
      </c>
    </row>
    <row r="49" spans="1:24" x14ac:dyDescent="0.25">
      <c r="A49" s="4">
        <v>15</v>
      </c>
      <c r="B49" s="4" t="s">
        <v>855</v>
      </c>
      <c r="C49" s="6" t="s">
        <v>2499</v>
      </c>
      <c r="D49" s="6" t="s">
        <v>857</v>
      </c>
      <c r="E49" s="21">
        <v>43836</v>
      </c>
      <c r="F49" s="4" t="s">
        <v>1461</v>
      </c>
      <c r="H49" s="4">
        <v>6359</v>
      </c>
      <c r="I49" s="4">
        <v>4253</v>
      </c>
      <c r="J49" s="4" t="s">
        <v>4947</v>
      </c>
      <c r="K49" s="6" t="s">
        <v>4948</v>
      </c>
      <c r="L49" s="4">
        <v>1</v>
      </c>
      <c r="M49" s="379">
        <v>12437</v>
      </c>
      <c r="N49" s="4" t="s">
        <v>2886</v>
      </c>
      <c r="O49" s="379">
        <v>12437</v>
      </c>
      <c r="P49" s="379">
        <v>14800</v>
      </c>
      <c r="Q49" s="379">
        <v>14800</v>
      </c>
      <c r="R49" s="26">
        <v>43836</v>
      </c>
      <c r="S49" s="4" t="s">
        <v>1501</v>
      </c>
      <c r="T49" s="379">
        <v>25700</v>
      </c>
      <c r="U49" t="s">
        <v>1551</v>
      </c>
      <c r="V49" s="380">
        <v>9067</v>
      </c>
      <c r="W49" s="380">
        <v>3370</v>
      </c>
      <c r="X49" s="375">
        <v>0.27</v>
      </c>
    </row>
    <row r="50" spans="1:24" x14ac:dyDescent="0.25">
      <c r="A50" s="4">
        <v>15</v>
      </c>
      <c r="B50" s="4" t="s">
        <v>4880</v>
      </c>
      <c r="C50" s="6" t="s">
        <v>4904</v>
      </c>
      <c r="D50" s="6" t="s">
        <v>4881</v>
      </c>
      <c r="E50" s="21">
        <v>43836</v>
      </c>
      <c r="F50" s="4" t="s">
        <v>1461</v>
      </c>
      <c r="H50" s="4">
        <v>6359</v>
      </c>
      <c r="I50" s="4">
        <v>4253</v>
      </c>
      <c r="J50" s="4" t="s">
        <v>4947</v>
      </c>
      <c r="K50" s="6" t="s">
        <v>4948</v>
      </c>
      <c r="L50" s="4">
        <v>1</v>
      </c>
      <c r="M50" s="439">
        <v>9160</v>
      </c>
      <c r="N50" s="4" t="s">
        <v>2886</v>
      </c>
      <c r="O50" s="439">
        <v>9160</v>
      </c>
      <c r="P50" s="439">
        <v>10900</v>
      </c>
      <c r="Q50" s="439">
        <v>10900</v>
      </c>
      <c r="R50" s="26">
        <v>43836</v>
      </c>
      <c r="S50" s="4" t="s">
        <v>1501</v>
      </c>
      <c r="T50" s="439">
        <v>25700</v>
      </c>
      <c r="U50" t="s">
        <v>1572</v>
      </c>
      <c r="V50" s="440">
        <v>7188</v>
      </c>
      <c r="W50" s="440">
        <v>1972</v>
      </c>
      <c r="X50" s="375">
        <v>0.22</v>
      </c>
    </row>
    <row r="51" spans="1:24" x14ac:dyDescent="0.25">
      <c r="A51" s="4">
        <v>16</v>
      </c>
      <c r="B51" s="4" t="s">
        <v>3863</v>
      </c>
      <c r="C51" s="6" t="s">
        <v>3771</v>
      </c>
      <c r="D51" s="6" t="s">
        <v>1646</v>
      </c>
      <c r="E51" s="21">
        <v>43836</v>
      </c>
      <c r="F51" s="4" t="s">
        <v>925</v>
      </c>
      <c r="H51" s="4" t="s">
        <v>4360</v>
      </c>
      <c r="I51" s="4">
        <v>4254</v>
      </c>
      <c r="J51" s="4" t="s">
        <v>1192</v>
      </c>
      <c r="K51" s="6" t="s">
        <v>1061</v>
      </c>
      <c r="L51" s="4">
        <v>5</v>
      </c>
      <c r="M51" s="379">
        <v>2368</v>
      </c>
      <c r="N51" s="441" t="s">
        <v>2886</v>
      </c>
      <c r="O51" s="379">
        <v>2368</v>
      </c>
      <c r="P51" s="379">
        <v>2818</v>
      </c>
      <c r="Q51" s="379">
        <v>14090</v>
      </c>
      <c r="R51" s="26">
        <v>43836</v>
      </c>
      <c r="S51" s="4" t="s">
        <v>1501</v>
      </c>
      <c r="T51" s="379">
        <v>53778</v>
      </c>
      <c r="U51" t="s">
        <v>3934</v>
      </c>
      <c r="V51" s="380">
        <v>1787</v>
      </c>
      <c r="W51" s="380">
        <v>581</v>
      </c>
      <c r="X51" s="375">
        <v>0.25</v>
      </c>
    </row>
    <row r="52" spans="1:24" x14ac:dyDescent="0.25">
      <c r="A52" s="4">
        <v>16</v>
      </c>
      <c r="B52" s="4" t="s">
        <v>3906</v>
      </c>
      <c r="C52" s="6" t="s">
        <v>3813</v>
      </c>
      <c r="D52" s="6" t="s">
        <v>1646</v>
      </c>
      <c r="E52" s="21">
        <v>43836</v>
      </c>
      <c r="F52" s="4" t="s">
        <v>925</v>
      </c>
      <c r="H52" s="4" t="s">
        <v>4360</v>
      </c>
      <c r="I52" s="4">
        <v>4254</v>
      </c>
      <c r="J52" s="4" t="s">
        <v>1192</v>
      </c>
      <c r="K52" s="6" t="s">
        <v>1061</v>
      </c>
      <c r="L52" s="4">
        <v>10</v>
      </c>
      <c r="M52" s="379">
        <v>3335</v>
      </c>
      <c r="N52" s="441" t="s">
        <v>2886</v>
      </c>
      <c r="O52" s="379">
        <v>3335</v>
      </c>
      <c r="P52" s="379">
        <v>3969</v>
      </c>
      <c r="Q52" s="379">
        <v>39690</v>
      </c>
      <c r="R52" s="26">
        <v>43836</v>
      </c>
      <c r="S52" s="4" t="s">
        <v>1501</v>
      </c>
      <c r="T52" s="379">
        <v>53778</v>
      </c>
      <c r="U52" t="s">
        <v>3934</v>
      </c>
      <c r="V52" s="380">
        <v>2408</v>
      </c>
      <c r="W52" s="380">
        <v>927</v>
      </c>
      <c r="X52" s="375">
        <v>0.28000000000000003</v>
      </c>
    </row>
    <row r="53" spans="1:24" x14ac:dyDescent="0.25">
      <c r="A53" s="4">
        <v>17</v>
      </c>
      <c r="B53" s="4" t="s">
        <v>838</v>
      </c>
      <c r="C53" s="6" t="s">
        <v>2062</v>
      </c>
      <c r="D53" s="6" t="s">
        <v>840</v>
      </c>
      <c r="E53" s="21">
        <v>43836</v>
      </c>
      <c r="F53" s="4" t="s">
        <v>1461</v>
      </c>
      <c r="H53" s="4">
        <v>6360</v>
      </c>
      <c r="I53" s="4">
        <v>4255</v>
      </c>
      <c r="J53" s="4" t="s">
        <v>5335</v>
      </c>
      <c r="K53" s="6" t="s">
        <v>5336</v>
      </c>
      <c r="L53" s="4">
        <v>1</v>
      </c>
      <c r="M53" s="379">
        <v>15727</v>
      </c>
      <c r="N53" s="374">
        <v>-0.05</v>
      </c>
      <c r="O53" s="379">
        <v>16600</v>
      </c>
      <c r="P53" s="379">
        <v>19700</v>
      </c>
      <c r="Q53" s="379">
        <v>19700</v>
      </c>
      <c r="R53" s="26">
        <v>43836</v>
      </c>
      <c r="S53" s="4" t="s">
        <v>1501</v>
      </c>
      <c r="T53" s="379">
        <v>19700</v>
      </c>
      <c r="U53" t="s">
        <v>1572</v>
      </c>
      <c r="V53" s="380">
        <v>11808</v>
      </c>
      <c r="W53" s="380">
        <v>4792</v>
      </c>
      <c r="X53" s="375">
        <v>0.28999999999999998</v>
      </c>
    </row>
    <row r="54" spans="1:24" x14ac:dyDescent="0.25">
      <c r="A54" s="4">
        <v>13</v>
      </c>
      <c r="B54" s="4" t="s">
        <v>656</v>
      </c>
      <c r="C54" s="6" t="s">
        <v>1973</v>
      </c>
      <c r="D54" s="6" t="s">
        <v>794</v>
      </c>
      <c r="E54" s="21">
        <v>43836</v>
      </c>
      <c r="F54" s="4" t="s">
        <v>1461</v>
      </c>
      <c r="H54" s="4">
        <v>6357</v>
      </c>
      <c r="I54" s="4">
        <v>4251</v>
      </c>
      <c r="J54" s="4" t="s">
        <v>5596</v>
      </c>
      <c r="K54" s="6" t="s">
        <v>5597</v>
      </c>
      <c r="L54" s="4">
        <v>1</v>
      </c>
      <c r="M54" s="379">
        <v>19328</v>
      </c>
      <c r="N54" s="441" t="s">
        <v>2886</v>
      </c>
      <c r="O54" s="379">
        <v>19328</v>
      </c>
      <c r="P54" s="379">
        <v>23000</v>
      </c>
      <c r="Q54" s="379">
        <v>23000</v>
      </c>
      <c r="R54" s="26">
        <v>43836</v>
      </c>
      <c r="S54" s="4" t="s">
        <v>1501</v>
      </c>
      <c r="T54" s="379">
        <v>23000</v>
      </c>
      <c r="U54" t="s">
        <v>1551</v>
      </c>
      <c r="V54" s="380">
        <v>14604</v>
      </c>
      <c r="W54" s="380">
        <v>4724</v>
      </c>
      <c r="X54" s="375">
        <v>0.24</v>
      </c>
    </row>
    <row r="55" spans="1:24" x14ac:dyDescent="0.25">
      <c r="A55" s="4">
        <v>23</v>
      </c>
      <c r="B55" s="4" t="s">
        <v>838</v>
      </c>
      <c r="C55" s="6" t="s">
        <v>2062</v>
      </c>
      <c r="D55" s="6" t="s">
        <v>840</v>
      </c>
      <c r="E55" s="21">
        <v>43837</v>
      </c>
      <c r="F55" s="4" t="s">
        <v>1461</v>
      </c>
      <c r="H55" s="4">
        <v>6364</v>
      </c>
      <c r="I55" s="4">
        <v>4261</v>
      </c>
      <c r="J55" s="4" t="s">
        <v>3990</v>
      </c>
      <c r="K55" s="6" t="s">
        <v>3993</v>
      </c>
      <c r="L55" s="4">
        <v>1</v>
      </c>
      <c r="M55" s="379">
        <v>16555</v>
      </c>
      <c r="N55" s="587" t="s">
        <v>2886</v>
      </c>
      <c r="O55" s="379">
        <v>16555</v>
      </c>
      <c r="P55" s="379">
        <v>19700</v>
      </c>
      <c r="Q55" s="379">
        <v>19700</v>
      </c>
      <c r="R55" s="26">
        <v>43837</v>
      </c>
      <c r="S55" s="4" t="s">
        <v>1501</v>
      </c>
      <c r="T55" s="379">
        <v>19700</v>
      </c>
      <c r="U55" t="s">
        <v>1572</v>
      </c>
      <c r="V55" s="380">
        <v>11808</v>
      </c>
      <c r="W55" s="380">
        <v>4747</v>
      </c>
      <c r="X55" s="375">
        <v>0.28999999999999998</v>
      </c>
    </row>
    <row r="56" spans="1:24" x14ac:dyDescent="0.25">
      <c r="A56" s="4">
        <v>21</v>
      </c>
      <c r="B56" s="4" t="s">
        <v>4620</v>
      </c>
      <c r="C56" s="6" t="s">
        <v>4621</v>
      </c>
      <c r="D56" s="6" t="s">
        <v>4622</v>
      </c>
      <c r="E56" s="21">
        <v>43837</v>
      </c>
      <c r="F56" s="4" t="s">
        <v>1461</v>
      </c>
      <c r="H56" s="4">
        <v>6362</v>
      </c>
      <c r="I56" s="4">
        <v>4259</v>
      </c>
      <c r="J56" s="4" t="s">
        <v>4863</v>
      </c>
      <c r="K56" s="6" t="s">
        <v>4864</v>
      </c>
      <c r="L56" s="4">
        <v>1</v>
      </c>
      <c r="M56" s="379">
        <v>29832</v>
      </c>
      <c r="N56" s="441" t="s">
        <v>2886</v>
      </c>
      <c r="O56" s="379">
        <v>29832</v>
      </c>
      <c r="P56" s="379">
        <v>35500</v>
      </c>
      <c r="Q56" s="379">
        <v>35500</v>
      </c>
      <c r="R56" s="26">
        <v>43837</v>
      </c>
      <c r="S56" s="4" t="s">
        <v>1501</v>
      </c>
      <c r="T56" s="379">
        <v>35500</v>
      </c>
      <c r="U56" t="s">
        <v>4602</v>
      </c>
      <c r="V56" s="380">
        <v>23940</v>
      </c>
      <c r="W56" s="380">
        <v>5892</v>
      </c>
      <c r="X56" s="375">
        <v>0.2</v>
      </c>
    </row>
    <row r="57" spans="1:24" x14ac:dyDescent="0.25">
      <c r="A57" s="4">
        <v>19</v>
      </c>
      <c r="B57" s="4" t="s">
        <v>1647</v>
      </c>
      <c r="C57" s="6" t="s">
        <v>1670</v>
      </c>
      <c r="D57" s="6" t="s">
        <v>1504</v>
      </c>
      <c r="E57" s="21">
        <v>43837</v>
      </c>
      <c r="F57" s="4" t="s">
        <v>925</v>
      </c>
      <c r="H57" s="4" t="s">
        <v>2528</v>
      </c>
      <c r="I57" s="4">
        <v>4257</v>
      </c>
      <c r="J57" s="4" t="s">
        <v>1176</v>
      </c>
      <c r="K57" s="6" t="s">
        <v>949</v>
      </c>
      <c r="L57" s="4">
        <v>20</v>
      </c>
      <c r="M57" s="379">
        <v>3180</v>
      </c>
      <c r="N57" s="374">
        <v>0.09</v>
      </c>
      <c r="O57" s="379">
        <v>2917</v>
      </c>
      <c r="P57" s="379">
        <v>3444</v>
      </c>
      <c r="Q57" s="379">
        <v>68880</v>
      </c>
      <c r="R57" s="26">
        <v>43837</v>
      </c>
      <c r="S57" s="4" t="s">
        <v>1501</v>
      </c>
      <c r="T57" s="379">
        <v>341452</v>
      </c>
      <c r="U57" t="s">
        <v>1545</v>
      </c>
      <c r="V57" s="380">
        <v>2085</v>
      </c>
      <c r="W57" s="380">
        <v>832</v>
      </c>
      <c r="X57" s="375">
        <v>0.28999999999999998</v>
      </c>
    </row>
    <row r="58" spans="1:24" x14ac:dyDescent="0.25">
      <c r="A58" s="4">
        <v>19</v>
      </c>
      <c r="B58" s="4" t="s">
        <v>1755</v>
      </c>
      <c r="C58" s="6" t="s">
        <v>1925</v>
      </c>
      <c r="D58" s="6" t="s">
        <v>1504</v>
      </c>
      <c r="E58" s="21">
        <v>43837</v>
      </c>
      <c r="F58" s="4" t="s">
        <v>925</v>
      </c>
      <c r="H58" s="4" t="s">
        <v>2528</v>
      </c>
      <c r="I58" s="4">
        <v>4257</v>
      </c>
      <c r="J58" s="4" t="s">
        <v>1176</v>
      </c>
      <c r="K58" s="6" t="s">
        <v>949</v>
      </c>
      <c r="L58" s="4">
        <v>20</v>
      </c>
      <c r="M58" s="379">
        <v>3180</v>
      </c>
      <c r="N58" s="374">
        <v>0.09</v>
      </c>
      <c r="O58" s="379">
        <v>2917</v>
      </c>
      <c r="P58" s="379">
        <v>3444</v>
      </c>
      <c r="Q58" s="379">
        <v>68880</v>
      </c>
      <c r="R58" s="26">
        <v>43837</v>
      </c>
      <c r="S58" s="4" t="s">
        <v>1501</v>
      </c>
      <c r="T58" s="379">
        <v>341452</v>
      </c>
      <c r="U58" t="s">
        <v>1545</v>
      </c>
      <c r="V58" s="380">
        <v>2119</v>
      </c>
      <c r="W58" s="380">
        <v>798</v>
      </c>
      <c r="X58" s="375">
        <v>0.27</v>
      </c>
    </row>
    <row r="59" spans="1:24" x14ac:dyDescent="0.25">
      <c r="A59" s="4">
        <v>19</v>
      </c>
      <c r="B59" s="4" t="s">
        <v>1516</v>
      </c>
      <c r="C59" s="6" t="s">
        <v>1737</v>
      </c>
      <c r="D59" s="6" t="s">
        <v>1504</v>
      </c>
      <c r="E59" s="21">
        <v>43837</v>
      </c>
      <c r="F59" s="4" t="s">
        <v>925</v>
      </c>
      <c r="H59" s="4" t="s">
        <v>2528</v>
      </c>
      <c r="I59" s="4">
        <v>4257</v>
      </c>
      <c r="J59" s="4" t="s">
        <v>1176</v>
      </c>
      <c r="K59" s="6" t="s">
        <v>949</v>
      </c>
      <c r="L59" s="4">
        <v>20</v>
      </c>
      <c r="M59" s="379">
        <v>3280</v>
      </c>
      <c r="N59" s="374">
        <v>0.09</v>
      </c>
      <c r="O59" s="379">
        <v>3009</v>
      </c>
      <c r="P59" s="379">
        <v>3552</v>
      </c>
      <c r="Q59" s="379">
        <v>71040</v>
      </c>
      <c r="R59" s="26">
        <v>43837</v>
      </c>
      <c r="S59" s="4" t="s">
        <v>1501</v>
      </c>
      <c r="T59" s="379">
        <v>341452</v>
      </c>
      <c r="U59" t="s">
        <v>1545</v>
      </c>
      <c r="V59" s="380">
        <v>2195</v>
      </c>
      <c r="W59" s="380">
        <v>814</v>
      </c>
      <c r="X59" s="375">
        <v>0.27</v>
      </c>
    </row>
    <row r="60" spans="1:24" x14ac:dyDescent="0.25">
      <c r="A60" s="4">
        <v>19</v>
      </c>
      <c r="B60" s="4" t="s">
        <v>1924</v>
      </c>
      <c r="C60" s="6" t="s">
        <v>1897</v>
      </c>
      <c r="D60" s="6" t="s">
        <v>1504</v>
      </c>
      <c r="E60" s="21">
        <v>43837</v>
      </c>
      <c r="F60" s="4" t="s">
        <v>925</v>
      </c>
      <c r="H60" s="4" t="s">
        <v>2528</v>
      </c>
      <c r="I60" s="4">
        <v>4257</v>
      </c>
      <c r="J60" s="4" t="s">
        <v>1176</v>
      </c>
      <c r="K60" s="6" t="s">
        <v>949</v>
      </c>
      <c r="L60" s="4">
        <v>20</v>
      </c>
      <c r="M60" s="379">
        <v>1239</v>
      </c>
      <c r="N60" s="374">
        <v>0.09</v>
      </c>
      <c r="O60" s="379">
        <v>1137</v>
      </c>
      <c r="P60" s="379">
        <v>1342</v>
      </c>
      <c r="Q60" s="379">
        <v>26840</v>
      </c>
      <c r="R60" s="26">
        <v>43837</v>
      </c>
      <c r="S60" s="4" t="s">
        <v>1501</v>
      </c>
      <c r="T60" s="379">
        <v>341452</v>
      </c>
      <c r="U60" t="s">
        <v>1545</v>
      </c>
      <c r="V60" s="380">
        <v>850</v>
      </c>
      <c r="W60" s="380">
        <v>287</v>
      </c>
      <c r="X60" s="375">
        <v>0.25</v>
      </c>
    </row>
    <row r="61" spans="1:24" x14ac:dyDescent="0.25">
      <c r="A61" s="4">
        <v>19</v>
      </c>
      <c r="B61" s="4" t="s">
        <v>2111</v>
      </c>
      <c r="C61" s="6" t="s">
        <v>5113</v>
      </c>
      <c r="D61" s="6" t="s">
        <v>1638</v>
      </c>
      <c r="E61" s="21">
        <v>43837</v>
      </c>
      <c r="F61" s="4" t="s">
        <v>925</v>
      </c>
      <c r="H61" s="4" t="s">
        <v>2528</v>
      </c>
      <c r="I61" s="4">
        <v>4257</v>
      </c>
      <c r="J61" s="4" t="s">
        <v>1176</v>
      </c>
      <c r="K61" s="6" t="s">
        <v>949</v>
      </c>
      <c r="L61" s="4">
        <v>12</v>
      </c>
      <c r="M61" s="379">
        <v>3280</v>
      </c>
      <c r="N61" s="374">
        <v>0.09</v>
      </c>
      <c r="O61" s="379">
        <v>3009</v>
      </c>
      <c r="P61" s="379">
        <v>3552</v>
      </c>
      <c r="Q61" s="379">
        <v>42624</v>
      </c>
      <c r="R61" s="26">
        <v>43837</v>
      </c>
      <c r="S61" s="4" t="s">
        <v>1501</v>
      </c>
      <c r="T61" s="379">
        <v>341452</v>
      </c>
      <c r="U61" t="s">
        <v>1545</v>
      </c>
      <c r="V61" s="380">
        <v>2250</v>
      </c>
      <c r="W61" s="380">
        <v>759</v>
      </c>
      <c r="X61" s="375">
        <v>0.25</v>
      </c>
    </row>
    <row r="62" spans="1:24" x14ac:dyDescent="0.25">
      <c r="A62" s="4">
        <v>19</v>
      </c>
      <c r="B62" s="4" t="s">
        <v>1971</v>
      </c>
      <c r="C62" s="6" t="s">
        <v>5111</v>
      </c>
      <c r="D62" s="6" t="s">
        <v>1504</v>
      </c>
      <c r="E62" s="21">
        <v>43837</v>
      </c>
      <c r="F62" s="4" t="s">
        <v>925</v>
      </c>
      <c r="H62" s="4" t="s">
        <v>2528</v>
      </c>
      <c r="I62" s="4">
        <v>4257</v>
      </c>
      <c r="J62" s="4" t="s">
        <v>1176</v>
      </c>
      <c r="K62" s="6" t="s">
        <v>949</v>
      </c>
      <c r="L62" s="4">
        <v>12</v>
      </c>
      <c r="M62" s="379">
        <v>5029</v>
      </c>
      <c r="N62" s="374">
        <v>0.12</v>
      </c>
      <c r="O62" s="379">
        <v>4490</v>
      </c>
      <c r="P62" s="379">
        <v>5267</v>
      </c>
      <c r="Q62" s="379">
        <v>63204</v>
      </c>
      <c r="R62" s="26">
        <v>43837</v>
      </c>
      <c r="S62" s="4" t="s">
        <v>1501</v>
      </c>
      <c r="T62" s="379">
        <v>341452</v>
      </c>
      <c r="U62" t="s">
        <v>1545</v>
      </c>
      <c r="V62" s="380">
        <v>3624</v>
      </c>
      <c r="W62" s="380">
        <v>866</v>
      </c>
      <c r="X62" s="375">
        <v>0.19</v>
      </c>
    </row>
    <row r="63" spans="1:24" x14ac:dyDescent="0.25">
      <c r="A63" s="4">
        <v>22</v>
      </c>
      <c r="B63" s="4" t="s">
        <v>830</v>
      </c>
      <c r="C63" s="6" t="s">
        <v>2495</v>
      </c>
      <c r="D63" s="6" t="s">
        <v>837</v>
      </c>
      <c r="E63" s="21">
        <v>43837</v>
      </c>
      <c r="F63" s="4" t="s">
        <v>1461</v>
      </c>
      <c r="H63" s="4">
        <v>6363</v>
      </c>
      <c r="I63" s="4">
        <v>4260</v>
      </c>
      <c r="J63" s="4" t="s">
        <v>4551</v>
      </c>
      <c r="K63" s="6" t="s">
        <v>4552</v>
      </c>
      <c r="L63" s="4">
        <v>1</v>
      </c>
      <c r="M63" s="379">
        <v>13866</v>
      </c>
      <c r="N63" s="587" t="s">
        <v>2886</v>
      </c>
      <c r="O63" s="379">
        <v>13866</v>
      </c>
      <c r="P63" s="379">
        <v>16500</v>
      </c>
      <c r="Q63" s="379">
        <v>16500</v>
      </c>
      <c r="R63" s="26">
        <v>43837</v>
      </c>
      <c r="S63" s="4" t="s">
        <v>1501</v>
      </c>
      <c r="T63" s="379">
        <v>16500</v>
      </c>
      <c r="U63" t="s">
        <v>1572</v>
      </c>
      <c r="V63" s="380">
        <v>9870</v>
      </c>
      <c r="W63" s="380">
        <v>3996</v>
      </c>
      <c r="X63" s="375">
        <v>0.28999999999999998</v>
      </c>
    </row>
    <row r="64" spans="1:24" x14ac:dyDescent="0.25">
      <c r="A64" s="4">
        <v>20</v>
      </c>
      <c r="B64" s="4" t="s">
        <v>799</v>
      </c>
      <c r="C64" s="6" t="s">
        <v>1926</v>
      </c>
      <c r="D64" s="6" t="s">
        <v>802</v>
      </c>
      <c r="E64" s="21">
        <v>43837</v>
      </c>
      <c r="F64" s="4" t="s">
        <v>1461</v>
      </c>
      <c r="H64" s="4">
        <v>6361</v>
      </c>
      <c r="I64" s="4">
        <v>4258</v>
      </c>
      <c r="J64" s="4" t="s">
        <v>3987</v>
      </c>
      <c r="K64" s="6" t="s">
        <v>3988</v>
      </c>
      <c r="L64" s="4">
        <v>1</v>
      </c>
      <c r="M64" s="379">
        <v>16723</v>
      </c>
      <c r="N64" s="441" t="s">
        <v>2886</v>
      </c>
      <c r="O64" s="379">
        <v>16723</v>
      </c>
      <c r="P64" s="379">
        <v>19900</v>
      </c>
      <c r="Q64" s="379">
        <v>19900</v>
      </c>
      <c r="R64" s="26">
        <v>43837</v>
      </c>
      <c r="S64" s="4" t="s">
        <v>1501</v>
      </c>
      <c r="T64" s="379">
        <v>19900</v>
      </c>
      <c r="U64" t="s">
        <v>1551</v>
      </c>
      <c r="V64" s="380">
        <v>14078</v>
      </c>
      <c r="W64" s="380">
        <v>2645</v>
      </c>
      <c r="X64" s="375">
        <v>0.16</v>
      </c>
    </row>
    <row r="65" spans="1:24" x14ac:dyDescent="0.25">
      <c r="A65" s="4">
        <v>18</v>
      </c>
      <c r="B65" s="4" t="s">
        <v>5175</v>
      </c>
      <c r="C65" s="6" t="s">
        <v>5176</v>
      </c>
      <c r="D65" s="6" t="s">
        <v>5177</v>
      </c>
      <c r="E65" s="21">
        <v>43837</v>
      </c>
      <c r="F65" s="4" t="s">
        <v>925</v>
      </c>
      <c r="H65" s="4">
        <v>1038480</v>
      </c>
      <c r="I65" s="4">
        <v>4256</v>
      </c>
      <c r="J65" s="4" t="s">
        <v>1175</v>
      </c>
      <c r="K65" s="6" t="s">
        <v>1144</v>
      </c>
      <c r="L65" s="4">
        <v>300</v>
      </c>
      <c r="M65" s="379">
        <v>1385</v>
      </c>
      <c r="N65" s="374">
        <v>0.04</v>
      </c>
      <c r="O65" s="379">
        <v>1338</v>
      </c>
      <c r="P65" s="379">
        <v>1590</v>
      </c>
      <c r="Q65" s="379">
        <v>477000</v>
      </c>
      <c r="R65" s="26">
        <v>43838</v>
      </c>
      <c r="S65" s="4" t="s">
        <v>2050</v>
      </c>
      <c r="T65" s="379">
        <v>477000</v>
      </c>
      <c r="U65" t="s">
        <v>4934</v>
      </c>
      <c r="V65" s="380">
        <v>1000</v>
      </c>
      <c r="W65" s="380">
        <v>338</v>
      </c>
      <c r="X65" s="375">
        <v>0.25</v>
      </c>
    </row>
    <row r="66" spans="1:24" x14ac:dyDescent="0.25">
      <c r="A66" s="4">
        <v>25</v>
      </c>
      <c r="B66" s="4" t="s">
        <v>3455</v>
      </c>
      <c r="C66" s="6" t="s">
        <v>3576</v>
      </c>
      <c r="D66" s="6" t="s">
        <v>3578</v>
      </c>
      <c r="E66" s="21">
        <v>43838</v>
      </c>
      <c r="F66" s="4" t="s">
        <v>925</v>
      </c>
      <c r="H66" s="4">
        <v>1038478</v>
      </c>
      <c r="I66" s="4">
        <v>4263</v>
      </c>
      <c r="J66" s="4" t="s">
        <v>1175</v>
      </c>
      <c r="K66" s="6" t="s">
        <v>1144</v>
      </c>
      <c r="L66" s="4">
        <v>6</v>
      </c>
      <c r="M66" s="379">
        <v>5030</v>
      </c>
      <c r="N66" s="587" t="s">
        <v>2886</v>
      </c>
      <c r="O66" s="379">
        <v>5030</v>
      </c>
      <c r="P66" s="379">
        <v>5986</v>
      </c>
      <c r="Q66" s="379">
        <v>35916</v>
      </c>
      <c r="R66" s="26">
        <v>43838</v>
      </c>
      <c r="S66" s="4" t="s">
        <v>2050</v>
      </c>
      <c r="T66" s="379">
        <v>73475</v>
      </c>
      <c r="U66" t="s">
        <v>3577</v>
      </c>
      <c r="V66" s="380">
        <v>3584</v>
      </c>
      <c r="W66" s="380">
        <v>1446</v>
      </c>
      <c r="X66" s="375">
        <v>0.28999999999999998</v>
      </c>
    </row>
    <row r="67" spans="1:24" x14ac:dyDescent="0.25">
      <c r="A67" s="4">
        <v>32</v>
      </c>
      <c r="B67" s="4" t="s">
        <v>1912</v>
      </c>
      <c r="C67" s="6" t="s">
        <v>1917</v>
      </c>
      <c r="D67" s="6" t="s">
        <v>2717</v>
      </c>
      <c r="E67" s="21">
        <v>43838</v>
      </c>
      <c r="F67" s="4" t="s">
        <v>1461</v>
      </c>
      <c r="H67" s="4">
        <v>6368</v>
      </c>
      <c r="I67" s="4">
        <v>4270</v>
      </c>
      <c r="J67" s="4" t="s">
        <v>1419</v>
      </c>
      <c r="K67" s="6" t="s">
        <v>1119</v>
      </c>
      <c r="L67" s="4">
        <v>24</v>
      </c>
      <c r="M67" s="379">
        <v>462</v>
      </c>
      <c r="N67" s="587" t="s">
        <v>2886</v>
      </c>
      <c r="O67" s="379">
        <v>462</v>
      </c>
      <c r="P67" s="379">
        <v>550</v>
      </c>
      <c r="Q67" s="379">
        <v>13200</v>
      </c>
      <c r="R67" s="26">
        <v>43838</v>
      </c>
      <c r="S67" s="4" t="s">
        <v>1501</v>
      </c>
      <c r="T67" s="379">
        <v>13200</v>
      </c>
      <c r="U67" t="s">
        <v>1556</v>
      </c>
      <c r="V67" s="380">
        <v>244</v>
      </c>
      <c r="W67" s="380">
        <v>218</v>
      </c>
      <c r="X67" s="375">
        <v>0.47</v>
      </c>
    </row>
    <row r="68" spans="1:24" x14ac:dyDescent="0.25">
      <c r="A68" s="4">
        <v>28</v>
      </c>
      <c r="B68" s="4" t="s">
        <v>838</v>
      </c>
      <c r="C68" s="6" t="s">
        <v>2062</v>
      </c>
      <c r="D68" s="6" t="s">
        <v>840</v>
      </c>
      <c r="E68" s="21">
        <v>43838</v>
      </c>
      <c r="F68" s="4" t="s">
        <v>1461</v>
      </c>
      <c r="H68" s="4">
        <v>6365</v>
      </c>
      <c r="I68" s="4">
        <v>4266</v>
      </c>
      <c r="J68" s="4" t="s">
        <v>5273</v>
      </c>
      <c r="K68" s="6" t="s">
        <v>5274</v>
      </c>
      <c r="L68" s="4">
        <v>2</v>
      </c>
      <c r="M68" s="379">
        <v>16555</v>
      </c>
      <c r="N68" s="581" t="s">
        <v>2886</v>
      </c>
      <c r="O68" s="379">
        <v>16555</v>
      </c>
      <c r="P68" s="379">
        <v>19700</v>
      </c>
      <c r="Q68" s="379">
        <v>39400</v>
      </c>
      <c r="R68" s="26">
        <v>43837</v>
      </c>
      <c r="S68" s="4" t="s">
        <v>1501</v>
      </c>
      <c r="T68" s="379">
        <v>39400</v>
      </c>
      <c r="U68" t="s">
        <v>1572</v>
      </c>
      <c r="V68" s="380">
        <v>11808</v>
      </c>
      <c r="W68" s="380">
        <v>4747</v>
      </c>
      <c r="X68" s="375">
        <v>0.28999999999999998</v>
      </c>
    </row>
    <row r="69" spans="1:24" x14ac:dyDescent="0.25">
      <c r="A69" s="4">
        <v>24</v>
      </c>
      <c r="B69" s="4" t="s">
        <v>1779</v>
      </c>
      <c r="C69" s="6" t="s">
        <v>5482</v>
      </c>
      <c r="D69" s="6" t="s">
        <v>94</v>
      </c>
      <c r="E69" s="21">
        <v>43838</v>
      </c>
      <c r="F69" s="4" t="s">
        <v>925</v>
      </c>
      <c r="H69" s="4" t="s">
        <v>2528</v>
      </c>
      <c r="I69" s="4">
        <v>4262</v>
      </c>
      <c r="J69" s="4" t="s">
        <v>1179</v>
      </c>
      <c r="K69" s="6" t="s">
        <v>952</v>
      </c>
      <c r="L69" s="4">
        <v>12</v>
      </c>
      <c r="M69" s="379">
        <v>1648</v>
      </c>
      <c r="N69" s="374">
        <v>0.05</v>
      </c>
      <c r="O69" s="379">
        <v>1570</v>
      </c>
      <c r="P69" s="379">
        <v>1863</v>
      </c>
      <c r="Q69" s="379">
        <v>22356</v>
      </c>
      <c r="R69" s="26">
        <v>43838</v>
      </c>
      <c r="S69" s="4" t="s">
        <v>2050</v>
      </c>
      <c r="T69" s="379">
        <v>22359</v>
      </c>
      <c r="U69" t="s">
        <v>1569</v>
      </c>
      <c r="V69" s="380">
        <v>1190</v>
      </c>
      <c r="W69" s="380">
        <v>380</v>
      </c>
      <c r="X69" s="375">
        <v>0.24</v>
      </c>
    </row>
    <row r="70" spans="1:24" x14ac:dyDescent="0.25">
      <c r="A70" s="4">
        <v>33</v>
      </c>
      <c r="B70" s="4" t="s">
        <v>838</v>
      </c>
      <c r="C70" s="6" t="s">
        <v>2062</v>
      </c>
      <c r="D70" s="6" t="s">
        <v>840</v>
      </c>
      <c r="E70" s="21">
        <v>43838</v>
      </c>
      <c r="F70" s="4" t="s">
        <v>1461</v>
      </c>
      <c r="H70" s="4">
        <v>6369</v>
      </c>
      <c r="I70" s="4">
        <v>4271</v>
      </c>
      <c r="J70" s="4" t="s">
        <v>2619</v>
      </c>
      <c r="K70" s="6" t="s">
        <v>3361</v>
      </c>
      <c r="L70" s="4">
        <v>1</v>
      </c>
      <c r="M70" s="379">
        <v>16555</v>
      </c>
      <c r="N70" s="581" t="s">
        <v>2886</v>
      </c>
      <c r="O70" s="379">
        <v>16555</v>
      </c>
      <c r="P70" s="379">
        <v>19700</v>
      </c>
      <c r="Q70" s="379">
        <v>19700</v>
      </c>
      <c r="R70" s="26">
        <v>43839</v>
      </c>
      <c r="S70" s="4" t="s">
        <v>1501</v>
      </c>
      <c r="T70" s="379">
        <v>29900</v>
      </c>
      <c r="U70" t="s">
        <v>1572</v>
      </c>
      <c r="V70" s="380">
        <v>11808</v>
      </c>
      <c r="W70" s="380">
        <v>4747</v>
      </c>
      <c r="X70" s="375">
        <v>0.28999999999999998</v>
      </c>
    </row>
    <row r="71" spans="1:24" x14ac:dyDescent="0.25">
      <c r="A71" s="4">
        <v>33</v>
      </c>
      <c r="B71" s="4" t="s">
        <v>847</v>
      </c>
      <c r="C71" s="6" t="s">
        <v>2201</v>
      </c>
      <c r="D71" s="6" t="s">
        <v>2198</v>
      </c>
      <c r="E71" s="21">
        <v>43838</v>
      </c>
      <c r="F71" s="4" t="s">
        <v>1461</v>
      </c>
      <c r="H71" s="4">
        <v>6369</v>
      </c>
      <c r="I71" s="4">
        <v>4271</v>
      </c>
      <c r="J71" s="4" t="s">
        <v>2619</v>
      </c>
      <c r="K71" s="6" t="s">
        <v>3361</v>
      </c>
      <c r="L71" s="4">
        <v>1</v>
      </c>
      <c r="M71" s="379">
        <v>8571</v>
      </c>
      <c r="N71" s="581" t="s">
        <v>2886</v>
      </c>
      <c r="O71" s="379">
        <v>8571</v>
      </c>
      <c r="P71" s="379">
        <v>10200</v>
      </c>
      <c r="Q71" s="379">
        <v>10200</v>
      </c>
      <c r="R71" s="26">
        <v>43839</v>
      </c>
      <c r="S71" s="4" t="s">
        <v>1501</v>
      </c>
      <c r="T71" s="379">
        <v>29900</v>
      </c>
      <c r="U71" t="s">
        <v>1572</v>
      </c>
      <c r="V71" s="380">
        <v>5992</v>
      </c>
      <c r="W71" s="380">
        <v>2579</v>
      </c>
      <c r="X71" s="375">
        <v>0.3</v>
      </c>
    </row>
    <row r="72" spans="1:24" x14ac:dyDescent="0.25">
      <c r="A72" s="4">
        <v>27</v>
      </c>
      <c r="B72" s="4" t="s">
        <v>845</v>
      </c>
      <c r="C72" s="6" t="s">
        <v>2199</v>
      </c>
      <c r="D72" s="6" t="s">
        <v>2198</v>
      </c>
      <c r="E72" s="21">
        <v>43838</v>
      </c>
      <c r="F72" s="4" t="s">
        <v>925</v>
      </c>
      <c r="H72" s="4" t="s">
        <v>2528</v>
      </c>
      <c r="I72" s="4">
        <v>4265</v>
      </c>
      <c r="J72" s="4" t="s">
        <v>1176</v>
      </c>
      <c r="K72" s="6" t="s">
        <v>949</v>
      </c>
      <c r="L72" s="4">
        <v>9</v>
      </c>
      <c r="M72" s="379">
        <v>19546</v>
      </c>
      <c r="N72" s="374">
        <v>0.09</v>
      </c>
      <c r="O72" s="379">
        <v>17932</v>
      </c>
      <c r="P72" s="379">
        <v>21166</v>
      </c>
      <c r="Q72" s="379">
        <v>190494</v>
      </c>
      <c r="R72" s="26">
        <v>43838</v>
      </c>
      <c r="S72" s="4" t="s">
        <v>2050</v>
      </c>
      <c r="T72" s="379">
        <v>190494</v>
      </c>
      <c r="U72" t="s">
        <v>1572</v>
      </c>
      <c r="V72" s="380">
        <v>14112</v>
      </c>
      <c r="W72" s="380">
        <v>3820</v>
      </c>
      <c r="X72" s="375">
        <v>0.21</v>
      </c>
    </row>
    <row r="73" spans="1:24" x14ac:dyDescent="0.25">
      <c r="A73" s="4">
        <v>29</v>
      </c>
      <c r="B73" s="4" t="s">
        <v>855</v>
      </c>
      <c r="C73" s="6" t="s">
        <v>2499</v>
      </c>
      <c r="D73" s="6" t="s">
        <v>857</v>
      </c>
      <c r="E73" s="21">
        <v>43838</v>
      </c>
      <c r="F73" s="4" t="s">
        <v>1461</v>
      </c>
      <c r="H73" s="4">
        <v>6366</v>
      </c>
      <c r="I73" s="4">
        <v>4267</v>
      </c>
      <c r="J73" s="4" t="s">
        <v>4545</v>
      </c>
      <c r="K73" s="6" t="s">
        <v>4546</v>
      </c>
      <c r="L73" s="4">
        <v>4</v>
      </c>
      <c r="M73" s="379">
        <v>12437</v>
      </c>
      <c r="N73" s="587" t="s">
        <v>2886</v>
      </c>
      <c r="O73" s="379">
        <v>12437</v>
      </c>
      <c r="P73" s="379">
        <v>14800</v>
      </c>
      <c r="Q73" s="379">
        <v>59200</v>
      </c>
      <c r="R73" s="26">
        <v>43838</v>
      </c>
      <c r="S73" s="4" t="s">
        <v>1501</v>
      </c>
      <c r="T73" s="379">
        <v>70600</v>
      </c>
      <c r="U73" t="s">
        <v>1551</v>
      </c>
      <c r="V73" s="380">
        <v>9067</v>
      </c>
      <c r="W73" s="380">
        <v>3370</v>
      </c>
      <c r="X73" s="375">
        <v>0.27</v>
      </c>
    </row>
    <row r="74" spans="1:24" x14ac:dyDescent="0.25">
      <c r="A74" s="4">
        <v>29</v>
      </c>
      <c r="B74" s="4" t="s">
        <v>1516</v>
      </c>
      <c r="C74" s="6" t="s">
        <v>1737</v>
      </c>
      <c r="D74" s="6" t="s">
        <v>1504</v>
      </c>
      <c r="E74" s="21">
        <v>43838</v>
      </c>
      <c r="F74" s="4" t="s">
        <v>1461</v>
      </c>
      <c r="H74" s="4">
        <v>6366</v>
      </c>
      <c r="I74" s="4">
        <v>4267</v>
      </c>
      <c r="J74" s="4" t="s">
        <v>4545</v>
      </c>
      <c r="K74" s="6" t="s">
        <v>4546</v>
      </c>
      <c r="L74" s="4">
        <v>3</v>
      </c>
      <c r="M74" s="379">
        <v>3193</v>
      </c>
      <c r="N74" s="587" t="s">
        <v>2886</v>
      </c>
      <c r="O74" s="379">
        <v>3193</v>
      </c>
      <c r="P74" s="379">
        <v>3800</v>
      </c>
      <c r="Q74" s="379">
        <v>11400</v>
      </c>
      <c r="R74" s="26">
        <v>43838</v>
      </c>
      <c r="S74" s="4" t="s">
        <v>1501</v>
      </c>
      <c r="T74" s="379">
        <v>70600</v>
      </c>
      <c r="U74" t="s">
        <v>1545</v>
      </c>
      <c r="V74" s="380">
        <v>2195</v>
      </c>
      <c r="W74" s="380">
        <v>998</v>
      </c>
      <c r="X74" s="375">
        <v>0.31</v>
      </c>
    </row>
    <row r="75" spans="1:24" x14ac:dyDescent="0.25">
      <c r="A75" s="4">
        <v>31</v>
      </c>
      <c r="B75" s="4" t="s">
        <v>4393</v>
      </c>
      <c r="C75" s="6" t="s">
        <v>4527</v>
      </c>
      <c r="D75" s="6" t="s">
        <v>2461</v>
      </c>
      <c r="E75" s="21">
        <v>43838</v>
      </c>
      <c r="F75" s="4" t="s">
        <v>925</v>
      </c>
      <c r="H75" s="4" t="s">
        <v>4429</v>
      </c>
      <c r="I75" s="4">
        <v>4269</v>
      </c>
      <c r="J75" s="4" t="s">
        <v>1192</v>
      </c>
      <c r="K75" s="6" t="s">
        <v>1061</v>
      </c>
      <c r="L75" s="4">
        <v>1</v>
      </c>
      <c r="M75" s="379">
        <v>14244</v>
      </c>
      <c r="N75" s="587" t="s">
        <v>2886</v>
      </c>
      <c r="O75" s="379">
        <v>14244</v>
      </c>
      <c r="P75" s="379">
        <v>16950</v>
      </c>
      <c r="Q75" s="379">
        <v>16950</v>
      </c>
      <c r="R75" s="26">
        <v>43838</v>
      </c>
      <c r="S75" s="4" t="s">
        <v>1501</v>
      </c>
      <c r="T75" s="379">
        <v>64750</v>
      </c>
      <c r="U75" t="s">
        <v>4528</v>
      </c>
      <c r="V75" s="380">
        <v>930</v>
      </c>
      <c r="W75" s="380">
        <v>13314</v>
      </c>
      <c r="X75" s="375">
        <v>0.93</v>
      </c>
    </row>
    <row r="76" spans="1:24" x14ac:dyDescent="0.25">
      <c r="A76" s="4">
        <v>31</v>
      </c>
      <c r="B76" s="4" t="s">
        <v>2289</v>
      </c>
      <c r="C76" s="6" t="s">
        <v>2620</v>
      </c>
      <c r="D76" s="6" t="s">
        <v>1539</v>
      </c>
      <c r="E76" s="21">
        <v>43838</v>
      </c>
      <c r="F76" s="4" t="s">
        <v>925</v>
      </c>
      <c r="H76" s="4" t="s">
        <v>4429</v>
      </c>
      <c r="I76" s="4">
        <v>4269</v>
      </c>
      <c r="J76" s="4" t="s">
        <v>1192</v>
      </c>
      <c r="K76" s="6" t="s">
        <v>1061</v>
      </c>
      <c r="L76" s="4">
        <v>2</v>
      </c>
      <c r="M76" s="379">
        <v>20084</v>
      </c>
      <c r="N76" s="519" t="s">
        <v>2886</v>
      </c>
      <c r="O76" s="379">
        <v>20084</v>
      </c>
      <c r="P76" s="379">
        <v>23900</v>
      </c>
      <c r="Q76" s="379">
        <v>47800</v>
      </c>
      <c r="R76" s="26">
        <v>43838</v>
      </c>
      <c r="S76" s="4" t="s">
        <v>1501</v>
      </c>
      <c r="T76" s="379">
        <v>64750</v>
      </c>
      <c r="U76" t="s">
        <v>1524</v>
      </c>
      <c r="V76" s="380">
        <v>16386</v>
      </c>
      <c r="W76" s="380">
        <v>3698</v>
      </c>
      <c r="X76" s="375">
        <v>0.18</v>
      </c>
    </row>
    <row r="77" spans="1:24" x14ac:dyDescent="0.25">
      <c r="A77" s="4">
        <v>30</v>
      </c>
      <c r="B77" s="4" t="s">
        <v>830</v>
      </c>
      <c r="C77" s="6" t="s">
        <v>2495</v>
      </c>
      <c r="D77" s="6" t="s">
        <v>837</v>
      </c>
      <c r="E77" s="21">
        <v>43838</v>
      </c>
      <c r="F77" s="4" t="s">
        <v>1461</v>
      </c>
      <c r="H77" s="4">
        <v>6367</v>
      </c>
      <c r="I77" s="4">
        <v>4268</v>
      </c>
      <c r="J77" s="4" t="s">
        <v>5538</v>
      </c>
      <c r="K77" s="6" t="s">
        <v>5539</v>
      </c>
      <c r="L77" s="4">
        <v>1</v>
      </c>
      <c r="M77" s="379">
        <v>13866</v>
      </c>
      <c r="N77" s="519" t="s">
        <v>2886</v>
      </c>
      <c r="O77" s="379">
        <v>13866</v>
      </c>
      <c r="P77" s="379">
        <v>16500</v>
      </c>
      <c r="Q77" s="379">
        <v>16500</v>
      </c>
      <c r="R77" s="26">
        <v>43838</v>
      </c>
      <c r="S77" s="4" t="s">
        <v>1501</v>
      </c>
      <c r="T77" s="379">
        <v>16500</v>
      </c>
      <c r="U77" t="s">
        <v>1572</v>
      </c>
      <c r="V77" s="380">
        <v>9870</v>
      </c>
      <c r="W77" s="380">
        <v>3996</v>
      </c>
      <c r="X77" s="375">
        <v>0.28999999999999998</v>
      </c>
    </row>
    <row r="78" spans="1:24" x14ac:dyDescent="0.25">
      <c r="A78" s="4">
        <v>26</v>
      </c>
      <c r="B78" s="4" t="s">
        <v>2207</v>
      </c>
      <c r="C78" s="6" t="s">
        <v>3697</v>
      </c>
      <c r="D78" s="6" t="s">
        <v>1900</v>
      </c>
      <c r="E78" s="21">
        <v>43838</v>
      </c>
      <c r="F78" s="4" t="s">
        <v>925</v>
      </c>
      <c r="H78" s="4">
        <v>1038478</v>
      </c>
      <c r="I78" s="4">
        <v>4264</v>
      </c>
      <c r="J78" s="4" t="s">
        <v>1175</v>
      </c>
      <c r="K78" s="6" t="s">
        <v>1144</v>
      </c>
      <c r="L78" s="4">
        <v>80</v>
      </c>
      <c r="M78" s="379">
        <v>453</v>
      </c>
      <c r="N78" s="374">
        <v>0.05</v>
      </c>
      <c r="O78" s="379">
        <v>431</v>
      </c>
      <c r="P78" s="379">
        <v>512</v>
      </c>
      <c r="Q78" s="379">
        <v>40960</v>
      </c>
      <c r="R78" s="26">
        <v>43838</v>
      </c>
      <c r="S78" s="4" t="s">
        <v>2050</v>
      </c>
      <c r="T78" s="379">
        <v>292085</v>
      </c>
      <c r="U78" t="s">
        <v>1562</v>
      </c>
      <c r="V78" s="380">
        <v>327</v>
      </c>
      <c r="W78" s="380">
        <v>104</v>
      </c>
      <c r="X78" s="375">
        <v>0.24</v>
      </c>
    </row>
    <row r="79" spans="1:24" x14ac:dyDescent="0.25">
      <c r="A79" s="4">
        <v>26</v>
      </c>
      <c r="B79" s="4" t="s">
        <v>4672</v>
      </c>
      <c r="C79" s="6" t="s">
        <v>4673</v>
      </c>
      <c r="D79" s="6" t="s">
        <v>4674</v>
      </c>
      <c r="E79" s="21">
        <v>43838</v>
      </c>
      <c r="F79" s="4" t="s">
        <v>925</v>
      </c>
      <c r="H79" s="4">
        <v>1038478</v>
      </c>
      <c r="I79" s="4">
        <v>4264</v>
      </c>
      <c r="J79" s="4" t="s">
        <v>1175</v>
      </c>
      <c r="K79" s="6" t="s">
        <v>1144</v>
      </c>
      <c r="L79" s="4">
        <v>15</v>
      </c>
      <c r="M79" s="379">
        <v>1046</v>
      </c>
      <c r="N79" s="374">
        <v>0.01</v>
      </c>
      <c r="O79" s="379">
        <v>1032</v>
      </c>
      <c r="P79" s="379">
        <v>1227</v>
      </c>
      <c r="Q79" s="379">
        <v>18405</v>
      </c>
      <c r="R79" s="26">
        <v>43838</v>
      </c>
      <c r="S79" s="4" t="s">
        <v>2050</v>
      </c>
      <c r="T79" s="379">
        <v>292085</v>
      </c>
      <c r="U79" t="s">
        <v>4767</v>
      </c>
      <c r="V79" s="380">
        <v>755</v>
      </c>
      <c r="W79" s="380">
        <v>277</v>
      </c>
      <c r="X79" s="375">
        <v>0.27</v>
      </c>
    </row>
    <row r="80" spans="1:24" x14ac:dyDescent="0.25">
      <c r="A80" s="4">
        <v>26</v>
      </c>
      <c r="B80" s="4" t="s">
        <v>1471</v>
      </c>
      <c r="C80" s="6" t="s">
        <v>1655</v>
      </c>
      <c r="D80" s="6" t="s">
        <v>1469</v>
      </c>
      <c r="E80" s="21">
        <v>43838</v>
      </c>
      <c r="F80" s="4" t="s">
        <v>925</v>
      </c>
      <c r="H80" s="4">
        <v>1038478</v>
      </c>
      <c r="I80" s="4">
        <v>4264</v>
      </c>
      <c r="J80" s="4" t="s">
        <v>1175</v>
      </c>
      <c r="K80" s="6" t="s">
        <v>1144</v>
      </c>
      <c r="L80" s="4">
        <v>40</v>
      </c>
      <c r="M80" s="379">
        <v>880</v>
      </c>
      <c r="N80" s="374">
        <v>0.08</v>
      </c>
      <c r="O80" s="379">
        <v>813</v>
      </c>
      <c r="P80" s="379">
        <v>960</v>
      </c>
      <c r="Q80" s="379">
        <v>38400</v>
      </c>
      <c r="R80" s="26">
        <v>43838</v>
      </c>
      <c r="S80" s="4" t="s">
        <v>2050</v>
      </c>
      <c r="T80" s="379">
        <v>292085</v>
      </c>
      <c r="U80" t="s">
        <v>1570</v>
      </c>
      <c r="V80" s="380">
        <v>635</v>
      </c>
      <c r="W80" s="380">
        <v>178</v>
      </c>
      <c r="X80" s="375">
        <v>0.22</v>
      </c>
    </row>
    <row r="81" spans="1:24" x14ac:dyDescent="0.25">
      <c r="A81" s="4">
        <v>26</v>
      </c>
      <c r="B81" s="4" t="s">
        <v>1472</v>
      </c>
      <c r="C81" s="6" t="s">
        <v>1656</v>
      </c>
      <c r="D81" s="6" t="s">
        <v>1469</v>
      </c>
      <c r="E81" s="21">
        <v>43838</v>
      </c>
      <c r="F81" s="4" t="s">
        <v>925</v>
      </c>
      <c r="H81" s="4">
        <v>1038478</v>
      </c>
      <c r="I81" s="4">
        <v>4264</v>
      </c>
      <c r="J81" s="4" t="s">
        <v>1175</v>
      </c>
      <c r="K81" s="6" t="s">
        <v>1144</v>
      </c>
      <c r="L81" s="4">
        <v>24</v>
      </c>
      <c r="M81" s="379">
        <v>1676</v>
      </c>
      <c r="N81" s="374">
        <v>0.08</v>
      </c>
      <c r="O81" s="379">
        <v>1553</v>
      </c>
      <c r="P81" s="379">
        <v>1837</v>
      </c>
      <c r="Q81" s="379">
        <v>44088</v>
      </c>
      <c r="R81" s="26">
        <v>43838</v>
      </c>
      <c r="S81" s="4" t="s">
        <v>2050</v>
      </c>
      <c r="T81" s="379">
        <v>292085</v>
      </c>
      <c r="U81" t="s">
        <v>1570</v>
      </c>
      <c r="V81" s="380">
        <v>1210</v>
      </c>
      <c r="W81" s="380">
        <v>343</v>
      </c>
      <c r="X81" s="375">
        <v>0.22</v>
      </c>
    </row>
    <row r="82" spans="1:24" x14ac:dyDescent="0.25">
      <c r="A82" s="4">
        <v>26</v>
      </c>
      <c r="B82" s="4" t="s">
        <v>30</v>
      </c>
      <c r="C82" s="6" t="s">
        <v>5241</v>
      </c>
      <c r="D82" s="6" t="s">
        <v>33</v>
      </c>
      <c r="E82" s="21">
        <v>43838</v>
      </c>
      <c r="F82" s="4" t="s">
        <v>925</v>
      </c>
      <c r="H82" s="4">
        <v>1038478</v>
      </c>
      <c r="I82" s="4">
        <v>4264</v>
      </c>
      <c r="J82" s="4" t="s">
        <v>1175</v>
      </c>
      <c r="K82" s="6" t="s">
        <v>1144</v>
      </c>
      <c r="L82" s="4">
        <v>96</v>
      </c>
      <c r="M82" s="379">
        <v>741</v>
      </c>
      <c r="N82" s="374">
        <v>0.05</v>
      </c>
      <c r="O82" s="379">
        <v>709</v>
      </c>
      <c r="P82" s="379">
        <v>842</v>
      </c>
      <c r="Q82" s="379">
        <v>80832</v>
      </c>
      <c r="R82" s="26">
        <v>43838</v>
      </c>
      <c r="S82" s="4" t="s">
        <v>2050</v>
      </c>
      <c r="T82" s="379">
        <v>292085</v>
      </c>
      <c r="U82" t="s">
        <v>1563</v>
      </c>
      <c r="V82" s="380">
        <v>535</v>
      </c>
      <c r="W82" s="380">
        <v>174</v>
      </c>
      <c r="X82" s="375">
        <v>0.25</v>
      </c>
    </row>
    <row r="83" spans="1:24" x14ac:dyDescent="0.25">
      <c r="A83" s="4">
        <v>26</v>
      </c>
      <c r="B83" s="4" t="s">
        <v>182</v>
      </c>
      <c r="C83" s="6" t="s">
        <v>2139</v>
      </c>
      <c r="D83" s="6" t="s">
        <v>2792</v>
      </c>
      <c r="E83" s="21">
        <v>43838</v>
      </c>
      <c r="F83" s="4" t="s">
        <v>925</v>
      </c>
      <c r="H83" s="4">
        <v>1038478</v>
      </c>
      <c r="I83" s="4">
        <v>4264</v>
      </c>
      <c r="J83" s="4" t="s">
        <v>1175</v>
      </c>
      <c r="K83" s="6" t="s">
        <v>1144</v>
      </c>
      <c r="L83" s="4">
        <v>24</v>
      </c>
      <c r="M83" s="379">
        <v>463</v>
      </c>
      <c r="N83" s="374">
        <v>0.05</v>
      </c>
      <c r="O83" s="379">
        <v>441</v>
      </c>
      <c r="P83" s="379">
        <v>523</v>
      </c>
      <c r="Q83" s="379">
        <v>12552</v>
      </c>
      <c r="R83" s="26">
        <v>43838</v>
      </c>
      <c r="S83" s="4" t="s">
        <v>2050</v>
      </c>
      <c r="T83" s="379">
        <v>292085</v>
      </c>
      <c r="U83" t="s">
        <v>2755</v>
      </c>
      <c r="V83" s="380">
        <v>334</v>
      </c>
      <c r="W83" s="380">
        <v>107</v>
      </c>
      <c r="X83" s="375">
        <v>0.24</v>
      </c>
    </row>
    <row r="84" spans="1:24" x14ac:dyDescent="0.25">
      <c r="A84" s="4">
        <v>26</v>
      </c>
      <c r="B84" s="4" t="s">
        <v>183</v>
      </c>
      <c r="C84" s="6" t="s">
        <v>4773</v>
      </c>
      <c r="D84" s="6" t="s">
        <v>2792</v>
      </c>
      <c r="E84" s="21">
        <v>43838</v>
      </c>
      <c r="F84" s="4" t="s">
        <v>925</v>
      </c>
      <c r="H84" s="4">
        <v>1038478</v>
      </c>
      <c r="I84" s="4">
        <v>4264</v>
      </c>
      <c r="J84" s="4" t="s">
        <v>1175</v>
      </c>
      <c r="K84" s="6" t="s">
        <v>1144</v>
      </c>
      <c r="L84" s="4">
        <v>24</v>
      </c>
      <c r="M84" s="379">
        <v>463</v>
      </c>
      <c r="N84" s="374">
        <v>0.05</v>
      </c>
      <c r="O84" s="379">
        <v>441</v>
      </c>
      <c r="P84" s="379">
        <v>523</v>
      </c>
      <c r="Q84" s="379">
        <v>12552</v>
      </c>
      <c r="R84" s="26">
        <v>43838</v>
      </c>
      <c r="S84" s="4" t="s">
        <v>2050</v>
      </c>
      <c r="T84" s="379">
        <v>292085</v>
      </c>
      <c r="U84" t="s">
        <v>2755</v>
      </c>
      <c r="V84" s="380">
        <v>334</v>
      </c>
      <c r="W84" s="380">
        <v>107</v>
      </c>
      <c r="X84" s="375">
        <v>0.24</v>
      </c>
    </row>
    <row r="85" spans="1:24" x14ac:dyDescent="0.25">
      <c r="A85" s="4">
        <v>25</v>
      </c>
      <c r="B85" s="4" t="s">
        <v>2408</v>
      </c>
      <c r="C85" s="6" t="s">
        <v>2415</v>
      </c>
      <c r="D85" s="6" t="s">
        <v>426</v>
      </c>
      <c r="E85" s="21">
        <v>43838</v>
      </c>
      <c r="F85" s="4" t="s">
        <v>925</v>
      </c>
      <c r="H85" s="4">
        <v>1038478</v>
      </c>
      <c r="I85" s="4">
        <v>4263</v>
      </c>
      <c r="J85" s="4" t="s">
        <v>1175</v>
      </c>
      <c r="K85" s="6" t="s">
        <v>1144</v>
      </c>
      <c r="L85" s="4">
        <v>12</v>
      </c>
      <c r="M85" s="379">
        <v>1654</v>
      </c>
      <c r="N85" s="374">
        <v>-0.2</v>
      </c>
      <c r="O85" s="379">
        <v>2076</v>
      </c>
      <c r="P85" s="379">
        <v>2368</v>
      </c>
      <c r="Q85" s="379">
        <v>28416</v>
      </c>
      <c r="R85" s="26">
        <v>43838</v>
      </c>
      <c r="S85" s="4" t="s">
        <v>2050</v>
      </c>
      <c r="T85" s="379">
        <v>73475</v>
      </c>
      <c r="U85" t="s">
        <v>1561</v>
      </c>
      <c r="V85" s="380">
        <v>1194</v>
      </c>
      <c r="W85" s="380">
        <v>882</v>
      </c>
      <c r="X85" s="375">
        <v>0.42</v>
      </c>
    </row>
    <row r="86" spans="1:24" x14ac:dyDescent="0.25">
      <c r="A86" s="4">
        <v>26</v>
      </c>
      <c r="B86" s="4" t="s">
        <v>4568</v>
      </c>
      <c r="C86" s="6" t="s">
        <v>4569</v>
      </c>
      <c r="D86" s="6" t="s">
        <v>4570</v>
      </c>
      <c r="E86" s="21">
        <v>43838</v>
      </c>
      <c r="F86" s="4" t="s">
        <v>925</v>
      </c>
      <c r="H86" s="4">
        <v>1038478</v>
      </c>
      <c r="I86" s="4">
        <v>4264</v>
      </c>
      <c r="J86" s="4" t="s">
        <v>1175</v>
      </c>
      <c r="K86" s="6" t="s">
        <v>1144</v>
      </c>
      <c r="L86" s="4">
        <v>45</v>
      </c>
      <c r="M86" s="379">
        <v>817</v>
      </c>
      <c r="N86" s="374">
        <v>-0.01</v>
      </c>
      <c r="O86" s="379">
        <v>828</v>
      </c>
      <c r="P86" s="379">
        <v>985</v>
      </c>
      <c r="Q86" s="379">
        <v>44325</v>
      </c>
      <c r="R86" s="26">
        <v>43838</v>
      </c>
      <c r="S86" s="4" t="s">
        <v>2050</v>
      </c>
      <c r="T86" s="379">
        <v>292085</v>
      </c>
      <c r="U86" t="s">
        <v>1563</v>
      </c>
      <c r="V86" s="380">
        <v>590</v>
      </c>
      <c r="W86" s="380">
        <v>238</v>
      </c>
      <c r="X86" s="375">
        <v>0.28999999999999998</v>
      </c>
    </row>
    <row r="87" spans="1:24" x14ac:dyDescent="0.25">
      <c r="A87" s="4">
        <v>34</v>
      </c>
      <c r="B87" s="4" t="s">
        <v>830</v>
      </c>
      <c r="C87" s="6" t="s">
        <v>2495</v>
      </c>
      <c r="D87" s="6" t="s">
        <v>837</v>
      </c>
      <c r="E87" s="21">
        <v>43839</v>
      </c>
      <c r="F87" s="4" t="s">
        <v>1461</v>
      </c>
      <c r="H87" s="4">
        <v>6370</v>
      </c>
      <c r="I87" s="4">
        <v>4272</v>
      </c>
      <c r="J87" s="4" t="s">
        <v>1234</v>
      </c>
      <c r="K87" s="6" t="s">
        <v>970</v>
      </c>
      <c r="L87" s="4">
        <v>1</v>
      </c>
      <c r="M87" s="379">
        <v>13866</v>
      </c>
      <c r="N87" s="519" t="s">
        <v>2886</v>
      </c>
      <c r="O87" s="379">
        <v>13866</v>
      </c>
      <c r="P87" s="379">
        <v>16500</v>
      </c>
      <c r="Q87" s="379">
        <v>16500</v>
      </c>
      <c r="R87" s="26">
        <v>43839</v>
      </c>
      <c r="S87" s="4" t="s">
        <v>1501</v>
      </c>
      <c r="T87" s="379">
        <v>26700</v>
      </c>
      <c r="U87" t="s">
        <v>1572</v>
      </c>
      <c r="V87" s="380">
        <v>9870</v>
      </c>
      <c r="W87" s="380">
        <v>3996</v>
      </c>
      <c r="X87" s="375">
        <v>0.28999999999999998</v>
      </c>
    </row>
    <row r="88" spans="1:24" x14ac:dyDescent="0.25">
      <c r="A88" s="4">
        <v>34</v>
      </c>
      <c r="B88" s="4" t="s">
        <v>847</v>
      </c>
      <c r="C88" s="6" t="s">
        <v>2201</v>
      </c>
      <c r="D88" s="6" t="s">
        <v>2198</v>
      </c>
      <c r="E88" s="21">
        <v>43839</v>
      </c>
      <c r="F88" s="4" t="s">
        <v>1461</v>
      </c>
      <c r="H88" s="4">
        <v>6370</v>
      </c>
      <c r="I88" s="4">
        <v>4272</v>
      </c>
      <c r="J88" s="4" t="s">
        <v>1234</v>
      </c>
      <c r="K88" s="6" t="s">
        <v>970</v>
      </c>
      <c r="L88" s="4">
        <v>1</v>
      </c>
      <c r="M88" s="379">
        <v>8571</v>
      </c>
      <c r="N88" s="519" t="s">
        <v>2886</v>
      </c>
      <c r="O88" s="379">
        <v>8571</v>
      </c>
      <c r="P88" s="379">
        <v>10200</v>
      </c>
      <c r="Q88" s="379">
        <v>10200</v>
      </c>
      <c r="R88" s="26">
        <v>43839</v>
      </c>
      <c r="S88" s="4" t="s">
        <v>1501</v>
      </c>
      <c r="T88" s="379">
        <v>26700</v>
      </c>
      <c r="U88" t="s">
        <v>1572</v>
      </c>
      <c r="V88" s="380">
        <v>5992</v>
      </c>
      <c r="W88" s="380">
        <v>2579</v>
      </c>
      <c r="X88" s="375">
        <v>0.3</v>
      </c>
    </row>
    <row r="89" spans="1:24" x14ac:dyDescent="0.25">
      <c r="A89" s="4">
        <v>38</v>
      </c>
      <c r="B89" s="4" t="s">
        <v>838</v>
      </c>
      <c r="C89" s="6" t="s">
        <v>2062</v>
      </c>
      <c r="D89" s="6" t="s">
        <v>840</v>
      </c>
      <c r="E89" s="21">
        <v>43839</v>
      </c>
      <c r="F89" s="4" t="s">
        <v>1461</v>
      </c>
      <c r="H89" s="4">
        <v>6374</v>
      </c>
      <c r="I89" s="4">
        <v>4276</v>
      </c>
      <c r="J89" s="4" t="s">
        <v>1244</v>
      </c>
      <c r="K89" s="6" t="s">
        <v>971</v>
      </c>
      <c r="L89" s="4">
        <v>1</v>
      </c>
      <c r="M89" s="379">
        <v>16555</v>
      </c>
      <c r="N89" s="519" t="s">
        <v>2886</v>
      </c>
      <c r="O89" s="379">
        <v>16555</v>
      </c>
      <c r="P89" s="379">
        <v>19700</v>
      </c>
      <c r="Q89" s="379">
        <v>19700</v>
      </c>
      <c r="R89" s="26">
        <v>43839</v>
      </c>
      <c r="S89" s="4" t="s">
        <v>1501</v>
      </c>
      <c r="T89" s="379">
        <v>19700</v>
      </c>
      <c r="U89" t="s">
        <v>1572</v>
      </c>
      <c r="V89" s="380">
        <v>11808</v>
      </c>
      <c r="W89" s="380">
        <v>4747</v>
      </c>
      <c r="X89" s="375">
        <v>0.28999999999999998</v>
      </c>
    </row>
    <row r="90" spans="1:24" x14ac:dyDescent="0.25">
      <c r="A90" s="4">
        <v>36</v>
      </c>
      <c r="B90" s="4" t="s">
        <v>855</v>
      </c>
      <c r="C90" s="6" t="s">
        <v>2499</v>
      </c>
      <c r="D90" s="6" t="s">
        <v>857</v>
      </c>
      <c r="E90" s="21">
        <v>43839</v>
      </c>
      <c r="F90" s="4" t="s">
        <v>1461</v>
      </c>
      <c r="H90" s="4">
        <v>6372</v>
      </c>
      <c r="I90" s="4">
        <v>4274</v>
      </c>
      <c r="J90" s="4" t="s">
        <v>3562</v>
      </c>
      <c r="K90" s="6" t="s">
        <v>3563</v>
      </c>
      <c r="L90" s="4">
        <v>1</v>
      </c>
      <c r="M90" s="379">
        <v>12437</v>
      </c>
      <c r="N90" s="519" t="s">
        <v>2886</v>
      </c>
      <c r="O90" s="379">
        <v>12437</v>
      </c>
      <c r="P90" s="379">
        <v>14800</v>
      </c>
      <c r="Q90" s="379">
        <v>14800</v>
      </c>
      <c r="R90" s="26">
        <v>43839</v>
      </c>
      <c r="S90" s="4" t="s">
        <v>1501</v>
      </c>
      <c r="T90" s="379">
        <v>14800</v>
      </c>
      <c r="U90" t="s">
        <v>1551</v>
      </c>
      <c r="V90" s="380">
        <v>9067</v>
      </c>
      <c r="W90" s="380">
        <v>3370</v>
      </c>
      <c r="X90" s="375">
        <v>0.27</v>
      </c>
    </row>
    <row r="91" spans="1:24" x14ac:dyDescent="0.25">
      <c r="A91" s="4">
        <v>35</v>
      </c>
      <c r="B91" s="4" t="s">
        <v>4617</v>
      </c>
      <c r="C91" s="6" t="s">
        <v>5149</v>
      </c>
      <c r="D91" s="6" t="s">
        <v>4618</v>
      </c>
      <c r="E91" s="21">
        <v>43839</v>
      </c>
      <c r="F91" s="4" t="s">
        <v>1461</v>
      </c>
      <c r="H91" s="4">
        <v>6371</v>
      </c>
      <c r="I91" s="4">
        <v>4273</v>
      </c>
      <c r="J91" s="4" t="s">
        <v>4794</v>
      </c>
      <c r="K91" s="6" t="s">
        <v>4795</v>
      </c>
      <c r="L91" s="4">
        <v>1</v>
      </c>
      <c r="M91" s="379">
        <v>23277</v>
      </c>
      <c r="N91" s="519" t="s">
        <v>2886</v>
      </c>
      <c r="O91" s="379">
        <v>23277</v>
      </c>
      <c r="P91" s="379">
        <v>27700</v>
      </c>
      <c r="Q91" s="379">
        <v>27700</v>
      </c>
      <c r="R91" s="26">
        <v>43839</v>
      </c>
      <c r="S91" s="4" t="s">
        <v>1501</v>
      </c>
      <c r="T91" s="379">
        <v>50400</v>
      </c>
      <c r="U91" t="s">
        <v>4602</v>
      </c>
      <c r="V91" s="380">
        <v>18650</v>
      </c>
      <c r="W91" s="380">
        <v>4627</v>
      </c>
      <c r="X91" s="375">
        <v>0.2</v>
      </c>
    </row>
    <row r="92" spans="1:24" x14ac:dyDescent="0.25">
      <c r="A92" s="4">
        <v>35</v>
      </c>
      <c r="B92" s="4" t="s">
        <v>3968</v>
      </c>
      <c r="C92" s="6" t="s">
        <v>4018</v>
      </c>
      <c r="D92" s="6" t="s">
        <v>4019</v>
      </c>
      <c r="E92" s="21">
        <v>43839</v>
      </c>
      <c r="F92" s="4" t="s">
        <v>1461</v>
      </c>
      <c r="H92" s="4">
        <v>6371</v>
      </c>
      <c r="I92" s="4">
        <v>4273</v>
      </c>
      <c r="J92" s="4" t="s">
        <v>4794</v>
      </c>
      <c r="K92" s="6" t="s">
        <v>4795</v>
      </c>
      <c r="L92" s="4">
        <v>1</v>
      </c>
      <c r="M92" s="379">
        <v>19076</v>
      </c>
      <c r="N92" s="519" t="s">
        <v>2886</v>
      </c>
      <c r="O92" s="379">
        <v>19076</v>
      </c>
      <c r="P92" s="379">
        <v>22700</v>
      </c>
      <c r="Q92" s="379">
        <v>22700</v>
      </c>
      <c r="R92" s="26">
        <v>43839</v>
      </c>
      <c r="S92" s="4" t="s">
        <v>1501</v>
      </c>
      <c r="T92" s="379">
        <v>50400</v>
      </c>
      <c r="U92" t="s">
        <v>1551</v>
      </c>
      <c r="V92" s="380">
        <v>14122</v>
      </c>
      <c r="W92" s="380">
        <v>4954</v>
      </c>
      <c r="X92" s="375">
        <v>0.26</v>
      </c>
    </row>
    <row r="93" spans="1:24" x14ac:dyDescent="0.25">
      <c r="A93" s="4">
        <v>41</v>
      </c>
      <c r="B93" s="4" t="s">
        <v>30</v>
      </c>
      <c r="C93" s="6" t="s">
        <v>5241</v>
      </c>
      <c r="D93" s="6" t="s">
        <v>33</v>
      </c>
      <c r="E93" s="21">
        <v>43839</v>
      </c>
      <c r="F93" s="4" t="s">
        <v>925</v>
      </c>
      <c r="H93" s="4" t="s">
        <v>2528</v>
      </c>
      <c r="I93" s="4">
        <v>4279</v>
      </c>
      <c r="J93" s="4" t="s">
        <v>1189</v>
      </c>
      <c r="K93" s="6" t="s">
        <v>940</v>
      </c>
      <c r="L93" s="4">
        <v>24</v>
      </c>
      <c r="M93" s="379">
        <v>741</v>
      </c>
      <c r="N93" s="374">
        <v>0.1</v>
      </c>
      <c r="O93" s="379">
        <v>675</v>
      </c>
      <c r="P93" s="379">
        <v>796</v>
      </c>
      <c r="Q93" s="379">
        <v>19104</v>
      </c>
      <c r="R93" s="26">
        <v>43840</v>
      </c>
      <c r="S93" s="4" t="s">
        <v>1445</v>
      </c>
      <c r="T93" s="379">
        <v>85554</v>
      </c>
      <c r="U93" t="s">
        <v>1563</v>
      </c>
      <c r="V93" s="380">
        <v>535</v>
      </c>
      <c r="W93" s="380">
        <v>140</v>
      </c>
      <c r="X93" s="375">
        <v>0.21</v>
      </c>
    </row>
    <row r="94" spans="1:24" x14ac:dyDescent="0.25">
      <c r="A94" s="4">
        <v>41</v>
      </c>
      <c r="B94" s="4" t="s">
        <v>31</v>
      </c>
      <c r="C94" s="6" t="s">
        <v>5243</v>
      </c>
      <c r="D94" s="6" t="s">
        <v>2854</v>
      </c>
      <c r="E94" s="21">
        <v>43839</v>
      </c>
      <c r="F94" s="4" t="s">
        <v>925</v>
      </c>
      <c r="H94" s="4" t="s">
        <v>2528</v>
      </c>
      <c r="I94" s="4">
        <v>4279</v>
      </c>
      <c r="J94" s="4" t="s">
        <v>1189</v>
      </c>
      <c r="K94" s="6" t="s">
        <v>940</v>
      </c>
      <c r="L94" s="4">
        <v>12</v>
      </c>
      <c r="M94" s="379">
        <v>551</v>
      </c>
      <c r="N94" s="374">
        <v>0.1</v>
      </c>
      <c r="O94" s="379">
        <v>502</v>
      </c>
      <c r="P94" s="379">
        <v>592</v>
      </c>
      <c r="Q94" s="379">
        <v>7104</v>
      </c>
      <c r="R94" s="26">
        <v>43840</v>
      </c>
      <c r="S94" s="4" t="s">
        <v>1445</v>
      </c>
      <c r="T94" s="379">
        <v>85554</v>
      </c>
      <c r="U94" t="s">
        <v>1563</v>
      </c>
      <c r="V94" s="380">
        <v>398</v>
      </c>
      <c r="W94" s="380">
        <v>104</v>
      </c>
      <c r="X94" s="375">
        <v>0.21</v>
      </c>
    </row>
    <row r="95" spans="1:24" x14ac:dyDescent="0.25">
      <c r="A95" s="4">
        <v>41</v>
      </c>
      <c r="B95" s="4" t="s">
        <v>38</v>
      </c>
      <c r="C95" s="6" t="s">
        <v>2856</v>
      </c>
      <c r="D95" s="6" t="s">
        <v>1693</v>
      </c>
      <c r="E95" s="21">
        <v>43839</v>
      </c>
      <c r="F95" s="4" t="s">
        <v>925</v>
      </c>
      <c r="H95" s="4" t="s">
        <v>2528</v>
      </c>
      <c r="I95" s="4">
        <v>4279</v>
      </c>
      <c r="J95" s="4" t="s">
        <v>1189</v>
      </c>
      <c r="K95" s="6" t="s">
        <v>940</v>
      </c>
      <c r="L95" s="4">
        <v>1</v>
      </c>
      <c r="M95" s="379">
        <v>3248</v>
      </c>
      <c r="N95" s="374">
        <v>0.1</v>
      </c>
      <c r="O95" s="379">
        <v>2959</v>
      </c>
      <c r="P95" s="379">
        <v>3488</v>
      </c>
      <c r="Q95" s="379">
        <v>3488</v>
      </c>
      <c r="R95" s="26">
        <v>43840</v>
      </c>
      <c r="S95" s="4" t="s">
        <v>1445</v>
      </c>
      <c r="T95" s="379">
        <v>85554</v>
      </c>
      <c r="U95" t="s">
        <v>1563</v>
      </c>
      <c r="V95" s="380">
        <v>2345</v>
      </c>
      <c r="W95" s="380">
        <v>614</v>
      </c>
      <c r="X95" s="375">
        <v>0.21</v>
      </c>
    </row>
    <row r="96" spans="1:24" x14ac:dyDescent="0.25">
      <c r="A96" s="4">
        <v>41</v>
      </c>
      <c r="B96" s="4" t="s">
        <v>1647</v>
      </c>
      <c r="C96" s="6" t="s">
        <v>1670</v>
      </c>
      <c r="D96" s="6" t="s">
        <v>1504</v>
      </c>
      <c r="E96" s="21">
        <v>43839</v>
      </c>
      <c r="F96" s="4" t="s">
        <v>925</v>
      </c>
      <c r="H96" s="4" t="s">
        <v>2528</v>
      </c>
      <c r="I96" s="4">
        <v>4279</v>
      </c>
      <c r="J96" s="4" t="s">
        <v>1189</v>
      </c>
      <c r="K96" s="6" t="s">
        <v>940</v>
      </c>
      <c r="L96" s="4">
        <v>6</v>
      </c>
      <c r="M96" s="387">
        <v>3040</v>
      </c>
      <c r="N96" s="374">
        <v>0.1</v>
      </c>
      <c r="O96" s="387">
        <v>2770</v>
      </c>
      <c r="P96" s="387">
        <v>3265</v>
      </c>
      <c r="Q96" s="387">
        <v>19590</v>
      </c>
      <c r="R96" s="26">
        <v>43840</v>
      </c>
      <c r="S96" s="4" t="s">
        <v>1445</v>
      </c>
      <c r="T96" s="387">
        <v>85554</v>
      </c>
      <c r="U96" t="s">
        <v>1545</v>
      </c>
      <c r="V96" s="388">
        <v>2085</v>
      </c>
      <c r="W96" s="388">
        <v>685</v>
      </c>
      <c r="X96" s="375">
        <v>0.25</v>
      </c>
    </row>
    <row r="97" spans="1:24" x14ac:dyDescent="0.25">
      <c r="A97" s="4">
        <v>41</v>
      </c>
      <c r="B97" s="4" t="s">
        <v>1924</v>
      </c>
      <c r="C97" s="6" t="s">
        <v>1897</v>
      </c>
      <c r="D97" s="6" t="s">
        <v>1504</v>
      </c>
      <c r="E97" s="21">
        <v>43839</v>
      </c>
      <c r="F97" s="4" t="s">
        <v>925</v>
      </c>
      <c r="H97" s="4" t="s">
        <v>2528</v>
      </c>
      <c r="I97" s="4">
        <v>4279</v>
      </c>
      <c r="J97" s="4" t="s">
        <v>1189</v>
      </c>
      <c r="K97" s="6" t="s">
        <v>940</v>
      </c>
      <c r="L97" s="4">
        <v>2</v>
      </c>
      <c r="M97" s="387">
        <v>1239</v>
      </c>
      <c r="N97" s="374">
        <v>0.1</v>
      </c>
      <c r="O97" s="387">
        <v>1129</v>
      </c>
      <c r="P97" s="387">
        <v>1331</v>
      </c>
      <c r="Q97" s="387">
        <v>2662</v>
      </c>
      <c r="R97" s="26">
        <v>43840</v>
      </c>
      <c r="S97" s="4" t="s">
        <v>1445</v>
      </c>
      <c r="T97" s="387">
        <v>85554</v>
      </c>
      <c r="U97" t="s">
        <v>1545</v>
      </c>
      <c r="V97" s="388">
        <v>850</v>
      </c>
      <c r="W97" s="388">
        <v>279</v>
      </c>
      <c r="X97" s="375">
        <v>0.25</v>
      </c>
    </row>
    <row r="98" spans="1:24" x14ac:dyDescent="0.25">
      <c r="A98" s="4">
        <v>41</v>
      </c>
      <c r="B98" s="4" t="s">
        <v>704</v>
      </c>
      <c r="C98" s="6" t="s">
        <v>705</v>
      </c>
      <c r="D98" s="6" t="s">
        <v>706</v>
      </c>
      <c r="E98" s="21">
        <v>43839</v>
      </c>
      <c r="F98" s="4" t="s">
        <v>925</v>
      </c>
      <c r="H98" s="4" t="s">
        <v>2528</v>
      </c>
      <c r="I98" s="4">
        <v>4279</v>
      </c>
      <c r="J98" s="4" t="s">
        <v>1189</v>
      </c>
      <c r="K98" s="6" t="s">
        <v>940</v>
      </c>
      <c r="L98" s="4">
        <v>1</v>
      </c>
      <c r="M98" s="387">
        <v>2353</v>
      </c>
      <c r="N98" s="519" t="s">
        <v>2886</v>
      </c>
      <c r="O98" s="387">
        <v>2353</v>
      </c>
      <c r="P98" s="387">
        <v>2800</v>
      </c>
      <c r="Q98" s="387">
        <v>2800</v>
      </c>
      <c r="R98" s="26">
        <v>43840</v>
      </c>
      <c r="S98" s="4" t="s">
        <v>1445</v>
      </c>
      <c r="T98" s="387">
        <v>85554</v>
      </c>
      <c r="U98" t="s">
        <v>693</v>
      </c>
      <c r="V98" t="s">
        <v>5584</v>
      </c>
      <c r="W98" s="388">
        <v>2353</v>
      </c>
      <c r="X98" s="375">
        <v>1</v>
      </c>
    </row>
    <row r="99" spans="1:24" x14ac:dyDescent="0.25">
      <c r="A99" s="4">
        <v>41</v>
      </c>
      <c r="B99" s="4" t="s">
        <v>843</v>
      </c>
      <c r="C99" s="6" t="s">
        <v>2058</v>
      </c>
      <c r="D99" s="6" t="s">
        <v>840</v>
      </c>
      <c r="E99" s="21">
        <v>43839</v>
      </c>
      <c r="F99" s="4" t="s">
        <v>925</v>
      </c>
      <c r="H99" s="4" t="s">
        <v>2528</v>
      </c>
      <c r="I99" s="4">
        <v>4279</v>
      </c>
      <c r="J99" s="4" t="s">
        <v>1189</v>
      </c>
      <c r="K99" s="6" t="s">
        <v>940</v>
      </c>
      <c r="L99" s="4">
        <v>1</v>
      </c>
      <c r="M99" s="387">
        <v>16465</v>
      </c>
      <c r="N99" s="374">
        <v>0.05</v>
      </c>
      <c r="O99" s="387">
        <v>15681</v>
      </c>
      <c r="P99" s="387">
        <v>18614</v>
      </c>
      <c r="Q99" s="387">
        <v>18614</v>
      </c>
      <c r="R99" s="26">
        <v>43840</v>
      </c>
      <c r="S99" s="4" t="s">
        <v>1445</v>
      </c>
      <c r="T99" s="387">
        <v>85554</v>
      </c>
      <c r="U99" t="s">
        <v>1572</v>
      </c>
      <c r="V99" s="388">
        <v>11888</v>
      </c>
      <c r="W99" s="388">
        <v>3793</v>
      </c>
      <c r="X99" s="375">
        <v>0.24</v>
      </c>
    </row>
    <row r="100" spans="1:24" x14ac:dyDescent="0.25">
      <c r="A100" s="4">
        <v>41</v>
      </c>
      <c r="B100" s="4" t="s">
        <v>1714</v>
      </c>
      <c r="C100" s="6" t="s">
        <v>1884</v>
      </c>
      <c r="D100" s="6" t="s">
        <v>1885</v>
      </c>
      <c r="E100" s="21">
        <v>43839</v>
      </c>
      <c r="F100" s="4" t="s">
        <v>925</v>
      </c>
      <c r="H100" s="4" t="s">
        <v>2528</v>
      </c>
      <c r="I100" s="4">
        <v>4279</v>
      </c>
      <c r="J100" s="4" t="s">
        <v>1189</v>
      </c>
      <c r="K100" s="6" t="s">
        <v>940</v>
      </c>
      <c r="L100" s="4">
        <v>1</v>
      </c>
      <c r="M100" s="387">
        <v>8393</v>
      </c>
      <c r="N100" s="519" t="s">
        <v>2886</v>
      </c>
      <c r="O100" s="387">
        <v>8393</v>
      </c>
      <c r="P100" s="387">
        <v>9988</v>
      </c>
      <c r="Q100" s="387">
        <v>9988</v>
      </c>
      <c r="R100" s="26">
        <v>43840</v>
      </c>
      <c r="S100" s="4" t="s">
        <v>1445</v>
      </c>
      <c r="T100" s="387">
        <v>85554</v>
      </c>
      <c r="U100" t="s">
        <v>1876</v>
      </c>
      <c r="V100" s="388">
        <v>6060</v>
      </c>
      <c r="W100" s="388">
        <v>2333</v>
      </c>
      <c r="X100" s="375">
        <v>0.28000000000000003</v>
      </c>
    </row>
    <row r="101" spans="1:24" x14ac:dyDescent="0.25">
      <c r="A101" s="4">
        <v>41</v>
      </c>
      <c r="B101" s="4" t="s">
        <v>700</v>
      </c>
      <c r="C101" s="6" t="s">
        <v>3439</v>
      </c>
      <c r="D101" s="6" t="s">
        <v>694</v>
      </c>
      <c r="E101" s="21">
        <v>43839</v>
      </c>
      <c r="F101" s="4" t="s">
        <v>925</v>
      </c>
      <c r="H101" s="4" t="s">
        <v>2528</v>
      </c>
      <c r="I101" s="4">
        <v>4279</v>
      </c>
      <c r="J101" s="4" t="s">
        <v>1189</v>
      </c>
      <c r="K101" s="6" t="s">
        <v>940</v>
      </c>
      <c r="L101" s="4">
        <v>1</v>
      </c>
      <c r="M101" s="387">
        <v>1857</v>
      </c>
      <c r="N101" s="519" t="s">
        <v>2886</v>
      </c>
      <c r="O101" s="387">
        <v>1857</v>
      </c>
      <c r="P101" s="387">
        <v>2210</v>
      </c>
      <c r="Q101" s="387">
        <v>2210</v>
      </c>
      <c r="R101" s="26">
        <v>43840</v>
      </c>
      <c r="S101" s="4" t="s">
        <v>1445</v>
      </c>
      <c r="T101" s="387">
        <v>85554</v>
      </c>
      <c r="U101" t="s">
        <v>693</v>
      </c>
      <c r="V101" s="388">
        <v>1341</v>
      </c>
      <c r="W101" s="388">
        <v>516</v>
      </c>
      <c r="X101" s="375">
        <v>0.28000000000000003</v>
      </c>
    </row>
    <row r="102" spans="1:24" x14ac:dyDescent="0.25">
      <c r="A102" s="4">
        <v>44</v>
      </c>
      <c r="B102" s="4" t="s">
        <v>658</v>
      </c>
      <c r="C102" s="6" t="s">
        <v>1974</v>
      </c>
      <c r="D102" s="6" t="s">
        <v>794</v>
      </c>
      <c r="E102" s="21">
        <v>43839</v>
      </c>
      <c r="F102" s="4" t="s">
        <v>1461</v>
      </c>
      <c r="H102" s="4">
        <v>6376</v>
      </c>
      <c r="I102" s="4">
        <v>4282</v>
      </c>
      <c r="J102" s="4" t="s">
        <v>5603</v>
      </c>
      <c r="K102" s="6" t="s">
        <v>5604</v>
      </c>
      <c r="L102" s="4">
        <v>1</v>
      </c>
      <c r="M102" s="387">
        <v>19328</v>
      </c>
      <c r="N102" s="519" t="s">
        <v>2886</v>
      </c>
      <c r="O102" s="387">
        <v>19328</v>
      </c>
      <c r="P102" s="387">
        <v>23000</v>
      </c>
      <c r="Q102" s="387">
        <v>23000</v>
      </c>
      <c r="R102" s="26">
        <v>43839</v>
      </c>
      <c r="S102" s="4" t="s">
        <v>1501</v>
      </c>
      <c r="T102" s="387">
        <v>23000</v>
      </c>
      <c r="U102" t="s">
        <v>1551</v>
      </c>
      <c r="V102" s="440">
        <v>14604</v>
      </c>
      <c r="W102" s="388">
        <v>4724</v>
      </c>
      <c r="X102" s="375">
        <v>0.24</v>
      </c>
    </row>
    <row r="103" spans="1:24" x14ac:dyDescent="0.25">
      <c r="A103" s="4">
        <v>42</v>
      </c>
      <c r="B103" s="4" t="s">
        <v>5369</v>
      </c>
      <c r="C103" s="6" t="s">
        <v>5370</v>
      </c>
      <c r="D103" s="6" t="s">
        <v>4457</v>
      </c>
      <c r="E103" s="21">
        <v>43839</v>
      </c>
      <c r="F103" s="4" t="s">
        <v>925</v>
      </c>
      <c r="H103" s="4" t="s">
        <v>2528</v>
      </c>
      <c r="I103" s="4">
        <v>4280</v>
      </c>
      <c r="J103" s="4" t="s">
        <v>4907</v>
      </c>
      <c r="K103" s="6" t="s">
        <v>4908</v>
      </c>
      <c r="L103" s="4">
        <v>60</v>
      </c>
      <c r="M103" s="387">
        <v>741</v>
      </c>
      <c r="N103" s="374">
        <v>0.1</v>
      </c>
      <c r="O103" s="387">
        <v>675</v>
      </c>
      <c r="P103" s="387">
        <v>796</v>
      </c>
      <c r="Q103" s="387">
        <v>47760</v>
      </c>
      <c r="R103" s="26">
        <v>43840</v>
      </c>
      <c r="S103" s="4" t="s">
        <v>1445</v>
      </c>
      <c r="T103" s="387">
        <v>70775</v>
      </c>
      <c r="U103" t="s">
        <v>1563</v>
      </c>
      <c r="V103" s="388">
        <v>535</v>
      </c>
      <c r="W103" s="388">
        <v>140</v>
      </c>
      <c r="X103" s="375">
        <v>0.21</v>
      </c>
    </row>
    <row r="104" spans="1:24" x14ac:dyDescent="0.25">
      <c r="A104" s="4">
        <v>42</v>
      </c>
      <c r="B104" s="4" t="s">
        <v>1662</v>
      </c>
      <c r="C104" s="6" t="s">
        <v>1660</v>
      </c>
      <c r="D104" s="6" t="s">
        <v>1469</v>
      </c>
      <c r="E104" s="21">
        <v>43839</v>
      </c>
      <c r="F104" s="4" t="s">
        <v>925</v>
      </c>
      <c r="H104" s="4" t="s">
        <v>2528</v>
      </c>
      <c r="I104" s="4">
        <v>4280</v>
      </c>
      <c r="J104" s="4" t="s">
        <v>4907</v>
      </c>
      <c r="K104" s="6" t="s">
        <v>4908</v>
      </c>
      <c r="L104" s="4">
        <v>12</v>
      </c>
      <c r="M104" s="387">
        <v>1787</v>
      </c>
      <c r="N104" s="374">
        <v>0.1</v>
      </c>
      <c r="O104" s="387">
        <v>1628</v>
      </c>
      <c r="P104" s="387">
        <v>1919</v>
      </c>
      <c r="Q104" s="387">
        <v>23028</v>
      </c>
      <c r="R104" s="26">
        <v>43840</v>
      </c>
      <c r="S104" s="4" t="s">
        <v>1445</v>
      </c>
      <c r="T104" s="387">
        <v>70775</v>
      </c>
      <c r="U104" t="s">
        <v>1570</v>
      </c>
      <c r="V104" s="388">
        <v>1290</v>
      </c>
      <c r="W104" s="388">
        <v>338</v>
      </c>
      <c r="X104" s="375">
        <v>0.21</v>
      </c>
    </row>
    <row r="105" spans="1:24" x14ac:dyDescent="0.25">
      <c r="A105" s="4">
        <v>43</v>
      </c>
      <c r="B105" s="4" t="s">
        <v>855</v>
      </c>
      <c r="C105" s="6" t="s">
        <v>2499</v>
      </c>
      <c r="D105" s="6" t="s">
        <v>857</v>
      </c>
      <c r="E105" s="21">
        <v>43839</v>
      </c>
      <c r="F105" s="4" t="s">
        <v>1461</v>
      </c>
      <c r="H105" s="4">
        <v>6375</v>
      </c>
      <c r="I105" s="4">
        <v>4281</v>
      </c>
      <c r="J105" s="4" t="s">
        <v>2598</v>
      </c>
      <c r="K105" s="6" t="s">
        <v>2599</v>
      </c>
      <c r="L105" s="4">
        <v>1</v>
      </c>
      <c r="M105" s="387">
        <v>12437</v>
      </c>
      <c r="N105" s="519" t="s">
        <v>2886</v>
      </c>
      <c r="O105" s="387">
        <v>12437</v>
      </c>
      <c r="P105" s="387">
        <v>14800</v>
      </c>
      <c r="Q105" s="387">
        <v>14800</v>
      </c>
      <c r="R105" s="26">
        <v>43839</v>
      </c>
      <c r="S105" s="4" t="s">
        <v>1501</v>
      </c>
      <c r="T105" s="387">
        <v>14800</v>
      </c>
      <c r="U105" t="s">
        <v>1551</v>
      </c>
      <c r="V105" s="388">
        <v>9067</v>
      </c>
      <c r="W105" s="388">
        <v>3370</v>
      </c>
      <c r="X105" s="375">
        <v>0.27</v>
      </c>
    </row>
    <row r="106" spans="1:24" x14ac:dyDescent="0.25">
      <c r="A106" s="4">
        <v>40</v>
      </c>
      <c r="B106" s="4" t="s">
        <v>1777</v>
      </c>
      <c r="C106" s="6" t="s">
        <v>5477</v>
      </c>
      <c r="D106" s="6" t="s">
        <v>89</v>
      </c>
      <c r="E106" s="21">
        <v>43839</v>
      </c>
      <c r="F106" s="4" t="s">
        <v>925</v>
      </c>
      <c r="H106" s="4" t="s">
        <v>2528</v>
      </c>
      <c r="I106" s="4">
        <v>4278</v>
      </c>
      <c r="J106" s="4" t="s">
        <v>1275</v>
      </c>
      <c r="K106" s="6" t="s">
        <v>2218</v>
      </c>
      <c r="L106" s="4">
        <v>2</v>
      </c>
      <c r="M106" s="387">
        <v>12185</v>
      </c>
      <c r="N106" s="519" t="s">
        <v>2886</v>
      </c>
      <c r="O106" s="387">
        <v>12185</v>
      </c>
      <c r="P106" s="387">
        <v>14500</v>
      </c>
      <c r="Q106" s="387">
        <v>29000</v>
      </c>
      <c r="R106" s="26">
        <v>43840</v>
      </c>
      <c r="S106" s="4" t="s">
        <v>1445</v>
      </c>
      <c r="T106" s="387">
        <v>29000</v>
      </c>
      <c r="U106" t="s">
        <v>88</v>
      </c>
      <c r="V106" s="388">
        <v>9360</v>
      </c>
      <c r="W106" s="388">
        <v>2825</v>
      </c>
      <c r="X106" s="375">
        <v>0.23</v>
      </c>
    </row>
    <row r="107" spans="1:24" x14ac:dyDescent="0.25">
      <c r="A107" s="4">
        <v>39</v>
      </c>
      <c r="B107" s="4" t="s">
        <v>35</v>
      </c>
      <c r="C107" s="6" t="s">
        <v>2855</v>
      </c>
      <c r="D107" s="6" t="s">
        <v>1693</v>
      </c>
      <c r="E107" s="21">
        <v>43839</v>
      </c>
      <c r="F107" s="4" t="s">
        <v>925</v>
      </c>
      <c r="H107" s="4" t="s">
        <v>4759</v>
      </c>
      <c r="I107" s="4">
        <v>4277</v>
      </c>
      <c r="J107" s="4" t="s">
        <v>1192</v>
      </c>
      <c r="K107" s="6" t="s">
        <v>1061</v>
      </c>
      <c r="L107" s="4">
        <v>6</v>
      </c>
      <c r="M107" s="387">
        <v>6371</v>
      </c>
      <c r="N107" s="441" t="s">
        <v>2886</v>
      </c>
      <c r="O107" s="387">
        <v>6371</v>
      </c>
      <c r="P107" s="387">
        <v>7582</v>
      </c>
      <c r="Q107" s="387">
        <v>45492</v>
      </c>
      <c r="R107" s="26">
        <v>43839</v>
      </c>
      <c r="S107" s="4" t="s">
        <v>1501</v>
      </c>
      <c r="T107" s="387">
        <v>61366</v>
      </c>
      <c r="U107" t="s">
        <v>1563</v>
      </c>
      <c r="V107" s="388">
        <v>4600</v>
      </c>
      <c r="W107" s="388">
        <v>1771</v>
      </c>
      <c r="X107" s="375">
        <v>0.28000000000000003</v>
      </c>
    </row>
    <row r="108" spans="1:24" x14ac:dyDescent="0.25">
      <c r="A108" s="4">
        <v>39</v>
      </c>
      <c r="B108" s="4" t="s">
        <v>3906</v>
      </c>
      <c r="C108" s="6" t="s">
        <v>3813</v>
      </c>
      <c r="D108" s="6" t="s">
        <v>1646</v>
      </c>
      <c r="E108" s="21">
        <v>43839</v>
      </c>
      <c r="F108" s="4" t="s">
        <v>925</v>
      </c>
      <c r="H108" s="4" t="s">
        <v>4759</v>
      </c>
      <c r="I108" s="4">
        <v>4277</v>
      </c>
      <c r="J108" s="4" t="s">
        <v>1192</v>
      </c>
      <c r="K108" s="6" t="s">
        <v>1061</v>
      </c>
      <c r="L108" s="4">
        <v>4</v>
      </c>
      <c r="M108" s="387">
        <v>3335</v>
      </c>
      <c r="N108" s="519" t="s">
        <v>2886</v>
      </c>
      <c r="O108" s="387">
        <v>3335</v>
      </c>
      <c r="P108" s="387">
        <v>3969</v>
      </c>
      <c r="Q108" s="387">
        <v>15876</v>
      </c>
      <c r="R108" s="26">
        <v>43839</v>
      </c>
      <c r="S108" s="4" t="s">
        <v>1501</v>
      </c>
      <c r="T108" s="387">
        <v>61366</v>
      </c>
      <c r="U108" t="s">
        <v>3934</v>
      </c>
      <c r="V108" s="388">
        <v>2408</v>
      </c>
      <c r="W108" s="388">
        <v>927</v>
      </c>
      <c r="X108" s="375">
        <v>0.28000000000000003</v>
      </c>
    </row>
    <row r="109" spans="1:24" x14ac:dyDescent="0.25">
      <c r="A109" s="4">
        <v>45</v>
      </c>
      <c r="B109" s="4" t="s">
        <v>4420</v>
      </c>
      <c r="C109" s="6" t="s">
        <v>4421</v>
      </c>
      <c r="D109" s="6" t="s">
        <v>1504</v>
      </c>
      <c r="E109" s="21">
        <v>43839</v>
      </c>
      <c r="F109" s="4" t="s">
        <v>925</v>
      </c>
      <c r="H109" s="4" t="s">
        <v>2528</v>
      </c>
      <c r="I109" s="4">
        <v>4283</v>
      </c>
      <c r="J109" s="4" t="s">
        <v>1259</v>
      </c>
      <c r="K109" s="6" t="s">
        <v>2778</v>
      </c>
      <c r="L109" s="4">
        <v>220</v>
      </c>
      <c r="M109" s="387">
        <v>495</v>
      </c>
      <c r="N109" s="374">
        <v>0.05</v>
      </c>
      <c r="O109" s="387">
        <v>471</v>
      </c>
      <c r="P109" s="387">
        <v>560</v>
      </c>
      <c r="Q109" s="387">
        <v>123200</v>
      </c>
      <c r="R109" s="26">
        <v>43843</v>
      </c>
      <c r="S109" s="4" t="s">
        <v>2050</v>
      </c>
      <c r="T109" s="387">
        <v>295570</v>
      </c>
      <c r="U109" t="s">
        <v>4410</v>
      </c>
      <c r="V109" s="388">
        <v>268</v>
      </c>
      <c r="W109" s="388">
        <v>203</v>
      </c>
      <c r="X109" s="375">
        <v>0.43</v>
      </c>
    </row>
    <row r="110" spans="1:24" x14ac:dyDescent="0.25">
      <c r="A110" s="4">
        <v>45</v>
      </c>
      <c r="B110" s="4" t="s">
        <v>4416</v>
      </c>
      <c r="C110" s="6" t="s">
        <v>4417</v>
      </c>
      <c r="D110" s="6" t="s">
        <v>1504</v>
      </c>
      <c r="E110" s="21">
        <v>43839</v>
      </c>
      <c r="F110" s="4" t="s">
        <v>925</v>
      </c>
      <c r="H110" s="4" t="s">
        <v>2528</v>
      </c>
      <c r="I110" s="4">
        <v>4283</v>
      </c>
      <c r="J110" s="4" t="s">
        <v>1259</v>
      </c>
      <c r="K110" s="6" t="s">
        <v>2778</v>
      </c>
      <c r="L110" s="4">
        <v>144</v>
      </c>
      <c r="M110" s="387">
        <v>425</v>
      </c>
      <c r="N110" s="374">
        <v>0.1</v>
      </c>
      <c r="O110" s="387">
        <v>387</v>
      </c>
      <c r="P110" s="387">
        <v>456</v>
      </c>
      <c r="Q110" s="387">
        <v>65664</v>
      </c>
      <c r="R110" s="26">
        <v>43843</v>
      </c>
      <c r="S110" s="4" t="s">
        <v>2050</v>
      </c>
      <c r="T110" s="387">
        <v>295570</v>
      </c>
      <c r="U110" t="s">
        <v>4410</v>
      </c>
      <c r="V110" s="388">
        <v>268</v>
      </c>
      <c r="W110" s="388">
        <v>119</v>
      </c>
      <c r="X110" s="375">
        <v>0.31</v>
      </c>
    </row>
    <row r="111" spans="1:24" x14ac:dyDescent="0.25">
      <c r="A111" s="4">
        <v>45</v>
      </c>
      <c r="B111" s="4" t="s">
        <v>4414</v>
      </c>
      <c r="C111" s="6" t="s">
        <v>4415</v>
      </c>
      <c r="D111" s="6" t="s">
        <v>1504</v>
      </c>
      <c r="E111" s="21">
        <v>43839</v>
      </c>
      <c r="F111" s="4" t="s">
        <v>925</v>
      </c>
      <c r="H111" s="4" t="s">
        <v>2528</v>
      </c>
      <c r="I111" s="4">
        <v>4283</v>
      </c>
      <c r="J111" s="4" t="s">
        <v>1259</v>
      </c>
      <c r="K111" s="6" t="s">
        <v>2778</v>
      </c>
      <c r="L111" s="4">
        <v>24</v>
      </c>
      <c r="M111" s="387">
        <v>794</v>
      </c>
      <c r="N111" s="374">
        <v>0.05</v>
      </c>
      <c r="O111" s="387">
        <v>756</v>
      </c>
      <c r="P111" s="387">
        <v>897</v>
      </c>
      <c r="Q111" s="387">
        <v>21528</v>
      </c>
      <c r="R111" s="26">
        <v>43843</v>
      </c>
      <c r="S111" s="4" t="s">
        <v>2050</v>
      </c>
      <c r="T111" s="387">
        <v>295570</v>
      </c>
      <c r="U111" t="s">
        <v>4410</v>
      </c>
      <c r="V111" s="388">
        <v>501</v>
      </c>
      <c r="W111" s="388">
        <v>255</v>
      </c>
      <c r="X111" s="375">
        <v>0.34</v>
      </c>
    </row>
    <row r="112" spans="1:24" x14ac:dyDescent="0.25">
      <c r="A112" s="4">
        <v>45</v>
      </c>
      <c r="B112" s="4" t="s">
        <v>4418</v>
      </c>
      <c r="C112" s="6" t="s">
        <v>4419</v>
      </c>
      <c r="D112" s="6" t="s">
        <v>1504</v>
      </c>
      <c r="E112" s="21">
        <v>43839</v>
      </c>
      <c r="F112" s="4" t="s">
        <v>925</v>
      </c>
      <c r="H112" s="4" t="s">
        <v>2528</v>
      </c>
      <c r="I112" s="4">
        <v>4283</v>
      </c>
      <c r="J112" s="4" t="s">
        <v>1259</v>
      </c>
      <c r="K112" s="6" t="s">
        <v>2778</v>
      </c>
      <c r="L112" s="4">
        <v>12</v>
      </c>
      <c r="M112" s="387">
        <v>1294</v>
      </c>
      <c r="N112" s="374">
        <v>0.05</v>
      </c>
      <c r="O112" s="387">
        <v>1232</v>
      </c>
      <c r="P112" s="387">
        <v>1463</v>
      </c>
      <c r="Q112" s="387">
        <v>17556</v>
      </c>
      <c r="R112" s="26">
        <v>43843</v>
      </c>
      <c r="S112" s="4" t="s">
        <v>2050</v>
      </c>
      <c r="T112" s="387">
        <v>295570</v>
      </c>
      <c r="U112" t="s">
        <v>4410</v>
      </c>
      <c r="V112" s="388">
        <v>818</v>
      </c>
      <c r="W112" s="388">
        <v>415</v>
      </c>
      <c r="X112" s="375">
        <v>0.34</v>
      </c>
    </row>
    <row r="113" spans="1:24" x14ac:dyDescent="0.25">
      <c r="A113" s="4">
        <v>45</v>
      </c>
      <c r="B113" s="4" t="s">
        <v>5175</v>
      </c>
      <c r="C113" s="6" t="s">
        <v>5176</v>
      </c>
      <c r="D113" s="6" t="s">
        <v>5177</v>
      </c>
      <c r="E113" s="21">
        <v>43839</v>
      </c>
      <c r="F113" s="4" t="s">
        <v>925</v>
      </c>
      <c r="H113" s="4" t="s">
        <v>2528</v>
      </c>
      <c r="I113" s="4">
        <v>4283</v>
      </c>
      <c r="J113" s="4" t="s">
        <v>1259</v>
      </c>
      <c r="K113" s="6" t="s">
        <v>2778</v>
      </c>
      <c r="L113" s="4">
        <v>24</v>
      </c>
      <c r="M113" s="387">
        <v>1385</v>
      </c>
      <c r="N113" s="374">
        <v>0.1</v>
      </c>
      <c r="O113" s="387">
        <v>1262</v>
      </c>
      <c r="P113" s="387">
        <v>1488</v>
      </c>
      <c r="Q113" s="387">
        <v>35712</v>
      </c>
      <c r="R113" s="26">
        <v>43843</v>
      </c>
      <c r="S113" s="4" t="s">
        <v>2050</v>
      </c>
      <c r="T113" s="387">
        <v>295570</v>
      </c>
      <c r="U113" t="s">
        <v>4934</v>
      </c>
      <c r="V113" s="388">
        <v>1000</v>
      </c>
      <c r="W113" s="388">
        <v>262</v>
      </c>
      <c r="X113" s="375">
        <v>0.21</v>
      </c>
    </row>
    <row r="114" spans="1:24" x14ac:dyDescent="0.25">
      <c r="A114" s="4">
        <v>45</v>
      </c>
      <c r="B114" s="4" t="s">
        <v>4422</v>
      </c>
      <c r="C114" s="6" t="s">
        <v>4423</v>
      </c>
      <c r="D114" s="6" t="s">
        <v>1504</v>
      </c>
      <c r="E114" s="21">
        <v>43839</v>
      </c>
      <c r="F114" s="4" t="s">
        <v>925</v>
      </c>
      <c r="H114" s="4" t="s">
        <v>2528</v>
      </c>
      <c r="I114" s="4">
        <v>4283</v>
      </c>
      <c r="J114" s="4" t="s">
        <v>1259</v>
      </c>
      <c r="K114" s="6" t="s">
        <v>2778</v>
      </c>
      <c r="L114" s="4">
        <v>364</v>
      </c>
      <c r="M114" s="387">
        <v>62</v>
      </c>
      <c r="N114" s="374">
        <v>0.05</v>
      </c>
      <c r="O114" s="387">
        <v>59</v>
      </c>
      <c r="P114" s="387">
        <v>70</v>
      </c>
      <c r="Q114" s="387">
        <v>25480</v>
      </c>
      <c r="R114" s="26">
        <v>43843</v>
      </c>
      <c r="S114" s="4" t="s">
        <v>2050</v>
      </c>
      <c r="T114" s="387">
        <v>295570</v>
      </c>
      <c r="U114" t="s">
        <v>4410</v>
      </c>
      <c r="V114" s="388">
        <v>45</v>
      </c>
      <c r="W114" s="388">
        <v>14</v>
      </c>
      <c r="X114" s="375">
        <v>0.24</v>
      </c>
    </row>
    <row r="115" spans="1:24" x14ac:dyDescent="0.25">
      <c r="A115" s="4">
        <v>45</v>
      </c>
      <c r="B115" s="4" t="s">
        <v>4424</v>
      </c>
      <c r="C115" s="6" t="s">
        <v>4425</v>
      </c>
      <c r="D115" s="6" t="s">
        <v>1504</v>
      </c>
      <c r="E115" s="21">
        <v>43839</v>
      </c>
      <c r="F115" s="4" t="s">
        <v>925</v>
      </c>
      <c r="H115" s="4" t="s">
        <v>2528</v>
      </c>
      <c r="I115" s="4">
        <v>4283</v>
      </c>
      <c r="J115" s="4" t="s">
        <v>1259</v>
      </c>
      <c r="K115" s="6" t="s">
        <v>2778</v>
      </c>
      <c r="L115" s="4">
        <v>35</v>
      </c>
      <c r="M115" s="387">
        <v>160</v>
      </c>
      <c r="N115" s="374">
        <v>0.05</v>
      </c>
      <c r="O115" s="387">
        <v>152</v>
      </c>
      <c r="P115" s="387">
        <v>180</v>
      </c>
      <c r="Q115" s="387">
        <v>6300</v>
      </c>
      <c r="R115" s="26">
        <v>43843</v>
      </c>
      <c r="S115" s="4" t="s">
        <v>2050</v>
      </c>
      <c r="T115" s="387">
        <v>295570</v>
      </c>
      <c r="U115" t="s">
        <v>4410</v>
      </c>
      <c r="V115" s="388">
        <v>115</v>
      </c>
      <c r="W115" s="388">
        <v>37</v>
      </c>
      <c r="X115" s="375">
        <v>0.24</v>
      </c>
    </row>
    <row r="116" spans="1:24" x14ac:dyDescent="0.25">
      <c r="A116" s="4">
        <v>37</v>
      </c>
      <c r="B116" s="4" t="s">
        <v>3968</v>
      </c>
      <c r="C116" s="6" t="s">
        <v>4018</v>
      </c>
      <c r="D116" s="6" t="s">
        <v>4019</v>
      </c>
      <c r="E116" s="21">
        <v>43839</v>
      </c>
      <c r="F116" s="4" t="s">
        <v>1461</v>
      </c>
      <c r="H116" s="4">
        <v>6373</v>
      </c>
      <c r="I116" s="4">
        <v>4275</v>
      </c>
      <c r="J116" s="4" t="s">
        <v>4480</v>
      </c>
      <c r="K116" s="6" t="s">
        <v>4481</v>
      </c>
      <c r="L116" s="4">
        <v>1</v>
      </c>
      <c r="M116" s="387">
        <v>19076</v>
      </c>
      <c r="N116" s="519" t="s">
        <v>2886</v>
      </c>
      <c r="O116" s="387">
        <v>19076</v>
      </c>
      <c r="P116" s="387">
        <v>22700</v>
      </c>
      <c r="Q116" s="387">
        <v>22700</v>
      </c>
      <c r="R116" s="26">
        <v>43839</v>
      </c>
      <c r="S116" s="4" t="s">
        <v>1501</v>
      </c>
      <c r="T116" s="387">
        <v>22700</v>
      </c>
      <c r="U116" t="s">
        <v>1551</v>
      </c>
      <c r="V116" s="388">
        <v>14122</v>
      </c>
      <c r="W116" s="388">
        <v>4954</v>
      </c>
      <c r="X116" s="375">
        <v>0.26</v>
      </c>
    </row>
    <row r="117" spans="1:24" x14ac:dyDescent="0.25">
      <c r="A117" s="4">
        <v>46</v>
      </c>
      <c r="B117" s="4" t="s">
        <v>855</v>
      </c>
      <c r="C117" s="6" t="s">
        <v>2499</v>
      </c>
      <c r="D117" s="6" t="s">
        <v>857</v>
      </c>
      <c r="E117" s="21">
        <v>43840</v>
      </c>
      <c r="F117" s="4" t="s">
        <v>1461</v>
      </c>
      <c r="H117" s="4">
        <v>6377</v>
      </c>
      <c r="I117" s="4">
        <v>4284</v>
      </c>
      <c r="J117" s="4" t="s">
        <v>3236</v>
      </c>
      <c r="K117" s="6" t="s">
        <v>3237</v>
      </c>
      <c r="L117" s="4">
        <v>1</v>
      </c>
      <c r="M117" s="387">
        <v>12437</v>
      </c>
      <c r="N117" s="519" t="s">
        <v>2886</v>
      </c>
      <c r="O117" s="387">
        <v>12437</v>
      </c>
      <c r="P117" s="387">
        <v>14800</v>
      </c>
      <c r="Q117" s="387">
        <v>14800</v>
      </c>
      <c r="R117" s="26">
        <v>43840</v>
      </c>
      <c r="S117" s="4" t="s">
        <v>1445</v>
      </c>
      <c r="T117" s="387">
        <v>14800</v>
      </c>
      <c r="U117" t="s">
        <v>1551</v>
      </c>
      <c r="V117" s="388">
        <v>9067</v>
      </c>
      <c r="W117" s="388">
        <v>3370</v>
      </c>
      <c r="X117" s="375">
        <v>0.27</v>
      </c>
    </row>
    <row r="118" spans="1:24" x14ac:dyDescent="0.25">
      <c r="A118" s="4">
        <v>47</v>
      </c>
      <c r="B118" s="4" t="s">
        <v>1672</v>
      </c>
      <c r="C118" s="6" t="s">
        <v>5112</v>
      </c>
      <c r="D118" s="6" t="s">
        <v>1504</v>
      </c>
      <c r="E118" s="21">
        <v>43840</v>
      </c>
      <c r="F118" s="4" t="s">
        <v>1461</v>
      </c>
      <c r="H118" s="4">
        <v>6379</v>
      </c>
      <c r="I118" s="4">
        <v>4285</v>
      </c>
      <c r="J118" s="4" t="s">
        <v>5606</v>
      </c>
      <c r="K118" s="6" t="s">
        <v>5607</v>
      </c>
      <c r="L118" s="4">
        <v>1</v>
      </c>
      <c r="M118" s="387">
        <v>4118</v>
      </c>
      <c r="N118" s="519" t="s">
        <v>2886</v>
      </c>
      <c r="O118" s="387">
        <v>4118</v>
      </c>
      <c r="P118" s="387">
        <v>4900</v>
      </c>
      <c r="Q118" s="387">
        <v>4900</v>
      </c>
      <c r="R118" s="26">
        <v>43840</v>
      </c>
      <c r="S118" s="4" t="s">
        <v>1445</v>
      </c>
      <c r="T118" s="387">
        <v>16300</v>
      </c>
      <c r="U118" t="s">
        <v>1545</v>
      </c>
      <c r="V118" s="388">
        <v>2250</v>
      </c>
      <c r="W118" s="388">
        <v>1868</v>
      </c>
      <c r="X118" s="375">
        <v>0.45</v>
      </c>
    </row>
    <row r="119" spans="1:24" x14ac:dyDescent="0.25">
      <c r="A119" s="4">
        <v>47</v>
      </c>
      <c r="B119" s="4" t="s">
        <v>1516</v>
      </c>
      <c r="C119" s="6" t="s">
        <v>1737</v>
      </c>
      <c r="D119" s="6" t="s">
        <v>1504</v>
      </c>
      <c r="E119" s="21">
        <v>43840</v>
      </c>
      <c r="F119" s="4" t="s">
        <v>1461</v>
      </c>
      <c r="H119" s="4">
        <v>6379</v>
      </c>
      <c r="I119" s="4">
        <v>4285</v>
      </c>
      <c r="J119" s="4" t="s">
        <v>5606</v>
      </c>
      <c r="K119" s="6" t="s">
        <v>5607</v>
      </c>
      <c r="L119" s="4">
        <v>3</v>
      </c>
      <c r="M119" s="387">
        <v>3193</v>
      </c>
      <c r="N119" s="519" t="s">
        <v>2886</v>
      </c>
      <c r="O119" s="387">
        <v>3193</v>
      </c>
      <c r="P119" s="387">
        <v>3800</v>
      </c>
      <c r="Q119" s="387">
        <v>11400</v>
      </c>
      <c r="R119" s="26">
        <v>43840</v>
      </c>
      <c r="S119" s="4" t="s">
        <v>1445</v>
      </c>
      <c r="T119" s="387">
        <v>16300</v>
      </c>
      <c r="U119" t="s">
        <v>1545</v>
      </c>
      <c r="V119" s="388">
        <v>2195</v>
      </c>
      <c r="W119" s="388">
        <v>998</v>
      </c>
      <c r="X119" s="375">
        <v>0.31</v>
      </c>
    </row>
    <row r="120" spans="1:24" x14ac:dyDescent="0.25">
      <c r="A120" s="4">
        <v>48</v>
      </c>
      <c r="B120" s="4" t="s">
        <v>4437</v>
      </c>
      <c r="C120" s="6" t="s">
        <v>4438</v>
      </c>
      <c r="D120" s="6" t="s">
        <v>1504</v>
      </c>
      <c r="E120" s="21">
        <v>43840</v>
      </c>
      <c r="F120" s="4" t="s">
        <v>1461</v>
      </c>
      <c r="H120" s="4" t="s">
        <v>2528</v>
      </c>
      <c r="I120" s="4">
        <v>4286</v>
      </c>
      <c r="J120" s="4" t="s">
        <v>5609</v>
      </c>
      <c r="K120" s="6" t="s">
        <v>5610</v>
      </c>
      <c r="L120" s="4">
        <v>6</v>
      </c>
      <c r="M120" s="387">
        <v>7143</v>
      </c>
      <c r="N120" s="374">
        <v>0.28999999999999998</v>
      </c>
      <c r="O120" s="387">
        <v>5520</v>
      </c>
      <c r="P120" s="387">
        <v>6000</v>
      </c>
      <c r="Q120" s="387">
        <v>36000</v>
      </c>
      <c r="R120" s="26">
        <v>43840</v>
      </c>
      <c r="S120" s="4" t="s">
        <v>1501</v>
      </c>
      <c r="T120" s="387">
        <v>36000</v>
      </c>
      <c r="U120" t="s">
        <v>4524</v>
      </c>
      <c r="V120" s="388">
        <v>4622</v>
      </c>
      <c r="W120" s="388">
        <v>898</v>
      </c>
      <c r="X120" s="375">
        <v>0.16</v>
      </c>
    </row>
    <row r="121" spans="1:24" x14ac:dyDescent="0.25">
      <c r="A121" s="4">
        <v>50</v>
      </c>
      <c r="B121" s="4" t="s">
        <v>1516</v>
      </c>
      <c r="C121" s="6" t="s">
        <v>1737</v>
      </c>
      <c r="D121" s="6" t="s">
        <v>1504</v>
      </c>
      <c r="E121" s="21">
        <v>43842</v>
      </c>
      <c r="F121" s="4" t="s">
        <v>1461</v>
      </c>
      <c r="H121" s="4">
        <v>6382</v>
      </c>
      <c r="I121" s="4">
        <v>4288</v>
      </c>
      <c r="J121" s="4" t="s">
        <v>1511</v>
      </c>
      <c r="K121" s="6" t="s">
        <v>1512</v>
      </c>
      <c r="L121" s="4">
        <v>10</v>
      </c>
      <c r="M121" s="387">
        <v>3193</v>
      </c>
      <c r="N121" s="519" t="s">
        <v>2886</v>
      </c>
      <c r="O121" s="387">
        <v>3193</v>
      </c>
      <c r="P121" s="387">
        <v>3800</v>
      </c>
      <c r="Q121" s="387">
        <v>38000</v>
      </c>
      <c r="R121" s="26">
        <v>43843</v>
      </c>
      <c r="S121" s="4" t="s">
        <v>1501</v>
      </c>
      <c r="T121" s="387">
        <v>66400</v>
      </c>
      <c r="U121" t="s">
        <v>1545</v>
      </c>
      <c r="V121" s="388">
        <v>2195</v>
      </c>
      <c r="W121" s="388">
        <v>998</v>
      </c>
      <c r="X121" s="375">
        <v>0.31</v>
      </c>
    </row>
    <row r="122" spans="1:24" x14ac:dyDescent="0.25">
      <c r="A122" s="4">
        <v>50</v>
      </c>
      <c r="B122" s="4" t="s">
        <v>1647</v>
      </c>
      <c r="C122" s="6" t="s">
        <v>1670</v>
      </c>
      <c r="D122" s="6" t="s">
        <v>1504</v>
      </c>
      <c r="E122" s="21">
        <v>43842</v>
      </c>
      <c r="F122" s="4" t="s">
        <v>1461</v>
      </c>
      <c r="H122" s="4">
        <v>6382</v>
      </c>
      <c r="I122" s="4">
        <v>4288</v>
      </c>
      <c r="J122" s="4" t="s">
        <v>1511</v>
      </c>
      <c r="K122" s="6" t="s">
        <v>1512</v>
      </c>
      <c r="L122" s="4">
        <v>5</v>
      </c>
      <c r="M122" s="387">
        <v>3193</v>
      </c>
      <c r="N122" s="519" t="s">
        <v>2886</v>
      </c>
      <c r="O122" s="387">
        <v>3193</v>
      </c>
      <c r="P122" s="387">
        <v>3800</v>
      </c>
      <c r="Q122" s="387">
        <v>19000</v>
      </c>
      <c r="R122" s="26">
        <v>43843</v>
      </c>
      <c r="S122" s="4" t="s">
        <v>1501</v>
      </c>
      <c r="T122" s="387">
        <v>66400</v>
      </c>
      <c r="U122" t="s">
        <v>1545</v>
      </c>
      <c r="V122" s="388">
        <v>2085</v>
      </c>
      <c r="W122" s="388">
        <v>1108</v>
      </c>
      <c r="X122" s="375">
        <v>0.35</v>
      </c>
    </row>
    <row r="123" spans="1:24" x14ac:dyDescent="0.25">
      <c r="A123" s="4">
        <v>50</v>
      </c>
      <c r="B123" s="4" t="s">
        <v>1653</v>
      </c>
      <c r="C123" s="6" t="s">
        <v>2112</v>
      </c>
      <c r="D123" s="6" t="s">
        <v>1504</v>
      </c>
      <c r="E123" s="21">
        <v>43842</v>
      </c>
      <c r="F123" s="4" t="s">
        <v>1461</v>
      </c>
      <c r="H123" s="4">
        <v>6382</v>
      </c>
      <c r="I123" s="4">
        <v>4288</v>
      </c>
      <c r="J123" s="4" t="s">
        <v>1511</v>
      </c>
      <c r="K123" s="6" t="s">
        <v>1512</v>
      </c>
      <c r="L123" s="4">
        <v>3</v>
      </c>
      <c r="M123" s="387">
        <v>1261</v>
      </c>
      <c r="N123" s="519" t="s">
        <v>2886</v>
      </c>
      <c r="O123" s="387">
        <v>1261</v>
      </c>
      <c r="P123" s="387">
        <v>1500</v>
      </c>
      <c r="Q123" s="387">
        <v>4500</v>
      </c>
      <c r="R123" s="26">
        <v>43843</v>
      </c>
      <c r="S123" s="4" t="s">
        <v>1501</v>
      </c>
      <c r="T123" s="387">
        <v>66400</v>
      </c>
      <c r="U123" t="s">
        <v>1545</v>
      </c>
      <c r="V123" s="388">
        <v>545</v>
      </c>
      <c r="W123" s="388">
        <v>716</v>
      </c>
      <c r="X123" s="375">
        <v>0.56999999999999995</v>
      </c>
    </row>
    <row r="124" spans="1:24" x14ac:dyDescent="0.25">
      <c r="A124" s="4">
        <v>50</v>
      </c>
      <c r="B124" s="4" t="s">
        <v>1672</v>
      </c>
      <c r="C124" s="6" t="s">
        <v>5112</v>
      </c>
      <c r="D124" s="6" t="s">
        <v>1504</v>
      </c>
      <c r="E124" s="21">
        <v>43842</v>
      </c>
      <c r="F124" s="4" t="s">
        <v>1461</v>
      </c>
      <c r="H124" s="4">
        <v>6382</v>
      </c>
      <c r="I124" s="4">
        <v>4288</v>
      </c>
      <c r="J124" s="4" t="s">
        <v>1511</v>
      </c>
      <c r="K124" s="6" t="s">
        <v>1512</v>
      </c>
      <c r="L124" s="4">
        <v>1</v>
      </c>
      <c r="M124" s="387">
        <v>4118</v>
      </c>
      <c r="N124" s="519" t="s">
        <v>2886</v>
      </c>
      <c r="O124" s="387">
        <v>4118</v>
      </c>
      <c r="P124" s="387">
        <v>4900</v>
      </c>
      <c r="Q124" s="387">
        <v>4900</v>
      </c>
      <c r="R124" s="26">
        <v>43843</v>
      </c>
      <c r="S124" s="4" t="s">
        <v>1501</v>
      </c>
      <c r="T124" s="387">
        <v>66400</v>
      </c>
      <c r="U124" t="s">
        <v>1545</v>
      </c>
      <c r="V124" s="388">
        <v>2250</v>
      </c>
      <c r="W124" s="388">
        <v>1868</v>
      </c>
      <c r="X124" s="375">
        <v>0.45</v>
      </c>
    </row>
    <row r="125" spans="1:24" x14ac:dyDescent="0.25">
      <c r="A125" s="4">
        <v>49</v>
      </c>
      <c r="B125" s="4" t="s">
        <v>830</v>
      </c>
      <c r="C125" s="6" t="s">
        <v>2495</v>
      </c>
      <c r="D125" s="6" t="s">
        <v>837</v>
      </c>
      <c r="E125" s="21">
        <v>43842</v>
      </c>
      <c r="F125" s="4" t="s">
        <v>1461</v>
      </c>
      <c r="H125" s="4">
        <v>6381</v>
      </c>
      <c r="I125" s="4">
        <v>4287</v>
      </c>
      <c r="J125" s="4" t="s">
        <v>1250</v>
      </c>
      <c r="K125" s="6" t="s">
        <v>3398</v>
      </c>
      <c r="L125" s="4">
        <v>1</v>
      </c>
      <c r="M125" s="387">
        <v>13866</v>
      </c>
      <c r="N125" s="519" t="s">
        <v>2886</v>
      </c>
      <c r="O125" s="387">
        <v>13866</v>
      </c>
      <c r="P125" s="387">
        <v>16500</v>
      </c>
      <c r="Q125" s="387">
        <v>16500</v>
      </c>
      <c r="R125" s="26">
        <v>43840</v>
      </c>
      <c r="S125" s="4" t="s">
        <v>1501</v>
      </c>
      <c r="T125" s="387">
        <v>16500</v>
      </c>
      <c r="U125" t="s">
        <v>1572</v>
      </c>
      <c r="V125" s="388">
        <v>9870</v>
      </c>
      <c r="W125" s="388">
        <v>3996</v>
      </c>
      <c r="X125" s="375">
        <v>0.28999999999999998</v>
      </c>
    </row>
    <row r="126" spans="1:24" x14ac:dyDescent="0.25">
      <c r="A126" s="4">
        <v>51</v>
      </c>
      <c r="B126" s="4" t="s">
        <v>4880</v>
      </c>
      <c r="C126" s="6" t="s">
        <v>4904</v>
      </c>
      <c r="D126" s="6" t="s">
        <v>4881</v>
      </c>
      <c r="E126" s="21">
        <v>43842</v>
      </c>
      <c r="F126" s="4" t="s">
        <v>1461</v>
      </c>
      <c r="H126" s="4">
        <v>6383</v>
      </c>
      <c r="I126" s="4">
        <v>4289</v>
      </c>
      <c r="J126" s="4" t="s">
        <v>1213</v>
      </c>
      <c r="K126" s="6" t="s">
        <v>985</v>
      </c>
      <c r="L126" s="4">
        <v>1</v>
      </c>
      <c r="M126" s="387">
        <v>9160</v>
      </c>
      <c r="N126" s="519" t="s">
        <v>2886</v>
      </c>
      <c r="O126" s="387">
        <v>9160</v>
      </c>
      <c r="P126" s="387">
        <v>10900</v>
      </c>
      <c r="Q126" s="387">
        <v>10900</v>
      </c>
      <c r="R126" s="26">
        <v>43843</v>
      </c>
      <c r="S126" s="4" t="s">
        <v>1501</v>
      </c>
      <c r="T126" s="387">
        <v>24600</v>
      </c>
      <c r="U126" t="s">
        <v>1572</v>
      </c>
      <c r="V126" s="388">
        <v>7188</v>
      </c>
      <c r="W126" s="388">
        <v>1972</v>
      </c>
      <c r="X126" s="375">
        <v>0.22</v>
      </c>
    </row>
    <row r="127" spans="1:24" x14ac:dyDescent="0.25">
      <c r="A127" s="4">
        <v>51</v>
      </c>
      <c r="B127" s="4" t="s">
        <v>5340</v>
      </c>
      <c r="C127" s="6" t="s">
        <v>5385</v>
      </c>
      <c r="D127" s="6" t="s">
        <v>5386</v>
      </c>
      <c r="E127" s="21">
        <v>43842</v>
      </c>
      <c r="F127" s="4" t="s">
        <v>1461</v>
      </c>
      <c r="H127" s="4">
        <v>6383</v>
      </c>
      <c r="I127" s="4">
        <v>4289</v>
      </c>
      <c r="J127" s="4" t="s">
        <v>1213</v>
      </c>
      <c r="K127" s="6" t="s">
        <v>985</v>
      </c>
      <c r="L127" s="4">
        <v>1</v>
      </c>
      <c r="M127" s="387">
        <v>6723</v>
      </c>
      <c r="N127" s="519" t="s">
        <v>2886</v>
      </c>
      <c r="O127" s="387">
        <v>6723</v>
      </c>
      <c r="P127" s="387">
        <v>8000</v>
      </c>
      <c r="Q127" s="387">
        <v>8000</v>
      </c>
      <c r="R127" s="26">
        <v>43843</v>
      </c>
      <c r="S127" s="4" t="s">
        <v>1501</v>
      </c>
      <c r="T127" s="387">
        <v>24600</v>
      </c>
      <c r="U127" t="s">
        <v>4524</v>
      </c>
      <c r="V127" s="388">
        <v>5042</v>
      </c>
      <c r="W127" s="388">
        <v>1681</v>
      </c>
      <c r="X127" s="375">
        <v>0.25</v>
      </c>
    </row>
    <row r="128" spans="1:24" x14ac:dyDescent="0.25">
      <c r="A128" s="4">
        <v>51</v>
      </c>
      <c r="B128" s="4" t="s">
        <v>1882</v>
      </c>
      <c r="C128" s="6" t="s">
        <v>1889</v>
      </c>
      <c r="D128" s="6" t="s">
        <v>1879</v>
      </c>
      <c r="E128" s="21">
        <v>43842</v>
      </c>
      <c r="F128" s="4" t="s">
        <v>1461</v>
      </c>
      <c r="H128" s="4">
        <v>6383</v>
      </c>
      <c r="I128" s="4">
        <v>4289</v>
      </c>
      <c r="J128" s="4" t="s">
        <v>1213</v>
      </c>
      <c r="K128" s="6" t="s">
        <v>985</v>
      </c>
      <c r="L128" s="4">
        <v>6</v>
      </c>
      <c r="M128" s="387">
        <v>378</v>
      </c>
      <c r="N128" s="519" t="s">
        <v>2886</v>
      </c>
      <c r="O128" s="387">
        <v>378</v>
      </c>
      <c r="P128" s="387">
        <v>450</v>
      </c>
      <c r="Q128" s="387">
        <v>2700</v>
      </c>
      <c r="R128" s="26">
        <v>43843</v>
      </c>
      <c r="S128" s="4" t="s">
        <v>1501</v>
      </c>
      <c r="T128" s="387">
        <v>24600</v>
      </c>
      <c r="U128" t="s">
        <v>1879</v>
      </c>
      <c r="V128" t="s">
        <v>5584</v>
      </c>
      <c r="W128" s="388">
        <v>378</v>
      </c>
      <c r="X128" s="375">
        <v>1</v>
      </c>
    </row>
    <row r="129" spans="1:24" x14ac:dyDescent="0.25">
      <c r="A129" s="4">
        <v>51</v>
      </c>
      <c r="B129" s="4" t="s">
        <v>1886</v>
      </c>
      <c r="C129" s="6" t="s">
        <v>1891</v>
      </c>
      <c r="D129" s="6" t="s">
        <v>1879</v>
      </c>
      <c r="E129" s="21">
        <v>43842</v>
      </c>
      <c r="F129" s="4" t="s">
        <v>1461</v>
      </c>
      <c r="H129" s="4">
        <v>6383</v>
      </c>
      <c r="I129" s="4">
        <v>4289</v>
      </c>
      <c r="J129" s="4" t="s">
        <v>1213</v>
      </c>
      <c r="K129" s="6" t="s">
        <v>985</v>
      </c>
      <c r="L129" s="4">
        <v>10</v>
      </c>
      <c r="M129" s="387">
        <v>252</v>
      </c>
      <c r="N129" s="519" t="s">
        <v>2886</v>
      </c>
      <c r="O129" s="387">
        <v>252</v>
      </c>
      <c r="P129" s="387">
        <v>300</v>
      </c>
      <c r="Q129" s="387">
        <v>3000</v>
      </c>
      <c r="R129" s="26">
        <v>43843</v>
      </c>
      <c r="S129" s="4" t="s">
        <v>1501</v>
      </c>
      <c r="T129" s="387">
        <v>24600</v>
      </c>
      <c r="U129" t="s">
        <v>1879</v>
      </c>
      <c r="V129" s="388">
        <v>176</v>
      </c>
      <c r="W129" s="388">
        <v>76</v>
      </c>
      <c r="X129" s="375">
        <v>0.3</v>
      </c>
    </row>
    <row r="130" spans="1:24" x14ac:dyDescent="0.25">
      <c r="A130" s="4">
        <v>54</v>
      </c>
      <c r="B130" s="4" t="s">
        <v>838</v>
      </c>
      <c r="C130" s="6" t="s">
        <v>2062</v>
      </c>
      <c r="D130" s="6" t="s">
        <v>840</v>
      </c>
      <c r="E130" s="21">
        <v>43843</v>
      </c>
      <c r="F130" s="4" t="s">
        <v>1461</v>
      </c>
      <c r="H130" s="4">
        <v>6386</v>
      </c>
      <c r="I130" s="4">
        <v>4292</v>
      </c>
      <c r="J130" s="4" t="s">
        <v>3306</v>
      </c>
      <c r="K130" s="6" t="s">
        <v>3307</v>
      </c>
      <c r="L130" s="4">
        <v>2</v>
      </c>
      <c r="M130" s="387">
        <v>16555</v>
      </c>
      <c r="N130" s="519" t="s">
        <v>2886</v>
      </c>
      <c r="O130" s="387">
        <v>16555</v>
      </c>
      <c r="P130" s="387">
        <v>19700</v>
      </c>
      <c r="Q130" s="387">
        <v>39400</v>
      </c>
      <c r="R130" s="26">
        <v>43843</v>
      </c>
      <c r="S130" s="4" t="s">
        <v>1501</v>
      </c>
      <c r="T130" s="387">
        <v>59300</v>
      </c>
      <c r="U130" t="s">
        <v>1572</v>
      </c>
      <c r="V130" s="388">
        <v>11808</v>
      </c>
      <c r="W130" s="388">
        <v>4747</v>
      </c>
      <c r="X130" s="375">
        <v>0.28999999999999998</v>
      </c>
    </row>
    <row r="131" spans="1:24" x14ac:dyDescent="0.25">
      <c r="A131" s="4">
        <v>54</v>
      </c>
      <c r="B131" s="4" t="s">
        <v>843</v>
      </c>
      <c r="C131" s="6" t="s">
        <v>2058</v>
      </c>
      <c r="D131" s="6" t="s">
        <v>840</v>
      </c>
      <c r="E131" s="21">
        <v>43843</v>
      </c>
      <c r="F131" s="4" t="s">
        <v>1461</v>
      </c>
      <c r="H131" s="4">
        <v>6386</v>
      </c>
      <c r="I131" s="4">
        <v>4292</v>
      </c>
      <c r="J131" s="4" t="s">
        <v>3306</v>
      </c>
      <c r="K131" s="6" t="s">
        <v>3307</v>
      </c>
      <c r="L131" s="4">
        <v>1</v>
      </c>
      <c r="M131" s="387">
        <v>16723</v>
      </c>
      <c r="N131" s="519" t="s">
        <v>2886</v>
      </c>
      <c r="O131" s="387">
        <v>16723</v>
      </c>
      <c r="P131" s="387">
        <v>19900</v>
      </c>
      <c r="Q131" s="387">
        <v>19900</v>
      </c>
      <c r="R131" s="26">
        <v>43843</v>
      </c>
      <c r="S131" s="4" t="s">
        <v>1501</v>
      </c>
      <c r="T131" s="387">
        <v>59300</v>
      </c>
      <c r="U131" t="s">
        <v>1572</v>
      </c>
      <c r="V131" s="388">
        <v>11888</v>
      </c>
      <c r="W131" s="388">
        <v>4835</v>
      </c>
      <c r="X131" s="375">
        <v>0.28999999999999998</v>
      </c>
    </row>
    <row r="132" spans="1:24" x14ac:dyDescent="0.25">
      <c r="A132" s="4">
        <v>59</v>
      </c>
      <c r="B132" s="4" t="s">
        <v>656</v>
      </c>
      <c r="C132" s="6" t="s">
        <v>1973</v>
      </c>
      <c r="D132" s="6" t="s">
        <v>794</v>
      </c>
      <c r="E132" s="21">
        <v>43843</v>
      </c>
      <c r="F132" s="4" t="s">
        <v>1461</v>
      </c>
      <c r="H132" s="4">
        <v>6391</v>
      </c>
      <c r="I132" s="4">
        <v>4297</v>
      </c>
      <c r="J132" s="4" t="s">
        <v>1320</v>
      </c>
      <c r="K132" s="6" t="s">
        <v>3394</v>
      </c>
      <c r="L132" s="4">
        <v>1</v>
      </c>
      <c r="M132" s="387">
        <v>19328</v>
      </c>
      <c r="N132" s="519" t="s">
        <v>2886</v>
      </c>
      <c r="O132" s="387">
        <v>19328</v>
      </c>
      <c r="P132" s="387">
        <v>23000</v>
      </c>
      <c r="Q132" s="387">
        <v>23000</v>
      </c>
      <c r="R132" s="26">
        <v>43843</v>
      </c>
      <c r="S132" s="4" t="s">
        <v>1501</v>
      </c>
      <c r="T132" s="387">
        <v>45100</v>
      </c>
      <c r="U132" t="s">
        <v>1551</v>
      </c>
      <c r="V132" s="388">
        <v>14604</v>
      </c>
      <c r="W132" s="388">
        <v>4724</v>
      </c>
      <c r="X132" s="375">
        <v>0.24</v>
      </c>
    </row>
    <row r="133" spans="1:24" x14ac:dyDescent="0.25">
      <c r="A133" s="4">
        <v>59</v>
      </c>
      <c r="B133" s="4" t="s">
        <v>2038</v>
      </c>
      <c r="C133" s="6" t="s">
        <v>2097</v>
      </c>
      <c r="D133" s="6" t="s">
        <v>794</v>
      </c>
      <c r="E133" s="21">
        <v>43843</v>
      </c>
      <c r="F133" s="4" t="s">
        <v>1461</v>
      </c>
      <c r="H133" s="4">
        <v>6391</v>
      </c>
      <c r="I133" s="4">
        <v>4297</v>
      </c>
      <c r="J133" s="4" t="s">
        <v>1320</v>
      </c>
      <c r="K133" s="6" t="s">
        <v>3394</v>
      </c>
      <c r="L133" s="4">
        <v>1</v>
      </c>
      <c r="M133" s="387">
        <v>10504</v>
      </c>
      <c r="N133" s="519" t="s">
        <v>2886</v>
      </c>
      <c r="O133" s="387">
        <v>10504</v>
      </c>
      <c r="P133" s="387">
        <v>12500</v>
      </c>
      <c r="Q133" s="387">
        <v>12500</v>
      </c>
      <c r="R133" s="26">
        <v>43843</v>
      </c>
      <c r="S133" s="4" t="s">
        <v>1501</v>
      </c>
      <c r="T133" s="387">
        <v>45100</v>
      </c>
      <c r="U133" t="s">
        <v>1551</v>
      </c>
      <c r="V133" s="388">
        <v>7956</v>
      </c>
      <c r="W133" s="388">
        <v>2548</v>
      </c>
      <c r="X133" s="375">
        <v>0.24</v>
      </c>
    </row>
    <row r="134" spans="1:24" x14ac:dyDescent="0.25">
      <c r="A134" s="4">
        <v>59</v>
      </c>
      <c r="B134" s="4" t="s">
        <v>5369</v>
      </c>
      <c r="C134" s="6" t="s">
        <v>5370</v>
      </c>
      <c r="D134" s="6" t="s">
        <v>4457</v>
      </c>
      <c r="E134" s="21">
        <v>43843</v>
      </c>
      <c r="F134" s="4" t="s">
        <v>1461</v>
      </c>
      <c r="H134" s="4">
        <v>6391</v>
      </c>
      <c r="I134" s="4">
        <v>4297</v>
      </c>
      <c r="J134" s="4" t="s">
        <v>1320</v>
      </c>
      <c r="K134" s="6" t="s">
        <v>3394</v>
      </c>
      <c r="L134" s="4">
        <v>12</v>
      </c>
      <c r="M134" s="387">
        <v>672</v>
      </c>
      <c r="N134" s="4" t="s">
        <v>2886</v>
      </c>
      <c r="O134" s="387">
        <v>672</v>
      </c>
      <c r="P134" s="387">
        <v>800</v>
      </c>
      <c r="Q134" s="387">
        <v>9600</v>
      </c>
      <c r="R134" s="26">
        <v>43843</v>
      </c>
      <c r="S134" s="4" t="s">
        <v>1501</v>
      </c>
      <c r="T134" s="387">
        <v>45100</v>
      </c>
      <c r="U134" t="s">
        <v>1563</v>
      </c>
      <c r="V134" s="388">
        <v>535</v>
      </c>
      <c r="W134" s="388">
        <v>137</v>
      </c>
      <c r="X134" s="375">
        <v>0.2</v>
      </c>
    </row>
    <row r="135" spans="1:24" x14ac:dyDescent="0.25">
      <c r="A135" s="4">
        <v>53</v>
      </c>
      <c r="B135" s="4" t="s">
        <v>855</v>
      </c>
      <c r="C135" s="6" t="s">
        <v>2499</v>
      </c>
      <c r="D135" s="6" t="s">
        <v>857</v>
      </c>
      <c r="E135" s="21">
        <v>43843</v>
      </c>
      <c r="F135" s="4" t="s">
        <v>1461</v>
      </c>
      <c r="H135" s="4">
        <v>6385</v>
      </c>
      <c r="I135" s="4">
        <v>4291</v>
      </c>
      <c r="J135" s="4" t="s">
        <v>1399</v>
      </c>
      <c r="K135" s="6" t="s">
        <v>1004</v>
      </c>
      <c r="L135" s="4">
        <v>1</v>
      </c>
      <c r="M135" s="387">
        <v>12437</v>
      </c>
      <c r="N135" s="519" t="s">
        <v>2886</v>
      </c>
      <c r="O135" s="387">
        <v>12437</v>
      </c>
      <c r="P135" s="387">
        <v>14800</v>
      </c>
      <c r="Q135" s="387">
        <v>14800</v>
      </c>
      <c r="R135" s="26">
        <v>43843</v>
      </c>
      <c r="S135" s="4" t="s">
        <v>1501</v>
      </c>
      <c r="T135" s="387">
        <v>14800</v>
      </c>
      <c r="U135" t="s">
        <v>1551</v>
      </c>
      <c r="V135" s="388">
        <v>9067</v>
      </c>
      <c r="W135" s="388">
        <v>3370</v>
      </c>
      <c r="X135" s="375">
        <v>0.27</v>
      </c>
    </row>
    <row r="136" spans="1:24" x14ac:dyDescent="0.25">
      <c r="A136" s="4">
        <v>52</v>
      </c>
      <c r="B136" s="4" t="s">
        <v>1755</v>
      </c>
      <c r="C136" s="6" t="s">
        <v>1925</v>
      </c>
      <c r="D136" s="6" t="s">
        <v>1504</v>
      </c>
      <c r="E136" s="21">
        <v>43843</v>
      </c>
      <c r="F136" s="4" t="s">
        <v>1461</v>
      </c>
      <c r="H136" s="4">
        <v>6384</v>
      </c>
      <c r="I136" s="4">
        <v>4290</v>
      </c>
      <c r="J136" s="4" t="s">
        <v>5207</v>
      </c>
      <c r="K136" s="6" t="s">
        <v>5208</v>
      </c>
      <c r="L136" s="4">
        <v>4</v>
      </c>
      <c r="M136" s="387">
        <v>2941</v>
      </c>
      <c r="N136" s="519" t="s">
        <v>2886</v>
      </c>
      <c r="O136" s="387">
        <v>2941</v>
      </c>
      <c r="P136" s="387">
        <v>3500</v>
      </c>
      <c r="Q136" s="387">
        <v>14000</v>
      </c>
      <c r="R136" s="26">
        <v>43843</v>
      </c>
      <c r="S136" s="4" t="s">
        <v>1501</v>
      </c>
      <c r="T136" s="387">
        <v>34100</v>
      </c>
      <c r="U136" t="s">
        <v>1545</v>
      </c>
      <c r="V136" s="388">
        <v>2119</v>
      </c>
      <c r="W136" s="388">
        <v>822</v>
      </c>
      <c r="X136" s="375">
        <v>0.28000000000000003</v>
      </c>
    </row>
    <row r="137" spans="1:24" x14ac:dyDescent="0.25">
      <c r="A137" s="4">
        <v>52</v>
      </c>
      <c r="B137" s="4" t="s">
        <v>1647</v>
      </c>
      <c r="C137" s="6" t="s">
        <v>1670</v>
      </c>
      <c r="D137" s="6" t="s">
        <v>1504</v>
      </c>
      <c r="E137" s="21">
        <v>43843</v>
      </c>
      <c r="F137" s="4" t="s">
        <v>1461</v>
      </c>
      <c r="H137" s="4">
        <v>6384</v>
      </c>
      <c r="I137" s="4">
        <v>4290</v>
      </c>
      <c r="J137" s="4" t="s">
        <v>5207</v>
      </c>
      <c r="K137" s="6" t="s">
        <v>5208</v>
      </c>
      <c r="L137" s="4">
        <v>4</v>
      </c>
      <c r="M137" s="387">
        <v>3193</v>
      </c>
      <c r="N137" s="519" t="s">
        <v>2886</v>
      </c>
      <c r="O137" s="387">
        <v>3193</v>
      </c>
      <c r="P137" s="387">
        <v>3800</v>
      </c>
      <c r="Q137" s="387">
        <v>15200</v>
      </c>
      <c r="R137" s="26">
        <v>43843</v>
      </c>
      <c r="S137" s="4" t="s">
        <v>1501</v>
      </c>
      <c r="T137" s="387">
        <v>34100</v>
      </c>
      <c r="U137" t="s">
        <v>1545</v>
      </c>
      <c r="V137" s="388">
        <v>2085</v>
      </c>
      <c r="W137" s="388">
        <v>1108</v>
      </c>
      <c r="X137" s="375">
        <v>0.35</v>
      </c>
    </row>
    <row r="138" spans="1:24" x14ac:dyDescent="0.25">
      <c r="A138" s="4">
        <v>52</v>
      </c>
      <c r="B138" s="4" t="s">
        <v>1672</v>
      </c>
      <c r="C138" s="6" t="s">
        <v>5112</v>
      </c>
      <c r="D138" s="6" t="s">
        <v>1504</v>
      </c>
      <c r="E138" s="21">
        <v>43843</v>
      </c>
      <c r="F138" s="4" t="s">
        <v>1461</v>
      </c>
      <c r="H138" s="4">
        <v>6384</v>
      </c>
      <c r="I138" s="4">
        <v>4290</v>
      </c>
      <c r="J138" s="4" t="s">
        <v>5207</v>
      </c>
      <c r="K138" s="6" t="s">
        <v>5208</v>
      </c>
      <c r="L138" s="4">
        <v>1</v>
      </c>
      <c r="M138" s="387">
        <v>4118</v>
      </c>
      <c r="N138" s="519" t="s">
        <v>2886</v>
      </c>
      <c r="O138" s="387">
        <v>4118</v>
      </c>
      <c r="P138" s="387">
        <v>4900</v>
      </c>
      <c r="Q138" s="387">
        <v>4900</v>
      </c>
      <c r="R138" s="26">
        <v>43843</v>
      </c>
      <c r="S138" s="4" t="s">
        <v>1501</v>
      </c>
      <c r="T138" s="387">
        <v>34100</v>
      </c>
      <c r="U138" t="s">
        <v>1545</v>
      </c>
      <c r="V138" s="388">
        <v>2250</v>
      </c>
      <c r="W138" s="388">
        <v>1868</v>
      </c>
      <c r="X138" s="375">
        <v>0.45</v>
      </c>
    </row>
    <row r="139" spans="1:24" x14ac:dyDescent="0.25">
      <c r="A139" s="4">
        <v>58</v>
      </c>
      <c r="B139" s="4" t="s">
        <v>847</v>
      </c>
      <c r="C139" s="6" t="s">
        <v>2201</v>
      </c>
      <c r="D139" s="6" t="s">
        <v>2198</v>
      </c>
      <c r="E139" s="21">
        <v>43843</v>
      </c>
      <c r="F139" s="4" t="s">
        <v>1461</v>
      </c>
      <c r="H139" s="4">
        <v>6390</v>
      </c>
      <c r="I139" s="4">
        <v>4296</v>
      </c>
      <c r="J139" s="4" t="s">
        <v>4950</v>
      </c>
      <c r="K139" s="6" t="s">
        <v>4951</v>
      </c>
      <c r="L139" s="4">
        <v>1</v>
      </c>
      <c r="M139" s="387">
        <v>8571</v>
      </c>
      <c r="N139" s="519" t="s">
        <v>2886</v>
      </c>
      <c r="O139" s="387">
        <v>8571</v>
      </c>
      <c r="P139" s="387">
        <v>10200</v>
      </c>
      <c r="Q139" s="387">
        <v>10200</v>
      </c>
      <c r="R139" s="26">
        <v>43843</v>
      </c>
      <c r="S139" s="4" t="s">
        <v>1501</v>
      </c>
      <c r="T139" s="387">
        <v>10200</v>
      </c>
      <c r="U139" t="s">
        <v>1572</v>
      </c>
      <c r="V139" s="388">
        <v>5992</v>
      </c>
      <c r="W139" s="388">
        <v>2579</v>
      </c>
      <c r="X139" s="375">
        <v>0.3</v>
      </c>
    </row>
    <row r="140" spans="1:24" x14ac:dyDescent="0.25">
      <c r="A140" s="4">
        <v>55</v>
      </c>
      <c r="B140" s="4" t="s">
        <v>2289</v>
      </c>
      <c r="C140" s="6" t="s">
        <v>2620</v>
      </c>
      <c r="D140" s="6" t="s">
        <v>1539</v>
      </c>
      <c r="E140" s="21">
        <v>43843</v>
      </c>
      <c r="F140" s="4" t="s">
        <v>1461</v>
      </c>
      <c r="H140" s="4">
        <v>6387</v>
      </c>
      <c r="I140" s="4">
        <v>4293</v>
      </c>
      <c r="J140" s="4" t="s">
        <v>5613</v>
      </c>
      <c r="K140" s="6" t="s">
        <v>5614</v>
      </c>
      <c r="L140" s="4">
        <v>1</v>
      </c>
      <c r="M140" s="387">
        <v>20588</v>
      </c>
      <c r="N140" s="519" t="s">
        <v>2886</v>
      </c>
      <c r="O140" s="387">
        <v>20588</v>
      </c>
      <c r="P140" s="387">
        <v>24500</v>
      </c>
      <c r="Q140" s="387">
        <v>24500</v>
      </c>
      <c r="R140" s="26">
        <v>43844</v>
      </c>
      <c r="S140" s="4" t="s">
        <v>1501</v>
      </c>
      <c r="T140" s="387">
        <v>35900</v>
      </c>
      <c r="U140" t="s">
        <v>1524</v>
      </c>
      <c r="V140" s="388">
        <v>16386</v>
      </c>
      <c r="W140" s="388">
        <v>4202</v>
      </c>
      <c r="X140" s="375">
        <v>0.2</v>
      </c>
    </row>
    <row r="141" spans="1:24" x14ac:dyDescent="0.25">
      <c r="A141" s="4">
        <v>55</v>
      </c>
      <c r="B141" s="4" t="s">
        <v>1516</v>
      </c>
      <c r="C141" s="6" t="s">
        <v>1737</v>
      </c>
      <c r="D141" s="6" t="s">
        <v>1504</v>
      </c>
      <c r="E141" s="21">
        <v>43843</v>
      </c>
      <c r="F141" s="4" t="s">
        <v>1461</v>
      </c>
      <c r="H141" s="4">
        <v>6387</v>
      </c>
      <c r="I141" s="4">
        <v>4293</v>
      </c>
      <c r="J141" s="4" t="s">
        <v>5613</v>
      </c>
      <c r="K141" s="6" t="s">
        <v>5614</v>
      </c>
      <c r="L141" s="4">
        <v>3</v>
      </c>
      <c r="M141" s="387">
        <v>3193</v>
      </c>
      <c r="N141" s="519" t="s">
        <v>2886</v>
      </c>
      <c r="O141" s="387">
        <v>3193</v>
      </c>
      <c r="P141" s="387">
        <v>3800</v>
      </c>
      <c r="Q141" s="387">
        <v>11400</v>
      </c>
      <c r="R141" s="26">
        <v>43844</v>
      </c>
      <c r="S141" s="4" t="s">
        <v>1501</v>
      </c>
      <c r="T141" s="387">
        <v>35900</v>
      </c>
      <c r="U141" t="s">
        <v>1545</v>
      </c>
      <c r="V141" s="388">
        <v>2195</v>
      </c>
      <c r="W141" s="388">
        <v>998</v>
      </c>
      <c r="X141" s="375">
        <v>0.31</v>
      </c>
    </row>
    <row r="142" spans="1:24" x14ac:dyDescent="0.25">
      <c r="A142" s="4">
        <v>57</v>
      </c>
      <c r="B142" s="4" t="s">
        <v>855</v>
      </c>
      <c r="C142" s="6" t="s">
        <v>2499</v>
      </c>
      <c r="D142" s="6" t="s">
        <v>857</v>
      </c>
      <c r="E142" s="21">
        <v>43843</v>
      </c>
      <c r="F142" s="4" t="s">
        <v>1461</v>
      </c>
      <c r="H142" s="4">
        <v>6389</v>
      </c>
      <c r="I142" s="4">
        <v>4295</v>
      </c>
      <c r="J142" s="4" t="s">
        <v>5616</v>
      </c>
      <c r="K142" s="6" t="s">
        <v>5617</v>
      </c>
      <c r="L142" s="4">
        <v>1</v>
      </c>
      <c r="M142" s="387">
        <v>12437</v>
      </c>
      <c r="N142" s="519" t="s">
        <v>2886</v>
      </c>
      <c r="O142" s="387">
        <v>12437</v>
      </c>
      <c r="P142" s="387">
        <v>14800</v>
      </c>
      <c r="Q142" s="387">
        <v>14800</v>
      </c>
      <c r="R142" s="26">
        <v>43843</v>
      </c>
      <c r="S142" s="4" t="s">
        <v>1501</v>
      </c>
      <c r="T142" s="387">
        <v>14800</v>
      </c>
      <c r="U142" t="s">
        <v>1551</v>
      </c>
      <c r="V142" s="388">
        <v>9975</v>
      </c>
      <c r="W142" s="388">
        <v>2462</v>
      </c>
      <c r="X142" s="375">
        <v>0.2</v>
      </c>
    </row>
    <row r="143" spans="1:24" x14ac:dyDescent="0.25">
      <c r="A143" s="4">
        <v>70</v>
      </c>
      <c r="B143" s="4" t="s">
        <v>830</v>
      </c>
      <c r="C143" s="6" t="s">
        <v>2495</v>
      </c>
      <c r="D143" s="6" t="s">
        <v>837</v>
      </c>
      <c r="E143" s="21">
        <v>43845</v>
      </c>
      <c r="F143" s="4" t="s">
        <v>1461</v>
      </c>
      <c r="H143" s="4">
        <v>6397</v>
      </c>
      <c r="I143" s="4">
        <v>4308</v>
      </c>
      <c r="J143" s="4" t="s">
        <v>5154</v>
      </c>
      <c r="K143" s="6" t="s">
        <v>5155</v>
      </c>
      <c r="L143" s="4">
        <v>1</v>
      </c>
      <c r="M143" s="387">
        <v>13866</v>
      </c>
      <c r="N143" s="519" t="s">
        <v>2886</v>
      </c>
      <c r="O143" s="387">
        <v>13866</v>
      </c>
      <c r="P143" s="387">
        <v>16500</v>
      </c>
      <c r="Q143" s="387">
        <v>16500</v>
      </c>
      <c r="R143" s="26">
        <v>43845</v>
      </c>
      <c r="S143" s="4" t="s">
        <v>2050</v>
      </c>
      <c r="T143" s="387">
        <v>16500</v>
      </c>
      <c r="U143" t="s">
        <v>1572</v>
      </c>
      <c r="V143" s="388">
        <v>10390</v>
      </c>
      <c r="W143" s="388">
        <v>3476</v>
      </c>
      <c r="X143" s="375">
        <v>0.25</v>
      </c>
    </row>
    <row r="144" spans="1:24" x14ac:dyDescent="0.25">
      <c r="A144" s="4">
        <v>69</v>
      </c>
      <c r="B144" s="4" t="s">
        <v>3968</v>
      </c>
      <c r="C144" s="6" t="s">
        <v>4018</v>
      </c>
      <c r="D144" s="6" t="s">
        <v>4019</v>
      </c>
      <c r="E144" s="21">
        <v>43845</v>
      </c>
      <c r="F144" s="4" t="s">
        <v>1461</v>
      </c>
      <c r="H144" s="4">
        <v>6396</v>
      </c>
      <c r="I144" s="4">
        <v>4307</v>
      </c>
      <c r="J144" s="4" t="s">
        <v>5228</v>
      </c>
      <c r="K144" s="6" t="s">
        <v>5229</v>
      </c>
      <c r="L144" s="4">
        <v>1</v>
      </c>
      <c r="M144" s="387">
        <v>19076</v>
      </c>
      <c r="N144" s="519" t="s">
        <v>2886</v>
      </c>
      <c r="O144" s="387">
        <v>19076</v>
      </c>
      <c r="P144" s="387">
        <v>22700</v>
      </c>
      <c r="Q144" s="387">
        <v>22700</v>
      </c>
      <c r="R144" s="26">
        <v>43845</v>
      </c>
      <c r="S144" s="4" t="s">
        <v>1501</v>
      </c>
      <c r="T144" s="387">
        <v>35200</v>
      </c>
      <c r="U144" t="s">
        <v>1551</v>
      </c>
      <c r="V144" s="388">
        <v>14122</v>
      </c>
      <c r="W144" s="388">
        <v>4954</v>
      </c>
      <c r="X144" s="375">
        <v>0.26</v>
      </c>
    </row>
    <row r="145" spans="1:24" x14ac:dyDescent="0.25">
      <c r="A145" s="4">
        <v>69</v>
      </c>
      <c r="B145" s="4" t="s">
        <v>2038</v>
      </c>
      <c r="C145" s="6" t="s">
        <v>2097</v>
      </c>
      <c r="D145" s="6" t="s">
        <v>794</v>
      </c>
      <c r="E145" s="21">
        <v>43845</v>
      </c>
      <c r="F145" s="4" t="s">
        <v>1461</v>
      </c>
      <c r="H145" s="4">
        <v>6396</v>
      </c>
      <c r="I145" s="4">
        <v>4307</v>
      </c>
      <c r="J145" s="4" t="s">
        <v>5228</v>
      </c>
      <c r="K145" s="6" t="s">
        <v>5229</v>
      </c>
      <c r="L145" s="4">
        <v>1</v>
      </c>
      <c r="M145" s="387">
        <v>10504</v>
      </c>
      <c r="N145" s="519" t="s">
        <v>2886</v>
      </c>
      <c r="O145" s="387">
        <v>10504</v>
      </c>
      <c r="P145" s="387">
        <v>12500</v>
      </c>
      <c r="Q145" s="387">
        <v>12500</v>
      </c>
      <c r="R145" s="26">
        <v>43845</v>
      </c>
      <c r="S145" s="4" t="s">
        <v>1501</v>
      </c>
      <c r="T145" s="387">
        <v>35200</v>
      </c>
      <c r="U145" t="s">
        <v>1551</v>
      </c>
      <c r="V145" s="388">
        <v>7956</v>
      </c>
      <c r="W145" s="388">
        <v>2548</v>
      </c>
      <c r="X145" s="375">
        <v>0.24</v>
      </c>
    </row>
    <row r="146" spans="1:24" x14ac:dyDescent="0.25">
      <c r="A146" s="4">
        <v>67</v>
      </c>
      <c r="B146" s="4" t="s">
        <v>838</v>
      </c>
      <c r="C146" s="6" t="s">
        <v>2062</v>
      </c>
      <c r="D146" s="6" t="s">
        <v>840</v>
      </c>
      <c r="E146" s="21">
        <v>43845</v>
      </c>
      <c r="F146" s="4" t="s">
        <v>1461</v>
      </c>
      <c r="H146" s="4">
        <v>6393</v>
      </c>
      <c r="I146" s="4">
        <v>4305</v>
      </c>
      <c r="J146" s="4" t="s">
        <v>1214</v>
      </c>
      <c r="K146" s="6" t="s">
        <v>2143</v>
      </c>
      <c r="L146" s="4">
        <v>1</v>
      </c>
      <c r="M146" s="387">
        <v>16555</v>
      </c>
      <c r="N146" s="587" t="s">
        <v>2886</v>
      </c>
      <c r="O146" s="387">
        <v>16555</v>
      </c>
      <c r="P146" s="387">
        <v>19700</v>
      </c>
      <c r="Q146" s="387">
        <v>19700</v>
      </c>
      <c r="R146" s="26">
        <v>43845</v>
      </c>
      <c r="S146" s="4" t="s">
        <v>2050</v>
      </c>
      <c r="T146" s="387">
        <v>19700</v>
      </c>
      <c r="U146" t="s">
        <v>1572</v>
      </c>
      <c r="V146" s="388">
        <v>11808</v>
      </c>
      <c r="W146" s="388">
        <v>4747</v>
      </c>
      <c r="X146" s="375">
        <v>0.28999999999999998</v>
      </c>
    </row>
    <row r="147" spans="1:24" x14ac:dyDescent="0.25">
      <c r="A147" s="4">
        <v>68</v>
      </c>
      <c r="B147" s="4" t="s">
        <v>1515</v>
      </c>
      <c r="C147" s="6" t="s">
        <v>1652</v>
      </c>
      <c r="D147" s="6" t="s">
        <v>1638</v>
      </c>
      <c r="E147" s="21">
        <v>43845</v>
      </c>
      <c r="F147" s="4" t="s">
        <v>1461</v>
      </c>
      <c r="H147" s="4">
        <v>6394</v>
      </c>
      <c r="I147" s="4">
        <v>4306</v>
      </c>
      <c r="J147" s="4" t="s">
        <v>1278</v>
      </c>
      <c r="K147" s="6" t="s">
        <v>1942</v>
      </c>
      <c r="L147" s="4">
        <v>2</v>
      </c>
      <c r="M147" s="439">
        <v>4874</v>
      </c>
      <c r="N147" s="587" t="s">
        <v>2886</v>
      </c>
      <c r="O147" s="439">
        <v>4874</v>
      </c>
      <c r="P147" s="439">
        <v>5800</v>
      </c>
      <c r="Q147" s="439">
        <v>11600</v>
      </c>
      <c r="R147" s="26">
        <v>43845</v>
      </c>
      <c r="S147" s="4" t="s">
        <v>1501</v>
      </c>
      <c r="T147" s="439">
        <v>30600</v>
      </c>
      <c r="U147" t="s">
        <v>1545</v>
      </c>
      <c r="V147" s="440">
        <v>2400</v>
      </c>
      <c r="W147" s="440">
        <v>2474</v>
      </c>
      <c r="X147" s="375">
        <v>0.51</v>
      </c>
    </row>
    <row r="148" spans="1:24" x14ac:dyDescent="0.25">
      <c r="A148" s="4">
        <v>68</v>
      </c>
      <c r="B148" s="4" t="s">
        <v>1647</v>
      </c>
      <c r="C148" s="6" t="s">
        <v>1670</v>
      </c>
      <c r="D148" s="6" t="s">
        <v>1504</v>
      </c>
      <c r="E148" s="21">
        <v>43845</v>
      </c>
      <c r="F148" s="4" t="s">
        <v>1461</v>
      </c>
      <c r="H148" s="4">
        <v>6394</v>
      </c>
      <c r="I148" s="4">
        <v>4306</v>
      </c>
      <c r="J148" s="4" t="s">
        <v>1278</v>
      </c>
      <c r="K148" s="6" t="s">
        <v>1942</v>
      </c>
      <c r="L148" s="4">
        <v>3</v>
      </c>
      <c r="M148" s="439">
        <v>3193</v>
      </c>
      <c r="N148" s="587" t="s">
        <v>2886</v>
      </c>
      <c r="O148" s="439">
        <v>3193</v>
      </c>
      <c r="P148" s="439">
        <v>3800</v>
      </c>
      <c r="Q148" s="439">
        <v>11400</v>
      </c>
      <c r="R148" s="26">
        <v>43845</v>
      </c>
      <c r="S148" s="4" t="s">
        <v>1501</v>
      </c>
      <c r="T148" s="439">
        <v>30600</v>
      </c>
      <c r="U148" t="s">
        <v>1545</v>
      </c>
      <c r="V148" s="440">
        <v>2085</v>
      </c>
      <c r="W148" s="440">
        <v>1108</v>
      </c>
      <c r="X148" s="375">
        <v>0.35</v>
      </c>
    </row>
    <row r="149" spans="1:24" x14ac:dyDescent="0.25">
      <c r="A149" s="4">
        <v>68</v>
      </c>
      <c r="B149" s="4" t="s">
        <v>1516</v>
      </c>
      <c r="C149" s="6" t="s">
        <v>1737</v>
      </c>
      <c r="D149" s="6" t="s">
        <v>1504</v>
      </c>
      <c r="E149" s="21">
        <v>43845</v>
      </c>
      <c r="F149" s="4" t="s">
        <v>1461</v>
      </c>
      <c r="H149" s="4">
        <v>6394</v>
      </c>
      <c r="I149" s="4">
        <v>4306</v>
      </c>
      <c r="J149" s="4" t="s">
        <v>1278</v>
      </c>
      <c r="K149" s="6" t="s">
        <v>1942</v>
      </c>
      <c r="L149" s="4">
        <v>2</v>
      </c>
      <c r="M149" s="387">
        <v>3193</v>
      </c>
      <c r="N149" s="519" t="s">
        <v>2886</v>
      </c>
      <c r="O149" s="387">
        <v>3193</v>
      </c>
      <c r="P149" s="387">
        <v>3800</v>
      </c>
      <c r="Q149" s="387">
        <v>7600</v>
      </c>
      <c r="R149" s="26">
        <v>43845</v>
      </c>
      <c r="S149" s="4" t="s">
        <v>1501</v>
      </c>
      <c r="T149" s="387">
        <v>30600</v>
      </c>
      <c r="U149" t="s">
        <v>1545</v>
      </c>
      <c r="V149" s="388">
        <v>2195</v>
      </c>
      <c r="W149" s="388">
        <v>998</v>
      </c>
      <c r="X149" s="375">
        <v>0.31</v>
      </c>
    </row>
    <row r="150" spans="1:24" x14ac:dyDescent="0.25">
      <c r="A150" s="4">
        <v>65</v>
      </c>
      <c r="B150" s="4" t="s">
        <v>160</v>
      </c>
      <c r="C150" s="6" t="s">
        <v>2808</v>
      </c>
      <c r="D150" s="6" t="s">
        <v>2792</v>
      </c>
      <c r="E150" s="21">
        <v>43845</v>
      </c>
      <c r="F150" s="4" t="s">
        <v>925</v>
      </c>
      <c r="H150" s="4" t="s">
        <v>2528</v>
      </c>
      <c r="I150" s="4">
        <v>4303</v>
      </c>
      <c r="J150" s="4" t="s">
        <v>1177</v>
      </c>
      <c r="K150" s="6" t="s">
        <v>1060</v>
      </c>
      <c r="L150" s="4">
        <v>24</v>
      </c>
      <c r="M150" s="387">
        <v>717</v>
      </c>
      <c r="N150" s="374">
        <v>0.05</v>
      </c>
      <c r="O150" s="387">
        <v>683</v>
      </c>
      <c r="P150" s="387">
        <v>811</v>
      </c>
      <c r="Q150" s="387">
        <v>19464</v>
      </c>
      <c r="R150" s="26">
        <v>43845</v>
      </c>
      <c r="S150" s="4" t="s">
        <v>2050</v>
      </c>
      <c r="T150" s="387">
        <v>239186</v>
      </c>
      <c r="U150" t="s">
        <v>2755</v>
      </c>
      <c r="V150" s="388">
        <v>518</v>
      </c>
      <c r="W150" s="388">
        <v>165</v>
      </c>
      <c r="X150" s="375">
        <v>0.24</v>
      </c>
    </row>
    <row r="151" spans="1:24" x14ac:dyDescent="0.25">
      <c r="A151" s="4">
        <v>65</v>
      </c>
      <c r="B151" s="4" t="s">
        <v>38</v>
      </c>
      <c r="C151" s="6" t="s">
        <v>2856</v>
      </c>
      <c r="D151" s="6" t="s">
        <v>1693</v>
      </c>
      <c r="E151" s="21">
        <v>43845</v>
      </c>
      <c r="F151" s="4" t="s">
        <v>925</v>
      </c>
      <c r="H151" s="4" t="s">
        <v>2528</v>
      </c>
      <c r="I151" s="4">
        <v>4303</v>
      </c>
      <c r="J151" s="4" t="s">
        <v>1177</v>
      </c>
      <c r="K151" s="6" t="s">
        <v>1060</v>
      </c>
      <c r="L151" s="4">
        <v>20</v>
      </c>
      <c r="M151" s="387">
        <v>3248</v>
      </c>
      <c r="N151" s="374">
        <v>0.13</v>
      </c>
      <c r="O151" s="387">
        <v>2865</v>
      </c>
      <c r="P151" s="387">
        <v>3348</v>
      </c>
      <c r="Q151" s="387">
        <v>66960</v>
      </c>
      <c r="R151" s="26">
        <v>43845</v>
      </c>
      <c r="S151" s="4" t="s">
        <v>2050</v>
      </c>
      <c r="T151" s="387">
        <v>239186</v>
      </c>
      <c r="U151" t="s">
        <v>1563</v>
      </c>
      <c r="V151" s="388">
        <v>2345</v>
      </c>
      <c r="W151" s="388">
        <v>520</v>
      </c>
      <c r="X151" s="375">
        <v>0.18</v>
      </c>
    </row>
    <row r="152" spans="1:24" x14ac:dyDescent="0.25">
      <c r="A152" s="4">
        <v>65</v>
      </c>
      <c r="B152" s="4" t="s">
        <v>1471</v>
      </c>
      <c r="C152" s="6" t="s">
        <v>1655</v>
      </c>
      <c r="D152" s="6" t="s">
        <v>1469</v>
      </c>
      <c r="E152" s="21">
        <v>43845</v>
      </c>
      <c r="F152" s="4" t="s">
        <v>925</v>
      </c>
      <c r="H152" s="4" t="s">
        <v>2528</v>
      </c>
      <c r="I152" s="4">
        <v>4303</v>
      </c>
      <c r="J152" s="4" t="s">
        <v>1177</v>
      </c>
      <c r="K152" s="6" t="s">
        <v>1060</v>
      </c>
      <c r="L152" s="4">
        <v>18</v>
      </c>
      <c r="M152" s="387">
        <v>880</v>
      </c>
      <c r="N152" s="374">
        <v>0.1</v>
      </c>
      <c r="O152" s="387">
        <v>802</v>
      </c>
      <c r="P152" s="387">
        <v>945</v>
      </c>
      <c r="Q152" s="387">
        <v>17010</v>
      </c>
      <c r="R152" s="26">
        <v>43845</v>
      </c>
      <c r="S152" s="4" t="s">
        <v>2050</v>
      </c>
      <c r="T152" s="387">
        <v>239186</v>
      </c>
      <c r="U152" t="s">
        <v>1570</v>
      </c>
      <c r="V152" s="388">
        <v>635</v>
      </c>
      <c r="W152" s="388">
        <v>167</v>
      </c>
      <c r="X152" s="375">
        <v>0.21</v>
      </c>
    </row>
    <row r="153" spans="1:24" x14ac:dyDescent="0.25">
      <c r="A153" s="4">
        <v>65</v>
      </c>
      <c r="B153" s="4" t="s">
        <v>842</v>
      </c>
      <c r="C153" s="6" t="s">
        <v>2060</v>
      </c>
      <c r="D153" s="6" t="s">
        <v>840</v>
      </c>
      <c r="E153" s="21">
        <v>43845</v>
      </c>
      <c r="F153" s="4" t="s">
        <v>925</v>
      </c>
      <c r="H153" s="4" t="s">
        <v>2528</v>
      </c>
      <c r="I153" s="4">
        <v>4303</v>
      </c>
      <c r="J153" s="4" t="s">
        <v>1177</v>
      </c>
      <c r="K153" s="6" t="s">
        <v>1060</v>
      </c>
      <c r="L153" s="4">
        <v>8</v>
      </c>
      <c r="M153" s="387">
        <v>1914</v>
      </c>
      <c r="N153" s="374">
        <v>0.1</v>
      </c>
      <c r="O153" s="387">
        <v>1744</v>
      </c>
      <c r="P153" s="387">
        <v>2056</v>
      </c>
      <c r="Q153" s="387">
        <v>16448</v>
      </c>
      <c r="R153" s="26">
        <v>43845</v>
      </c>
      <c r="S153" s="4" t="s">
        <v>2050</v>
      </c>
      <c r="T153" s="387">
        <v>239186</v>
      </c>
      <c r="U153" t="s">
        <v>1572</v>
      </c>
      <c r="V153" s="388">
        <v>1382</v>
      </c>
      <c r="W153" s="388">
        <v>362</v>
      </c>
      <c r="X153" s="375">
        <v>0.21</v>
      </c>
    </row>
    <row r="154" spans="1:24" x14ac:dyDescent="0.25">
      <c r="A154" s="4">
        <v>65</v>
      </c>
      <c r="B154" s="4" t="s">
        <v>1964</v>
      </c>
      <c r="C154" s="6" t="s">
        <v>2202</v>
      </c>
      <c r="D154" s="6" t="s">
        <v>2198</v>
      </c>
      <c r="E154" s="21">
        <v>43845</v>
      </c>
      <c r="F154" s="4" t="s">
        <v>925</v>
      </c>
      <c r="H154" s="4" t="s">
        <v>2528</v>
      </c>
      <c r="I154" s="4">
        <v>4303</v>
      </c>
      <c r="J154" s="4" t="s">
        <v>1177</v>
      </c>
      <c r="K154" s="6" t="s">
        <v>1060</v>
      </c>
      <c r="L154" s="4">
        <v>20</v>
      </c>
      <c r="M154" s="387">
        <v>1078</v>
      </c>
      <c r="N154" s="374">
        <v>0.1</v>
      </c>
      <c r="O154" s="387">
        <v>982</v>
      </c>
      <c r="P154" s="387">
        <v>1157</v>
      </c>
      <c r="Q154" s="387">
        <v>23140</v>
      </c>
      <c r="R154" s="26">
        <v>43845</v>
      </c>
      <c r="S154" s="4" t="s">
        <v>2050</v>
      </c>
      <c r="T154" s="387">
        <v>239186</v>
      </c>
      <c r="U154" t="s">
        <v>1572</v>
      </c>
      <c r="V154" t="s">
        <v>5584</v>
      </c>
      <c r="W154" s="388">
        <v>982</v>
      </c>
      <c r="X154" s="375">
        <v>1</v>
      </c>
    </row>
    <row r="155" spans="1:24" x14ac:dyDescent="0.25">
      <c r="A155" s="4">
        <v>65</v>
      </c>
      <c r="B155" s="4" t="s">
        <v>922</v>
      </c>
      <c r="C155" s="6" t="s">
        <v>1654</v>
      </c>
      <c r="D155" s="6" t="s">
        <v>1469</v>
      </c>
      <c r="E155" s="21">
        <v>43845</v>
      </c>
      <c r="F155" s="4" t="s">
        <v>925</v>
      </c>
      <c r="H155" s="4" t="s">
        <v>2528</v>
      </c>
      <c r="I155" s="4">
        <v>4303</v>
      </c>
      <c r="J155" s="4" t="s">
        <v>1177</v>
      </c>
      <c r="K155" s="6" t="s">
        <v>1060</v>
      </c>
      <c r="L155" s="4">
        <v>12</v>
      </c>
      <c r="M155" s="387">
        <v>2285</v>
      </c>
      <c r="N155" s="374">
        <v>0.1</v>
      </c>
      <c r="O155" s="387">
        <v>2082</v>
      </c>
      <c r="P155" s="387">
        <v>2454</v>
      </c>
      <c r="Q155" s="387">
        <v>29448</v>
      </c>
      <c r="R155" s="26">
        <v>43845</v>
      </c>
      <c r="S155" s="4" t="s">
        <v>2050</v>
      </c>
      <c r="T155" s="387">
        <v>239186</v>
      </c>
      <c r="U155" t="s">
        <v>1570</v>
      </c>
      <c r="V155" s="388">
        <v>1650</v>
      </c>
      <c r="W155" s="388">
        <v>432</v>
      </c>
      <c r="X155" s="375">
        <v>0.21</v>
      </c>
    </row>
    <row r="156" spans="1:24" x14ac:dyDescent="0.25">
      <c r="A156" s="4">
        <v>65</v>
      </c>
      <c r="B156" s="4" t="s">
        <v>1662</v>
      </c>
      <c r="C156" s="6" t="s">
        <v>1660</v>
      </c>
      <c r="D156" s="6" t="s">
        <v>1469</v>
      </c>
      <c r="E156" s="21">
        <v>43845</v>
      </c>
      <c r="F156" s="4" t="s">
        <v>925</v>
      </c>
      <c r="H156" s="4" t="s">
        <v>2528</v>
      </c>
      <c r="I156" s="4">
        <v>4303</v>
      </c>
      <c r="J156" s="4" t="s">
        <v>1177</v>
      </c>
      <c r="K156" s="6" t="s">
        <v>1060</v>
      </c>
      <c r="L156" s="4">
        <v>12</v>
      </c>
      <c r="M156" s="387">
        <v>1787</v>
      </c>
      <c r="N156" s="374">
        <v>0.1</v>
      </c>
      <c r="O156" s="387">
        <v>1628</v>
      </c>
      <c r="P156" s="387">
        <v>1919</v>
      </c>
      <c r="Q156" s="387">
        <v>23028</v>
      </c>
      <c r="R156" s="26">
        <v>43845</v>
      </c>
      <c r="S156" s="4" t="s">
        <v>2050</v>
      </c>
      <c r="T156" s="387">
        <v>239186</v>
      </c>
      <c r="U156" t="s">
        <v>1570</v>
      </c>
      <c r="V156" s="388">
        <v>1290</v>
      </c>
      <c r="W156" s="388">
        <v>338</v>
      </c>
      <c r="X156" s="375">
        <v>0.21</v>
      </c>
    </row>
    <row r="157" spans="1:24" x14ac:dyDescent="0.25">
      <c r="A157" s="4">
        <v>65</v>
      </c>
      <c r="B157" s="4" t="s">
        <v>1663</v>
      </c>
      <c r="C157" s="6" t="s">
        <v>1661</v>
      </c>
      <c r="D157" s="6" t="s">
        <v>1469</v>
      </c>
      <c r="E157" s="21">
        <v>43845</v>
      </c>
      <c r="F157" s="4" t="s">
        <v>925</v>
      </c>
      <c r="H157" s="4" t="s">
        <v>2528</v>
      </c>
      <c r="I157" s="4">
        <v>4303</v>
      </c>
      <c r="J157" s="4" t="s">
        <v>1177</v>
      </c>
      <c r="K157" s="6" t="s">
        <v>1060</v>
      </c>
      <c r="L157" s="4">
        <v>6</v>
      </c>
      <c r="M157" s="387">
        <v>3428</v>
      </c>
      <c r="N157" s="374">
        <v>0.1</v>
      </c>
      <c r="O157" s="387">
        <v>3123</v>
      </c>
      <c r="P157" s="387">
        <v>3682</v>
      </c>
      <c r="Q157" s="387">
        <v>22092</v>
      </c>
      <c r="R157" s="26">
        <v>43845</v>
      </c>
      <c r="S157" s="4" t="s">
        <v>2050</v>
      </c>
      <c r="T157" s="387">
        <v>239186</v>
      </c>
      <c r="U157" t="s">
        <v>1570</v>
      </c>
      <c r="V157" s="589">
        <v>2475</v>
      </c>
      <c r="W157" s="388">
        <v>648</v>
      </c>
      <c r="X157" s="375">
        <v>0.21</v>
      </c>
    </row>
    <row r="158" spans="1:24" x14ac:dyDescent="0.25">
      <c r="A158" s="4">
        <v>65</v>
      </c>
      <c r="B158" s="4" t="s">
        <v>1472</v>
      </c>
      <c r="C158" s="6" t="s">
        <v>1656</v>
      </c>
      <c r="D158" s="6" t="s">
        <v>1469</v>
      </c>
      <c r="E158" s="21">
        <v>43845</v>
      </c>
      <c r="F158" s="4" t="s">
        <v>925</v>
      </c>
      <c r="H158" s="4" t="s">
        <v>2528</v>
      </c>
      <c r="I158" s="4">
        <v>4303</v>
      </c>
      <c r="J158" s="4" t="s">
        <v>1177</v>
      </c>
      <c r="K158" s="6" t="s">
        <v>1060</v>
      </c>
      <c r="L158" s="4">
        <v>12</v>
      </c>
      <c r="M158" s="387">
        <v>1676</v>
      </c>
      <c r="N158" s="374">
        <v>0.1</v>
      </c>
      <c r="O158" s="387">
        <v>1527</v>
      </c>
      <c r="P158" s="387">
        <v>1800</v>
      </c>
      <c r="Q158" s="387">
        <v>21600</v>
      </c>
      <c r="R158" s="26">
        <v>43845</v>
      </c>
      <c r="S158" s="4" t="s">
        <v>2050</v>
      </c>
      <c r="T158" s="387">
        <v>239186</v>
      </c>
      <c r="U158" t="s">
        <v>1570</v>
      </c>
      <c r="V158" s="388">
        <v>1210</v>
      </c>
      <c r="W158" s="388">
        <v>317</v>
      </c>
      <c r="X158" s="375">
        <v>0.21</v>
      </c>
    </row>
    <row r="159" spans="1:24" x14ac:dyDescent="0.25">
      <c r="A159" s="4">
        <v>71</v>
      </c>
      <c r="B159" s="4" t="s">
        <v>2034</v>
      </c>
      <c r="C159" s="6" t="s">
        <v>2064</v>
      </c>
      <c r="D159" s="6" t="s">
        <v>840</v>
      </c>
      <c r="E159" s="21">
        <v>43845</v>
      </c>
      <c r="F159" s="4" t="s">
        <v>925</v>
      </c>
      <c r="H159" s="4" t="s">
        <v>2528</v>
      </c>
      <c r="I159" s="4">
        <v>4309</v>
      </c>
      <c r="J159" s="4" t="s">
        <v>1177</v>
      </c>
      <c r="K159" s="6" t="s">
        <v>1060</v>
      </c>
      <c r="L159" s="4">
        <v>14</v>
      </c>
      <c r="M159" s="387">
        <v>1393</v>
      </c>
      <c r="N159" s="374">
        <v>0.1</v>
      </c>
      <c r="O159" s="387">
        <v>1269</v>
      </c>
      <c r="P159" s="387">
        <v>1496</v>
      </c>
      <c r="Q159" s="387">
        <v>20944</v>
      </c>
      <c r="R159" s="26">
        <v>43845</v>
      </c>
      <c r="S159" s="4" t="s">
        <v>2050</v>
      </c>
      <c r="T159" s="387">
        <v>20950</v>
      </c>
      <c r="U159" t="s">
        <v>1572</v>
      </c>
      <c r="V159" s="388">
        <v>1006</v>
      </c>
      <c r="W159" s="388">
        <v>263</v>
      </c>
      <c r="X159" s="375">
        <v>0.21</v>
      </c>
    </row>
    <row r="160" spans="1:24" x14ac:dyDescent="0.25">
      <c r="A160" s="4">
        <v>66</v>
      </c>
      <c r="B160" s="4" t="s">
        <v>4620</v>
      </c>
      <c r="C160" s="6" t="s">
        <v>4621</v>
      </c>
      <c r="D160" s="6" t="s">
        <v>4622</v>
      </c>
      <c r="E160" s="21">
        <v>43845</v>
      </c>
      <c r="F160" s="4" t="s">
        <v>1461</v>
      </c>
      <c r="H160" s="4">
        <v>6392</v>
      </c>
      <c r="I160" s="4">
        <v>4304</v>
      </c>
      <c r="J160" s="4" t="s">
        <v>4791</v>
      </c>
      <c r="K160" s="6" t="s">
        <v>4792</v>
      </c>
      <c r="L160" s="4">
        <v>2</v>
      </c>
      <c r="M160" s="387">
        <v>29832</v>
      </c>
      <c r="N160" s="587" t="s">
        <v>2886</v>
      </c>
      <c r="O160" s="387">
        <v>29832</v>
      </c>
      <c r="P160" s="387">
        <v>35500</v>
      </c>
      <c r="Q160" s="387">
        <v>71000</v>
      </c>
      <c r="R160" s="26">
        <v>43844</v>
      </c>
      <c r="S160" s="4" t="s">
        <v>1501</v>
      </c>
      <c r="T160" s="387">
        <v>71000</v>
      </c>
      <c r="U160" t="s">
        <v>4602</v>
      </c>
      <c r="V160" s="388">
        <v>23940</v>
      </c>
      <c r="W160" s="388">
        <v>5892</v>
      </c>
      <c r="X160" s="375">
        <v>0.2</v>
      </c>
    </row>
    <row r="161" spans="1:24" x14ac:dyDescent="0.25">
      <c r="A161" s="4">
        <v>72</v>
      </c>
      <c r="B161" s="4" t="s">
        <v>1503</v>
      </c>
      <c r="C161" s="6" t="s">
        <v>1972</v>
      </c>
      <c r="D161" s="6" t="s">
        <v>1638</v>
      </c>
      <c r="E161" s="21">
        <v>43845</v>
      </c>
      <c r="F161" s="4" t="s">
        <v>1461</v>
      </c>
      <c r="H161" s="4">
        <v>6398</v>
      </c>
      <c r="I161" s="4">
        <v>4310</v>
      </c>
      <c r="J161" s="4" t="s">
        <v>1986</v>
      </c>
      <c r="K161" s="6" t="s">
        <v>1984</v>
      </c>
      <c r="L161" s="4">
        <v>8</v>
      </c>
      <c r="M161" s="397">
        <v>3193</v>
      </c>
      <c r="N161" s="587" t="s">
        <v>2886</v>
      </c>
      <c r="O161" s="397">
        <v>3193</v>
      </c>
      <c r="P161" s="397">
        <v>3800</v>
      </c>
      <c r="Q161" s="439">
        <v>30400</v>
      </c>
      <c r="R161" s="26">
        <v>43845</v>
      </c>
      <c r="S161" s="4" t="s">
        <v>1501</v>
      </c>
      <c r="T161" s="397">
        <v>58700</v>
      </c>
      <c r="U161" t="s">
        <v>1545</v>
      </c>
      <c r="V161" s="398">
        <v>2200</v>
      </c>
      <c r="W161" s="398">
        <v>993</v>
      </c>
      <c r="X161" s="375">
        <v>0.31</v>
      </c>
    </row>
    <row r="162" spans="1:24" x14ac:dyDescent="0.25">
      <c r="A162" s="4">
        <v>72</v>
      </c>
      <c r="B162" s="4" t="s">
        <v>1755</v>
      </c>
      <c r="C162" s="6" t="s">
        <v>1925</v>
      </c>
      <c r="D162" s="6" t="s">
        <v>1504</v>
      </c>
      <c r="E162" s="21">
        <v>43845</v>
      </c>
      <c r="F162" s="4" t="s">
        <v>1461</v>
      </c>
      <c r="H162" s="4">
        <v>6398</v>
      </c>
      <c r="I162" s="4">
        <v>4310</v>
      </c>
      <c r="J162" s="4" t="s">
        <v>1986</v>
      </c>
      <c r="K162" s="6" t="s">
        <v>1984</v>
      </c>
      <c r="L162" s="4">
        <v>7</v>
      </c>
      <c r="M162" s="397">
        <v>2941</v>
      </c>
      <c r="N162" s="587" t="s">
        <v>2886</v>
      </c>
      <c r="O162" s="397">
        <v>2941</v>
      </c>
      <c r="P162" s="397">
        <v>3500</v>
      </c>
      <c r="Q162" s="439">
        <v>24500</v>
      </c>
      <c r="R162" s="26">
        <v>43845</v>
      </c>
      <c r="S162" s="4" t="s">
        <v>1501</v>
      </c>
      <c r="T162" s="397">
        <v>58700</v>
      </c>
      <c r="U162" t="s">
        <v>1545</v>
      </c>
      <c r="V162" s="398">
        <v>2119</v>
      </c>
      <c r="W162" s="398">
        <v>822</v>
      </c>
      <c r="X162" s="375">
        <v>0.28000000000000003</v>
      </c>
    </row>
    <row r="163" spans="1:24" x14ac:dyDescent="0.25">
      <c r="A163" s="4">
        <v>72</v>
      </c>
      <c r="B163" s="4" t="s">
        <v>2250</v>
      </c>
      <c r="C163" s="6" t="s">
        <v>2249</v>
      </c>
      <c r="D163" s="6" t="s">
        <v>1638</v>
      </c>
      <c r="E163" s="21">
        <v>43845</v>
      </c>
      <c r="F163" s="4" t="s">
        <v>1461</v>
      </c>
      <c r="H163" s="4">
        <v>6398</v>
      </c>
      <c r="I163" s="4">
        <v>4310</v>
      </c>
      <c r="J163" s="4" t="s">
        <v>1986</v>
      </c>
      <c r="K163" s="6" t="s">
        <v>1984</v>
      </c>
      <c r="L163" s="4">
        <v>1</v>
      </c>
      <c r="M163" s="397">
        <v>3193</v>
      </c>
      <c r="N163" s="519" t="s">
        <v>2886</v>
      </c>
      <c r="O163" s="397">
        <v>3193</v>
      </c>
      <c r="P163" s="397">
        <v>3800</v>
      </c>
      <c r="Q163" s="397">
        <v>3800</v>
      </c>
      <c r="R163" s="26">
        <v>43845</v>
      </c>
      <c r="S163" s="4" t="s">
        <v>1501</v>
      </c>
      <c r="T163" s="397">
        <v>58700</v>
      </c>
      <c r="U163" t="s">
        <v>1545</v>
      </c>
      <c r="V163" s="398">
        <v>2100</v>
      </c>
      <c r="W163" s="398">
        <v>1093</v>
      </c>
      <c r="X163" s="375">
        <v>0.34</v>
      </c>
    </row>
    <row r="164" spans="1:24" x14ac:dyDescent="0.25">
      <c r="A164" s="4">
        <v>73</v>
      </c>
      <c r="B164" s="4" t="s">
        <v>845</v>
      </c>
      <c r="C164" s="6" t="s">
        <v>2199</v>
      </c>
      <c r="D164" s="6" t="s">
        <v>2198</v>
      </c>
      <c r="E164" s="21">
        <v>43845</v>
      </c>
      <c r="F164" s="4" t="s">
        <v>1461</v>
      </c>
      <c r="H164" s="4">
        <v>6399</v>
      </c>
      <c r="I164" s="4">
        <v>4311</v>
      </c>
      <c r="J164" s="4" t="s">
        <v>1419</v>
      </c>
      <c r="K164" s="6" t="s">
        <v>1119</v>
      </c>
      <c r="L164" s="4">
        <v>1</v>
      </c>
      <c r="M164" s="397">
        <v>19748</v>
      </c>
      <c r="N164" s="519" t="s">
        <v>2886</v>
      </c>
      <c r="O164" s="397">
        <v>19748</v>
      </c>
      <c r="P164" s="397">
        <v>23500</v>
      </c>
      <c r="Q164" s="397">
        <v>23500</v>
      </c>
      <c r="R164" s="26">
        <v>43845</v>
      </c>
      <c r="S164" s="4" t="s">
        <v>1501</v>
      </c>
      <c r="T164" s="397">
        <v>23500</v>
      </c>
      <c r="U164" t="s">
        <v>1572</v>
      </c>
      <c r="V164" s="398">
        <v>14853</v>
      </c>
      <c r="W164" s="398">
        <v>4895</v>
      </c>
      <c r="X164" s="375">
        <v>0.25</v>
      </c>
    </row>
    <row r="165" spans="1:24" x14ac:dyDescent="0.25">
      <c r="A165" s="4">
        <v>60</v>
      </c>
      <c r="B165" s="4" t="s">
        <v>5628</v>
      </c>
      <c r="C165" s="6" t="s">
        <v>5629</v>
      </c>
      <c r="D165" s="6" t="s">
        <v>5630</v>
      </c>
      <c r="E165" s="21">
        <v>43845</v>
      </c>
      <c r="F165" s="4" t="s">
        <v>925</v>
      </c>
      <c r="H165" s="4" t="s">
        <v>2528</v>
      </c>
      <c r="I165" s="4">
        <v>4298</v>
      </c>
      <c r="J165" s="4" t="s">
        <v>1179</v>
      </c>
      <c r="K165" s="6" t="s">
        <v>952</v>
      </c>
      <c r="L165" s="4">
        <v>12</v>
      </c>
      <c r="M165" s="397">
        <v>3499</v>
      </c>
      <c r="N165" s="374">
        <v>0.1</v>
      </c>
      <c r="O165" s="397">
        <v>3188</v>
      </c>
      <c r="P165" s="397">
        <v>3758</v>
      </c>
      <c r="Q165" s="397">
        <v>45096</v>
      </c>
      <c r="R165" s="26">
        <v>43845</v>
      </c>
      <c r="S165" s="4" t="s">
        <v>2050</v>
      </c>
      <c r="T165" s="397">
        <v>123736</v>
      </c>
      <c r="U165" t="s">
        <v>5619</v>
      </c>
      <c r="V165" s="398">
        <v>2400</v>
      </c>
      <c r="W165" s="398">
        <v>788</v>
      </c>
      <c r="X165" s="375">
        <v>0.25</v>
      </c>
    </row>
    <row r="166" spans="1:24" x14ac:dyDescent="0.25">
      <c r="A166" s="4">
        <v>60</v>
      </c>
      <c r="B166" s="4" t="s">
        <v>4874</v>
      </c>
      <c r="C166" s="6" t="s">
        <v>4876</v>
      </c>
      <c r="D166" s="6" t="s">
        <v>4875</v>
      </c>
      <c r="E166" s="21">
        <v>43845</v>
      </c>
      <c r="F166" s="4" t="s">
        <v>925</v>
      </c>
      <c r="H166" s="4" t="s">
        <v>2528</v>
      </c>
      <c r="I166" s="4">
        <v>4298</v>
      </c>
      <c r="J166" s="4" t="s">
        <v>1179</v>
      </c>
      <c r="K166" s="6" t="s">
        <v>952</v>
      </c>
      <c r="L166" s="4">
        <v>80</v>
      </c>
      <c r="M166" s="397">
        <v>191</v>
      </c>
      <c r="N166" s="374">
        <v>0.2</v>
      </c>
      <c r="O166" s="397">
        <v>159</v>
      </c>
      <c r="P166" s="397">
        <v>182</v>
      </c>
      <c r="Q166" s="397">
        <v>14560</v>
      </c>
      <c r="R166" s="26">
        <v>43845</v>
      </c>
      <c r="S166" s="4" t="s">
        <v>2050</v>
      </c>
      <c r="T166" s="397">
        <v>123736</v>
      </c>
      <c r="U166" t="s">
        <v>1546</v>
      </c>
      <c r="V166" s="398">
        <v>138</v>
      </c>
      <c r="W166" s="398">
        <v>21</v>
      </c>
      <c r="X166" s="375">
        <v>0.13</v>
      </c>
    </row>
    <row r="167" spans="1:24" x14ac:dyDescent="0.25">
      <c r="A167" s="4">
        <v>60</v>
      </c>
      <c r="B167" s="4" t="s">
        <v>254</v>
      </c>
      <c r="C167" s="6" t="s">
        <v>2586</v>
      </c>
      <c r="D167" s="6" t="s">
        <v>2792</v>
      </c>
      <c r="E167" s="21">
        <v>43845</v>
      </c>
      <c r="F167" s="4" t="s">
        <v>925</v>
      </c>
      <c r="H167" s="4" t="s">
        <v>2528</v>
      </c>
      <c r="I167" s="4">
        <v>4298</v>
      </c>
      <c r="J167" s="4" t="s">
        <v>1179</v>
      </c>
      <c r="K167" s="6" t="s">
        <v>952</v>
      </c>
      <c r="L167" s="4">
        <v>24</v>
      </c>
      <c r="M167" s="397">
        <v>273</v>
      </c>
      <c r="N167" s="374">
        <v>0.05</v>
      </c>
      <c r="O167" s="397">
        <v>260</v>
      </c>
      <c r="P167" s="397">
        <v>308</v>
      </c>
      <c r="Q167" s="397">
        <v>7392</v>
      </c>
      <c r="R167" s="26">
        <v>43845</v>
      </c>
      <c r="S167" s="4" t="s">
        <v>2050</v>
      </c>
      <c r="T167" s="397">
        <v>123736</v>
      </c>
      <c r="U167" t="s">
        <v>2755</v>
      </c>
      <c r="V167" s="440">
        <v>197</v>
      </c>
      <c r="W167" s="398">
        <v>63</v>
      </c>
      <c r="X167" s="375">
        <v>0.24</v>
      </c>
    </row>
    <row r="168" spans="1:24" x14ac:dyDescent="0.25">
      <c r="A168" s="4">
        <v>60</v>
      </c>
      <c r="B168" s="4" t="s">
        <v>256</v>
      </c>
      <c r="C168" s="6" t="s">
        <v>2590</v>
      </c>
      <c r="D168" s="6" t="s">
        <v>2792</v>
      </c>
      <c r="E168" s="21">
        <v>43845</v>
      </c>
      <c r="F168" s="4" t="s">
        <v>925</v>
      </c>
      <c r="H168" s="4" t="s">
        <v>2528</v>
      </c>
      <c r="I168" s="4">
        <v>4298</v>
      </c>
      <c r="J168" s="4" t="s">
        <v>1179</v>
      </c>
      <c r="K168" s="6" t="s">
        <v>952</v>
      </c>
      <c r="L168" s="4">
        <v>24</v>
      </c>
      <c r="M168" s="397">
        <v>273</v>
      </c>
      <c r="N168" s="374">
        <v>0.05</v>
      </c>
      <c r="O168" s="397">
        <v>260</v>
      </c>
      <c r="P168" s="397">
        <v>308</v>
      </c>
      <c r="Q168" s="397">
        <v>7392</v>
      </c>
      <c r="R168" s="26">
        <v>43845</v>
      </c>
      <c r="S168" s="4" t="s">
        <v>2050</v>
      </c>
      <c r="T168" s="397">
        <v>123736</v>
      </c>
      <c r="U168" t="s">
        <v>2755</v>
      </c>
      <c r="V168" s="398">
        <v>197</v>
      </c>
      <c r="W168" s="398">
        <v>63</v>
      </c>
      <c r="X168" s="375">
        <v>0.24</v>
      </c>
    </row>
    <row r="169" spans="1:24" x14ac:dyDescent="0.25">
      <c r="A169" s="4">
        <v>60</v>
      </c>
      <c r="B169" s="4" t="s">
        <v>257</v>
      </c>
      <c r="C169" s="6" t="s">
        <v>2589</v>
      </c>
      <c r="D169" s="6" t="s">
        <v>2792</v>
      </c>
      <c r="E169" s="21">
        <v>43845</v>
      </c>
      <c r="F169" s="4" t="s">
        <v>925</v>
      </c>
      <c r="H169" s="4" t="s">
        <v>2528</v>
      </c>
      <c r="I169" s="4">
        <v>4298</v>
      </c>
      <c r="J169" s="4" t="s">
        <v>1179</v>
      </c>
      <c r="K169" s="6" t="s">
        <v>952</v>
      </c>
      <c r="L169" s="4">
        <v>24</v>
      </c>
      <c r="M169" s="397">
        <v>314</v>
      </c>
      <c r="N169" s="374">
        <v>0.05</v>
      </c>
      <c r="O169" s="397">
        <v>299</v>
      </c>
      <c r="P169" s="397">
        <v>355</v>
      </c>
      <c r="Q169" s="439">
        <v>8520</v>
      </c>
      <c r="R169" s="26">
        <v>43845</v>
      </c>
      <c r="S169" s="4" t="s">
        <v>2050</v>
      </c>
      <c r="T169" s="397">
        <v>123736</v>
      </c>
      <c r="U169" t="s">
        <v>2755</v>
      </c>
      <c r="V169" t="s">
        <v>5584</v>
      </c>
      <c r="W169" s="398">
        <v>299</v>
      </c>
      <c r="X169" s="375">
        <v>1</v>
      </c>
    </row>
    <row r="170" spans="1:24" x14ac:dyDescent="0.25">
      <c r="A170" s="4">
        <v>60</v>
      </c>
      <c r="B170" s="4" t="s">
        <v>280</v>
      </c>
      <c r="C170" s="6" t="s">
        <v>1818</v>
      </c>
      <c r="D170" s="6" t="s">
        <v>2792</v>
      </c>
      <c r="E170" s="21">
        <v>43845</v>
      </c>
      <c r="F170" s="4" t="s">
        <v>925</v>
      </c>
      <c r="H170" s="4" t="s">
        <v>2528</v>
      </c>
      <c r="I170" s="4">
        <v>4298</v>
      </c>
      <c r="J170" s="4" t="s">
        <v>1179</v>
      </c>
      <c r="K170" s="6" t="s">
        <v>952</v>
      </c>
      <c r="L170" s="4">
        <v>20</v>
      </c>
      <c r="M170" s="397">
        <v>360</v>
      </c>
      <c r="N170" s="374">
        <v>0.05</v>
      </c>
      <c r="O170" s="397">
        <v>343</v>
      </c>
      <c r="P170" s="397">
        <v>407</v>
      </c>
      <c r="Q170" s="397">
        <v>8140</v>
      </c>
      <c r="R170" s="26">
        <v>43845</v>
      </c>
      <c r="S170" s="4" t="s">
        <v>2050</v>
      </c>
      <c r="T170" s="397">
        <v>123736</v>
      </c>
      <c r="U170" t="s">
        <v>2755</v>
      </c>
      <c r="V170" s="398">
        <v>260</v>
      </c>
      <c r="W170" s="398">
        <v>83</v>
      </c>
      <c r="X170" s="375">
        <v>0.24</v>
      </c>
    </row>
    <row r="171" spans="1:24" x14ac:dyDescent="0.25">
      <c r="A171" s="4">
        <v>60</v>
      </c>
      <c r="B171" s="4" t="s">
        <v>4664</v>
      </c>
      <c r="C171" s="6" t="s">
        <v>5016</v>
      </c>
      <c r="D171" s="6" t="s">
        <v>2783</v>
      </c>
      <c r="E171" s="21">
        <v>43845</v>
      </c>
      <c r="F171" s="4" t="s">
        <v>925</v>
      </c>
      <c r="H171" s="4" t="s">
        <v>2528</v>
      </c>
      <c r="I171" s="4">
        <v>4298</v>
      </c>
      <c r="J171" s="4" t="s">
        <v>1179</v>
      </c>
      <c r="K171" s="6" t="s">
        <v>952</v>
      </c>
      <c r="L171" s="4">
        <v>20</v>
      </c>
      <c r="M171" s="397">
        <v>1518</v>
      </c>
      <c r="N171" s="374">
        <v>0.1</v>
      </c>
      <c r="O171" s="397">
        <v>1383</v>
      </c>
      <c r="P171" s="397">
        <v>1630</v>
      </c>
      <c r="Q171" s="397">
        <v>32600</v>
      </c>
      <c r="R171" s="26">
        <v>43845</v>
      </c>
      <c r="S171" s="4" t="s">
        <v>2050</v>
      </c>
      <c r="T171" s="397">
        <v>123736</v>
      </c>
      <c r="U171" t="s">
        <v>4767</v>
      </c>
      <c r="V171" s="398">
        <v>1096</v>
      </c>
      <c r="W171" s="398">
        <v>287</v>
      </c>
      <c r="X171" s="375">
        <v>0.21</v>
      </c>
    </row>
    <row r="172" spans="1:24" x14ac:dyDescent="0.25">
      <c r="A172" s="4">
        <v>64</v>
      </c>
      <c r="B172" s="4" t="s">
        <v>5353</v>
      </c>
      <c r="C172" s="6" t="s">
        <v>5354</v>
      </c>
      <c r="D172" s="6" t="s">
        <v>4705</v>
      </c>
      <c r="E172" s="21">
        <v>43845</v>
      </c>
      <c r="F172" s="4" t="s">
        <v>1461</v>
      </c>
      <c r="H172" s="4">
        <v>6395</v>
      </c>
      <c r="I172" s="4">
        <v>4302</v>
      </c>
      <c r="J172" s="4" t="s">
        <v>1200</v>
      </c>
      <c r="K172" s="6" t="s">
        <v>2316</v>
      </c>
      <c r="L172" s="4">
        <v>0</v>
      </c>
      <c r="M172" s="397">
        <v>15167</v>
      </c>
      <c r="N172" s="587" t="s">
        <v>2886</v>
      </c>
      <c r="O172" s="397">
        <v>15167</v>
      </c>
      <c r="P172" s="397">
        <v>18048</v>
      </c>
      <c r="Q172" s="587" t="s">
        <v>5584</v>
      </c>
      <c r="R172" s="26">
        <v>43844</v>
      </c>
      <c r="S172" s="4" t="s">
        <v>1501</v>
      </c>
      <c r="T172" s="397">
        <v>7713</v>
      </c>
      <c r="U172" t="s">
        <v>4774</v>
      </c>
      <c r="V172" s="589">
        <v>9100</v>
      </c>
      <c r="W172" s="398">
        <v>6067</v>
      </c>
      <c r="X172" s="375">
        <v>0.4</v>
      </c>
    </row>
    <row r="173" spans="1:24" x14ac:dyDescent="0.25">
      <c r="A173" s="4">
        <v>64</v>
      </c>
      <c r="B173" s="4" t="s">
        <v>5355</v>
      </c>
      <c r="C173" s="6" t="s">
        <v>5356</v>
      </c>
      <c r="D173" s="6" t="s">
        <v>4705</v>
      </c>
      <c r="E173" s="21">
        <v>43845</v>
      </c>
      <c r="F173" s="4" t="s">
        <v>1461</v>
      </c>
      <c r="H173" s="4">
        <v>6395</v>
      </c>
      <c r="I173" s="4">
        <v>4302</v>
      </c>
      <c r="J173" s="4" t="s">
        <v>1200</v>
      </c>
      <c r="K173" s="6" t="s">
        <v>2316</v>
      </c>
      <c r="L173" s="4">
        <v>0</v>
      </c>
      <c r="M173" s="397">
        <v>5602</v>
      </c>
      <c r="N173" s="587" t="s">
        <v>2886</v>
      </c>
      <c r="O173" s="397">
        <v>5602</v>
      </c>
      <c r="P173" s="397">
        <v>6666</v>
      </c>
      <c r="Q173" s="587" t="s">
        <v>5584</v>
      </c>
      <c r="R173" s="26">
        <v>43844</v>
      </c>
      <c r="S173" s="4" t="s">
        <v>1501</v>
      </c>
      <c r="T173" s="397">
        <v>7713</v>
      </c>
      <c r="U173" t="s">
        <v>4774</v>
      </c>
      <c r="V173" s="398">
        <v>3361</v>
      </c>
      <c r="W173" s="398">
        <v>2241</v>
      </c>
      <c r="X173" s="375">
        <v>0.4</v>
      </c>
    </row>
    <row r="174" spans="1:24" x14ac:dyDescent="0.25">
      <c r="A174" s="4">
        <v>62</v>
      </c>
      <c r="B174" s="4" t="s">
        <v>5338</v>
      </c>
      <c r="C174" s="6" t="s">
        <v>5339</v>
      </c>
      <c r="D174" s="6" t="s">
        <v>4457</v>
      </c>
      <c r="E174" s="21">
        <v>43845</v>
      </c>
      <c r="F174" s="4" t="s">
        <v>925</v>
      </c>
      <c r="H174" s="4" t="s">
        <v>2528</v>
      </c>
      <c r="I174" s="4">
        <v>4300</v>
      </c>
      <c r="J174" s="4" t="s">
        <v>1178</v>
      </c>
      <c r="K174" s="6" t="s">
        <v>950</v>
      </c>
      <c r="L174" s="4">
        <v>12</v>
      </c>
      <c r="M174" s="397">
        <v>741</v>
      </c>
      <c r="N174" s="374">
        <v>0.1</v>
      </c>
      <c r="O174" s="397">
        <v>675</v>
      </c>
      <c r="P174" s="397">
        <v>796</v>
      </c>
      <c r="Q174" s="397">
        <v>9552</v>
      </c>
      <c r="R174" s="26">
        <v>43845</v>
      </c>
      <c r="S174" s="4" t="s">
        <v>2050</v>
      </c>
      <c r="T174" s="397">
        <v>22714</v>
      </c>
      <c r="U174" t="s">
        <v>1563</v>
      </c>
      <c r="V174" s="398">
        <v>505</v>
      </c>
      <c r="W174" s="398">
        <v>170</v>
      </c>
      <c r="X174" s="375">
        <v>0.25</v>
      </c>
    </row>
    <row r="175" spans="1:24" x14ac:dyDescent="0.25">
      <c r="A175" s="4">
        <v>62</v>
      </c>
      <c r="B175" s="4" t="s">
        <v>4568</v>
      </c>
      <c r="C175" s="6" t="s">
        <v>4569</v>
      </c>
      <c r="D175" s="6" t="s">
        <v>4570</v>
      </c>
      <c r="E175" s="21">
        <v>43845</v>
      </c>
      <c r="F175" s="4" t="s">
        <v>925</v>
      </c>
      <c r="H175" s="4" t="s">
        <v>2528</v>
      </c>
      <c r="I175" s="4">
        <v>4300</v>
      </c>
      <c r="J175" s="4" t="s">
        <v>1178</v>
      </c>
      <c r="K175" s="6" t="s">
        <v>950</v>
      </c>
      <c r="L175" s="4">
        <v>15</v>
      </c>
      <c r="M175" s="397">
        <v>817</v>
      </c>
      <c r="N175" s="374">
        <v>0.1</v>
      </c>
      <c r="O175" s="397">
        <v>744</v>
      </c>
      <c r="P175" s="397">
        <v>878</v>
      </c>
      <c r="Q175" s="588">
        <v>13170</v>
      </c>
      <c r="R175" s="26">
        <v>43845</v>
      </c>
      <c r="S175" s="4" t="s">
        <v>2050</v>
      </c>
      <c r="T175" s="397">
        <v>22714</v>
      </c>
      <c r="U175" t="s">
        <v>1563</v>
      </c>
      <c r="V175" s="398">
        <v>590</v>
      </c>
      <c r="W175" s="398">
        <v>154</v>
      </c>
      <c r="X175" s="375">
        <v>0.21</v>
      </c>
    </row>
    <row r="176" spans="1:24" x14ac:dyDescent="0.25">
      <c r="A176" s="4">
        <v>63</v>
      </c>
      <c r="B176" s="4" t="s">
        <v>3907</v>
      </c>
      <c r="C176" s="6" t="s">
        <v>3814</v>
      </c>
      <c r="D176" s="6" t="s">
        <v>1646</v>
      </c>
      <c r="E176" s="21">
        <v>43845</v>
      </c>
      <c r="F176" s="4" t="s">
        <v>925</v>
      </c>
      <c r="H176" s="4" t="s">
        <v>5641</v>
      </c>
      <c r="I176" s="4">
        <v>4301</v>
      </c>
      <c r="J176" s="4" t="s">
        <v>1192</v>
      </c>
      <c r="K176" s="6" t="s">
        <v>1061</v>
      </c>
      <c r="L176" s="4">
        <v>6</v>
      </c>
      <c r="M176" s="397">
        <v>17642</v>
      </c>
      <c r="N176" s="4" t="s">
        <v>2886</v>
      </c>
      <c r="O176" s="397">
        <v>17642</v>
      </c>
      <c r="P176" s="397">
        <v>20994</v>
      </c>
      <c r="Q176" s="588">
        <v>125964</v>
      </c>
      <c r="R176" s="26">
        <v>43845</v>
      </c>
      <c r="S176" s="4" t="s">
        <v>1501</v>
      </c>
      <c r="T176" s="397">
        <v>299946</v>
      </c>
      <c r="U176" t="s">
        <v>3934</v>
      </c>
      <c r="V176" s="398">
        <v>13408</v>
      </c>
      <c r="W176" s="398">
        <v>4234</v>
      </c>
      <c r="X176" s="375">
        <v>0.24</v>
      </c>
    </row>
    <row r="177" spans="1:24" x14ac:dyDescent="0.25">
      <c r="A177" s="4">
        <v>63</v>
      </c>
      <c r="B177" s="4" t="s">
        <v>35</v>
      </c>
      <c r="C177" s="6" t="s">
        <v>2855</v>
      </c>
      <c r="D177" s="6" t="s">
        <v>1693</v>
      </c>
      <c r="E177" s="21">
        <v>43845</v>
      </c>
      <c r="F177" s="4" t="s">
        <v>925</v>
      </c>
      <c r="H177" s="4" t="s">
        <v>5641</v>
      </c>
      <c r="I177" s="4">
        <v>4301</v>
      </c>
      <c r="J177" s="4" t="s">
        <v>1192</v>
      </c>
      <c r="K177" s="6" t="s">
        <v>1061</v>
      </c>
      <c r="L177" s="4">
        <v>4</v>
      </c>
      <c r="M177" s="397">
        <v>6151</v>
      </c>
      <c r="N177" s="587" t="s">
        <v>2886</v>
      </c>
      <c r="O177" s="397">
        <v>6151</v>
      </c>
      <c r="P177" s="397">
        <v>7320</v>
      </c>
      <c r="Q177" s="397">
        <v>29280</v>
      </c>
      <c r="R177" s="26">
        <v>43845</v>
      </c>
      <c r="S177" s="4" t="s">
        <v>1501</v>
      </c>
      <c r="T177" s="397">
        <v>299946</v>
      </c>
      <c r="U177" t="s">
        <v>1563</v>
      </c>
      <c r="V177" s="398">
        <v>4600</v>
      </c>
      <c r="W177" s="398">
        <v>1551</v>
      </c>
      <c r="X177" s="375">
        <v>0.25</v>
      </c>
    </row>
    <row r="178" spans="1:24" x14ac:dyDescent="0.25">
      <c r="A178" s="4">
        <v>63</v>
      </c>
      <c r="B178" s="4" t="s">
        <v>2289</v>
      </c>
      <c r="C178" s="6" t="s">
        <v>2620</v>
      </c>
      <c r="D178" s="6" t="s">
        <v>1539</v>
      </c>
      <c r="E178" s="21">
        <v>43845</v>
      </c>
      <c r="F178" s="4" t="s">
        <v>925</v>
      </c>
      <c r="H178" s="4" t="s">
        <v>5641</v>
      </c>
      <c r="I178" s="4">
        <v>4301</v>
      </c>
      <c r="J178" s="4" t="s">
        <v>1192</v>
      </c>
      <c r="K178" s="6" t="s">
        <v>1061</v>
      </c>
      <c r="L178" s="4">
        <v>2</v>
      </c>
      <c r="M178" s="397">
        <v>20084</v>
      </c>
      <c r="N178" s="587" t="s">
        <v>2886</v>
      </c>
      <c r="O178" s="397">
        <v>20084</v>
      </c>
      <c r="P178" s="397">
        <v>23900</v>
      </c>
      <c r="Q178" s="397">
        <v>47800</v>
      </c>
      <c r="R178" s="26">
        <v>43845</v>
      </c>
      <c r="S178" s="4" t="s">
        <v>1501</v>
      </c>
      <c r="T178" s="397">
        <v>299946</v>
      </c>
      <c r="U178" t="s">
        <v>1524</v>
      </c>
      <c r="V178" s="398">
        <v>16386</v>
      </c>
      <c r="W178" s="398">
        <v>3698</v>
      </c>
      <c r="X178" s="375">
        <v>0.18</v>
      </c>
    </row>
    <row r="179" spans="1:24" x14ac:dyDescent="0.25">
      <c r="A179" s="4">
        <v>63</v>
      </c>
      <c r="B179" s="4" t="s">
        <v>3863</v>
      </c>
      <c r="C179" s="6" t="s">
        <v>3771</v>
      </c>
      <c r="D179" s="6" t="s">
        <v>1646</v>
      </c>
      <c r="E179" s="21">
        <v>43845</v>
      </c>
      <c r="F179" s="4" t="s">
        <v>925</v>
      </c>
      <c r="H179" s="4" t="s">
        <v>5641</v>
      </c>
      <c r="I179" s="4">
        <v>4301</v>
      </c>
      <c r="J179" s="4" t="s">
        <v>1192</v>
      </c>
      <c r="K179" s="6" t="s">
        <v>1061</v>
      </c>
      <c r="L179" s="4">
        <v>10</v>
      </c>
      <c r="M179" s="397">
        <v>2368</v>
      </c>
      <c r="N179" s="4" t="s">
        <v>2886</v>
      </c>
      <c r="O179" s="397">
        <v>2368</v>
      </c>
      <c r="P179" s="397">
        <v>2818</v>
      </c>
      <c r="Q179" s="397">
        <v>28180</v>
      </c>
      <c r="R179" s="26">
        <v>43845</v>
      </c>
      <c r="S179" s="4" t="s">
        <v>1501</v>
      </c>
      <c r="T179" s="397">
        <v>299946</v>
      </c>
      <c r="U179" t="s">
        <v>3934</v>
      </c>
      <c r="V179" s="398">
        <v>1787</v>
      </c>
      <c r="W179" s="398">
        <v>581</v>
      </c>
      <c r="X179" s="375">
        <v>0.25</v>
      </c>
    </row>
    <row r="180" spans="1:24" x14ac:dyDescent="0.25">
      <c r="A180" s="4">
        <v>63</v>
      </c>
      <c r="B180" s="4" t="s">
        <v>2863</v>
      </c>
      <c r="C180" s="6" t="s">
        <v>2956</v>
      </c>
      <c r="D180" s="6" t="s">
        <v>33</v>
      </c>
      <c r="E180" s="21">
        <v>43845</v>
      </c>
      <c r="F180" s="4" t="s">
        <v>925</v>
      </c>
      <c r="H180" s="4" t="s">
        <v>5641</v>
      </c>
      <c r="I180" s="4">
        <v>4301</v>
      </c>
      <c r="J180" s="4" t="s">
        <v>1192</v>
      </c>
      <c r="K180" s="6" t="s">
        <v>1061</v>
      </c>
      <c r="L180" s="4">
        <v>1</v>
      </c>
      <c r="M180" s="397">
        <v>12437</v>
      </c>
      <c r="N180" s="441" t="s">
        <v>2886</v>
      </c>
      <c r="O180" s="397">
        <v>12437</v>
      </c>
      <c r="P180" s="397">
        <v>14800</v>
      </c>
      <c r="Q180" s="397">
        <v>14800</v>
      </c>
      <c r="R180" s="26">
        <v>43845</v>
      </c>
      <c r="S180" s="4" t="s">
        <v>1501</v>
      </c>
      <c r="T180" s="397">
        <v>299946</v>
      </c>
      <c r="U180" t="s">
        <v>1563</v>
      </c>
      <c r="V180" s="398">
        <v>8800</v>
      </c>
      <c r="W180" s="398">
        <v>3637</v>
      </c>
      <c r="X180" s="375">
        <v>0.28999999999999998</v>
      </c>
    </row>
    <row r="181" spans="1:24" x14ac:dyDescent="0.25">
      <c r="A181" s="4">
        <v>63</v>
      </c>
      <c r="B181" s="4" t="s">
        <v>3906</v>
      </c>
      <c r="C181" s="6" t="s">
        <v>3813</v>
      </c>
      <c r="D181" s="6" t="s">
        <v>1646</v>
      </c>
      <c r="E181" s="21">
        <v>43845</v>
      </c>
      <c r="F181" s="4" t="s">
        <v>925</v>
      </c>
      <c r="H181" s="4" t="s">
        <v>5641</v>
      </c>
      <c r="I181" s="4">
        <v>4301</v>
      </c>
      <c r="J181" s="4" t="s">
        <v>1192</v>
      </c>
      <c r="K181" s="6" t="s">
        <v>1061</v>
      </c>
      <c r="L181" s="4">
        <v>12</v>
      </c>
      <c r="M181" s="397">
        <v>3335</v>
      </c>
      <c r="N181" s="4" t="s">
        <v>2886</v>
      </c>
      <c r="O181" s="397">
        <v>3335</v>
      </c>
      <c r="P181" s="397">
        <v>3969</v>
      </c>
      <c r="Q181" s="397">
        <v>47628</v>
      </c>
      <c r="R181" s="26">
        <v>43845</v>
      </c>
      <c r="S181" s="4" t="s">
        <v>1501</v>
      </c>
      <c r="T181" s="397">
        <v>299946</v>
      </c>
      <c r="U181" t="s">
        <v>3934</v>
      </c>
      <c r="V181" s="398">
        <v>2408</v>
      </c>
      <c r="W181" s="398">
        <v>927</v>
      </c>
      <c r="X181" s="375">
        <v>0.28000000000000003</v>
      </c>
    </row>
    <row r="182" spans="1:24" x14ac:dyDescent="0.25">
      <c r="A182" s="4">
        <v>61</v>
      </c>
      <c r="B182" s="4" t="s">
        <v>30</v>
      </c>
      <c r="C182" s="6" t="s">
        <v>5241</v>
      </c>
      <c r="D182" s="6" t="s">
        <v>33</v>
      </c>
      <c r="E182" s="21">
        <v>43845</v>
      </c>
      <c r="F182" s="4" t="s">
        <v>925</v>
      </c>
      <c r="H182" s="4">
        <v>103696</v>
      </c>
      <c r="I182" s="4">
        <v>4299</v>
      </c>
      <c r="J182" s="4" t="s">
        <v>1175</v>
      </c>
      <c r="K182" s="6" t="s">
        <v>1144</v>
      </c>
      <c r="L182" s="4">
        <v>96</v>
      </c>
      <c r="M182" s="397">
        <v>741</v>
      </c>
      <c r="N182" s="374">
        <v>0.05</v>
      </c>
      <c r="O182" s="397">
        <v>709</v>
      </c>
      <c r="P182" s="397">
        <v>842</v>
      </c>
      <c r="Q182" s="397">
        <v>80832</v>
      </c>
      <c r="R182" s="26">
        <v>43845</v>
      </c>
      <c r="S182" s="4" t="s">
        <v>2050</v>
      </c>
      <c r="T182" s="397">
        <v>130060</v>
      </c>
      <c r="U182" t="s">
        <v>1563</v>
      </c>
      <c r="V182" s="398">
        <v>535</v>
      </c>
      <c r="W182" s="398">
        <v>174</v>
      </c>
      <c r="X182" s="375">
        <v>0.25</v>
      </c>
    </row>
    <row r="183" spans="1:24" x14ac:dyDescent="0.25">
      <c r="A183" s="4">
        <v>61</v>
      </c>
      <c r="B183" s="4" t="s">
        <v>5000</v>
      </c>
      <c r="C183" s="6" t="s">
        <v>5341</v>
      </c>
      <c r="D183" s="6" t="s">
        <v>4980</v>
      </c>
      <c r="E183" s="21">
        <v>43845</v>
      </c>
      <c r="F183" s="4" t="s">
        <v>925</v>
      </c>
      <c r="H183" s="4">
        <v>103696</v>
      </c>
      <c r="I183" s="4">
        <v>4299</v>
      </c>
      <c r="J183" s="4" t="s">
        <v>1175</v>
      </c>
      <c r="K183" s="6" t="s">
        <v>1144</v>
      </c>
      <c r="L183" s="4">
        <v>12</v>
      </c>
      <c r="M183" s="397">
        <v>987</v>
      </c>
      <c r="N183" s="374">
        <v>0.13</v>
      </c>
      <c r="O183" s="397">
        <v>875</v>
      </c>
      <c r="P183" s="397">
        <v>1024</v>
      </c>
      <c r="Q183" s="397">
        <v>12288</v>
      </c>
      <c r="R183" s="26">
        <v>43845</v>
      </c>
      <c r="S183" s="4" t="s">
        <v>2050</v>
      </c>
      <c r="T183" s="397">
        <v>130060</v>
      </c>
      <c r="U183" t="s">
        <v>4977</v>
      </c>
      <c r="V183" s="398">
        <v>682</v>
      </c>
      <c r="W183" s="398">
        <v>193</v>
      </c>
      <c r="X183" s="375">
        <v>0.22</v>
      </c>
    </row>
    <row r="184" spans="1:24" x14ac:dyDescent="0.25">
      <c r="A184" s="4">
        <v>61</v>
      </c>
      <c r="B184" s="4" t="s">
        <v>38</v>
      </c>
      <c r="C184" s="6" t="s">
        <v>2856</v>
      </c>
      <c r="D184" s="6" t="s">
        <v>1693</v>
      </c>
      <c r="E184" s="21">
        <v>43845</v>
      </c>
      <c r="F184" s="4" t="s">
        <v>925</v>
      </c>
      <c r="H184" s="4">
        <v>103696</v>
      </c>
      <c r="I184" s="4">
        <v>4299</v>
      </c>
      <c r="J184" s="4" t="s">
        <v>1175</v>
      </c>
      <c r="K184" s="6" t="s">
        <v>1144</v>
      </c>
      <c r="L184" s="4">
        <v>10</v>
      </c>
      <c r="M184" s="397">
        <v>3248</v>
      </c>
      <c r="N184" s="374">
        <v>0.04</v>
      </c>
      <c r="O184" s="397">
        <v>3110</v>
      </c>
      <c r="P184" s="397">
        <v>3694</v>
      </c>
      <c r="Q184" s="397">
        <v>36940</v>
      </c>
      <c r="R184" s="26">
        <v>43845</v>
      </c>
      <c r="S184" s="4" t="s">
        <v>2050</v>
      </c>
      <c r="T184" s="397">
        <v>130060</v>
      </c>
      <c r="U184" t="s">
        <v>1563</v>
      </c>
      <c r="V184" s="398">
        <v>2345</v>
      </c>
      <c r="W184" s="398">
        <v>765</v>
      </c>
      <c r="X184" s="375">
        <v>0.25</v>
      </c>
    </row>
    <row r="185" spans="1:24" x14ac:dyDescent="0.25">
      <c r="A185" s="4">
        <v>75</v>
      </c>
      <c r="B185" s="4" t="s">
        <v>2250</v>
      </c>
      <c r="C185" s="6" t="s">
        <v>2249</v>
      </c>
      <c r="D185" s="6" t="s">
        <v>1638</v>
      </c>
      <c r="E185" s="21">
        <v>43847</v>
      </c>
      <c r="F185" s="4" t="s">
        <v>925</v>
      </c>
      <c r="H185" s="4" t="s">
        <v>2528</v>
      </c>
      <c r="I185" s="4">
        <v>4313</v>
      </c>
      <c r="J185" s="4" t="s">
        <v>1282</v>
      </c>
      <c r="K185" s="6" t="s">
        <v>2389</v>
      </c>
      <c r="L185" s="4">
        <v>20</v>
      </c>
      <c r="M185" s="402">
        <v>3426</v>
      </c>
      <c r="N185" s="374">
        <v>0.1</v>
      </c>
      <c r="O185" s="402">
        <v>3122</v>
      </c>
      <c r="P185" s="402">
        <v>3679</v>
      </c>
      <c r="Q185" s="402">
        <v>73580</v>
      </c>
      <c r="R185" s="26">
        <v>43847</v>
      </c>
      <c r="S185" s="4" t="s">
        <v>1445</v>
      </c>
      <c r="T185" s="402">
        <v>243763</v>
      </c>
      <c r="U185" t="s">
        <v>1545</v>
      </c>
      <c r="V185" s="403">
        <v>2100</v>
      </c>
      <c r="W185" s="403">
        <v>1022</v>
      </c>
      <c r="X185" s="375">
        <v>0.33</v>
      </c>
    </row>
    <row r="186" spans="1:24" x14ac:dyDescent="0.25">
      <c r="A186" s="4">
        <v>75</v>
      </c>
      <c r="B186" s="4" t="s">
        <v>2111</v>
      </c>
      <c r="C186" s="6" t="s">
        <v>5113</v>
      </c>
      <c r="D186" s="6" t="s">
        <v>1638</v>
      </c>
      <c r="E186" s="21">
        <v>43847</v>
      </c>
      <c r="F186" s="4" t="s">
        <v>925</v>
      </c>
      <c r="H186" s="4" t="s">
        <v>2528</v>
      </c>
      <c r="I186" s="4">
        <v>4313</v>
      </c>
      <c r="J186" s="4" t="s">
        <v>1282</v>
      </c>
      <c r="K186" s="6" t="s">
        <v>2389</v>
      </c>
      <c r="L186" s="4">
        <v>20</v>
      </c>
      <c r="M186" s="402">
        <v>3152</v>
      </c>
      <c r="N186" s="441" t="s">
        <v>2886</v>
      </c>
      <c r="O186" s="402">
        <v>3152</v>
      </c>
      <c r="P186" s="402">
        <v>3751</v>
      </c>
      <c r="Q186" s="402">
        <v>75020</v>
      </c>
      <c r="R186" s="26">
        <v>43847</v>
      </c>
      <c r="S186" s="4" t="s">
        <v>1445</v>
      </c>
      <c r="T186" s="402">
        <v>243763</v>
      </c>
      <c r="U186" t="s">
        <v>1545</v>
      </c>
      <c r="V186" s="440">
        <v>2250</v>
      </c>
      <c r="W186" s="403">
        <v>902</v>
      </c>
      <c r="X186" s="375">
        <v>0.28999999999999998</v>
      </c>
    </row>
    <row r="187" spans="1:24" x14ac:dyDescent="0.25">
      <c r="A187" s="4">
        <v>75</v>
      </c>
      <c r="B187" s="4" t="s">
        <v>1755</v>
      </c>
      <c r="C187" s="6" t="s">
        <v>1925</v>
      </c>
      <c r="D187" s="6" t="s">
        <v>1504</v>
      </c>
      <c r="E187" s="21">
        <v>43847</v>
      </c>
      <c r="F187" s="4" t="s">
        <v>925</v>
      </c>
      <c r="H187" s="4" t="s">
        <v>2528</v>
      </c>
      <c r="I187" s="4">
        <v>4313</v>
      </c>
      <c r="J187" s="4" t="s">
        <v>1282</v>
      </c>
      <c r="K187" s="6" t="s">
        <v>2389</v>
      </c>
      <c r="L187" s="4">
        <v>20</v>
      </c>
      <c r="M187" s="402">
        <v>3089</v>
      </c>
      <c r="N187" s="374">
        <v>0.1</v>
      </c>
      <c r="O187" s="402">
        <v>2815</v>
      </c>
      <c r="P187" s="402">
        <v>3318</v>
      </c>
      <c r="Q187" s="402">
        <v>66360</v>
      </c>
      <c r="R187" s="26">
        <v>43847</v>
      </c>
      <c r="S187" s="4" t="s">
        <v>1445</v>
      </c>
      <c r="T187" s="402">
        <v>243763</v>
      </c>
      <c r="U187" t="s">
        <v>1545</v>
      </c>
      <c r="V187" s="403">
        <v>2119</v>
      </c>
      <c r="W187" s="403">
        <v>696</v>
      </c>
      <c r="X187" s="375">
        <v>0.25</v>
      </c>
    </row>
    <row r="188" spans="1:24" x14ac:dyDescent="0.25">
      <c r="A188" s="4">
        <v>75</v>
      </c>
      <c r="B188" s="4" t="s">
        <v>1924</v>
      </c>
      <c r="C188" s="6" t="s">
        <v>1897</v>
      </c>
      <c r="D188" s="6" t="s">
        <v>1504</v>
      </c>
      <c r="E188" s="21">
        <v>43847</v>
      </c>
      <c r="F188" s="4" t="s">
        <v>925</v>
      </c>
      <c r="H188" s="4" t="s">
        <v>2528</v>
      </c>
      <c r="I188" s="4">
        <v>4313</v>
      </c>
      <c r="J188" s="4" t="s">
        <v>1282</v>
      </c>
      <c r="K188" s="6" t="s">
        <v>2389</v>
      </c>
      <c r="L188" s="4">
        <v>20</v>
      </c>
      <c r="M188" s="402">
        <v>1210</v>
      </c>
      <c r="N188" s="441" t="s">
        <v>2886</v>
      </c>
      <c r="O188" s="402">
        <v>1210</v>
      </c>
      <c r="P188" s="402">
        <v>1440</v>
      </c>
      <c r="Q188" s="402">
        <v>28800</v>
      </c>
      <c r="R188" s="26">
        <v>43847</v>
      </c>
      <c r="S188" s="4" t="s">
        <v>1445</v>
      </c>
      <c r="T188" s="402">
        <v>243763</v>
      </c>
      <c r="U188" t="s">
        <v>1545</v>
      </c>
      <c r="V188" s="403">
        <v>850</v>
      </c>
      <c r="W188" s="403">
        <v>360</v>
      </c>
      <c r="X188" s="375">
        <v>0.3</v>
      </c>
    </row>
    <row r="189" spans="1:24" x14ac:dyDescent="0.25">
      <c r="A189" s="4">
        <v>88</v>
      </c>
      <c r="B189" s="4" t="s">
        <v>1515</v>
      </c>
      <c r="C189" s="6" t="s">
        <v>1652</v>
      </c>
      <c r="D189" s="6" t="s">
        <v>1638</v>
      </c>
      <c r="E189" s="21">
        <v>43847</v>
      </c>
      <c r="F189" s="4" t="s">
        <v>1461</v>
      </c>
      <c r="H189" s="4">
        <v>6401</v>
      </c>
      <c r="I189" s="4">
        <v>4326</v>
      </c>
      <c r="J189" s="4" t="s">
        <v>1204</v>
      </c>
      <c r="K189" s="6" t="s">
        <v>1052</v>
      </c>
      <c r="L189" s="4">
        <v>2</v>
      </c>
      <c r="M189" s="402">
        <v>4874</v>
      </c>
      <c r="N189" s="441" t="s">
        <v>2886</v>
      </c>
      <c r="O189" s="402">
        <v>4874</v>
      </c>
      <c r="P189" s="402">
        <v>5800</v>
      </c>
      <c r="Q189" s="402">
        <v>11600</v>
      </c>
      <c r="R189" s="26">
        <v>43847</v>
      </c>
      <c r="S189" s="4" t="s">
        <v>1501</v>
      </c>
      <c r="T189" s="402">
        <v>11600</v>
      </c>
      <c r="U189" t="s">
        <v>1545</v>
      </c>
      <c r="V189" s="403">
        <v>2400</v>
      </c>
      <c r="W189" s="403">
        <v>2474</v>
      </c>
      <c r="X189" s="375">
        <v>0.51</v>
      </c>
    </row>
    <row r="190" spans="1:24" x14ac:dyDescent="0.25">
      <c r="A190" s="4">
        <v>80</v>
      </c>
      <c r="B190" s="4" t="s">
        <v>838</v>
      </c>
      <c r="C190" s="6" t="s">
        <v>2062</v>
      </c>
      <c r="D190" s="6" t="s">
        <v>840</v>
      </c>
      <c r="E190" s="21">
        <v>43847</v>
      </c>
      <c r="F190" s="4" t="s">
        <v>1461</v>
      </c>
      <c r="H190" s="4">
        <v>6406</v>
      </c>
      <c r="I190" s="4">
        <v>4318</v>
      </c>
      <c r="J190" s="4" t="s">
        <v>4953</v>
      </c>
      <c r="K190" s="6" t="s">
        <v>4954</v>
      </c>
      <c r="L190" s="4">
        <v>1</v>
      </c>
      <c r="M190" s="402">
        <v>16555</v>
      </c>
      <c r="N190" s="441" t="s">
        <v>2886</v>
      </c>
      <c r="O190" s="402">
        <v>16555</v>
      </c>
      <c r="P190" s="402">
        <v>19700</v>
      </c>
      <c r="Q190" s="402">
        <v>19700</v>
      </c>
      <c r="R190" s="26">
        <v>43846</v>
      </c>
      <c r="S190" s="4" t="s">
        <v>1501</v>
      </c>
      <c r="T190" s="402">
        <v>19700</v>
      </c>
      <c r="U190" t="s">
        <v>1572</v>
      </c>
      <c r="V190" s="403">
        <v>12429</v>
      </c>
      <c r="W190" s="403">
        <v>4126</v>
      </c>
      <c r="X190" s="375">
        <v>0.25</v>
      </c>
    </row>
    <row r="191" spans="1:24" x14ac:dyDescent="0.25">
      <c r="A191" s="4">
        <v>79</v>
      </c>
      <c r="B191" s="4" t="s">
        <v>838</v>
      </c>
      <c r="C191" s="6" t="s">
        <v>2062</v>
      </c>
      <c r="D191" s="6" t="s">
        <v>840</v>
      </c>
      <c r="E191" s="21">
        <v>43847</v>
      </c>
      <c r="F191" s="4" t="s">
        <v>1461</v>
      </c>
      <c r="H191" s="4">
        <v>6411</v>
      </c>
      <c r="I191" s="4">
        <v>4317</v>
      </c>
      <c r="J191" s="4" t="s">
        <v>1205</v>
      </c>
      <c r="K191" s="6" t="s">
        <v>2171</v>
      </c>
      <c r="L191" s="4">
        <v>1</v>
      </c>
      <c r="M191" s="402">
        <v>16555</v>
      </c>
      <c r="N191" s="441" t="s">
        <v>2886</v>
      </c>
      <c r="O191" s="402">
        <v>16555</v>
      </c>
      <c r="P191" s="402">
        <v>19700</v>
      </c>
      <c r="Q191" s="402">
        <v>19700</v>
      </c>
      <c r="R191" s="26">
        <v>43847</v>
      </c>
      <c r="S191" s="4" t="s">
        <v>1445</v>
      </c>
      <c r="T191" s="402">
        <v>44900</v>
      </c>
      <c r="U191" t="s">
        <v>1572</v>
      </c>
      <c r="V191" s="403">
        <v>12429</v>
      </c>
      <c r="W191" s="403">
        <v>4126</v>
      </c>
      <c r="X191" s="375">
        <v>0.25</v>
      </c>
    </row>
    <row r="192" spans="1:24" x14ac:dyDescent="0.25">
      <c r="A192" s="4">
        <v>79</v>
      </c>
      <c r="B192" s="4" t="s">
        <v>1665</v>
      </c>
      <c r="C192" s="6" t="s">
        <v>1914</v>
      </c>
      <c r="D192" s="6" t="s">
        <v>1469</v>
      </c>
      <c r="E192" s="21">
        <v>43847</v>
      </c>
      <c r="F192" s="4" t="s">
        <v>1461</v>
      </c>
      <c r="H192" s="4">
        <v>6411</v>
      </c>
      <c r="I192" s="4">
        <v>4317</v>
      </c>
      <c r="J192" s="4" t="s">
        <v>1205</v>
      </c>
      <c r="K192" s="6" t="s">
        <v>2171</v>
      </c>
      <c r="L192" s="4">
        <v>1</v>
      </c>
      <c r="M192" s="402">
        <v>11933</v>
      </c>
      <c r="N192" s="4" t="s">
        <v>2886</v>
      </c>
      <c r="O192" s="402">
        <v>11933</v>
      </c>
      <c r="P192" s="402">
        <v>14200</v>
      </c>
      <c r="Q192" s="402">
        <v>14200</v>
      </c>
      <c r="R192" s="26">
        <v>43847</v>
      </c>
      <c r="S192" s="4" t="s">
        <v>1445</v>
      </c>
      <c r="T192" s="402">
        <v>44900</v>
      </c>
      <c r="U192" t="s">
        <v>1570</v>
      </c>
      <c r="V192" s="403">
        <v>9850</v>
      </c>
      <c r="W192" s="403">
        <v>2083</v>
      </c>
      <c r="X192" s="375">
        <v>0.17</v>
      </c>
    </row>
    <row r="193" spans="1:24" x14ac:dyDescent="0.25">
      <c r="A193" s="4">
        <v>79</v>
      </c>
      <c r="B193" s="4" t="s">
        <v>4352</v>
      </c>
      <c r="C193" s="6" t="s">
        <v>4453</v>
      </c>
      <c r="D193" s="6" t="s">
        <v>4454</v>
      </c>
      <c r="E193" s="21">
        <v>43847</v>
      </c>
      <c r="F193" s="4" t="s">
        <v>1461</v>
      </c>
      <c r="H193" s="4">
        <v>6411</v>
      </c>
      <c r="I193" s="4">
        <v>4317</v>
      </c>
      <c r="J193" s="4" t="s">
        <v>1205</v>
      </c>
      <c r="K193" s="6" t="s">
        <v>2171</v>
      </c>
      <c r="L193" s="4">
        <v>2</v>
      </c>
      <c r="M193" s="402">
        <v>4622</v>
      </c>
      <c r="N193" s="4" t="s">
        <v>2886</v>
      </c>
      <c r="O193" s="402">
        <v>4622</v>
      </c>
      <c r="P193" s="402">
        <v>5500</v>
      </c>
      <c r="Q193" s="402">
        <v>11000</v>
      </c>
      <c r="R193" s="26">
        <v>43847</v>
      </c>
      <c r="S193" s="4" t="s">
        <v>1445</v>
      </c>
      <c r="T193" s="402">
        <v>44900</v>
      </c>
      <c r="U193" t="s">
        <v>1551</v>
      </c>
      <c r="V193" s="403">
        <v>2695</v>
      </c>
      <c r="W193" s="403">
        <v>1927</v>
      </c>
      <c r="X193" s="375">
        <v>0.42</v>
      </c>
    </row>
    <row r="194" spans="1:24" x14ac:dyDescent="0.25">
      <c r="A194" s="4">
        <v>87</v>
      </c>
      <c r="B194" s="4" t="s">
        <v>2250</v>
      </c>
      <c r="C194" s="6" t="s">
        <v>2249</v>
      </c>
      <c r="D194" s="6" t="s">
        <v>1638</v>
      </c>
      <c r="E194" s="21">
        <v>43847</v>
      </c>
      <c r="F194" s="4" t="s">
        <v>1461</v>
      </c>
      <c r="H194" s="4">
        <v>6414</v>
      </c>
      <c r="I194" s="4">
        <v>4325</v>
      </c>
      <c r="J194" s="4" t="s">
        <v>5532</v>
      </c>
      <c r="K194" s="6" t="s">
        <v>5533</v>
      </c>
      <c r="L194" s="4">
        <v>2</v>
      </c>
      <c r="M194" s="404">
        <v>3193</v>
      </c>
      <c r="N194" s="4" t="s">
        <v>2886</v>
      </c>
      <c r="O194" s="404">
        <v>3193</v>
      </c>
      <c r="P194" s="404">
        <v>3800</v>
      </c>
      <c r="Q194" s="404">
        <v>7600</v>
      </c>
      <c r="R194" s="26">
        <v>43847</v>
      </c>
      <c r="S194" s="4" t="s">
        <v>1501</v>
      </c>
      <c r="T194" s="404">
        <v>25000</v>
      </c>
      <c r="U194" t="s">
        <v>1545</v>
      </c>
      <c r="V194" s="405">
        <v>2100</v>
      </c>
      <c r="W194" s="405">
        <v>1093</v>
      </c>
      <c r="X194" s="375">
        <v>0.34</v>
      </c>
    </row>
    <row r="195" spans="1:24" x14ac:dyDescent="0.25">
      <c r="A195" s="4">
        <v>87</v>
      </c>
      <c r="B195" s="4" t="s">
        <v>1672</v>
      </c>
      <c r="C195" s="6" t="s">
        <v>5112</v>
      </c>
      <c r="D195" s="6" t="s">
        <v>1504</v>
      </c>
      <c r="E195" s="21">
        <v>43847</v>
      </c>
      <c r="F195" s="4" t="s">
        <v>1461</v>
      </c>
      <c r="H195" s="4">
        <v>6414</v>
      </c>
      <c r="I195" s="4">
        <v>4325</v>
      </c>
      <c r="J195" s="4" t="s">
        <v>5532</v>
      </c>
      <c r="K195" s="6" t="s">
        <v>5533</v>
      </c>
      <c r="L195" s="4">
        <v>2</v>
      </c>
      <c r="M195" s="404">
        <v>4118</v>
      </c>
      <c r="N195" s="4" t="s">
        <v>2886</v>
      </c>
      <c r="O195" s="404">
        <v>4118</v>
      </c>
      <c r="P195" s="404">
        <v>4900</v>
      </c>
      <c r="Q195" s="404">
        <v>9800</v>
      </c>
      <c r="R195" s="26">
        <v>43847</v>
      </c>
      <c r="S195" s="4" t="s">
        <v>1501</v>
      </c>
      <c r="T195" s="404">
        <v>25000</v>
      </c>
      <c r="U195" t="s">
        <v>1545</v>
      </c>
      <c r="V195" s="405">
        <v>2250</v>
      </c>
      <c r="W195" s="405">
        <v>1868</v>
      </c>
      <c r="X195" s="375">
        <v>0.45</v>
      </c>
    </row>
    <row r="196" spans="1:24" x14ac:dyDescent="0.25">
      <c r="A196" s="4">
        <v>87</v>
      </c>
      <c r="B196" s="4" t="s">
        <v>1503</v>
      </c>
      <c r="C196" s="6" t="s">
        <v>1972</v>
      </c>
      <c r="D196" s="6" t="s">
        <v>1638</v>
      </c>
      <c r="E196" s="21">
        <v>43847</v>
      </c>
      <c r="F196" s="4" t="s">
        <v>1461</v>
      </c>
      <c r="H196" s="4">
        <v>6414</v>
      </c>
      <c r="I196" s="4">
        <v>4325</v>
      </c>
      <c r="J196" s="4" t="s">
        <v>5532</v>
      </c>
      <c r="K196" s="6" t="s">
        <v>5533</v>
      </c>
      <c r="L196" s="4">
        <v>2</v>
      </c>
      <c r="M196" s="406">
        <v>3193</v>
      </c>
      <c r="N196" s="4" t="s">
        <v>2886</v>
      </c>
      <c r="O196" s="406">
        <v>3193</v>
      </c>
      <c r="P196" s="406">
        <v>3800</v>
      </c>
      <c r="Q196" s="406">
        <v>7600</v>
      </c>
      <c r="R196" s="26">
        <v>43847</v>
      </c>
      <c r="S196" s="4" t="s">
        <v>1501</v>
      </c>
      <c r="T196" s="406">
        <v>25000</v>
      </c>
      <c r="U196" t="s">
        <v>1545</v>
      </c>
      <c r="V196" s="407">
        <v>2200</v>
      </c>
      <c r="W196" s="407">
        <v>993</v>
      </c>
      <c r="X196" s="375">
        <v>0.31</v>
      </c>
    </row>
    <row r="197" spans="1:24" x14ac:dyDescent="0.25">
      <c r="A197" s="4">
        <v>90</v>
      </c>
      <c r="B197" s="4" t="s">
        <v>855</v>
      </c>
      <c r="C197" s="6" t="s">
        <v>2499</v>
      </c>
      <c r="D197" s="6" t="s">
        <v>857</v>
      </c>
      <c r="E197" s="21">
        <v>43847</v>
      </c>
      <c r="F197" s="4" t="s">
        <v>1461</v>
      </c>
      <c r="H197" s="4">
        <v>6417</v>
      </c>
      <c r="I197" s="4">
        <v>4328</v>
      </c>
      <c r="J197" s="4" t="s">
        <v>2190</v>
      </c>
      <c r="K197" s="6" t="s">
        <v>2191</v>
      </c>
      <c r="L197" s="4">
        <v>1</v>
      </c>
      <c r="M197" s="439">
        <v>12437</v>
      </c>
      <c r="N197" s="4" t="s">
        <v>2886</v>
      </c>
      <c r="O197" s="439">
        <v>12437</v>
      </c>
      <c r="P197" s="439">
        <v>14800</v>
      </c>
      <c r="Q197" s="439">
        <v>14800</v>
      </c>
      <c r="R197" s="26">
        <v>43847</v>
      </c>
      <c r="S197" s="4" t="s">
        <v>1501</v>
      </c>
      <c r="T197" s="439">
        <v>14800</v>
      </c>
      <c r="U197" t="s">
        <v>1551</v>
      </c>
      <c r="V197" s="440">
        <v>9975</v>
      </c>
      <c r="W197" s="440">
        <v>2462</v>
      </c>
      <c r="X197" s="375">
        <v>0.2</v>
      </c>
    </row>
    <row r="198" spans="1:24" x14ac:dyDescent="0.25">
      <c r="A198" s="4">
        <v>85</v>
      </c>
      <c r="B198" s="4" t="s">
        <v>855</v>
      </c>
      <c r="C198" s="6" t="s">
        <v>2499</v>
      </c>
      <c r="D198" s="6" t="s">
        <v>857</v>
      </c>
      <c r="E198" s="21">
        <v>43847</v>
      </c>
      <c r="F198" s="4" t="s">
        <v>1461</v>
      </c>
      <c r="H198" s="4">
        <v>6412</v>
      </c>
      <c r="I198" s="4">
        <v>4323</v>
      </c>
      <c r="J198" s="4" t="s">
        <v>5558</v>
      </c>
      <c r="K198" s="6" t="s">
        <v>5559</v>
      </c>
      <c r="L198" s="4">
        <v>1</v>
      </c>
      <c r="M198" s="439">
        <v>12437</v>
      </c>
      <c r="N198" s="4" t="s">
        <v>2886</v>
      </c>
      <c r="O198" s="439">
        <v>12437</v>
      </c>
      <c r="P198" s="439">
        <v>14800</v>
      </c>
      <c r="Q198" s="439">
        <v>14800</v>
      </c>
      <c r="R198" s="26">
        <v>43847</v>
      </c>
      <c r="S198" s="4" t="s">
        <v>1501</v>
      </c>
      <c r="T198" s="439">
        <v>14800</v>
      </c>
      <c r="U198" t="s">
        <v>1551</v>
      </c>
      <c r="V198" s="440">
        <v>9975</v>
      </c>
      <c r="W198" s="440">
        <v>2462</v>
      </c>
      <c r="X198" s="375">
        <v>0.2</v>
      </c>
    </row>
    <row r="199" spans="1:24" x14ac:dyDescent="0.25">
      <c r="A199" s="4">
        <v>89</v>
      </c>
      <c r="B199" s="4" t="s">
        <v>830</v>
      </c>
      <c r="C199" s="6" t="s">
        <v>2495</v>
      </c>
      <c r="D199" s="6" t="s">
        <v>837</v>
      </c>
      <c r="E199" s="21">
        <v>43847</v>
      </c>
      <c r="F199" s="4" t="s">
        <v>1461</v>
      </c>
      <c r="H199" s="4">
        <v>6416</v>
      </c>
      <c r="I199" s="4">
        <v>4327</v>
      </c>
      <c r="J199" s="4" t="s">
        <v>1511</v>
      </c>
      <c r="K199" s="6" t="s">
        <v>1512</v>
      </c>
      <c r="L199" s="4">
        <v>2</v>
      </c>
      <c r="M199" s="406">
        <v>13866</v>
      </c>
      <c r="N199" s="4" t="s">
        <v>2886</v>
      </c>
      <c r="O199" s="406">
        <v>13866</v>
      </c>
      <c r="P199" s="406">
        <v>16500</v>
      </c>
      <c r="Q199" s="406">
        <v>33000</v>
      </c>
      <c r="R199" s="26">
        <v>43847</v>
      </c>
      <c r="S199" s="4" t="s">
        <v>1501</v>
      </c>
      <c r="T199" s="406">
        <v>33000</v>
      </c>
      <c r="U199" t="s">
        <v>1572</v>
      </c>
      <c r="V199" s="407">
        <v>10390</v>
      </c>
      <c r="W199" s="407">
        <v>3476</v>
      </c>
      <c r="X199" s="375">
        <v>0.25</v>
      </c>
    </row>
    <row r="200" spans="1:24" x14ac:dyDescent="0.25">
      <c r="A200" s="4">
        <v>81</v>
      </c>
      <c r="B200" s="4" t="s">
        <v>2250</v>
      </c>
      <c r="C200" s="6" t="s">
        <v>2249</v>
      </c>
      <c r="D200" s="6" t="s">
        <v>1638</v>
      </c>
      <c r="E200" s="21">
        <v>43847</v>
      </c>
      <c r="F200" s="4" t="s">
        <v>1461</v>
      </c>
      <c r="H200" s="4">
        <v>6405</v>
      </c>
      <c r="I200" s="4">
        <v>4319</v>
      </c>
      <c r="J200" s="4" t="s">
        <v>1242</v>
      </c>
      <c r="K200" s="6" t="s">
        <v>958</v>
      </c>
      <c r="L200" s="4">
        <v>2</v>
      </c>
      <c r="M200" s="406">
        <v>3193</v>
      </c>
      <c r="N200" s="4" t="s">
        <v>2886</v>
      </c>
      <c r="O200" s="406">
        <v>3193</v>
      </c>
      <c r="P200" s="406">
        <v>3800</v>
      </c>
      <c r="Q200" s="406">
        <v>7600</v>
      </c>
      <c r="R200" s="26">
        <v>43846</v>
      </c>
      <c r="S200" s="4" t="s">
        <v>1501</v>
      </c>
      <c r="T200" s="406">
        <v>19000</v>
      </c>
      <c r="U200" t="s">
        <v>1545</v>
      </c>
      <c r="V200" s="407">
        <v>2100</v>
      </c>
      <c r="W200" s="407">
        <v>1093</v>
      </c>
      <c r="X200" s="375">
        <v>0.34</v>
      </c>
    </row>
    <row r="201" spans="1:24" x14ac:dyDescent="0.25">
      <c r="A201" s="4">
        <v>81</v>
      </c>
      <c r="B201" s="4" t="s">
        <v>1503</v>
      </c>
      <c r="C201" s="6" t="s">
        <v>1972</v>
      </c>
      <c r="D201" s="6" t="s">
        <v>1638</v>
      </c>
      <c r="E201" s="21">
        <v>43847</v>
      </c>
      <c r="F201" s="4" t="s">
        <v>1461</v>
      </c>
      <c r="H201" s="4">
        <v>6405</v>
      </c>
      <c r="I201" s="4">
        <v>4319</v>
      </c>
      <c r="J201" s="4" t="s">
        <v>1242</v>
      </c>
      <c r="K201" s="6" t="s">
        <v>958</v>
      </c>
      <c r="L201" s="4">
        <v>3</v>
      </c>
      <c r="M201" s="406">
        <v>3193</v>
      </c>
      <c r="N201" s="4" t="s">
        <v>2886</v>
      </c>
      <c r="O201" s="406">
        <v>3193</v>
      </c>
      <c r="P201" s="406">
        <v>3800</v>
      </c>
      <c r="Q201" s="406">
        <v>11400</v>
      </c>
      <c r="R201" s="26">
        <v>43846</v>
      </c>
      <c r="S201" s="4" t="s">
        <v>1501</v>
      </c>
      <c r="T201" s="406">
        <v>19000</v>
      </c>
      <c r="U201" t="s">
        <v>1545</v>
      </c>
      <c r="V201" s="407">
        <v>2200</v>
      </c>
      <c r="W201" s="407">
        <v>993</v>
      </c>
      <c r="X201" s="375">
        <v>0.31</v>
      </c>
    </row>
    <row r="202" spans="1:24" x14ac:dyDescent="0.25">
      <c r="A202" s="4">
        <v>82</v>
      </c>
      <c r="B202" s="4" t="s">
        <v>5147</v>
      </c>
      <c r="C202" s="6" t="s">
        <v>5148</v>
      </c>
      <c r="D202" s="6" t="s">
        <v>4618</v>
      </c>
      <c r="E202" s="21">
        <v>43847</v>
      </c>
      <c r="F202" s="4" t="s">
        <v>1461</v>
      </c>
      <c r="H202" s="4">
        <v>6404</v>
      </c>
      <c r="I202" s="4">
        <v>4320</v>
      </c>
      <c r="J202" s="4" t="s">
        <v>3175</v>
      </c>
      <c r="K202" s="6" t="s">
        <v>3176</v>
      </c>
      <c r="L202" s="4">
        <v>1</v>
      </c>
      <c r="M202" s="439">
        <v>24370</v>
      </c>
      <c r="N202" s="4" t="s">
        <v>2886</v>
      </c>
      <c r="O202" s="439">
        <v>24370</v>
      </c>
      <c r="P202" s="439">
        <v>29000</v>
      </c>
      <c r="Q202" s="439">
        <v>29000</v>
      </c>
      <c r="R202" s="26">
        <v>43846</v>
      </c>
      <c r="S202" s="4" t="s">
        <v>1501</v>
      </c>
      <c r="T202" s="439">
        <v>29000</v>
      </c>
      <c r="U202" t="s">
        <v>4602</v>
      </c>
      <c r="V202" s="440">
        <v>19390</v>
      </c>
      <c r="W202" s="440">
        <v>4980</v>
      </c>
      <c r="X202" s="375">
        <v>0.2</v>
      </c>
    </row>
    <row r="203" spans="1:24" x14ac:dyDescent="0.25">
      <c r="A203" s="4">
        <v>77</v>
      </c>
      <c r="B203" s="4" t="s">
        <v>849</v>
      </c>
      <c r="C203" s="6" t="s">
        <v>2492</v>
      </c>
      <c r="D203" s="6" t="s">
        <v>851</v>
      </c>
      <c r="E203" s="21">
        <v>43847</v>
      </c>
      <c r="F203" s="4" t="s">
        <v>1461</v>
      </c>
      <c r="H203" s="4">
        <v>6408</v>
      </c>
      <c r="I203" s="4">
        <v>4315</v>
      </c>
      <c r="J203" s="4" t="s">
        <v>1228</v>
      </c>
      <c r="K203" s="6" t="s">
        <v>948</v>
      </c>
      <c r="L203" s="4">
        <v>2</v>
      </c>
      <c r="M203" s="439">
        <v>13025</v>
      </c>
      <c r="N203" s="519" t="s">
        <v>2886</v>
      </c>
      <c r="O203" s="439">
        <v>13025</v>
      </c>
      <c r="P203" s="439">
        <v>15500</v>
      </c>
      <c r="Q203" s="439">
        <v>31000</v>
      </c>
      <c r="R203" s="26">
        <v>43847</v>
      </c>
      <c r="S203" s="4" t="s">
        <v>1445</v>
      </c>
      <c r="T203" s="439">
        <v>31000</v>
      </c>
      <c r="U203" t="s">
        <v>1572</v>
      </c>
      <c r="V203" s="440">
        <v>9641</v>
      </c>
      <c r="W203" s="440">
        <v>3384</v>
      </c>
      <c r="X203" s="375">
        <v>0.26</v>
      </c>
    </row>
    <row r="204" spans="1:24" x14ac:dyDescent="0.25">
      <c r="A204" s="4">
        <v>76</v>
      </c>
      <c r="B204" s="4" t="s">
        <v>1755</v>
      </c>
      <c r="C204" s="6" t="s">
        <v>1925</v>
      </c>
      <c r="D204" s="6" t="s">
        <v>1504</v>
      </c>
      <c r="E204" s="21">
        <v>43847</v>
      </c>
      <c r="F204" s="4" t="s">
        <v>1461</v>
      </c>
      <c r="H204" s="4">
        <v>6407</v>
      </c>
      <c r="I204" s="4">
        <v>4314</v>
      </c>
      <c r="J204" s="4" t="s">
        <v>1200</v>
      </c>
      <c r="K204" s="6" t="s">
        <v>2316</v>
      </c>
      <c r="L204" s="4">
        <v>2</v>
      </c>
      <c r="M204" s="406">
        <v>3260</v>
      </c>
      <c r="N204" s="519" t="s">
        <v>2886</v>
      </c>
      <c r="O204" s="406">
        <v>3260</v>
      </c>
      <c r="P204" s="406">
        <v>3879</v>
      </c>
      <c r="Q204" s="406">
        <v>7758</v>
      </c>
      <c r="R204" s="26">
        <v>43847</v>
      </c>
      <c r="S204" s="4" t="s">
        <v>1445</v>
      </c>
      <c r="T204" s="406">
        <v>7759</v>
      </c>
      <c r="U204" t="s">
        <v>1545</v>
      </c>
      <c r="V204" s="407">
        <v>2119</v>
      </c>
      <c r="W204" s="407">
        <v>1141</v>
      </c>
      <c r="X204" s="375">
        <v>0.35</v>
      </c>
    </row>
    <row r="205" spans="1:24" x14ac:dyDescent="0.25">
      <c r="A205" s="4">
        <v>78</v>
      </c>
      <c r="B205" s="4" t="s">
        <v>838</v>
      </c>
      <c r="C205" s="6" t="s">
        <v>2062</v>
      </c>
      <c r="D205" s="6" t="s">
        <v>840</v>
      </c>
      <c r="E205" s="21">
        <v>43847</v>
      </c>
      <c r="F205" s="4" t="s">
        <v>1461</v>
      </c>
      <c r="H205" s="4">
        <v>6410</v>
      </c>
      <c r="I205" s="4">
        <v>4316</v>
      </c>
      <c r="J205" s="4" t="s">
        <v>1247</v>
      </c>
      <c r="K205" s="6" t="s">
        <v>1943</v>
      </c>
      <c r="L205" s="4">
        <v>1</v>
      </c>
      <c r="M205" s="406">
        <v>16555</v>
      </c>
      <c r="N205" s="519" t="s">
        <v>2886</v>
      </c>
      <c r="O205" s="406">
        <v>16555</v>
      </c>
      <c r="P205" s="406">
        <v>19700</v>
      </c>
      <c r="Q205" s="406">
        <v>19700</v>
      </c>
      <c r="R205" s="26">
        <v>43847</v>
      </c>
      <c r="S205" s="4" t="s">
        <v>1445</v>
      </c>
      <c r="T205" s="406">
        <v>29900</v>
      </c>
      <c r="U205" t="s">
        <v>1572</v>
      </c>
      <c r="V205" s="407">
        <v>12429</v>
      </c>
      <c r="W205" s="407">
        <v>4126</v>
      </c>
      <c r="X205" s="375">
        <v>0.25</v>
      </c>
    </row>
    <row r="206" spans="1:24" x14ac:dyDescent="0.25">
      <c r="A206" s="4">
        <v>78</v>
      </c>
      <c r="B206" s="4" t="s">
        <v>847</v>
      </c>
      <c r="C206" s="6" t="s">
        <v>2201</v>
      </c>
      <c r="D206" s="6" t="s">
        <v>2198</v>
      </c>
      <c r="E206" s="21">
        <v>43847</v>
      </c>
      <c r="F206" s="4" t="s">
        <v>1461</v>
      </c>
      <c r="H206" s="4">
        <v>6410</v>
      </c>
      <c r="I206" s="4">
        <v>4316</v>
      </c>
      <c r="J206" s="4" t="s">
        <v>1247</v>
      </c>
      <c r="K206" s="6" t="s">
        <v>1943</v>
      </c>
      <c r="L206" s="4">
        <v>1</v>
      </c>
      <c r="M206" s="406">
        <v>8571</v>
      </c>
      <c r="N206" s="519" t="s">
        <v>2886</v>
      </c>
      <c r="O206" s="406">
        <v>8571</v>
      </c>
      <c r="P206" s="406">
        <v>10200</v>
      </c>
      <c r="Q206" s="406">
        <v>10200</v>
      </c>
      <c r="R206" s="26">
        <v>43847</v>
      </c>
      <c r="S206" s="4" t="s">
        <v>1445</v>
      </c>
      <c r="T206" s="406">
        <v>29900</v>
      </c>
      <c r="U206" t="s">
        <v>1572</v>
      </c>
      <c r="V206" s="407">
        <v>5992</v>
      </c>
      <c r="W206" s="407">
        <v>2579</v>
      </c>
      <c r="X206" s="375">
        <v>0.3</v>
      </c>
    </row>
    <row r="207" spans="1:24" x14ac:dyDescent="0.25">
      <c r="A207" s="4">
        <v>86</v>
      </c>
      <c r="B207" s="4" t="s">
        <v>855</v>
      </c>
      <c r="C207" s="6" t="s">
        <v>2499</v>
      </c>
      <c r="D207" s="6" t="s">
        <v>857</v>
      </c>
      <c r="E207" s="21">
        <v>43847</v>
      </c>
      <c r="F207" s="4" t="s">
        <v>1461</v>
      </c>
      <c r="H207" s="4">
        <v>6413</v>
      </c>
      <c r="I207" s="4">
        <v>4324</v>
      </c>
      <c r="J207" s="4" t="s">
        <v>4919</v>
      </c>
      <c r="K207" s="6" t="s">
        <v>4920</v>
      </c>
      <c r="L207" s="4">
        <v>1</v>
      </c>
      <c r="M207" s="406">
        <v>12437</v>
      </c>
      <c r="N207" s="519" t="s">
        <v>2886</v>
      </c>
      <c r="O207" s="406">
        <v>12437</v>
      </c>
      <c r="P207" s="406">
        <v>14800</v>
      </c>
      <c r="Q207" s="406">
        <v>14800</v>
      </c>
      <c r="R207" s="26">
        <v>43847</v>
      </c>
      <c r="S207" s="4" t="s">
        <v>1501</v>
      </c>
      <c r="T207" s="406">
        <v>14800</v>
      </c>
      <c r="U207" t="s">
        <v>1551</v>
      </c>
      <c r="V207" s="407">
        <v>9975</v>
      </c>
      <c r="W207" s="407">
        <v>2462</v>
      </c>
      <c r="X207" s="375">
        <v>0.2</v>
      </c>
    </row>
    <row r="208" spans="1:24" x14ac:dyDescent="0.25">
      <c r="A208" s="4">
        <v>91</v>
      </c>
      <c r="B208" s="4" t="s">
        <v>1503</v>
      </c>
      <c r="C208" s="6" t="s">
        <v>1972</v>
      </c>
      <c r="D208" s="6" t="s">
        <v>1638</v>
      </c>
      <c r="E208" s="21">
        <v>43847</v>
      </c>
      <c r="F208" s="4" t="s">
        <v>1461</v>
      </c>
      <c r="H208" s="4">
        <v>6418</v>
      </c>
      <c r="I208" s="4">
        <v>4329</v>
      </c>
      <c r="J208" s="4" t="s">
        <v>2273</v>
      </c>
      <c r="K208" s="6" t="s">
        <v>2274</v>
      </c>
      <c r="L208" s="4">
        <v>5</v>
      </c>
      <c r="M208" s="406">
        <v>3193</v>
      </c>
      <c r="N208" s="519" t="s">
        <v>2886</v>
      </c>
      <c r="O208" s="406">
        <v>3193</v>
      </c>
      <c r="P208" s="406">
        <v>3800</v>
      </c>
      <c r="Q208" s="406">
        <v>19000</v>
      </c>
      <c r="R208" s="26">
        <v>43847</v>
      </c>
      <c r="S208" s="4" t="s">
        <v>1501</v>
      </c>
      <c r="T208" s="406">
        <v>23900</v>
      </c>
      <c r="U208" t="s">
        <v>1545</v>
      </c>
      <c r="V208" s="407">
        <v>2200</v>
      </c>
      <c r="W208" s="407">
        <v>993</v>
      </c>
      <c r="X208" s="375">
        <v>0.31</v>
      </c>
    </row>
    <row r="209" spans="1:24" x14ac:dyDescent="0.25">
      <c r="A209" s="4">
        <v>91</v>
      </c>
      <c r="B209" s="4" t="s">
        <v>1672</v>
      </c>
      <c r="C209" s="6" t="s">
        <v>5112</v>
      </c>
      <c r="D209" s="6" t="s">
        <v>1504</v>
      </c>
      <c r="E209" s="21">
        <v>43847</v>
      </c>
      <c r="F209" s="4" t="s">
        <v>1461</v>
      </c>
      <c r="H209" s="4">
        <v>6418</v>
      </c>
      <c r="I209" s="4">
        <v>4329</v>
      </c>
      <c r="J209" s="4" t="s">
        <v>2273</v>
      </c>
      <c r="K209" s="6" t="s">
        <v>2274</v>
      </c>
      <c r="L209" s="4">
        <v>1</v>
      </c>
      <c r="M209" s="406">
        <v>4118</v>
      </c>
      <c r="N209" s="4" t="s">
        <v>2886</v>
      </c>
      <c r="O209" s="406">
        <v>4118</v>
      </c>
      <c r="P209" s="406">
        <v>4900</v>
      </c>
      <c r="Q209" s="406">
        <v>4900</v>
      </c>
      <c r="R209" s="26">
        <v>43847</v>
      </c>
      <c r="S209" s="4" t="s">
        <v>1501</v>
      </c>
      <c r="T209" s="406">
        <v>23900</v>
      </c>
      <c r="U209" t="s">
        <v>1545</v>
      </c>
      <c r="V209" s="407">
        <v>2250</v>
      </c>
      <c r="W209" s="407">
        <v>1868</v>
      </c>
      <c r="X209" s="375">
        <v>0.45</v>
      </c>
    </row>
    <row r="210" spans="1:24" x14ac:dyDescent="0.25">
      <c r="A210" s="4">
        <v>74</v>
      </c>
      <c r="B210" s="4" t="s">
        <v>1777</v>
      </c>
      <c r="C210" s="6" t="s">
        <v>5477</v>
      </c>
      <c r="D210" s="6" t="s">
        <v>89</v>
      </c>
      <c r="E210" s="21">
        <v>43847</v>
      </c>
      <c r="F210" s="4" t="s">
        <v>925</v>
      </c>
      <c r="H210" s="4" t="s">
        <v>2528</v>
      </c>
      <c r="I210" s="4">
        <v>4312</v>
      </c>
      <c r="J210" s="4" t="s">
        <v>1182</v>
      </c>
      <c r="K210" s="6" t="s">
        <v>1044</v>
      </c>
      <c r="L210" s="4">
        <v>4</v>
      </c>
      <c r="M210" s="406">
        <v>12964</v>
      </c>
      <c r="N210" s="374">
        <v>0.06</v>
      </c>
      <c r="O210" s="406">
        <v>12229</v>
      </c>
      <c r="P210" s="406">
        <v>14500</v>
      </c>
      <c r="Q210" s="406">
        <v>58000</v>
      </c>
      <c r="R210" s="26">
        <v>43847</v>
      </c>
      <c r="S210" s="4" t="s">
        <v>1445</v>
      </c>
      <c r="T210" s="406">
        <v>90695</v>
      </c>
      <c r="U210" t="s">
        <v>88</v>
      </c>
      <c r="V210" s="407">
        <v>9360</v>
      </c>
      <c r="W210" s="407">
        <v>2869</v>
      </c>
      <c r="X210" s="375">
        <v>0.23</v>
      </c>
    </row>
    <row r="211" spans="1:24" x14ac:dyDescent="0.25">
      <c r="A211" s="4">
        <v>74</v>
      </c>
      <c r="B211" s="4" t="s">
        <v>1964</v>
      </c>
      <c r="C211" s="6" t="s">
        <v>2202</v>
      </c>
      <c r="D211" s="6" t="s">
        <v>2198</v>
      </c>
      <c r="E211" s="21">
        <v>43847</v>
      </c>
      <c r="F211" s="4" t="s">
        <v>925</v>
      </c>
      <c r="H211" s="4" t="s">
        <v>2528</v>
      </c>
      <c r="I211" s="4">
        <v>4312</v>
      </c>
      <c r="J211" s="4" t="s">
        <v>1182</v>
      </c>
      <c r="K211" s="6" t="s">
        <v>1044</v>
      </c>
      <c r="L211" s="4">
        <v>20</v>
      </c>
      <c r="M211" s="406">
        <v>1078</v>
      </c>
      <c r="N211" s="374">
        <v>0.1</v>
      </c>
      <c r="O211" s="406">
        <v>982</v>
      </c>
      <c r="P211" s="406">
        <v>1157</v>
      </c>
      <c r="Q211" s="406">
        <v>23140</v>
      </c>
      <c r="R211" s="26">
        <v>43847</v>
      </c>
      <c r="S211" s="4" t="s">
        <v>1445</v>
      </c>
      <c r="T211" s="406">
        <v>90695</v>
      </c>
      <c r="U211" t="s">
        <v>1572</v>
      </c>
      <c r="V211" s="407">
        <v>778</v>
      </c>
      <c r="W211" s="407">
        <v>204</v>
      </c>
      <c r="X211" s="375">
        <v>0.21</v>
      </c>
    </row>
    <row r="212" spans="1:24" x14ac:dyDescent="0.25">
      <c r="A212" s="4">
        <v>74</v>
      </c>
      <c r="B212" s="4" t="s">
        <v>5369</v>
      </c>
      <c r="C212" s="6" t="s">
        <v>5370</v>
      </c>
      <c r="D212" s="6" t="s">
        <v>4457</v>
      </c>
      <c r="E212" s="21">
        <v>43847</v>
      </c>
      <c r="F212" s="4" t="s">
        <v>925</v>
      </c>
      <c r="H212" s="4" t="s">
        <v>2528</v>
      </c>
      <c r="I212" s="4">
        <v>4312</v>
      </c>
      <c r="J212" s="4" t="s">
        <v>1182</v>
      </c>
      <c r="K212" s="6" t="s">
        <v>1044</v>
      </c>
      <c r="L212" s="4">
        <v>12</v>
      </c>
      <c r="M212" s="406">
        <v>741</v>
      </c>
      <c r="N212" s="374">
        <v>0.1</v>
      </c>
      <c r="O212" s="406">
        <v>675</v>
      </c>
      <c r="P212" s="406">
        <v>796</v>
      </c>
      <c r="Q212" s="406">
        <v>9552</v>
      </c>
      <c r="R212" s="26">
        <v>43847</v>
      </c>
      <c r="S212" s="4" t="s">
        <v>1445</v>
      </c>
      <c r="T212" s="406">
        <v>90695</v>
      </c>
      <c r="U212" t="s">
        <v>1563</v>
      </c>
      <c r="V212" s="407">
        <v>535</v>
      </c>
      <c r="W212" s="407">
        <v>140</v>
      </c>
      <c r="X212" s="375">
        <v>0.21</v>
      </c>
    </row>
    <row r="213" spans="1:24" x14ac:dyDescent="0.25">
      <c r="A213" s="4">
        <v>84</v>
      </c>
      <c r="B213" s="4" t="s">
        <v>855</v>
      </c>
      <c r="C213" s="6" t="s">
        <v>2499</v>
      </c>
      <c r="D213" s="6" t="s">
        <v>857</v>
      </c>
      <c r="E213" s="21">
        <v>43847</v>
      </c>
      <c r="F213" s="4" t="s">
        <v>1461</v>
      </c>
      <c r="H213" s="4">
        <v>6402</v>
      </c>
      <c r="I213" s="4">
        <v>4322</v>
      </c>
      <c r="J213" s="4" t="s">
        <v>4403</v>
      </c>
      <c r="K213" s="6" t="s">
        <v>4405</v>
      </c>
      <c r="L213" s="4">
        <v>2</v>
      </c>
      <c r="M213" s="406">
        <v>12437</v>
      </c>
      <c r="N213" s="4" t="s">
        <v>2886</v>
      </c>
      <c r="O213" s="406">
        <v>12437</v>
      </c>
      <c r="P213" s="406">
        <v>14800</v>
      </c>
      <c r="Q213" s="406">
        <v>29600</v>
      </c>
      <c r="R213" s="26">
        <v>43846</v>
      </c>
      <c r="S213" s="4" t="s">
        <v>1501</v>
      </c>
      <c r="T213" s="406">
        <v>29600</v>
      </c>
      <c r="U213" t="s">
        <v>1551</v>
      </c>
      <c r="V213" s="407">
        <v>9975</v>
      </c>
      <c r="W213" s="407">
        <v>2462</v>
      </c>
      <c r="X213" s="375">
        <v>0.2</v>
      </c>
    </row>
    <row r="214" spans="1:24" x14ac:dyDescent="0.25">
      <c r="A214" s="4">
        <v>92</v>
      </c>
      <c r="B214" s="4" t="s">
        <v>430</v>
      </c>
      <c r="C214" s="6" t="s">
        <v>2700</v>
      </c>
      <c r="D214" s="6" t="s">
        <v>426</v>
      </c>
      <c r="E214" s="21">
        <v>43847</v>
      </c>
      <c r="F214" s="4" t="s">
        <v>1461</v>
      </c>
      <c r="H214" s="4">
        <v>6415</v>
      </c>
      <c r="I214" s="4">
        <v>4330</v>
      </c>
      <c r="J214" s="4" t="s">
        <v>1233</v>
      </c>
      <c r="K214" s="6" t="s">
        <v>1046</v>
      </c>
      <c r="L214" s="4">
        <v>1</v>
      </c>
      <c r="M214" s="406">
        <v>3529</v>
      </c>
      <c r="N214" s="4" t="s">
        <v>2886</v>
      </c>
      <c r="O214" s="406">
        <v>3529</v>
      </c>
      <c r="P214" s="406">
        <v>4200</v>
      </c>
      <c r="Q214" s="406">
        <v>4200</v>
      </c>
      <c r="R214" s="26">
        <v>43847</v>
      </c>
      <c r="S214" s="4" t="s">
        <v>1501</v>
      </c>
      <c r="T214" s="406">
        <v>6104</v>
      </c>
      <c r="U214" t="s">
        <v>1561</v>
      </c>
      <c r="V214" s="407">
        <v>2464</v>
      </c>
      <c r="W214" s="407">
        <v>1065</v>
      </c>
      <c r="X214" s="375">
        <v>0.3</v>
      </c>
    </row>
    <row r="215" spans="1:24" x14ac:dyDescent="0.25">
      <c r="A215" s="4">
        <v>92</v>
      </c>
      <c r="B215" s="4" t="s">
        <v>2860</v>
      </c>
      <c r="C215" s="6" t="s">
        <v>5244</v>
      </c>
      <c r="D215" s="6" t="s">
        <v>33</v>
      </c>
      <c r="E215" s="21">
        <v>43847</v>
      </c>
      <c r="F215" s="4" t="s">
        <v>1461</v>
      </c>
      <c r="H215" s="4">
        <v>6415</v>
      </c>
      <c r="I215" s="4">
        <v>4330</v>
      </c>
      <c r="J215" s="4" t="s">
        <v>1233</v>
      </c>
      <c r="K215" s="6" t="s">
        <v>1046</v>
      </c>
      <c r="L215" s="4">
        <v>1</v>
      </c>
      <c r="M215" s="406">
        <v>1600</v>
      </c>
      <c r="N215" s="4" t="s">
        <v>2886</v>
      </c>
      <c r="O215" s="406">
        <v>1600</v>
      </c>
      <c r="P215" s="406">
        <v>1904</v>
      </c>
      <c r="Q215" s="406">
        <v>1904</v>
      </c>
      <c r="R215" s="26">
        <v>43847</v>
      </c>
      <c r="S215" s="4" t="s">
        <v>1501</v>
      </c>
      <c r="T215" s="406">
        <v>6104</v>
      </c>
      <c r="U215" t="s">
        <v>1563</v>
      </c>
      <c r="V215" s="407">
        <v>1120</v>
      </c>
      <c r="W215" s="407">
        <v>480</v>
      </c>
      <c r="X215" s="375">
        <v>0.3</v>
      </c>
    </row>
    <row r="216" spans="1:24" x14ac:dyDescent="0.25">
      <c r="A216" s="4">
        <v>83</v>
      </c>
      <c r="B216" s="4" t="s">
        <v>855</v>
      </c>
      <c r="C216" s="6" t="s">
        <v>2499</v>
      </c>
      <c r="D216" s="6" t="s">
        <v>857</v>
      </c>
      <c r="E216" s="21">
        <v>43847</v>
      </c>
      <c r="F216" s="4" t="s">
        <v>1461</v>
      </c>
      <c r="H216" s="4">
        <v>6403</v>
      </c>
      <c r="I216" s="4">
        <v>4321</v>
      </c>
      <c r="J216" s="4" t="s">
        <v>5643</v>
      </c>
      <c r="K216" s="6" t="s">
        <v>5644</v>
      </c>
      <c r="L216" s="4">
        <v>3</v>
      </c>
      <c r="M216" s="406">
        <v>12437</v>
      </c>
      <c r="N216" s="4" t="s">
        <v>2886</v>
      </c>
      <c r="O216" s="406">
        <v>12437</v>
      </c>
      <c r="P216" s="406">
        <v>14800</v>
      </c>
      <c r="Q216" s="406">
        <v>44400</v>
      </c>
      <c r="R216" s="26">
        <v>43846</v>
      </c>
      <c r="S216" s="4" t="s">
        <v>1501</v>
      </c>
      <c r="T216" s="406">
        <v>44400</v>
      </c>
      <c r="U216" t="s">
        <v>1551</v>
      </c>
      <c r="V216" s="407">
        <v>9975</v>
      </c>
      <c r="W216" s="407">
        <v>2462</v>
      </c>
      <c r="X216" s="375">
        <v>0.2</v>
      </c>
    </row>
    <row r="217" spans="1:24" x14ac:dyDescent="0.25">
      <c r="A217" s="4">
        <v>94</v>
      </c>
      <c r="B217" s="4" t="s">
        <v>855</v>
      </c>
      <c r="C217" s="6" t="s">
        <v>2499</v>
      </c>
      <c r="D217" s="6" t="s">
        <v>857</v>
      </c>
      <c r="E217" s="21">
        <v>43848</v>
      </c>
      <c r="F217" s="4" t="s">
        <v>1461</v>
      </c>
      <c r="H217" s="4">
        <v>6420</v>
      </c>
      <c r="I217" s="4">
        <v>4332</v>
      </c>
      <c r="J217" s="4" t="s">
        <v>4041</v>
      </c>
      <c r="K217" s="6" t="s">
        <v>4042</v>
      </c>
      <c r="L217" s="4">
        <v>1</v>
      </c>
      <c r="M217" s="406">
        <v>12437</v>
      </c>
      <c r="N217" s="4" t="s">
        <v>2886</v>
      </c>
      <c r="O217" s="406">
        <v>12437</v>
      </c>
      <c r="P217" s="406">
        <v>14800</v>
      </c>
      <c r="Q217" s="406">
        <v>14800</v>
      </c>
      <c r="R217" s="26">
        <v>43848</v>
      </c>
      <c r="S217" s="4" t="s">
        <v>1501</v>
      </c>
      <c r="T217" s="406">
        <v>14800</v>
      </c>
      <c r="U217" t="s">
        <v>1551</v>
      </c>
      <c r="V217" s="407">
        <v>9975</v>
      </c>
      <c r="W217" s="407">
        <v>2462</v>
      </c>
      <c r="X217" s="375">
        <v>0.2</v>
      </c>
    </row>
    <row r="218" spans="1:24" x14ac:dyDescent="0.25">
      <c r="A218" s="4">
        <v>95</v>
      </c>
      <c r="B218" s="4" t="s">
        <v>4620</v>
      </c>
      <c r="C218" s="6" t="s">
        <v>4621</v>
      </c>
      <c r="D218" s="6" t="s">
        <v>4622</v>
      </c>
      <c r="E218" s="21">
        <v>43848</v>
      </c>
      <c r="F218" s="4" t="s">
        <v>1461</v>
      </c>
      <c r="H218" s="4">
        <v>6421</v>
      </c>
      <c r="I218" s="4">
        <v>4333</v>
      </c>
      <c r="J218" s="4" t="s">
        <v>4807</v>
      </c>
      <c r="K218" s="6" t="s">
        <v>4808</v>
      </c>
      <c r="L218" s="4">
        <v>1</v>
      </c>
      <c r="M218" s="408">
        <v>29832</v>
      </c>
      <c r="N218" s="4" t="s">
        <v>2886</v>
      </c>
      <c r="O218" s="408">
        <v>29832</v>
      </c>
      <c r="P218" s="408">
        <v>35500</v>
      </c>
      <c r="Q218" s="408">
        <v>35500</v>
      </c>
      <c r="R218" s="26">
        <v>43848</v>
      </c>
      <c r="S218" s="4" t="s">
        <v>1501</v>
      </c>
      <c r="T218" s="408">
        <v>35500</v>
      </c>
      <c r="U218" t="s">
        <v>4602</v>
      </c>
      <c r="V218" s="409">
        <v>26207</v>
      </c>
      <c r="W218" s="409">
        <v>3625</v>
      </c>
      <c r="X218" s="375">
        <v>0.12</v>
      </c>
    </row>
    <row r="219" spans="1:24" x14ac:dyDescent="0.25">
      <c r="A219" s="4">
        <v>96</v>
      </c>
      <c r="B219" s="4" t="s">
        <v>1647</v>
      </c>
      <c r="C219" s="6" t="s">
        <v>1670</v>
      </c>
      <c r="D219" s="6" t="s">
        <v>1504</v>
      </c>
      <c r="E219" s="21">
        <v>43848</v>
      </c>
      <c r="F219" s="4" t="s">
        <v>1461</v>
      </c>
      <c r="H219" s="4">
        <v>6422</v>
      </c>
      <c r="I219" s="4">
        <v>4334</v>
      </c>
      <c r="J219" s="4" t="s">
        <v>5659</v>
      </c>
      <c r="K219" s="6" t="s">
        <v>5660</v>
      </c>
      <c r="L219" s="4">
        <v>2</v>
      </c>
      <c r="M219" s="408">
        <v>3193</v>
      </c>
      <c r="N219" s="4" t="s">
        <v>2886</v>
      </c>
      <c r="O219" s="408">
        <v>3193</v>
      </c>
      <c r="P219" s="408">
        <v>3800</v>
      </c>
      <c r="Q219" s="408">
        <v>7600</v>
      </c>
      <c r="R219" s="26">
        <v>43848</v>
      </c>
      <c r="S219" s="4" t="s">
        <v>1501</v>
      </c>
      <c r="T219" s="408">
        <v>12500</v>
      </c>
      <c r="U219" t="s">
        <v>1545</v>
      </c>
      <c r="V219" s="409">
        <v>2085</v>
      </c>
      <c r="W219" s="409">
        <v>1108</v>
      </c>
      <c r="X219" s="375">
        <v>0.35</v>
      </c>
    </row>
    <row r="220" spans="1:24" x14ac:dyDescent="0.25">
      <c r="A220" s="4">
        <v>96</v>
      </c>
      <c r="B220" s="4" t="s">
        <v>1672</v>
      </c>
      <c r="C220" s="6" t="s">
        <v>5112</v>
      </c>
      <c r="D220" s="6" t="s">
        <v>1504</v>
      </c>
      <c r="E220" s="21">
        <v>43848</v>
      </c>
      <c r="F220" s="4" t="s">
        <v>1461</v>
      </c>
      <c r="H220" s="4">
        <v>6422</v>
      </c>
      <c r="I220" s="4">
        <v>4334</v>
      </c>
      <c r="J220" s="4" t="s">
        <v>5659</v>
      </c>
      <c r="K220" s="6" t="s">
        <v>5660</v>
      </c>
      <c r="L220" s="4">
        <v>1</v>
      </c>
      <c r="M220" s="408">
        <v>4118</v>
      </c>
      <c r="N220" s="4" t="s">
        <v>2886</v>
      </c>
      <c r="O220" s="408">
        <v>4118</v>
      </c>
      <c r="P220" s="408">
        <v>4900</v>
      </c>
      <c r="Q220" s="408">
        <v>4900</v>
      </c>
      <c r="R220" s="26">
        <v>43848</v>
      </c>
      <c r="S220" s="4" t="s">
        <v>1501</v>
      </c>
      <c r="T220" s="408">
        <v>12500</v>
      </c>
      <c r="U220" t="s">
        <v>1545</v>
      </c>
      <c r="V220" s="409">
        <v>2250</v>
      </c>
      <c r="W220" s="409">
        <v>1868</v>
      </c>
      <c r="X220" s="375">
        <v>0.45</v>
      </c>
    </row>
    <row r="221" spans="1:24" x14ac:dyDescent="0.25">
      <c r="A221" s="4">
        <v>93</v>
      </c>
      <c r="B221" s="4" t="s">
        <v>3968</v>
      </c>
      <c r="C221" s="6" t="s">
        <v>4018</v>
      </c>
      <c r="D221" s="6" t="s">
        <v>4019</v>
      </c>
      <c r="E221" s="21">
        <v>43848</v>
      </c>
      <c r="F221" s="4" t="s">
        <v>1461</v>
      </c>
      <c r="H221" s="4">
        <v>6419</v>
      </c>
      <c r="I221" s="4">
        <v>4331</v>
      </c>
      <c r="J221" s="4" t="s">
        <v>2632</v>
      </c>
      <c r="K221" s="6" t="s">
        <v>2633</v>
      </c>
      <c r="L221" s="4">
        <v>2</v>
      </c>
      <c r="M221" s="408">
        <v>19076</v>
      </c>
      <c r="N221" s="441" t="s">
        <v>2886</v>
      </c>
      <c r="O221" s="408">
        <v>19076</v>
      </c>
      <c r="P221" s="408">
        <v>22700</v>
      </c>
      <c r="Q221" s="408">
        <v>45400</v>
      </c>
      <c r="R221" s="26">
        <v>43847</v>
      </c>
      <c r="S221" s="4" t="s">
        <v>1445</v>
      </c>
      <c r="T221" s="408">
        <v>45400</v>
      </c>
      <c r="U221" t="s">
        <v>1551</v>
      </c>
      <c r="V221" s="409">
        <v>14122</v>
      </c>
      <c r="W221" s="409">
        <v>4954</v>
      </c>
      <c r="X221" s="375">
        <v>0.26</v>
      </c>
    </row>
    <row r="222" spans="1:24" x14ac:dyDescent="0.25">
      <c r="A222" s="4">
        <v>98</v>
      </c>
      <c r="B222" s="4" t="s">
        <v>5175</v>
      </c>
      <c r="C222" s="6" t="s">
        <v>5176</v>
      </c>
      <c r="D222" s="6" t="s">
        <v>5177</v>
      </c>
      <c r="E222" s="21">
        <v>43850</v>
      </c>
      <c r="F222" s="4" t="s">
        <v>925</v>
      </c>
      <c r="H222" s="4">
        <v>1038759</v>
      </c>
      <c r="I222" s="4">
        <v>4336</v>
      </c>
      <c r="J222" s="4" t="s">
        <v>1175</v>
      </c>
      <c r="K222" s="6" t="s">
        <v>1144</v>
      </c>
      <c r="L222" s="4">
        <v>300</v>
      </c>
      <c r="M222" s="410">
        <v>1312</v>
      </c>
      <c r="N222" s="374">
        <v>-0.02</v>
      </c>
      <c r="O222" s="410">
        <v>1336</v>
      </c>
      <c r="P222" s="410">
        <v>1590</v>
      </c>
      <c r="Q222" s="410">
        <v>477000</v>
      </c>
      <c r="R222" s="26">
        <v>43850</v>
      </c>
      <c r="S222" s="4" t="s">
        <v>2050</v>
      </c>
      <c r="T222" s="410">
        <v>477000</v>
      </c>
      <c r="U222" t="s">
        <v>4934</v>
      </c>
      <c r="V222" s="411">
        <v>900</v>
      </c>
      <c r="W222" s="411">
        <v>436</v>
      </c>
      <c r="X222" s="375">
        <v>0.33</v>
      </c>
    </row>
    <row r="223" spans="1:24" x14ac:dyDescent="0.25">
      <c r="A223" s="4">
        <v>97</v>
      </c>
      <c r="B223" s="4" t="s">
        <v>5147</v>
      </c>
      <c r="C223" s="6" t="s">
        <v>5148</v>
      </c>
      <c r="D223" s="6" t="s">
        <v>4618</v>
      </c>
      <c r="E223" s="21">
        <v>43850</v>
      </c>
      <c r="F223" s="4" t="s">
        <v>1461</v>
      </c>
      <c r="H223" s="4">
        <v>6400</v>
      </c>
      <c r="I223" s="4">
        <v>4335</v>
      </c>
      <c r="J223" s="4" t="s">
        <v>2226</v>
      </c>
      <c r="K223" s="6" t="s">
        <v>2227</v>
      </c>
      <c r="L223" s="4">
        <v>1</v>
      </c>
      <c r="M223" s="410">
        <v>22689</v>
      </c>
      <c r="N223" s="587" t="s">
        <v>2886</v>
      </c>
      <c r="O223" s="410">
        <v>22689</v>
      </c>
      <c r="P223" s="410">
        <v>27000</v>
      </c>
      <c r="Q223" s="410">
        <v>27000</v>
      </c>
      <c r="R223" s="26">
        <v>43845</v>
      </c>
      <c r="S223" s="4" t="s">
        <v>1501</v>
      </c>
      <c r="T223" s="410">
        <v>27000</v>
      </c>
      <c r="U223" t="s">
        <v>4602</v>
      </c>
      <c r="V223" s="411">
        <v>21183</v>
      </c>
      <c r="W223" s="411">
        <v>1506</v>
      </c>
      <c r="X223" s="375">
        <v>7.0000000000000007E-2</v>
      </c>
    </row>
    <row r="224" spans="1:24" x14ac:dyDescent="0.25">
      <c r="A224" s="4">
        <v>100</v>
      </c>
      <c r="B224" s="4" t="s">
        <v>5147</v>
      </c>
      <c r="C224" s="6" t="s">
        <v>5148</v>
      </c>
      <c r="D224" s="6" t="s">
        <v>4618</v>
      </c>
      <c r="E224" s="21">
        <v>43850</v>
      </c>
      <c r="F224" s="4" t="s">
        <v>1461</v>
      </c>
      <c r="H224" s="4">
        <v>6423</v>
      </c>
      <c r="I224" s="4">
        <v>4338</v>
      </c>
      <c r="J224" s="4" t="s">
        <v>2226</v>
      </c>
      <c r="K224" s="6" t="s">
        <v>2227</v>
      </c>
      <c r="L224" s="4">
        <v>4</v>
      </c>
      <c r="M224" s="410">
        <v>26471</v>
      </c>
      <c r="N224" s="374">
        <v>0.14000000000000001</v>
      </c>
      <c r="O224" s="410">
        <v>23162</v>
      </c>
      <c r="P224" s="410">
        <v>27000</v>
      </c>
      <c r="Q224" s="410">
        <v>108000</v>
      </c>
      <c r="R224" s="26">
        <v>43850</v>
      </c>
      <c r="S224" s="4" t="s">
        <v>1501</v>
      </c>
      <c r="T224" s="410">
        <v>108000</v>
      </c>
      <c r="U224" t="s">
        <v>4602</v>
      </c>
      <c r="V224" s="411">
        <v>21183</v>
      </c>
      <c r="W224" s="411">
        <v>1979</v>
      </c>
      <c r="X224" s="375">
        <v>0.09</v>
      </c>
    </row>
    <row r="225" spans="1:24" x14ac:dyDescent="0.25">
      <c r="A225" s="4">
        <v>105</v>
      </c>
      <c r="B225" s="4" t="s">
        <v>656</v>
      </c>
      <c r="C225" s="6" t="s">
        <v>1973</v>
      </c>
      <c r="D225" s="6" t="s">
        <v>794</v>
      </c>
      <c r="E225" s="21">
        <v>43850</v>
      </c>
      <c r="F225" s="4" t="s">
        <v>1461</v>
      </c>
      <c r="H225" s="4">
        <v>6428</v>
      </c>
      <c r="I225" s="4">
        <v>4343</v>
      </c>
      <c r="J225" s="4" t="s">
        <v>4853</v>
      </c>
      <c r="K225" s="6" t="s">
        <v>4854</v>
      </c>
      <c r="L225" s="4">
        <v>1</v>
      </c>
      <c r="M225" s="410">
        <v>19328</v>
      </c>
      <c r="N225" s="441" t="s">
        <v>2886</v>
      </c>
      <c r="O225" s="410">
        <v>19328</v>
      </c>
      <c r="P225" s="410">
        <v>23000</v>
      </c>
      <c r="Q225" s="410">
        <v>23000</v>
      </c>
      <c r="R225" s="26">
        <v>43850</v>
      </c>
      <c r="S225" s="4" t="s">
        <v>1501</v>
      </c>
      <c r="T225" s="410">
        <v>23000</v>
      </c>
      <c r="U225" t="s">
        <v>1551</v>
      </c>
      <c r="V225" s="411">
        <v>14604</v>
      </c>
      <c r="W225" s="411">
        <v>4724</v>
      </c>
      <c r="X225" s="375">
        <v>0.24</v>
      </c>
    </row>
    <row r="226" spans="1:24" x14ac:dyDescent="0.25">
      <c r="A226" s="4">
        <v>101</v>
      </c>
      <c r="B226" s="4" t="s">
        <v>4945</v>
      </c>
      <c r="C226" s="6" t="s">
        <v>4946</v>
      </c>
      <c r="D226" s="6" t="s">
        <v>4940</v>
      </c>
      <c r="E226" s="21">
        <v>43850</v>
      </c>
      <c r="F226" s="4" t="s">
        <v>1461</v>
      </c>
      <c r="H226" s="4">
        <v>6424</v>
      </c>
      <c r="I226" s="4">
        <v>4339</v>
      </c>
      <c r="J226" s="4" t="s">
        <v>4583</v>
      </c>
      <c r="K226" s="6" t="s">
        <v>4584</v>
      </c>
      <c r="L226" s="4">
        <v>1</v>
      </c>
      <c r="M226" s="410">
        <v>8824</v>
      </c>
      <c r="N226" s="4" t="s">
        <v>2886</v>
      </c>
      <c r="O226" s="410">
        <v>8824</v>
      </c>
      <c r="P226" s="410">
        <v>10500</v>
      </c>
      <c r="Q226" s="410">
        <v>10500</v>
      </c>
      <c r="R226" s="26">
        <v>43850</v>
      </c>
      <c r="S226" s="4" t="s">
        <v>1501</v>
      </c>
      <c r="T226" s="410">
        <v>10500</v>
      </c>
      <c r="U226" t="s">
        <v>4934</v>
      </c>
      <c r="V226" s="411">
        <v>6000</v>
      </c>
      <c r="W226" s="411">
        <v>2824</v>
      </c>
      <c r="X226" s="375">
        <v>0.32</v>
      </c>
    </row>
    <row r="227" spans="1:24" x14ac:dyDescent="0.25">
      <c r="A227" s="4">
        <v>102</v>
      </c>
      <c r="B227" s="4" t="s">
        <v>2614</v>
      </c>
      <c r="C227" s="6" t="s">
        <v>2644</v>
      </c>
      <c r="D227" s="6" t="s">
        <v>1469</v>
      </c>
      <c r="E227" s="21">
        <v>43850</v>
      </c>
      <c r="F227" s="4" t="s">
        <v>1461</v>
      </c>
      <c r="H227" s="4">
        <v>6425</v>
      </c>
      <c r="I227" s="4">
        <v>4340</v>
      </c>
      <c r="J227" s="4" t="s">
        <v>1210</v>
      </c>
      <c r="K227" s="6" t="s">
        <v>1045</v>
      </c>
      <c r="L227" s="4">
        <v>1</v>
      </c>
      <c r="M227" s="410">
        <v>18739</v>
      </c>
      <c r="N227" s="4" t="s">
        <v>2886</v>
      </c>
      <c r="O227" s="410">
        <v>18739</v>
      </c>
      <c r="P227" s="410">
        <v>22300</v>
      </c>
      <c r="Q227" s="410">
        <v>22300</v>
      </c>
      <c r="R227" s="26">
        <v>43850</v>
      </c>
      <c r="S227" s="4" t="s">
        <v>1501</v>
      </c>
      <c r="T227" s="410">
        <v>25900</v>
      </c>
      <c r="U227" t="s">
        <v>1570</v>
      </c>
      <c r="V227" s="411">
        <v>14040</v>
      </c>
      <c r="W227" s="411">
        <v>4699</v>
      </c>
      <c r="X227" s="375">
        <v>0.25</v>
      </c>
    </row>
    <row r="228" spans="1:24" x14ac:dyDescent="0.25">
      <c r="A228" s="4">
        <v>102</v>
      </c>
      <c r="B228" s="4" t="s">
        <v>3659</v>
      </c>
      <c r="C228" s="6" t="s">
        <v>3671</v>
      </c>
      <c r="D228" s="6" t="s">
        <v>3672</v>
      </c>
      <c r="E228" s="21">
        <v>43850</v>
      </c>
      <c r="F228" s="4" t="s">
        <v>1461</v>
      </c>
      <c r="H228" s="4">
        <v>6425</v>
      </c>
      <c r="I228" s="4">
        <v>4340</v>
      </c>
      <c r="J228" s="4" t="s">
        <v>1210</v>
      </c>
      <c r="K228" s="6" t="s">
        <v>1045</v>
      </c>
      <c r="L228" s="4">
        <v>2</v>
      </c>
      <c r="M228" s="410">
        <v>1513</v>
      </c>
      <c r="N228" s="4" t="s">
        <v>2886</v>
      </c>
      <c r="O228" s="410">
        <v>1513</v>
      </c>
      <c r="P228" s="410">
        <v>1800</v>
      </c>
      <c r="Q228" s="410">
        <v>3600</v>
      </c>
      <c r="R228" s="26">
        <v>43850</v>
      </c>
      <c r="S228" s="4" t="s">
        <v>1501</v>
      </c>
      <c r="T228" s="410">
        <v>25900</v>
      </c>
      <c r="U228" t="s">
        <v>1546</v>
      </c>
      <c r="V228" s="411">
        <v>385</v>
      </c>
      <c r="W228" s="411">
        <v>1128</v>
      </c>
      <c r="X228" s="375">
        <v>0.75</v>
      </c>
    </row>
    <row r="229" spans="1:24" x14ac:dyDescent="0.25">
      <c r="A229" s="4">
        <v>103</v>
      </c>
      <c r="B229" s="4" t="s">
        <v>656</v>
      </c>
      <c r="C229" s="6" t="s">
        <v>1973</v>
      </c>
      <c r="D229" s="6" t="s">
        <v>794</v>
      </c>
      <c r="E229" s="21">
        <v>43850</v>
      </c>
      <c r="F229" s="4" t="s">
        <v>1461</v>
      </c>
      <c r="H229" s="4">
        <v>6426</v>
      </c>
      <c r="I229" s="4">
        <v>4341</v>
      </c>
      <c r="J229" s="4" t="s">
        <v>1258</v>
      </c>
      <c r="K229" s="6" t="s">
        <v>1059</v>
      </c>
      <c r="L229" s="4">
        <v>3</v>
      </c>
      <c r="M229" s="410">
        <v>19328</v>
      </c>
      <c r="N229" s="4" t="s">
        <v>2886</v>
      </c>
      <c r="O229" s="410">
        <v>19328</v>
      </c>
      <c r="P229" s="410">
        <v>23000</v>
      </c>
      <c r="Q229" s="410">
        <v>69000</v>
      </c>
      <c r="R229" s="26">
        <v>43850</v>
      </c>
      <c r="S229" s="4" t="s">
        <v>1501</v>
      </c>
      <c r="T229" s="410">
        <v>69000</v>
      </c>
      <c r="U229" t="s">
        <v>1551</v>
      </c>
      <c r="V229" s="411">
        <v>14604</v>
      </c>
      <c r="W229" s="411">
        <v>4724</v>
      </c>
      <c r="X229" s="375">
        <v>0.24</v>
      </c>
    </row>
    <row r="230" spans="1:24" x14ac:dyDescent="0.25">
      <c r="A230" s="4">
        <v>104</v>
      </c>
      <c r="B230" s="4" t="s">
        <v>838</v>
      </c>
      <c r="C230" s="6" t="s">
        <v>2062</v>
      </c>
      <c r="D230" s="6" t="s">
        <v>840</v>
      </c>
      <c r="E230" s="21">
        <v>43850</v>
      </c>
      <c r="F230" s="4" t="s">
        <v>1461</v>
      </c>
      <c r="H230" s="4">
        <v>6427</v>
      </c>
      <c r="I230" s="4">
        <v>4342</v>
      </c>
      <c r="J230" s="4" t="s">
        <v>5128</v>
      </c>
      <c r="K230" s="6" t="s">
        <v>5129</v>
      </c>
      <c r="L230" s="4">
        <v>1</v>
      </c>
      <c r="M230" s="410">
        <v>16555</v>
      </c>
      <c r="N230" s="4" t="s">
        <v>2886</v>
      </c>
      <c r="O230" s="410">
        <v>16555</v>
      </c>
      <c r="P230" s="410">
        <v>19700</v>
      </c>
      <c r="Q230" s="410">
        <v>19700</v>
      </c>
      <c r="R230" s="26">
        <v>43850</v>
      </c>
      <c r="S230" s="4" t="s">
        <v>1501</v>
      </c>
      <c r="T230" s="410">
        <v>19700</v>
      </c>
      <c r="U230" t="s">
        <v>1572</v>
      </c>
      <c r="V230" s="411">
        <v>12429</v>
      </c>
      <c r="W230" s="411">
        <v>4126</v>
      </c>
      <c r="X230" s="375">
        <v>0.25</v>
      </c>
    </row>
    <row r="231" spans="1:24" x14ac:dyDescent="0.25">
      <c r="A231" s="4">
        <v>99</v>
      </c>
      <c r="B231" s="4" t="s">
        <v>4218</v>
      </c>
      <c r="C231" s="6" t="s">
        <v>4219</v>
      </c>
      <c r="D231" s="6" t="s">
        <v>3950</v>
      </c>
      <c r="E231" s="21">
        <v>43850</v>
      </c>
      <c r="F231" s="4" t="s">
        <v>925</v>
      </c>
      <c r="H231" s="4" t="s">
        <v>2528</v>
      </c>
      <c r="I231" s="4">
        <v>4337</v>
      </c>
      <c r="J231" s="4" t="s">
        <v>3460</v>
      </c>
      <c r="K231" s="6" t="s">
        <v>3461</v>
      </c>
      <c r="L231" s="4">
        <v>4</v>
      </c>
      <c r="M231" s="410">
        <v>8310</v>
      </c>
      <c r="N231" s="4" t="s">
        <v>2886</v>
      </c>
      <c r="O231" s="410">
        <v>8310</v>
      </c>
      <c r="P231" s="410">
        <v>9889</v>
      </c>
      <c r="Q231" s="410">
        <v>39556</v>
      </c>
      <c r="R231" s="26">
        <v>43852</v>
      </c>
      <c r="S231" s="4" t="s">
        <v>2050</v>
      </c>
      <c r="T231" s="410">
        <v>39557</v>
      </c>
      <c r="U231" t="s">
        <v>3934</v>
      </c>
      <c r="V231" s="411">
        <v>6000</v>
      </c>
      <c r="W231" s="411">
        <v>2310</v>
      </c>
      <c r="X231" s="375">
        <v>0.28000000000000003</v>
      </c>
    </row>
    <row r="232" spans="1:24" x14ac:dyDescent="0.25">
      <c r="A232" s="4">
        <v>107</v>
      </c>
      <c r="B232" s="4" t="s">
        <v>855</v>
      </c>
      <c r="C232" s="6" t="s">
        <v>2499</v>
      </c>
      <c r="D232" s="6" t="s">
        <v>857</v>
      </c>
      <c r="E232" s="21">
        <v>43851</v>
      </c>
      <c r="F232" s="4" t="s">
        <v>1461</v>
      </c>
      <c r="H232" s="4">
        <v>6429</v>
      </c>
      <c r="I232" s="4">
        <v>4345</v>
      </c>
      <c r="J232" s="4" t="s">
        <v>1411</v>
      </c>
      <c r="K232" s="6" t="s">
        <v>1150</v>
      </c>
      <c r="L232" s="4">
        <v>2</v>
      </c>
      <c r="M232" s="410">
        <v>12437</v>
      </c>
      <c r="N232" s="4" t="s">
        <v>2886</v>
      </c>
      <c r="O232" s="410">
        <v>12437</v>
      </c>
      <c r="P232" s="410">
        <v>14800</v>
      </c>
      <c r="Q232" s="410">
        <v>29600</v>
      </c>
      <c r="R232" s="26">
        <v>43851</v>
      </c>
      <c r="S232" s="4" t="s">
        <v>1501</v>
      </c>
      <c r="T232" s="410">
        <v>29600</v>
      </c>
      <c r="U232" t="s">
        <v>1551</v>
      </c>
      <c r="V232" s="411">
        <v>9975</v>
      </c>
      <c r="W232" s="411">
        <v>2462</v>
      </c>
      <c r="X232" s="375">
        <v>0.2</v>
      </c>
    </row>
    <row r="233" spans="1:24" x14ac:dyDescent="0.25">
      <c r="A233" s="4">
        <v>111</v>
      </c>
      <c r="B233" s="4" t="s">
        <v>656</v>
      </c>
      <c r="C233" s="6" t="s">
        <v>1973</v>
      </c>
      <c r="D233" s="6" t="s">
        <v>794</v>
      </c>
      <c r="E233" s="21">
        <v>43851</v>
      </c>
      <c r="F233" s="4" t="s">
        <v>1461</v>
      </c>
      <c r="H233" s="4">
        <v>6433</v>
      </c>
      <c r="I233" s="4">
        <v>4349</v>
      </c>
      <c r="J233" s="4" t="s">
        <v>5564</v>
      </c>
      <c r="K233" s="6" t="s">
        <v>5565</v>
      </c>
      <c r="L233" s="4">
        <v>1</v>
      </c>
      <c r="M233" s="410">
        <v>19328</v>
      </c>
      <c r="N233" s="4" t="s">
        <v>2886</v>
      </c>
      <c r="O233" s="410">
        <v>19328</v>
      </c>
      <c r="P233" s="410">
        <v>23000</v>
      </c>
      <c r="Q233" s="410">
        <v>23000</v>
      </c>
      <c r="R233" s="26">
        <v>43851</v>
      </c>
      <c r="S233" s="4" t="s">
        <v>1501</v>
      </c>
      <c r="T233" s="410">
        <v>23000</v>
      </c>
      <c r="U233" t="s">
        <v>1551</v>
      </c>
      <c r="V233" s="411">
        <v>14604</v>
      </c>
      <c r="W233" s="411">
        <v>4724</v>
      </c>
      <c r="X233" s="375">
        <v>0.24</v>
      </c>
    </row>
    <row r="234" spans="1:24" x14ac:dyDescent="0.25">
      <c r="A234" s="4">
        <v>109</v>
      </c>
      <c r="B234" s="4" t="s">
        <v>845</v>
      </c>
      <c r="C234" s="6" t="s">
        <v>2199</v>
      </c>
      <c r="D234" s="6" t="s">
        <v>2198</v>
      </c>
      <c r="E234" s="21">
        <v>43851</v>
      </c>
      <c r="F234" s="4" t="s">
        <v>1461</v>
      </c>
      <c r="H234" s="4">
        <v>6431</v>
      </c>
      <c r="I234" s="4">
        <v>4347</v>
      </c>
      <c r="J234" s="4" t="s">
        <v>4577</v>
      </c>
      <c r="K234" s="6" t="s">
        <v>5757</v>
      </c>
      <c r="L234" s="4">
        <v>1</v>
      </c>
      <c r="M234" s="410">
        <v>19748</v>
      </c>
      <c r="N234" s="4" t="s">
        <v>2886</v>
      </c>
      <c r="O234" s="410">
        <v>19748</v>
      </c>
      <c r="P234" s="410">
        <v>23500</v>
      </c>
      <c r="Q234" s="410">
        <v>23500</v>
      </c>
      <c r="R234" s="26">
        <v>43851</v>
      </c>
      <c r="S234" s="4" t="s">
        <v>1501</v>
      </c>
      <c r="T234" s="410">
        <v>23500</v>
      </c>
      <c r="U234" t="s">
        <v>1572</v>
      </c>
      <c r="V234" s="411">
        <v>14853</v>
      </c>
      <c r="W234" s="411">
        <v>4895</v>
      </c>
      <c r="X234" s="375">
        <v>0.25</v>
      </c>
    </row>
    <row r="235" spans="1:24" x14ac:dyDescent="0.25">
      <c r="A235" s="4">
        <v>110</v>
      </c>
      <c r="B235" s="4" t="s">
        <v>3968</v>
      </c>
      <c r="C235" s="6" t="s">
        <v>4018</v>
      </c>
      <c r="D235" s="6" t="s">
        <v>4019</v>
      </c>
      <c r="E235" s="21">
        <v>43851</v>
      </c>
      <c r="F235" s="4" t="s">
        <v>1461</v>
      </c>
      <c r="H235" s="4">
        <v>6432</v>
      </c>
      <c r="I235" s="4">
        <v>4348</v>
      </c>
      <c r="J235" s="4" t="s">
        <v>4577</v>
      </c>
      <c r="K235" s="6" t="s">
        <v>4578</v>
      </c>
      <c r="L235" s="4">
        <v>2</v>
      </c>
      <c r="M235" s="410">
        <v>19076</v>
      </c>
      <c r="N235" s="4" t="s">
        <v>2886</v>
      </c>
      <c r="O235" s="410">
        <v>19076</v>
      </c>
      <c r="P235" s="410">
        <v>22700</v>
      </c>
      <c r="Q235" s="410">
        <v>45400</v>
      </c>
      <c r="R235" s="26">
        <v>43851</v>
      </c>
      <c r="S235" s="4" t="s">
        <v>1501</v>
      </c>
      <c r="T235" s="410">
        <v>45400</v>
      </c>
      <c r="U235" t="s">
        <v>1551</v>
      </c>
      <c r="V235" s="411">
        <v>14122</v>
      </c>
      <c r="W235" s="411">
        <v>4954</v>
      </c>
      <c r="X235" s="375">
        <v>0.26</v>
      </c>
    </row>
    <row r="236" spans="1:24" x14ac:dyDescent="0.25">
      <c r="A236" s="4">
        <v>108</v>
      </c>
      <c r="B236" s="4" t="s">
        <v>1647</v>
      </c>
      <c r="C236" s="6" t="s">
        <v>1670</v>
      </c>
      <c r="D236" s="6" t="s">
        <v>1504</v>
      </c>
      <c r="E236" s="21">
        <v>43851</v>
      </c>
      <c r="F236" s="4" t="s">
        <v>1461</v>
      </c>
      <c r="H236" s="4">
        <v>6430</v>
      </c>
      <c r="I236" s="4">
        <v>4346</v>
      </c>
      <c r="J236" s="4" t="s">
        <v>1226</v>
      </c>
      <c r="K236" s="6" t="s">
        <v>1016</v>
      </c>
      <c r="L236" s="4">
        <v>40</v>
      </c>
      <c r="M236" s="410">
        <v>3193</v>
      </c>
      <c r="N236" s="4" t="s">
        <v>2886</v>
      </c>
      <c r="O236" s="410">
        <v>3193</v>
      </c>
      <c r="P236" s="410">
        <v>3800</v>
      </c>
      <c r="Q236" s="410">
        <v>152000</v>
      </c>
      <c r="R236" s="26">
        <v>43851</v>
      </c>
      <c r="S236" s="4" t="s">
        <v>1501</v>
      </c>
      <c r="T236" s="410">
        <v>292000</v>
      </c>
      <c r="U236" t="s">
        <v>1545</v>
      </c>
      <c r="V236" s="411">
        <v>2085</v>
      </c>
      <c r="W236" s="411">
        <v>1108</v>
      </c>
      <c r="X236" s="375">
        <v>0.35</v>
      </c>
    </row>
    <row r="237" spans="1:24" x14ac:dyDescent="0.25">
      <c r="A237" s="4">
        <v>108</v>
      </c>
      <c r="B237" s="4" t="s">
        <v>1755</v>
      </c>
      <c r="C237" s="6" t="s">
        <v>1925</v>
      </c>
      <c r="D237" s="6" t="s">
        <v>1504</v>
      </c>
      <c r="E237" s="21">
        <v>43851</v>
      </c>
      <c r="F237" s="4" t="s">
        <v>1461</v>
      </c>
      <c r="H237" s="4">
        <v>6430</v>
      </c>
      <c r="I237" s="4">
        <v>4346</v>
      </c>
      <c r="J237" s="4" t="s">
        <v>1226</v>
      </c>
      <c r="K237" s="6" t="s">
        <v>1016</v>
      </c>
      <c r="L237" s="4">
        <v>40</v>
      </c>
      <c r="M237" s="410">
        <v>2941</v>
      </c>
      <c r="N237" s="4" t="s">
        <v>2886</v>
      </c>
      <c r="O237" s="410">
        <v>2941</v>
      </c>
      <c r="P237" s="410">
        <v>3500</v>
      </c>
      <c r="Q237" s="410">
        <v>140000</v>
      </c>
      <c r="R237" s="26">
        <v>43851</v>
      </c>
      <c r="S237" s="4" t="s">
        <v>1501</v>
      </c>
      <c r="T237" s="410">
        <v>292000</v>
      </c>
      <c r="U237" t="s">
        <v>1545</v>
      </c>
      <c r="V237" s="411">
        <v>2119</v>
      </c>
      <c r="W237" s="411">
        <v>822</v>
      </c>
      <c r="X237" s="375">
        <v>0.28000000000000003</v>
      </c>
    </row>
    <row r="238" spans="1:24" x14ac:dyDescent="0.25">
      <c r="A238" s="4">
        <v>106</v>
      </c>
      <c r="B238" s="4" t="s">
        <v>2289</v>
      </c>
      <c r="C238" s="6" t="s">
        <v>2620</v>
      </c>
      <c r="D238" s="6" t="s">
        <v>1539</v>
      </c>
      <c r="E238" s="21">
        <v>43851</v>
      </c>
      <c r="F238" s="4" t="s">
        <v>925</v>
      </c>
      <c r="H238" s="4" t="s">
        <v>5662</v>
      </c>
      <c r="I238" s="4">
        <v>4344</v>
      </c>
      <c r="J238" s="4" t="s">
        <v>1192</v>
      </c>
      <c r="K238" s="6" t="s">
        <v>1061</v>
      </c>
      <c r="L238" s="4">
        <v>2</v>
      </c>
      <c r="M238" s="410">
        <v>20084</v>
      </c>
      <c r="N238" s="519" t="s">
        <v>2886</v>
      </c>
      <c r="O238" s="410">
        <v>20084</v>
      </c>
      <c r="P238" s="410">
        <v>23900</v>
      </c>
      <c r="Q238" s="410">
        <v>47800</v>
      </c>
      <c r="R238" s="26">
        <v>43851</v>
      </c>
      <c r="S238" s="4" t="s">
        <v>1501</v>
      </c>
      <c r="T238" s="410">
        <v>181076</v>
      </c>
      <c r="U238" t="s">
        <v>1524</v>
      </c>
      <c r="V238" s="411">
        <v>16386</v>
      </c>
      <c r="W238" s="411">
        <v>3698</v>
      </c>
      <c r="X238" s="375">
        <v>0.18</v>
      </c>
    </row>
    <row r="239" spans="1:24" x14ac:dyDescent="0.25">
      <c r="A239" s="4">
        <v>106</v>
      </c>
      <c r="B239" s="4" t="s">
        <v>35</v>
      </c>
      <c r="C239" s="6" t="s">
        <v>2855</v>
      </c>
      <c r="D239" s="6" t="s">
        <v>1693</v>
      </c>
      <c r="E239" s="21">
        <v>43851</v>
      </c>
      <c r="F239" s="4" t="s">
        <v>925</v>
      </c>
      <c r="H239" s="4" t="s">
        <v>5662</v>
      </c>
      <c r="I239" s="4">
        <v>4344</v>
      </c>
      <c r="J239" s="4" t="s">
        <v>1192</v>
      </c>
      <c r="K239" s="6" t="s">
        <v>1061</v>
      </c>
      <c r="L239" s="4">
        <v>4</v>
      </c>
      <c r="M239" s="410">
        <v>6151</v>
      </c>
      <c r="N239" s="4" t="s">
        <v>2886</v>
      </c>
      <c r="O239" s="410">
        <v>6151</v>
      </c>
      <c r="P239" s="410">
        <v>7320</v>
      </c>
      <c r="Q239" s="410">
        <v>29280</v>
      </c>
      <c r="R239" s="26">
        <v>43851</v>
      </c>
      <c r="S239" s="4" t="s">
        <v>1501</v>
      </c>
      <c r="T239" s="410">
        <v>181076</v>
      </c>
      <c r="U239" t="s">
        <v>1563</v>
      </c>
      <c r="V239" s="411">
        <v>4600</v>
      </c>
      <c r="W239" s="411">
        <v>1551</v>
      </c>
      <c r="X239" s="375">
        <v>0.25</v>
      </c>
    </row>
    <row r="240" spans="1:24" x14ac:dyDescent="0.25">
      <c r="A240" s="4">
        <v>106</v>
      </c>
      <c r="B240" s="4" t="s">
        <v>3906</v>
      </c>
      <c r="C240" s="6" t="s">
        <v>3813</v>
      </c>
      <c r="D240" s="6" t="s">
        <v>1646</v>
      </c>
      <c r="E240" s="21">
        <v>43851</v>
      </c>
      <c r="F240" s="4" t="s">
        <v>925</v>
      </c>
      <c r="H240" s="4" t="s">
        <v>5662</v>
      </c>
      <c r="I240" s="4">
        <v>4344</v>
      </c>
      <c r="J240" s="4" t="s">
        <v>1192</v>
      </c>
      <c r="K240" s="6" t="s">
        <v>1061</v>
      </c>
      <c r="L240" s="4">
        <v>12</v>
      </c>
      <c r="M240" s="410">
        <v>3335</v>
      </c>
      <c r="N240" s="4" t="s">
        <v>2886</v>
      </c>
      <c r="O240" s="410">
        <v>3335</v>
      </c>
      <c r="P240" s="410">
        <v>3969</v>
      </c>
      <c r="Q240" s="410">
        <v>47628</v>
      </c>
      <c r="R240" s="26">
        <v>43851</v>
      </c>
      <c r="S240" s="4" t="s">
        <v>1501</v>
      </c>
      <c r="T240" s="410">
        <v>181076</v>
      </c>
      <c r="U240" t="s">
        <v>3934</v>
      </c>
      <c r="V240" s="411">
        <v>2408</v>
      </c>
      <c r="W240" s="411">
        <v>927</v>
      </c>
      <c r="X240" s="375">
        <v>0.28000000000000003</v>
      </c>
    </row>
    <row r="241" spans="1:24" x14ac:dyDescent="0.25">
      <c r="A241" s="4">
        <v>106</v>
      </c>
      <c r="B241" s="4" t="s">
        <v>4218</v>
      </c>
      <c r="C241" s="6" t="s">
        <v>4219</v>
      </c>
      <c r="D241" s="6" t="s">
        <v>3950</v>
      </c>
      <c r="E241" s="21">
        <v>43851</v>
      </c>
      <c r="F241" s="4" t="s">
        <v>925</v>
      </c>
      <c r="H241" s="4" t="s">
        <v>5662</v>
      </c>
      <c r="I241" s="4">
        <v>4344</v>
      </c>
      <c r="J241" s="4" t="s">
        <v>1192</v>
      </c>
      <c r="K241" s="6" t="s">
        <v>1061</v>
      </c>
      <c r="L241" s="4">
        <v>6</v>
      </c>
      <c r="M241" s="410">
        <v>7895</v>
      </c>
      <c r="N241" s="4" t="s">
        <v>2886</v>
      </c>
      <c r="O241" s="410">
        <v>7895</v>
      </c>
      <c r="P241" s="410">
        <v>9395</v>
      </c>
      <c r="Q241" s="410">
        <v>56370</v>
      </c>
      <c r="R241" s="26">
        <v>43851</v>
      </c>
      <c r="S241" s="4" t="s">
        <v>1501</v>
      </c>
      <c r="T241" s="410">
        <v>181076</v>
      </c>
      <c r="U241" t="s">
        <v>3934</v>
      </c>
      <c r="V241" s="411">
        <v>6000</v>
      </c>
      <c r="W241" s="411">
        <v>1895</v>
      </c>
      <c r="X241" s="375">
        <v>0.24</v>
      </c>
    </row>
    <row r="242" spans="1:24" x14ac:dyDescent="0.25">
      <c r="A242" s="4">
        <v>113</v>
      </c>
      <c r="B242" s="4" t="s">
        <v>838</v>
      </c>
      <c r="C242" s="6" t="s">
        <v>2062</v>
      </c>
      <c r="D242" s="6" t="s">
        <v>840</v>
      </c>
      <c r="E242" s="21">
        <v>43852</v>
      </c>
      <c r="F242" s="4" t="s">
        <v>1461</v>
      </c>
      <c r="H242" s="4">
        <v>6434</v>
      </c>
      <c r="I242" s="4">
        <v>4351</v>
      </c>
      <c r="J242" s="4" t="s">
        <v>1209</v>
      </c>
      <c r="K242" s="6" t="s">
        <v>974</v>
      </c>
      <c r="L242" s="4">
        <v>1</v>
      </c>
      <c r="M242" s="410">
        <v>16555</v>
      </c>
      <c r="N242" s="441" t="s">
        <v>2886</v>
      </c>
      <c r="O242" s="410">
        <v>16555</v>
      </c>
      <c r="P242" s="410">
        <v>19700</v>
      </c>
      <c r="Q242" s="410">
        <v>19700</v>
      </c>
      <c r="R242" s="26">
        <v>43852</v>
      </c>
      <c r="S242" s="4" t="s">
        <v>2050</v>
      </c>
      <c r="T242" s="410">
        <v>34500</v>
      </c>
      <c r="U242" t="s">
        <v>1572</v>
      </c>
      <c r="V242" s="411">
        <v>12429</v>
      </c>
      <c r="W242" s="411">
        <v>4126</v>
      </c>
      <c r="X242" s="375">
        <v>0.25</v>
      </c>
    </row>
    <row r="243" spans="1:24" x14ac:dyDescent="0.25">
      <c r="A243" s="4">
        <v>113</v>
      </c>
      <c r="B243" s="4" t="s">
        <v>855</v>
      </c>
      <c r="C243" s="6" t="s">
        <v>2499</v>
      </c>
      <c r="D243" s="6" t="s">
        <v>857</v>
      </c>
      <c r="E243" s="21">
        <v>43852</v>
      </c>
      <c r="F243" s="4" t="s">
        <v>1461</v>
      </c>
      <c r="H243" s="4">
        <v>6434</v>
      </c>
      <c r="I243" s="4">
        <v>4351</v>
      </c>
      <c r="J243" s="4" t="s">
        <v>1209</v>
      </c>
      <c r="K243" s="6" t="s">
        <v>974</v>
      </c>
      <c r="L243" s="4">
        <v>1</v>
      </c>
      <c r="M243" s="410">
        <v>13277</v>
      </c>
      <c r="N243" s="374">
        <v>0.06</v>
      </c>
      <c r="O243" s="410">
        <v>12487</v>
      </c>
      <c r="P243" s="410">
        <v>14800</v>
      </c>
      <c r="Q243" s="410">
        <v>14800</v>
      </c>
      <c r="R243" s="26">
        <v>43852</v>
      </c>
      <c r="S243" s="4" t="s">
        <v>2050</v>
      </c>
      <c r="T243" s="410">
        <v>34500</v>
      </c>
      <c r="U243" t="s">
        <v>1551</v>
      </c>
      <c r="V243" s="411">
        <v>9975</v>
      </c>
      <c r="W243" s="411">
        <v>2512</v>
      </c>
      <c r="X243" s="375">
        <v>0.2</v>
      </c>
    </row>
    <row r="244" spans="1:24" x14ac:dyDescent="0.25">
      <c r="A244" s="4">
        <v>115</v>
      </c>
      <c r="B244" s="4" t="s">
        <v>278</v>
      </c>
      <c r="C244" s="6" t="s">
        <v>1688</v>
      </c>
      <c r="D244" s="6" t="s">
        <v>2792</v>
      </c>
      <c r="E244" s="21">
        <v>43852</v>
      </c>
      <c r="F244" s="4" t="s">
        <v>925</v>
      </c>
      <c r="H244" s="4">
        <v>1038757</v>
      </c>
      <c r="I244" s="4">
        <v>4353</v>
      </c>
      <c r="J244" s="4" t="s">
        <v>1175</v>
      </c>
      <c r="K244" s="6" t="s">
        <v>1144</v>
      </c>
      <c r="L244" s="4">
        <v>5</v>
      </c>
      <c r="M244" s="439">
        <v>1233</v>
      </c>
      <c r="N244" s="374">
        <v>-0.11</v>
      </c>
      <c r="O244" s="439">
        <v>1390</v>
      </c>
      <c r="P244" s="439">
        <v>1633</v>
      </c>
      <c r="Q244" s="439">
        <v>8165</v>
      </c>
      <c r="R244" s="26">
        <v>43852</v>
      </c>
      <c r="S244" s="4" t="s">
        <v>2050</v>
      </c>
      <c r="T244" s="439">
        <v>143479</v>
      </c>
      <c r="U244" t="s">
        <v>2755</v>
      </c>
      <c r="V244" s="440">
        <v>890</v>
      </c>
      <c r="W244" s="440">
        <v>500</v>
      </c>
      <c r="X244" s="375">
        <v>0.36</v>
      </c>
    </row>
    <row r="245" spans="1:24" x14ac:dyDescent="0.25">
      <c r="A245" s="4">
        <v>115</v>
      </c>
      <c r="B245" s="4" t="s">
        <v>280</v>
      </c>
      <c r="C245" s="6" t="s">
        <v>1818</v>
      </c>
      <c r="D245" s="6" t="s">
        <v>2792</v>
      </c>
      <c r="E245" s="21">
        <v>43852</v>
      </c>
      <c r="F245" s="4" t="s">
        <v>925</v>
      </c>
      <c r="H245" s="4">
        <v>1038757</v>
      </c>
      <c r="I245" s="4">
        <v>4353</v>
      </c>
      <c r="J245" s="4" t="s">
        <v>1175</v>
      </c>
      <c r="K245" s="6" t="s">
        <v>1144</v>
      </c>
      <c r="L245" s="4">
        <v>20</v>
      </c>
      <c r="M245" s="410">
        <v>360</v>
      </c>
      <c r="N245" s="374">
        <v>-7.0000000000000007E-2</v>
      </c>
      <c r="O245" s="410">
        <v>388</v>
      </c>
      <c r="P245" s="410">
        <v>459</v>
      </c>
      <c r="Q245" s="410">
        <v>9180</v>
      </c>
      <c r="R245" s="26">
        <v>43852</v>
      </c>
      <c r="S245" s="4" t="s">
        <v>2050</v>
      </c>
      <c r="T245" s="410">
        <v>143479</v>
      </c>
      <c r="U245" t="s">
        <v>2755</v>
      </c>
      <c r="V245" s="411">
        <v>260</v>
      </c>
      <c r="W245" s="411">
        <v>128</v>
      </c>
      <c r="X245" s="375">
        <v>0.33</v>
      </c>
    </row>
    <row r="246" spans="1:24" x14ac:dyDescent="0.25">
      <c r="A246" s="4">
        <v>112</v>
      </c>
      <c r="B246" s="4" t="s">
        <v>4568</v>
      </c>
      <c r="C246" s="6" t="s">
        <v>4569</v>
      </c>
      <c r="D246" s="6" t="s">
        <v>4570</v>
      </c>
      <c r="E246" s="21">
        <v>43852</v>
      </c>
      <c r="F246" s="4" t="s">
        <v>925</v>
      </c>
      <c r="H246" s="4" t="s">
        <v>2528</v>
      </c>
      <c r="I246" s="4">
        <v>4350</v>
      </c>
      <c r="J246" s="4" t="s">
        <v>1179</v>
      </c>
      <c r="K246" s="6" t="s">
        <v>952</v>
      </c>
      <c r="L246" s="4">
        <v>45</v>
      </c>
      <c r="M246" s="410">
        <v>817</v>
      </c>
      <c r="N246" s="374">
        <v>0.1</v>
      </c>
      <c r="O246" s="410">
        <v>744</v>
      </c>
      <c r="P246" s="410">
        <v>878</v>
      </c>
      <c r="Q246" s="410">
        <v>39510</v>
      </c>
      <c r="R246" s="26">
        <v>43852</v>
      </c>
      <c r="S246" s="4" t="s">
        <v>2050</v>
      </c>
      <c r="T246" s="410">
        <v>99412</v>
      </c>
      <c r="U246" t="s">
        <v>1563</v>
      </c>
      <c r="V246" s="411">
        <v>590</v>
      </c>
      <c r="W246" s="411">
        <v>154</v>
      </c>
      <c r="X246" s="375">
        <v>0.21</v>
      </c>
    </row>
    <row r="247" spans="1:24" x14ac:dyDescent="0.25">
      <c r="A247" s="4">
        <v>112</v>
      </c>
      <c r="B247" s="4" t="s">
        <v>5338</v>
      </c>
      <c r="C247" s="6" t="s">
        <v>5339</v>
      </c>
      <c r="D247" s="6" t="s">
        <v>4457</v>
      </c>
      <c r="E247" s="21">
        <v>43852</v>
      </c>
      <c r="F247" s="4" t="s">
        <v>925</v>
      </c>
      <c r="H247" s="4" t="s">
        <v>2528</v>
      </c>
      <c r="I247" s="4">
        <v>4350</v>
      </c>
      <c r="J247" s="4" t="s">
        <v>1179</v>
      </c>
      <c r="K247" s="6" t="s">
        <v>952</v>
      </c>
      <c r="L247" s="4">
        <v>60</v>
      </c>
      <c r="M247" s="410">
        <v>699</v>
      </c>
      <c r="N247" s="374">
        <v>0.08</v>
      </c>
      <c r="O247" s="410">
        <v>650</v>
      </c>
      <c r="P247" s="410">
        <v>769</v>
      </c>
      <c r="Q247" s="410">
        <v>46140</v>
      </c>
      <c r="R247" s="26">
        <v>43852</v>
      </c>
      <c r="S247" s="4" t="s">
        <v>2050</v>
      </c>
      <c r="T247" s="410">
        <v>99412</v>
      </c>
      <c r="U247" t="s">
        <v>1563</v>
      </c>
      <c r="V247" s="411">
        <v>505</v>
      </c>
      <c r="W247" s="411">
        <v>145</v>
      </c>
      <c r="X247" s="375">
        <v>0.22</v>
      </c>
    </row>
    <row r="248" spans="1:24" x14ac:dyDescent="0.25">
      <c r="A248" s="4">
        <v>112</v>
      </c>
      <c r="B248" s="4" t="s">
        <v>2863</v>
      </c>
      <c r="C248" s="6" t="s">
        <v>2956</v>
      </c>
      <c r="D248" s="6" t="s">
        <v>33</v>
      </c>
      <c r="E248" s="21">
        <v>43852</v>
      </c>
      <c r="F248" s="4" t="s">
        <v>925</v>
      </c>
      <c r="H248" s="4" t="s">
        <v>2528</v>
      </c>
      <c r="I248" s="4">
        <v>4350</v>
      </c>
      <c r="J248" s="4" t="s">
        <v>1179</v>
      </c>
      <c r="K248" s="6" t="s">
        <v>952</v>
      </c>
      <c r="L248" s="4">
        <v>1</v>
      </c>
      <c r="M248" s="410">
        <v>12188</v>
      </c>
      <c r="N248" s="374">
        <v>0.05</v>
      </c>
      <c r="O248" s="410">
        <v>11608</v>
      </c>
      <c r="P248" s="410">
        <v>13779</v>
      </c>
      <c r="Q248" s="410">
        <v>13779</v>
      </c>
      <c r="R248" s="26">
        <v>43852</v>
      </c>
      <c r="S248" s="4" t="s">
        <v>2050</v>
      </c>
      <c r="T248" s="410">
        <v>99412</v>
      </c>
      <c r="U248" t="s">
        <v>1563</v>
      </c>
      <c r="V248" s="411">
        <v>8800</v>
      </c>
      <c r="W248" s="411">
        <v>2808</v>
      </c>
      <c r="X248" s="375">
        <v>0.24</v>
      </c>
    </row>
    <row r="249" spans="1:24" x14ac:dyDescent="0.25">
      <c r="A249" s="4">
        <v>116</v>
      </c>
      <c r="B249" s="4" t="s">
        <v>2614</v>
      </c>
      <c r="C249" s="6" t="s">
        <v>2644</v>
      </c>
      <c r="D249" s="6" t="s">
        <v>1469</v>
      </c>
      <c r="E249" s="21">
        <v>43852</v>
      </c>
      <c r="F249" s="4" t="s">
        <v>925</v>
      </c>
      <c r="H249" s="4" t="s">
        <v>2528</v>
      </c>
      <c r="I249" s="4">
        <v>4354</v>
      </c>
      <c r="J249" s="4" t="s">
        <v>1178</v>
      </c>
      <c r="K249" s="6" t="s">
        <v>950</v>
      </c>
      <c r="L249" s="4">
        <v>1</v>
      </c>
      <c r="M249" s="410">
        <v>19446</v>
      </c>
      <c r="N249" s="374">
        <v>0.1</v>
      </c>
      <c r="O249" s="410">
        <v>17718</v>
      </c>
      <c r="P249" s="410">
        <v>20885</v>
      </c>
      <c r="Q249" s="410">
        <v>20885</v>
      </c>
      <c r="R249" s="26">
        <v>43852</v>
      </c>
      <c r="S249" s="4" t="s">
        <v>2050</v>
      </c>
      <c r="T249" s="410">
        <v>138397</v>
      </c>
      <c r="U249" t="s">
        <v>1570</v>
      </c>
      <c r="V249" s="411">
        <v>14040</v>
      </c>
      <c r="W249" s="411">
        <v>3678</v>
      </c>
      <c r="X249" s="375">
        <v>0.21</v>
      </c>
    </row>
    <row r="250" spans="1:24" x14ac:dyDescent="0.25">
      <c r="A250" s="4">
        <v>116</v>
      </c>
      <c r="B250" s="4" t="s">
        <v>1472</v>
      </c>
      <c r="C250" s="6" t="s">
        <v>1656</v>
      </c>
      <c r="D250" s="6" t="s">
        <v>1469</v>
      </c>
      <c r="E250" s="21">
        <v>43852</v>
      </c>
      <c r="F250" s="4" t="s">
        <v>925</v>
      </c>
      <c r="H250" s="4" t="s">
        <v>2528</v>
      </c>
      <c r="I250" s="4">
        <v>4354</v>
      </c>
      <c r="J250" s="4" t="s">
        <v>1178</v>
      </c>
      <c r="K250" s="6" t="s">
        <v>950</v>
      </c>
      <c r="L250" s="4">
        <v>16</v>
      </c>
      <c r="M250" s="410">
        <v>1676</v>
      </c>
      <c r="N250" s="374">
        <v>0.1</v>
      </c>
      <c r="O250" s="410">
        <v>1527</v>
      </c>
      <c r="P250" s="410">
        <v>1800</v>
      </c>
      <c r="Q250" s="410">
        <v>28800</v>
      </c>
      <c r="R250" s="26">
        <v>43852</v>
      </c>
      <c r="S250" s="4" t="s">
        <v>2050</v>
      </c>
      <c r="T250" s="410">
        <v>138397</v>
      </c>
      <c r="U250" t="s">
        <v>1570</v>
      </c>
      <c r="V250" s="411">
        <v>1210</v>
      </c>
      <c r="W250" s="411">
        <v>317</v>
      </c>
      <c r="X250" s="375">
        <v>0.21</v>
      </c>
    </row>
    <row r="251" spans="1:24" x14ac:dyDescent="0.25">
      <c r="A251" s="4">
        <v>116</v>
      </c>
      <c r="B251" s="4" t="s">
        <v>658</v>
      </c>
      <c r="C251" s="6" t="s">
        <v>1974</v>
      </c>
      <c r="D251" s="6" t="s">
        <v>794</v>
      </c>
      <c r="E251" s="21">
        <v>43852</v>
      </c>
      <c r="F251" s="4" t="s">
        <v>925</v>
      </c>
      <c r="H251" s="4" t="s">
        <v>2528</v>
      </c>
      <c r="I251" s="4">
        <v>4354</v>
      </c>
      <c r="J251" s="4" t="s">
        <v>1178</v>
      </c>
      <c r="K251" s="6" t="s">
        <v>950</v>
      </c>
      <c r="L251" s="4">
        <v>2</v>
      </c>
      <c r="M251" s="410">
        <v>20227</v>
      </c>
      <c r="N251" s="374">
        <v>0.12</v>
      </c>
      <c r="O251" s="410">
        <v>18060</v>
      </c>
      <c r="P251" s="410">
        <v>21182</v>
      </c>
      <c r="Q251" s="410">
        <v>42364</v>
      </c>
      <c r="R251" s="26">
        <v>43852</v>
      </c>
      <c r="S251" s="4" t="s">
        <v>2050</v>
      </c>
      <c r="T251" s="410">
        <v>138397</v>
      </c>
      <c r="U251" t="s">
        <v>1551</v>
      </c>
      <c r="V251" s="411">
        <v>14604</v>
      </c>
      <c r="W251" s="411">
        <v>3456</v>
      </c>
      <c r="X251" s="375">
        <v>0.19</v>
      </c>
    </row>
    <row r="252" spans="1:24" x14ac:dyDescent="0.25">
      <c r="A252" s="4">
        <v>116</v>
      </c>
      <c r="B252" s="4" t="s">
        <v>792</v>
      </c>
      <c r="C252" s="6" t="s">
        <v>1928</v>
      </c>
      <c r="D252" s="6" t="s">
        <v>794</v>
      </c>
      <c r="E252" s="21">
        <v>43852</v>
      </c>
      <c r="F252" s="4" t="s">
        <v>925</v>
      </c>
      <c r="H252" s="4" t="s">
        <v>2528</v>
      </c>
      <c r="I252" s="4">
        <v>4354</v>
      </c>
      <c r="J252" s="4" t="s">
        <v>1178</v>
      </c>
      <c r="K252" s="6" t="s">
        <v>950</v>
      </c>
      <c r="L252" s="4">
        <v>1</v>
      </c>
      <c r="M252" s="410">
        <v>20227</v>
      </c>
      <c r="N252" s="374">
        <v>0.12</v>
      </c>
      <c r="O252" s="410">
        <v>18060</v>
      </c>
      <c r="P252" s="410">
        <v>21182</v>
      </c>
      <c r="Q252" s="410">
        <v>21182</v>
      </c>
      <c r="R252" s="26">
        <v>43852</v>
      </c>
      <c r="S252" s="4" t="s">
        <v>2050</v>
      </c>
      <c r="T252" s="410">
        <v>138397</v>
      </c>
      <c r="U252" t="s">
        <v>1551</v>
      </c>
      <c r="V252" s="411">
        <v>14604</v>
      </c>
      <c r="W252" s="411">
        <v>3456</v>
      </c>
      <c r="X252" s="375">
        <v>0.19</v>
      </c>
    </row>
    <row r="253" spans="1:24" x14ac:dyDescent="0.25">
      <c r="A253" s="4">
        <v>116</v>
      </c>
      <c r="B253" s="4" t="s">
        <v>30</v>
      </c>
      <c r="C253" s="6" t="s">
        <v>5241</v>
      </c>
      <c r="D253" s="6" t="s">
        <v>33</v>
      </c>
      <c r="E253" s="21">
        <v>43852</v>
      </c>
      <c r="F253" s="4" t="s">
        <v>925</v>
      </c>
      <c r="H253" s="4" t="s">
        <v>2528</v>
      </c>
      <c r="I253" s="4">
        <v>4354</v>
      </c>
      <c r="J253" s="4" t="s">
        <v>1178</v>
      </c>
      <c r="K253" s="6" t="s">
        <v>950</v>
      </c>
      <c r="L253" s="4">
        <v>12</v>
      </c>
      <c r="M253" s="410">
        <v>741</v>
      </c>
      <c r="N253" s="374">
        <v>0.1</v>
      </c>
      <c r="O253" s="410">
        <v>675</v>
      </c>
      <c r="P253" s="410">
        <v>796</v>
      </c>
      <c r="Q253" s="410">
        <v>9552</v>
      </c>
      <c r="R253" s="26">
        <v>43852</v>
      </c>
      <c r="S253" s="4" t="s">
        <v>2050</v>
      </c>
      <c r="T253" s="410">
        <v>138397</v>
      </c>
      <c r="U253" t="s">
        <v>1563</v>
      </c>
      <c r="V253" s="411">
        <v>535</v>
      </c>
      <c r="W253" s="411">
        <v>140</v>
      </c>
      <c r="X253" s="375">
        <v>0.21</v>
      </c>
    </row>
    <row r="254" spans="1:24" x14ac:dyDescent="0.25">
      <c r="A254" s="4">
        <v>116</v>
      </c>
      <c r="B254" s="4" t="s">
        <v>855</v>
      </c>
      <c r="C254" s="6" t="s">
        <v>2499</v>
      </c>
      <c r="D254" s="6" t="s">
        <v>857</v>
      </c>
      <c r="E254" s="21">
        <v>43852</v>
      </c>
      <c r="F254" s="4" t="s">
        <v>925</v>
      </c>
      <c r="H254" s="4" t="s">
        <v>2528</v>
      </c>
      <c r="I254" s="4">
        <v>4354</v>
      </c>
      <c r="J254" s="4" t="s">
        <v>1178</v>
      </c>
      <c r="K254" s="6" t="s">
        <v>950</v>
      </c>
      <c r="L254" s="4">
        <v>1</v>
      </c>
      <c r="M254" s="410">
        <v>13816</v>
      </c>
      <c r="N254" s="374">
        <v>0.05</v>
      </c>
      <c r="O254" s="410">
        <v>13158</v>
      </c>
      <c r="P254" s="410">
        <v>15619</v>
      </c>
      <c r="Q254" s="410">
        <v>15619</v>
      </c>
      <c r="R254" s="26">
        <v>43852</v>
      </c>
      <c r="S254" s="4" t="s">
        <v>2050</v>
      </c>
      <c r="T254" s="410">
        <v>138397</v>
      </c>
      <c r="U254" t="s">
        <v>1551</v>
      </c>
      <c r="V254" s="411">
        <v>9975</v>
      </c>
      <c r="W254" s="411">
        <v>3183</v>
      </c>
      <c r="X254" s="375">
        <v>0.24</v>
      </c>
    </row>
    <row r="255" spans="1:24" x14ac:dyDescent="0.25">
      <c r="A255" s="4">
        <v>115</v>
      </c>
      <c r="B255" s="4" t="s">
        <v>276</v>
      </c>
      <c r="C255" s="6" t="s">
        <v>1687</v>
      </c>
      <c r="D255" s="6" t="s">
        <v>2792</v>
      </c>
      <c r="E255" s="21">
        <v>43852</v>
      </c>
      <c r="F255" s="4" t="s">
        <v>925</v>
      </c>
      <c r="H255" s="4">
        <v>1038757</v>
      </c>
      <c r="I255" s="4">
        <v>4353</v>
      </c>
      <c r="J255" s="4" t="s">
        <v>1175</v>
      </c>
      <c r="K255" s="6" t="s">
        <v>1144</v>
      </c>
      <c r="L255" s="4">
        <v>10</v>
      </c>
      <c r="M255" s="410">
        <v>657</v>
      </c>
      <c r="N255" s="374">
        <v>-0.08</v>
      </c>
      <c r="O255" s="410">
        <v>713</v>
      </c>
      <c r="P255" s="410">
        <v>843</v>
      </c>
      <c r="Q255" s="410">
        <v>8430</v>
      </c>
      <c r="R255" s="26">
        <v>43852</v>
      </c>
      <c r="S255" s="4" t="s">
        <v>2050</v>
      </c>
      <c r="T255" s="410">
        <v>143479</v>
      </c>
      <c r="U255" t="s">
        <v>2755</v>
      </c>
      <c r="V255" s="440">
        <v>474</v>
      </c>
      <c r="W255" s="411">
        <v>239</v>
      </c>
      <c r="X255" s="375">
        <v>0.34</v>
      </c>
    </row>
    <row r="256" spans="1:24" x14ac:dyDescent="0.25">
      <c r="A256" s="4">
        <v>115</v>
      </c>
      <c r="B256" s="4" t="s">
        <v>1471</v>
      </c>
      <c r="C256" s="6" t="s">
        <v>1655</v>
      </c>
      <c r="D256" s="6" t="s">
        <v>1469</v>
      </c>
      <c r="E256" s="21">
        <v>43852</v>
      </c>
      <c r="F256" s="4" t="s">
        <v>925</v>
      </c>
      <c r="H256" s="4">
        <v>1038757</v>
      </c>
      <c r="I256" s="4">
        <v>4353</v>
      </c>
      <c r="J256" s="4" t="s">
        <v>1175</v>
      </c>
      <c r="K256" s="6" t="s">
        <v>1144</v>
      </c>
      <c r="L256" s="4">
        <v>36</v>
      </c>
      <c r="M256" s="410">
        <v>880</v>
      </c>
      <c r="N256" s="374">
        <v>0.08</v>
      </c>
      <c r="O256" s="410">
        <v>813</v>
      </c>
      <c r="P256" s="410">
        <v>960</v>
      </c>
      <c r="Q256" s="410">
        <v>34560</v>
      </c>
      <c r="R256" s="26">
        <v>43852</v>
      </c>
      <c r="S256" s="4" t="s">
        <v>2050</v>
      </c>
      <c r="T256" s="410">
        <v>143479</v>
      </c>
      <c r="U256" t="s">
        <v>1570</v>
      </c>
      <c r="V256" s="411">
        <v>635</v>
      </c>
      <c r="W256" s="411">
        <v>178</v>
      </c>
      <c r="X256" s="375">
        <v>0.22</v>
      </c>
    </row>
    <row r="257" spans="1:24" x14ac:dyDescent="0.25">
      <c r="A257" s="4">
        <v>115</v>
      </c>
      <c r="B257" s="4" t="s">
        <v>1472</v>
      </c>
      <c r="C257" s="6" t="s">
        <v>1656</v>
      </c>
      <c r="D257" s="6" t="s">
        <v>1469</v>
      </c>
      <c r="E257" s="21">
        <v>43852</v>
      </c>
      <c r="F257" s="4" t="s">
        <v>925</v>
      </c>
      <c r="H257" s="4">
        <v>1038757</v>
      </c>
      <c r="I257" s="4">
        <v>4353</v>
      </c>
      <c r="J257" s="4" t="s">
        <v>1175</v>
      </c>
      <c r="K257" s="6" t="s">
        <v>1144</v>
      </c>
      <c r="L257" s="4">
        <v>32</v>
      </c>
      <c r="M257" s="410">
        <v>1676</v>
      </c>
      <c r="N257" s="374">
        <v>0.08</v>
      </c>
      <c r="O257" s="410">
        <v>1553</v>
      </c>
      <c r="P257" s="410">
        <v>1837</v>
      </c>
      <c r="Q257" s="410">
        <v>58784</v>
      </c>
      <c r="R257" s="26">
        <v>43852</v>
      </c>
      <c r="S257" s="4" t="s">
        <v>2050</v>
      </c>
      <c r="T257" s="410">
        <v>143479</v>
      </c>
      <c r="U257" t="s">
        <v>1570</v>
      </c>
      <c r="V257" s="411">
        <v>1210</v>
      </c>
      <c r="W257" s="411">
        <v>343</v>
      </c>
      <c r="X257" s="375">
        <v>0.22</v>
      </c>
    </row>
    <row r="258" spans="1:24" x14ac:dyDescent="0.25">
      <c r="A258" s="4">
        <v>115</v>
      </c>
      <c r="B258" s="4" t="s">
        <v>1964</v>
      </c>
      <c r="C258" s="6" t="s">
        <v>2202</v>
      </c>
      <c r="D258" s="6" t="s">
        <v>2198</v>
      </c>
      <c r="E258" s="21">
        <v>43852</v>
      </c>
      <c r="F258" s="4" t="s">
        <v>925</v>
      </c>
      <c r="H258" s="4">
        <v>1038757</v>
      </c>
      <c r="I258" s="4">
        <v>4353</v>
      </c>
      <c r="J258" s="4" t="s">
        <v>1175</v>
      </c>
      <c r="K258" s="6" t="s">
        <v>1144</v>
      </c>
      <c r="L258" s="4">
        <v>20</v>
      </c>
      <c r="M258" s="410">
        <v>1078</v>
      </c>
      <c r="N258" s="374">
        <v>0.05</v>
      </c>
      <c r="O258" s="410">
        <v>1027</v>
      </c>
      <c r="P258" s="410">
        <v>1218</v>
      </c>
      <c r="Q258" s="410">
        <v>24360</v>
      </c>
      <c r="R258" s="26">
        <v>43852</v>
      </c>
      <c r="S258" s="4" t="s">
        <v>2050</v>
      </c>
      <c r="T258" s="410">
        <v>143479</v>
      </c>
      <c r="U258" t="s">
        <v>1572</v>
      </c>
      <c r="V258" s="411">
        <v>778</v>
      </c>
      <c r="W258" s="411">
        <v>249</v>
      </c>
      <c r="X258" s="375">
        <v>0.24</v>
      </c>
    </row>
    <row r="259" spans="1:24" x14ac:dyDescent="0.25">
      <c r="A259" s="4">
        <v>114</v>
      </c>
      <c r="B259" s="4" t="s">
        <v>254</v>
      </c>
      <c r="C259" s="6" t="s">
        <v>2586</v>
      </c>
      <c r="D259" s="6" t="s">
        <v>2792</v>
      </c>
      <c r="E259" s="21">
        <v>43852</v>
      </c>
      <c r="F259" s="4" t="s">
        <v>925</v>
      </c>
      <c r="H259" s="4">
        <v>1038758</v>
      </c>
      <c r="I259" s="4">
        <v>4352</v>
      </c>
      <c r="J259" s="4" t="s">
        <v>1175</v>
      </c>
      <c r="K259" s="6" t="s">
        <v>1144</v>
      </c>
      <c r="L259" s="4">
        <v>24</v>
      </c>
      <c r="M259" s="410">
        <v>273</v>
      </c>
      <c r="N259" s="374">
        <v>-0.06</v>
      </c>
      <c r="O259" s="410">
        <v>291</v>
      </c>
      <c r="P259" s="410">
        <v>345</v>
      </c>
      <c r="Q259" s="410">
        <v>8280</v>
      </c>
      <c r="R259" s="26">
        <v>43852</v>
      </c>
      <c r="S259" s="4" t="s">
        <v>2050</v>
      </c>
      <c r="T259" s="410">
        <v>76572</v>
      </c>
      <c r="U259" t="s">
        <v>2755</v>
      </c>
      <c r="V259" s="411">
        <v>197</v>
      </c>
      <c r="W259" s="411">
        <v>94</v>
      </c>
      <c r="X259" s="375">
        <v>0.32</v>
      </c>
    </row>
    <row r="260" spans="1:24" x14ac:dyDescent="0.25">
      <c r="A260" s="4">
        <v>114</v>
      </c>
      <c r="B260" s="4" t="s">
        <v>256</v>
      </c>
      <c r="C260" s="6" t="s">
        <v>2590</v>
      </c>
      <c r="D260" s="6" t="s">
        <v>2792</v>
      </c>
      <c r="E260" s="21">
        <v>43852</v>
      </c>
      <c r="F260" s="4" t="s">
        <v>925</v>
      </c>
      <c r="H260" s="4">
        <v>1038758</v>
      </c>
      <c r="I260" s="4">
        <v>4352</v>
      </c>
      <c r="J260" s="4" t="s">
        <v>1175</v>
      </c>
      <c r="K260" s="6" t="s">
        <v>1144</v>
      </c>
      <c r="L260" s="4">
        <v>24</v>
      </c>
      <c r="M260" s="410">
        <v>273</v>
      </c>
      <c r="N260" s="374">
        <v>-0.06</v>
      </c>
      <c r="O260" s="410">
        <v>291</v>
      </c>
      <c r="P260" s="410">
        <v>345</v>
      </c>
      <c r="Q260" s="410">
        <v>8280</v>
      </c>
      <c r="R260" s="26">
        <v>43852</v>
      </c>
      <c r="S260" s="4" t="s">
        <v>2050</v>
      </c>
      <c r="T260" s="410">
        <v>76572</v>
      </c>
      <c r="U260" t="s">
        <v>2755</v>
      </c>
      <c r="V260" s="411">
        <v>197</v>
      </c>
      <c r="W260" s="411">
        <v>94</v>
      </c>
      <c r="X260" s="375">
        <v>0.32</v>
      </c>
    </row>
    <row r="261" spans="1:24" x14ac:dyDescent="0.25">
      <c r="A261" s="4">
        <v>114</v>
      </c>
      <c r="B261" s="4" t="s">
        <v>257</v>
      </c>
      <c r="C261" s="6" t="s">
        <v>2589</v>
      </c>
      <c r="D261" s="6" t="s">
        <v>2792</v>
      </c>
      <c r="E261" s="21">
        <v>43852</v>
      </c>
      <c r="F261" s="4" t="s">
        <v>925</v>
      </c>
      <c r="H261" s="4">
        <v>1038758</v>
      </c>
      <c r="I261" s="4">
        <v>4352</v>
      </c>
      <c r="J261" s="4" t="s">
        <v>1175</v>
      </c>
      <c r="K261" s="6" t="s">
        <v>1144</v>
      </c>
      <c r="L261" s="4">
        <v>24</v>
      </c>
      <c r="M261" s="410">
        <v>314</v>
      </c>
      <c r="N261" s="374">
        <v>-0.06</v>
      </c>
      <c r="O261" s="410">
        <v>333</v>
      </c>
      <c r="P261" s="410">
        <v>396</v>
      </c>
      <c r="Q261" s="410">
        <v>9504</v>
      </c>
      <c r="R261" s="26">
        <v>43852</v>
      </c>
      <c r="S261" s="4" t="s">
        <v>2050</v>
      </c>
      <c r="T261" s="410">
        <v>76572</v>
      </c>
      <c r="U261" t="s">
        <v>2755</v>
      </c>
      <c r="V261" s="411">
        <v>227</v>
      </c>
      <c r="W261" s="411">
        <v>106</v>
      </c>
      <c r="X261" s="375">
        <v>0.32</v>
      </c>
    </row>
    <row r="262" spans="1:24" x14ac:dyDescent="0.25">
      <c r="A262" s="4">
        <v>114</v>
      </c>
      <c r="B262" s="4" t="s">
        <v>30</v>
      </c>
      <c r="C262" s="6" t="s">
        <v>5241</v>
      </c>
      <c r="D262" s="6" t="s">
        <v>33</v>
      </c>
      <c r="E262" s="21">
        <v>43852</v>
      </c>
      <c r="F262" s="4" t="s">
        <v>925</v>
      </c>
      <c r="H262" s="4">
        <v>1038758</v>
      </c>
      <c r="I262" s="4">
        <v>4352</v>
      </c>
      <c r="J262" s="4" t="s">
        <v>1175</v>
      </c>
      <c r="K262" s="6" t="s">
        <v>1144</v>
      </c>
      <c r="L262" s="4">
        <v>60</v>
      </c>
      <c r="M262" s="410">
        <v>741</v>
      </c>
      <c r="N262" s="374">
        <v>0.05</v>
      </c>
      <c r="O262" s="410">
        <v>709</v>
      </c>
      <c r="P262" s="410">
        <v>842</v>
      </c>
      <c r="Q262" s="410">
        <v>50520</v>
      </c>
      <c r="R262" s="26">
        <v>43852</v>
      </c>
      <c r="S262" s="4" t="s">
        <v>2050</v>
      </c>
      <c r="T262" s="410">
        <v>76572</v>
      </c>
      <c r="U262" t="s">
        <v>1563</v>
      </c>
      <c r="V262" s="411">
        <v>535</v>
      </c>
      <c r="W262" s="411">
        <v>174</v>
      </c>
      <c r="X262" s="375">
        <v>0.25</v>
      </c>
    </row>
    <row r="263" spans="1:24" x14ac:dyDescent="0.25">
      <c r="A263" s="4">
        <v>124</v>
      </c>
      <c r="B263" s="4" t="s">
        <v>847</v>
      </c>
      <c r="C263" s="6" t="s">
        <v>2201</v>
      </c>
      <c r="D263" s="6" t="s">
        <v>2198</v>
      </c>
      <c r="E263" s="21">
        <v>43853</v>
      </c>
      <c r="F263" s="4" t="s">
        <v>1461</v>
      </c>
      <c r="H263" s="4">
        <v>6441</v>
      </c>
      <c r="I263" s="4">
        <v>4362</v>
      </c>
      <c r="J263" s="4" t="s">
        <v>1234</v>
      </c>
      <c r="K263" s="6" t="s">
        <v>970</v>
      </c>
      <c r="L263" s="4">
        <v>1</v>
      </c>
      <c r="M263" s="410">
        <v>8571</v>
      </c>
      <c r="N263" s="441" t="s">
        <v>2886</v>
      </c>
      <c r="O263" s="410">
        <v>8571</v>
      </c>
      <c r="P263" s="410">
        <v>10200</v>
      </c>
      <c r="Q263" s="410">
        <v>10200</v>
      </c>
      <c r="R263" s="26">
        <v>43853</v>
      </c>
      <c r="S263" s="4" t="s">
        <v>1501</v>
      </c>
      <c r="T263" s="410">
        <v>10200</v>
      </c>
      <c r="U263" t="s">
        <v>1572</v>
      </c>
      <c r="V263" s="411">
        <v>5992</v>
      </c>
      <c r="W263" s="411">
        <v>2579</v>
      </c>
      <c r="X263" s="375">
        <v>0.3</v>
      </c>
    </row>
    <row r="264" spans="1:24" x14ac:dyDescent="0.25">
      <c r="A264" s="4">
        <v>123</v>
      </c>
      <c r="B264" s="4" t="s">
        <v>847</v>
      </c>
      <c r="C264" s="6" t="s">
        <v>2201</v>
      </c>
      <c r="D264" s="6" t="s">
        <v>2198</v>
      </c>
      <c r="E264" s="21">
        <v>43853</v>
      </c>
      <c r="F264" s="4" t="s">
        <v>1461</v>
      </c>
      <c r="H264" s="4">
        <v>6440</v>
      </c>
      <c r="I264" s="4">
        <v>4361</v>
      </c>
      <c r="J264" s="4" t="s">
        <v>1244</v>
      </c>
      <c r="K264" s="6" t="s">
        <v>971</v>
      </c>
      <c r="L264" s="4">
        <v>1</v>
      </c>
      <c r="M264" s="439">
        <v>8571</v>
      </c>
      <c r="N264" s="4" t="s">
        <v>2886</v>
      </c>
      <c r="O264" s="439">
        <v>8571</v>
      </c>
      <c r="P264" s="439">
        <v>10200</v>
      </c>
      <c r="Q264" s="439">
        <v>10200</v>
      </c>
      <c r="R264" s="26">
        <v>43853</v>
      </c>
      <c r="S264" s="4" t="s">
        <v>1501</v>
      </c>
      <c r="T264" s="439">
        <v>19200</v>
      </c>
      <c r="U264" t="s">
        <v>1572</v>
      </c>
      <c r="V264" s="440">
        <v>5992</v>
      </c>
      <c r="W264" s="440">
        <v>2579</v>
      </c>
      <c r="X264" s="375">
        <v>0.3</v>
      </c>
    </row>
    <row r="265" spans="1:24" x14ac:dyDescent="0.25">
      <c r="A265" s="4">
        <v>123</v>
      </c>
      <c r="B265" s="4" t="s">
        <v>4943</v>
      </c>
      <c r="C265" s="6" t="s">
        <v>4944</v>
      </c>
      <c r="D265" s="6" t="s">
        <v>4940</v>
      </c>
      <c r="E265" s="21">
        <v>43853</v>
      </c>
      <c r="F265" s="4" t="s">
        <v>1461</v>
      </c>
      <c r="H265" s="4">
        <v>6440</v>
      </c>
      <c r="I265" s="4">
        <v>4361</v>
      </c>
      <c r="J265" s="4" t="s">
        <v>1244</v>
      </c>
      <c r="K265" s="6" t="s">
        <v>971</v>
      </c>
      <c r="L265" s="4">
        <v>1</v>
      </c>
      <c r="M265" s="439">
        <v>7563</v>
      </c>
      <c r="N265" s="4" t="s">
        <v>2886</v>
      </c>
      <c r="O265" s="439">
        <v>7563</v>
      </c>
      <c r="P265" s="439">
        <v>9000</v>
      </c>
      <c r="Q265" s="439">
        <v>9000</v>
      </c>
      <c r="R265" s="26">
        <v>43853</v>
      </c>
      <c r="S265" s="4" t="s">
        <v>1501</v>
      </c>
      <c r="T265" s="439">
        <v>19200</v>
      </c>
      <c r="U265" t="s">
        <v>4934</v>
      </c>
      <c r="V265" s="440">
        <v>5300</v>
      </c>
      <c r="W265" s="440">
        <v>2263</v>
      </c>
      <c r="X265" s="375">
        <v>0.3</v>
      </c>
    </row>
    <row r="266" spans="1:24" x14ac:dyDescent="0.25">
      <c r="A266" s="4">
        <v>117</v>
      </c>
      <c r="B266" s="4" t="s">
        <v>5175</v>
      </c>
      <c r="C266" s="6" t="s">
        <v>5176</v>
      </c>
      <c r="D266" s="6" t="s">
        <v>5177</v>
      </c>
      <c r="E266" s="21">
        <v>43853</v>
      </c>
      <c r="F266" s="4" t="s">
        <v>925</v>
      </c>
      <c r="H266" s="4" t="s">
        <v>2528</v>
      </c>
      <c r="I266" s="4">
        <v>4355</v>
      </c>
      <c r="J266" s="4" t="s">
        <v>5185</v>
      </c>
      <c r="K266" s="6" t="s">
        <v>5186</v>
      </c>
      <c r="L266" s="4">
        <v>42</v>
      </c>
      <c r="M266" s="410">
        <v>1312</v>
      </c>
      <c r="N266" s="374">
        <v>0.05</v>
      </c>
      <c r="O266" s="410">
        <v>1255</v>
      </c>
      <c r="P266" s="410">
        <v>1490</v>
      </c>
      <c r="Q266" s="410">
        <v>62580</v>
      </c>
      <c r="R266" s="26">
        <v>43853</v>
      </c>
      <c r="S266" s="4" t="s">
        <v>1501</v>
      </c>
      <c r="T266" s="410">
        <v>62580</v>
      </c>
      <c r="U266" t="s">
        <v>4934</v>
      </c>
      <c r="V266" s="411">
        <v>900</v>
      </c>
      <c r="W266" s="411">
        <v>355</v>
      </c>
      <c r="X266" s="375">
        <v>0.28000000000000003</v>
      </c>
    </row>
    <row r="267" spans="1:24" x14ac:dyDescent="0.25">
      <c r="A267" s="4">
        <v>126</v>
      </c>
      <c r="B267" s="4" t="s">
        <v>4837</v>
      </c>
      <c r="C267" s="6" t="s">
        <v>4838</v>
      </c>
      <c r="D267" s="6" t="s">
        <v>802</v>
      </c>
      <c r="E267" s="21">
        <v>43853</v>
      </c>
      <c r="F267" s="4" t="s">
        <v>1461</v>
      </c>
      <c r="H267" s="4">
        <v>6443</v>
      </c>
      <c r="I267" s="4">
        <v>4364</v>
      </c>
      <c r="J267" s="4" t="s">
        <v>2011</v>
      </c>
      <c r="K267" s="6" t="s">
        <v>2162</v>
      </c>
      <c r="L267" s="4">
        <v>1</v>
      </c>
      <c r="M267" s="410">
        <v>17815</v>
      </c>
      <c r="N267" s="4" t="s">
        <v>2886</v>
      </c>
      <c r="O267" s="410">
        <v>17815</v>
      </c>
      <c r="P267" s="410">
        <v>21200</v>
      </c>
      <c r="Q267" s="410">
        <v>21200</v>
      </c>
      <c r="R267" s="26">
        <v>43853</v>
      </c>
      <c r="S267" s="4" t="s">
        <v>1501</v>
      </c>
      <c r="T267" s="410">
        <v>28800</v>
      </c>
      <c r="U267" t="s">
        <v>1551</v>
      </c>
      <c r="V267" s="411">
        <v>13279</v>
      </c>
      <c r="W267" s="411">
        <v>4536</v>
      </c>
      <c r="X267" s="375">
        <v>0.25</v>
      </c>
    </row>
    <row r="268" spans="1:24" x14ac:dyDescent="0.25">
      <c r="A268" s="4">
        <v>126</v>
      </c>
      <c r="B268" s="4" t="s">
        <v>1647</v>
      </c>
      <c r="C268" s="6" t="s">
        <v>1670</v>
      </c>
      <c r="D268" s="6" t="s">
        <v>1504</v>
      </c>
      <c r="E268" s="21">
        <v>43853</v>
      </c>
      <c r="F268" s="4" t="s">
        <v>1461</v>
      </c>
      <c r="H268" s="4">
        <v>6443</v>
      </c>
      <c r="I268" s="4">
        <v>4364</v>
      </c>
      <c r="J268" s="4" t="s">
        <v>2011</v>
      </c>
      <c r="K268" s="6" t="s">
        <v>2162</v>
      </c>
      <c r="L268" s="4">
        <v>2</v>
      </c>
      <c r="M268" s="439">
        <v>3193</v>
      </c>
      <c r="N268" s="4" t="s">
        <v>2886</v>
      </c>
      <c r="O268" s="439">
        <v>3193</v>
      </c>
      <c r="P268" s="439">
        <v>3800</v>
      </c>
      <c r="Q268" s="439">
        <v>7600</v>
      </c>
      <c r="R268" s="26">
        <v>43853</v>
      </c>
      <c r="S268" s="4" t="s">
        <v>1501</v>
      </c>
      <c r="T268" s="439">
        <v>28800</v>
      </c>
      <c r="U268" t="s">
        <v>1545</v>
      </c>
      <c r="V268" s="440">
        <v>2085</v>
      </c>
      <c r="W268" s="440">
        <v>1108</v>
      </c>
      <c r="X268" s="375">
        <v>0.35</v>
      </c>
    </row>
    <row r="269" spans="1:24" x14ac:dyDescent="0.25">
      <c r="A269" s="4">
        <v>122</v>
      </c>
      <c r="B269" s="4" t="s">
        <v>855</v>
      </c>
      <c r="C269" s="6" t="s">
        <v>2499</v>
      </c>
      <c r="D269" s="6" t="s">
        <v>857</v>
      </c>
      <c r="E269" s="21">
        <v>43853</v>
      </c>
      <c r="F269" s="4" t="s">
        <v>1461</v>
      </c>
      <c r="H269" s="4">
        <v>6439</v>
      </c>
      <c r="I269" s="4">
        <v>4360</v>
      </c>
      <c r="J269" s="4" t="s">
        <v>2656</v>
      </c>
      <c r="K269" s="6" t="s">
        <v>3362</v>
      </c>
      <c r="L269" s="4">
        <v>1</v>
      </c>
      <c r="M269" s="439">
        <v>13277</v>
      </c>
      <c r="N269" s="4" t="s">
        <v>2886</v>
      </c>
      <c r="O269" s="439">
        <v>13277</v>
      </c>
      <c r="P269" s="439">
        <v>15800</v>
      </c>
      <c r="Q269" s="439">
        <v>15800</v>
      </c>
      <c r="R269" s="26">
        <v>43853</v>
      </c>
      <c r="S269" s="4" t="s">
        <v>1501</v>
      </c>
      <c r="T269" s="439">
        <v>21300</v>
      </c>
      <c r="U269" t="s">
        <v>1551</v>
      </c>
      <c r="V269" s="440">
        <v>9975</v>
      </c>
      <c r="W269" s="440">
        <v>3302</v>
      </c>
      <c r="X269" s="375">
        <v>0.25</v>
      </c>
    </row>
    <row r="270" spans="1:24" x14ac:dyDescent="0.25">
      <c r="A270" s="4">
        <v>122</v>
      </c>
      <c r="B270" s="4" t="s">
        <v>4352</v>
      </c>
      <c r="C270" s="6" t="s">
        <v>4453</v>
      </c>
      <c r="D270" s="6" t="s">
        <v>4454</v>
      </c>
      <c r="E270" s="21">
        <v>43853</v>
      </c>
      <c r="F270" s="4" t="s">
        <v>1461</v>
      </c>
      <c r="H270" s="4">
        <v>6439</v>
      </c>
      <c r="I270" s="4">
        <v>4360</v>
      </c>
      <c r="J270" s="4" t="s">
        <v>2656</v>
      </c>
      <c r="K270" s="6" t="s">
        <v>3362</v>
      </c>
      <c r="L270" s="4">
        <v>1</v>
      </c>
      <c r="M270" s="410">
        <v>4622</v>
      </c>
      <c r="N270" s="4" t="s">
        <v>2886</v>
      </c>
      <c r="O270" s="410">
        <v>4622</v>
      </c>
      <c r="P270" s="410">
        <v>5500</v>
      </c>
      <c r="Q270" s="410">
        <v>5500</v>
      </c>
      <c r="R270" s="26">
        <v>43853</v>
      </c>
      <c r="S270" s="4" t="s">
        <v>1501</v>
      </c>
      <c r="T270" s="410">
        <v>21300</v>
      </c>
      <c r="U270" t="s">
        <v>1551</v>
      </c>
      <c r="V270" s="411">
        <v>2695</v>
      </c>
      <c r="W270" s="411">
        <v>1927</v>
      </c>
      <c r="X270" s="375">
        <v>0.42</v>
      </c>
    </row>
    <row r="271" spans="1:24" x14ac:dyDescent="0.25">
      <c r="A271" s="4">
        <v>119</v>
      </c>
      <c r="B271" s="4" t="s">
        <v>799</v>
      </c>
      <c r="C271" s="6" t="s">
        <v>1926</v>
      </c>
      <c r="D271" s="6" t="s">
        <v>802</v>
      </c>
      <c r="E271" s="21">
        <v>43853</v>
      </c>
      <c r="F271" s="4" t="s">
        <v>1461</v>
      </c>
      <c r="H271" s="4">
        <v>6436</v>
      </c>
      <c r="I271" s="4">
        <v>4357</v>
      </c>
      <c r="J271" s="4" t="s">
        <v>5535</v>
      </c>
      <c r="K271" s="6" t="s">
        <v>5536</v>
      </c>
      <c r="L271" s="4">
        <v>4</v>
      </c>
      <c r="M271" s="410">
        <v>17815</v>
      </c>
      <c r="N271" s="4" t="s">
        <v>2886</v>
      </c>
      <c r="O271" s="410">
        <v>17815</v>
      </c>
      <c r="P271" s="410">
        <v>21200</v>
      </c>
      <c r="Q271" s="410">
        <v>84800</v>
      </c>
      <c r="R271" s="26">
        <v>43853</v>
      </c>
      <c r="S271" s="4" t="s">
        <v>1501</v>
      </c>
      <c r="T271" s="410">
        <v>84800</v>
      </c>
      <c r="U271" t="s">
        <v>1551</v>
      </c>
      <c r="V271" s="411">
        <v>13279</v>
      </c>
      <c r="W271" s="411">
        <v>4536</v>
      </c>
      <c r="X271" s="375">
        <v>0.25</v>
      </c>
    </row>
    <row r="272" spans="1:24" x14ac:dyDescent="0.25">
      <c r="A272" s="4">
        <v>125</v>
      </c>
      <c r="B272" s="4" t="s">
        <v>830</v>
      </c>
      <c r="C272" s="6" t="s">
        <v>2495</v>
      </c>
      <c r="D272" s="6" t="s">
        <v>837</v>
      </c>
      <c r="E272" s="21">
        <v>43853</v>
      </c>
      <c r="F272" s="4" t="s">
        <v>1461</v>
      </c>
      <c r="H272" s="4">
        <v>6442</v>
      </c>
      <c r="I272" s="4">
        <v>4363</v>
      </c>
      <c r="J272" s="4" t="s">
        <v>1250</v>
      </c>
      <c r="K272" s="6" t="s">
        <v>3398</v>
      </c>
      <c r="L272" s="4">
        <v>1</v>
      </c>
      <c r="M272" s="410">
        <v>13866</v>
      </c>
      <c r="N272" s="4" t="s">
        <v>2886</v>
      </c>
      <c r="O272" s="410">
        <v>13866</v>
      </c>
      <c r="P272" s="410">
        <v>16500</v>
      </c>
      <c r="Q272" s="410">
        <v>16500</v>
      </c>
      <c r="R272" s="26">
        <v>43853</v>
      </c>
      <c r="S272" s="4" t="s">
        <v>1501</v>
      </c>
      <c r="T272" s="410">
        <v>27300</v>
      </c>
      <c r="U272" t="s">
        <v>1572</v>
      </c>
      <c r="V272" s="411">
        <v>10390</v>
      </c>
      <c r="W272" s="411">
        <v>3476</v>
      </c>
      <c r="X272" s="375">
        <v>0.25</v>
      </c>
    </row>
    <row r="273" spans="1:24" x14ac:dyDescent="0.25">
      <c r="A273" s="4">
        <v>125</v>
      </c>
      <c r="B273" s="4" t="s">
        <v>5369</v>
      </c>
      <c r="C273" s="6" t="s">
        <v>5370</v>
      </c>
      <c r="D273" s="6" t="s">
        <v>4457</v>
      </c>
      <c r="E273" s="21">
        <v>43853</v>
      </c>
      <c r="F273" s="4" t="s">
        <v>1461</v>
      </c>
      <c r="H273" s="4">
        <v>6442</v>
      </c>
      <c r="I273" s="4">
        <v>4363</v>
      </c>
      <c r="J273" s="4" t="s">
        <v>1250</v>
      </c>
      <c r="K273" s="6" t="s">
        <v>3398</v>
      </c>
      <c r="L273" s="4">
        <v>12</v>
      </c>
      <c r="M273" s="410">
        <v>756</v>
      </c>
      <c r="N273" s="4" t="s">
        <v>2886</v>
      </c>
      <c r="O273" s="410">
        <v>756</v>
      </c>
      <c r="P273" s="410">
        <v>900</v>
      </c>
      <c r="Q273" s="410">
        <v>10800</v>
      </c>
      <c r="R273" s="26">
        <v>43853</v>
      </c>
      <c r="S273" s="4" t="s">
        <v>1501</v>
      </c>
      <c r="T273" s="410">
        <v>27300</v>
      </c>
      <c r="U273" t="s">
        <v>1563</v>
      </c>
      <c r="V273" s="411">
        <v>535</v>
      </c>
      <c r="W273" s="411">
        <v>221</v>
      </c>
      <c r="X273" s="375">
        <v>0.28999999999999998</v>
      </c>
    </row>
    <row r="274" spans="1:24" x14ac:dyDescent="0.25">
      <c r="A274" s="4">
        <v>121</v>
      </c>
      <c r="B274" s="4" t="s">
        <v>3968</v>
      </c>
      <c r="C274" s="6" t="s">
        <v>4018</v>
      </c>
      <c r="D274" s="6" t="s">
        <v>4019</v>
      </c>
      <c r="E274" s="21">
        <v>43853</v>
      </c>
      <c r="F274" s="4" t="s">
        <v>1461</v>
      </c>
      <c r="H274" s="4">
        <v>6438</v>
      </c>
      <c r="I274" s="4">
        <v>4359</v>
      </c>
      <c r="J274" s="4" t="s">
        <v>4804</v>
      </c>
      <c r="K274" s="6" t="s">
        <v>4805</v>
      </c>
      <c r="L274" s="4">
        <v>1</v>
      </c>
      <c r="M274" s="410">
        <v>19076</v>
      </c>
      <c r="N274" s="4" t="s">
        <v>2886</v>
      </c>
      <c r="O274" s="410">
        <v>19076</v>
      </c>
      <c r="P274" s="410">
        <v>22700</v>
      </c>
      <c r="Q274" s="410">
        <v>22700</v>
      </c>
      <c r="R274" s="26">
        <v>43853</v>
      </c>
      <c r="S274" s="4" t="s">
        <v>1501</v>
      </c>
      <c r="T274" s="410">
        <v>22700</v>
      </c>
      <c r="U274" t="s">
        <v>1551</v>
      </c>
      <c r="V274" s="411">
        <v>14122</v>
      </c>
      <c r="W274" s="411">
        <v>4954</v>
      </c>
      <c r="X274" s="375">
        <v>0.26</v>
      </c>
    </row>
    <row r="275" spans="1:24" x14ac:dyDescent="0.25">
      <c r="A275" s="4">
        <v>120</v>
      </c>
      <c r="B275" s="4" t="s">
        <v>855</v>
      </c>
      <c r="C275" s="6" t="s">
        <v>2499</v>
      </c>
      <c r="D275" s="6" t="s">
        <v>857</v>
      </c>
      <c r="E275" s="21">
        <v>43853</v>
      </c>
      <c r="F275" s="4" t="s">
        <v>1461</v>
      </c>
      <c r="H275" s="4">
        <v>6437</v>
      </c>
      <c r="I275" s="4">
        <v>4358</v>
      </c>
      <c r="J275" s="4" t="s">
        <v>5288</v>
      </c>
      <c r="K275" s="6" t="s">
        <v>5289</v>
      </c>
      <c r="L275" s="4">
        <v>1</v>
      </c>
      <c r="M275" s="410">
        <v>13277</v>
      </c>
      <c r="N275" s="4" t="s">
        <v>2886</v>
      </c>
      <c r="O275" s="410">
        <v>13277</v>
      </c>
      <c r="P275" s="410">
        <v>15800</v>
      </c>
      <c r="Q275" s="522">
        <v>15800</v>
      </c>
      <c r="R275" s="26">
        <v>43853</v>
      </c>
      <c r="S275" s="4" t="s">
        <v>1501</v>
      </c>
      <c r="T275" s="410">
        <v>60400</v>
      </c>
      <c r="U275" t="s">
        <v>1551</v>
      </c>
      <c r="V275" s="411">
        <v>9975</v>
      </c>
      <c r="W275" s="411">
        <v>3302</v>
      </c>
      <c r="X275" s="375">
        <v>0.25</v>
      </c>
    </row>
    <row r="276" spans="1:24" x14ac:dyDescent="0.25">
      <c r="A276" s="4">
        <v>120</v>
      </c>
      <c r="B276" s="4" t="s">
        <v>2614</v>
      </c>
      <c r="C276" s="6" t="s">
        <v>2644</v>
      </c>
      <c r="D276" s="6" t="s">
        <v>1469</v>
      </c>
      <c r="E276" s="21">
        <v>43853</v>
      </c>
      <c r="F276" s="4" t="s">
        <v>1461</v>
      </c>
      <c r="H276" s="4">
        <v>6437</v>
      </c>
      <c r="I276" s="4">
        <v>4358</v>
      </c>
      <c r="J276" s="4" t="s">
        <v>5288</v>
      </c>
      <c r="K276" s="6" t="s">
        <v>5289</v>
      </c>
      <c r="L276" s="4">
        <v>2</v>
      </c>
      <c r="M276" s="410">
        <v>18739</v>
      </c>
      <c r="N276" s="4" t="s">
        <v>2886</v>
      </c>
      <c r="O276" s="410">
        <v>18739</v>
      </c>
      <c r="P276" s="410">
        <v>22300</v>
      </c>
      <c r="Q276" s="410">
        <v>44600</v>
      </c>
      <c r="R276" s="26">
        <v>43853</v>
      </c>
      <c r="S276" s="4" t="s">
        <v>1501</v>
      </c>
      <c r="T276" s="410">
        <v>60400</v>
      </c>
      <c r="U276" t="s">
        <v>1570</v>
      </c>
      <c r="V276" s="411">
        <v>14040</v>
      </c>
      <c r="W276" s="411">
        <v>4699</v>
      </c>
      <c r="X276" s="375">
        <v>0.25</v>
      </c>
    </row>
    <row r="277" spans="1:24" x14ac:dyDescent="0.25">
      <c r="A277" s="4">
        <v>118</v>
      </c>
      <c r="B277" s="4" t="s">
        <v>838</v>
      </c>
      <c r="C277" s="6" t="s">
        <v>2062</v>
      </c>
      <c r="D277" s="6" t="s">
        <v>840</v>
      </c>
      <c r="E277" s="21">
        <v>43853</v>
      </c>
      <c r="F277" s="4" t="s">
        <v>1461</v>
      </c>
      <c r="H277" s="4">
        <v>6435</v>
      </c>
      <c r="I277" s="4">
        <v>4356</v>
      </c>
      <c r="J277" s="4" t="s">
        <v>5538</v>
      </c>
      <c r="K277" s="6" t="s">
        <v>5539</v>
      </c>
      <c r="L277" s="4">
        <v>1</v>
      </c>
      <c r="M277" s="410">
        <v>16555</v>
      </c>
      <c r="N277" s="4" t="s">
        <v>2886</v>
      </c>
      <c r="O277" s="410">
        <v>16555</v>
      </c>
      <c r="P277" s="410">
        <v>19700</v>
      </c>
      <c r="Q277" s="410">
        <v>19700</v>
      </c>
      <c r="R277" s="26">
        <v>43853</v>
      </c>
      <c r="S277" s="4" t="s">
        <v>1501</v>
      </c>
      <c r="T277" s="410">
        <v>19700</v>
      </c>
      <c r="U277" t="s">
        <v>1572</v>
      </c>
      <c r="V277" s="411">
        <v>12429</v>
      </c>
      <c r="W277" s="411">
        <v>4126</v>
      </c>
      <c r="X277" s="375">
        <v>0.25</v>
      </c>
    </row>
    <row r="278" spans="1:24" x14ac:dyDescent="0.25">
      <c r="A278" s="4">
        <v>127</v>
      </c>
      <c r="B278" s="4" t="s">
        <v>5308</v>
      </c>
      <c r="C278" s="6" t="s">
        <v>5309</v>
      </c>
      <c r="D278" s="6" t="s">
        <v>4636</v>
      </c>
      <c r="E278" s="21">
        <v>43854</v>
      </c>
      <c r="F278" s="4" t="s">
        <v>925</v>
      </c>
      <c r="H278" s="4" t="s">
        <v>2528</v>
      </c>
      <c r="I278" s="4">
        <v>4365</v>
      </c>
      <c r="J278" s="4" t="s">
        <v>1189</v>
      </c>
      <c r="K278" s="6" t="s">
        <v>940</v>
      </c>
      <c r="L278" s="4">
        <v>12</v>
      </c>
      <c r="M278" s="410">
        <v>1031</v>
      </c>
      <c r="N278" s="374">
        <v>0.1</v>
      </c>
      <c r="O278" s="410">
        <v>939</v>
      </c>
      <c r="P278" s="410">
        <v>1107</v>
      </c>
      <c r="Q278" s="410">
        <v>13284</v>
      </c>
      <c r="R278" s="26">
        <v>43854</v>
      </c>
      <c r="S278" s="4" t="s">
        <v>1445</v>
      </c>
      <c r="T278" s="410">
        <v>71579</v>
      </c>
      <c r="U278" t="s">
        <v>4767</v>
      </c>
      <c r="V278" s="411">
        <v>745</v>
      </c>
      <c r="W278" s="411">
        <v>195</v>
      </c>
      <c r="X278" s="375">
        <v>0.21</v>
      </c>
    </row>
    <row r="279" spans="1:24" x14ac:dyDescent="0.25">
      <c r="A279" s="4">
        <v>127</v>
      </c>
      <c r="B279" s="4" t="s">
        <v>845</v>
      </c>
      <c r="C279" s="6" t="s">
        <v>2199</v>
      </c>
      <c r="D279" s="6" t="s">
        <v>2198</v>
      </c>
      <c r="E279" s="21">
        <v>43854</v>
      </c>
      <c r="F279" s="4" t="s">
        <v>925</v>
      </c>
      <c r="H279" s="4" t="s">
        <v>2528</v>
      </c>
      <c r="I279" s="4">
        <v>4365</v>
      </c>
      <c r="J279" s="4" t="s">
        <v>1189</v>
      </c>
      <c r="K279" s="6" t="s">
        <v>940</v>
      </c>
      <c r="L279" s="4">
        <v>1</v>
      </c>
      <c r="M279" s="410">
        <v>20572</v>
      </c>
      <c r="N279" s="374">
        <v>0.05</v>
      </c>
      <c r="O279" s="410">
        <v>19592</v>
      </c>
      <c r="P279" s="410">
        <v>23257</v>
      </c>
      <c r="Q279" s="410">
        <v>23257</v>
      </c>
      <c r="R279" s="26">
        <v>43854</v>
      </c>
      <c r="S279" s="4" t="s">
        <v>1445</v>
      </c>
      <c r="T279" s="410">
        <v>71579</v>
      </c>
      <c r="U279" t="s">
        <v>1572</v>
      </c>
      <c r="V279" s="411">
        <v>14853</v>
      </c>
      <c r="W279" s="411">
        <v>4739</v>
      </c>
      <c r="X279" s="375">
        <v>0.24</v>
      </c>
    </row>
    <row r="280" spans="1:24" x14ac:dyDescent="0.25">
      <c r="A280" s="4">
        <v>127</v>
      </c>
      <c r="B280" s="4" t="s">
        <v>855</v>
      </c>
      <c r="C280" s="6" t="s">
        <v>2499</v>
      </c>
      <c r="D280" s="6" t="s">
        <v>857</v>
      </c>
      <c r="E280" s="21">
        <v>43854</v>
      </c>
      <c r="F280" s="4" t="s">
        <v>925</v>
      </c>
      <c r="H280" s="4" t="s">
        <v>2528</v>
      </c>
      <c r="I280" s="4">
        <v>4365</v>
      </c>
      <c r="J280" s="4" t="s">
        <v>1189</v>
      </c>
      <c r="K280" s="6" t="s">
        <v>940</v>
      </c>
      <c r="L280" s="4">
        <v>1</v>
      </c>
      <c r="M280" s="410">
        <v>13816</v>
      </c>
      <c r="N280" s="374">
        <v>0.05</v>
      </c>
      <c r="O280" s="410">
        <v>13158</v>
      </c>
      <c r="P280" s="410">
        <v>15619</v>
      </c>
      <c r="Q280" s="410">
        <v>15619</v>
      </c>
      <c r="R280" s="26">
        <v>43854</v>
      </c>
      <c r="S280" s="4" t="s">
        <v>1445</v>
      </c>
      <c r="T280" s="410">
        <v>71579</v>
      </c>
      <c r="U280" t="s">
        <v>1551</v>
      </c>
      <c r="V280" s="411">
        <v>9975</v>
      </c>
      <c r="W280" s="411">
        <v>3183</v>
      </c>
      <c r="X280" s="375">
        <v>0.24</v>
      </c>
    </row>
    <row r="281" spans="1:24" x14ac:dyDescent="0.25">
      <c r="A281" s="4">
        <v>127</v>
      </c>
      <c r="B281" s="4" t="s">
        <v>2250</v>
      </c>
      <c r="C281" s="6" t="s">
        <v>2249</v>
      </c>
      <c r="D281" s="6" t="s">
        <v>1638</v>
      </c>
      <c r="E281" s="21">
        <v>43854</v>
      </c>
      <c r="F281" s="4" t="s">
        <v>925</v>
      </c>
      <c r="H281" s="4" t="s">
        <v>2528</v>
      </c>
      <c r="I281" s="4">
        <v>4365</v>
      </c>
      <c r="J281" s="4" t="s">
        <v>1189</v>
      </c>
      <c r="K281" s="6" t="s">
        <v>940</v>
      </c>
      <c r="L281" s="4">
        <v>3</v>
      </c>
      <c r="M281" s="410">
        <v>3062</v>
      </c>
      <c r="N281" s="374">
        <v>0.1</v>
      </c>
      <c r="O281" s="410">
        <v>2790</v>
      </c>
      <c r="P281" s="410">
        <v>3288</v>
      </c>
      <c r="Q281" s="410">
        <v>9864</v>
      </c>
      <c r="R281" s="26">
        <v>43854</v>
      </c>
      <c r="S281" s="4" t="s">
        <v>1445</v>
      </c>
      <c r="T281" s="410">
        <v>71579</v>
      </c>
      <c r="U281" t="s">
        <v>1545</v>
      </c>
      <c r="V281" s="411">
        <v>2100</v>
      </c>
      <c r="W281" s="411">
        <v>690</v>
      </c>
      <c r="X281" s="375">
        <v>0.25</v>
      </c>
    </row>
    <row r="282" spans="1:24" x14ac:dyDescent="0.25">
      <c r="A282" s="4">
        <v>127</v>
      </c>
      <c r="B282" s="4" t="s">
        <v>30</v>
      </c>
      <c r="C282" s="6" t="s">
        <v>5241</v>
      </c>
      <c r="D282" s="6" t="s">
        <v>33</v>
      </c>
      <c r="E282" s="21">
        <v>43854</v>
      </c>
      <c r="F282" s="4" t="s">
        <v>925</v>
      </c>
      <c r="H282" s="4" t="s">
        <v>2528</v>
      </c>
      <c r="I282" s="4">
        <v>4365</v>
      </c>
      <c r="J282" s="4" t="s">
        <v>1189</v>
      </c>
      <c r="K282" s="6" t="s">
        <v>940</v>
      </c>
      <c r="L282" s="4">
        <v>12</v>
      </c>
      <c r="M282" s="410">
        <v>741</v>
      </c>
      <c r="N282" s="374">
        <v>0.1</v>
      </c>
      <c r="O282" s="410">
        <v>675</v>
      </c>
      <c r="P282" s="410">
        <v>796</v>
      </c>
      <c r="Q282" s="410">
        <v>9552</v>
      </c>
      <c r="R282" s="26">
        <v>43854</v>
      </c>
      <c r="S282" s="4" t="s">
        <v>1445</v>
      </c>
      <c r="T282" s="410">
        <v>71579</v>
      </c>
      <c r="U282" t="s">
        <v>1563</v>
      </c>
      <c r="V282" s="411">
        <v>535</v>
      </c>
      <c r="W282" s="411">
        <v>140</v>
      </c>
      <c r="X282" s="375">
        <v>0.21</v>
      </c>
    </row>
    <row r="283" spans="1:24" x14ac:dyDescent="0.25">
      <c r="A283" s="4">
        <v>129</v>
      </c>
      <c r="B283" s="4" t="s">
        <v>830</v>
      </c>
      <c r="C283" s="6" t="s">
        <v>2495</v>
      </c>
      <c r="D283" s="6" t="s">
        <v>837</v>
      </c>
      <c r="E283" s="21">
        <v>43854</v>
      </c>
      <c r="F283" s="4" t="s">
        <v>925</v>
      </c>
      <c r="H283" s="4" t="s">
        <v>2528</v>
      </c>
      <c r="I283" s="4">
        <v>4367</v>
      </c>
      <c r="J283" s="4" t="s">
        <v>1189</v>
      </c>
      <c r="K283" s="6" t="s">
        <v>940</v>
      </c>
      <c r="L283" s="4">
        <v>1</v>
      </c>
      <c r="M283" s="410">
        <v>14391</v>
      </c>
      <c r="N283" s="374">
        <v>0.05</v>
      </c>
      <c r="O283" s="410">
        <v>13706</v>
      </c>
      <c r="P283" s="410">
        <v>16269</v>
      </c>
      <c r="Q283" s="410">
        <v>16269</v>
      </c>
      <c r="R283" s="26">
        <v>43854</v>
      </c>
      <c r="S283" s="4" t="s">
        <v>1445</v>
      </c>
      <c r="T283" s="410">
        <v>16269</v>
      </c>
      <c r="U283" t="s">
        <v>1572</v>
      </c>
      <c r="V283" s="411">
        <v>10390</v>
      </c>
      <c r="W283" s="411">
        <v>3316</v>
      </c>
      <c r="X283" s="375">
        <v>0.24</v>
      </c>
    </row>
    <row r="284" spans="1:24" x14ac:dyDescent="0.25">
      <c r="A284" s="4">
        <v>128</v>
      </c>
      <c r="B284" s="4" t="s">
        <v>1777</v>
      </c>
      <c r="C284" s="6" t="s">
        <v>5477</v>
      </c>
      <c r="D284" s="6" t="s">
        <v>89</v>
      </c>
      <c r="E284" s="21">
        <v>43854</v>
      </c>
      <c r="F284" s="4" t="s">
        <v>925</v>
      </c>
      <c r="H284" s="4" t="s">
        <v>2528</v>
      </c>
      <c r="I284" s="4">
        <v>4366</v>
      </c>
      <c r="J284" s="4" t="s">
        <v>1275</v>
      </c>
      <c r="K284" s="6" t="s">
        <v>2218</v>
      </c>
      <c r="L284" s="4">
        <v>1</v>
      </c>
      <c r="M284" s="410">
        <v>12185</v>
      </c>
      <c r="N284" s="441" t="s">
        <v>2886</v>
      </c>
      <c r="O284" s="410">
        <v>12185</v>
      </c>
      <c r="P284" s="410">
        <v>14500</v>
      </c>
      <c r="Q284" s="410">
        <v>14500</v>
      </c>
      <c r="R284" s="26">
        <v>43854</v>
      </c>
      <c r="S284" s="4" t="s">
        <v>1445</v>
      </c>
      <c r="T284" s="410">
        <v>14500</v>
      </c>
      <c r="U284" t="s">
        <v>88</v>
      </c>
      <c r="V284" s="411">
        <v>9360</v>
      </c>
      <c r="W284" s="411">
        <v>2825</v>
      </c>
      <c r="X284" s="375">
        <v>0.23</v>
      </c>
    </row>
    <row r="285" spans="1:24" x14ac:dyDescent="0.25">
      <c r="A285" s="4">
        <v>130</v>
      </c>
      <c r="B285" s="4" t="s">
        <v>4837</v>
      </c>
      <c r="C285" s="6" t="s">
        <v>4838</v>
      </c>
      <c r="D285" s="6" t="s">
        <v>802</v>
      </c>
      <c r="E285" s="21">
        <v>43855</v>
      </c>
      <c r="F285" s="4" t="s">
        <v>1461</v>
      </c>
      <c r="H285" s="4">
        <v>6448</v>
      </c>
      <c r="I285" s="4">
        <v>4368</v>
      </c>
      <c r="J285" s="4" t="s">
        <v>4486</v>
      </c>
      <c r="K285" s="6" t="s">
        <v>4346</v>
      </c>
      <c r="L285" s="4">
        <v>1</v>
      </c>
      <c r="M285" s="410">
        <v>17815</v>
      </c>
      <c r="N285" s="4" t="s">
        <v>2886</v>
      </c>
      <c r="O285" s="410">
        <v>17815</v>
      </c>
      <c r="P285" s="410">
        <v>21200</v>
      </c>
      <c r="Q285" s="410">
        <v>21200</v>
      </c>
      <c r="R285" s="26">
        <v>43855</v>
      </c>
      <c r="S285" s="4" t="s">
        <v>1501</v>
      </c>
      <c r="T285" s="410">
        <v>57500</v>
      </c>
      <c r="U285" t="s">
        <v>1551</v>
      </c>
      <c r="V285" s="411">
        <v>13279</v>
      </c>
      <c r="W285" s="411">
        <v>4536</v>
      </c>
      <c r="X285" s="375">
        <v>0.25</v>
      </c>
    </row>
    <row r="286" spans="1:24" x14ac:dyDescent="0.25">
      <c r="A286" s="4">
        <v>130</v>
      </c>
      <c r="B286" s="4" t="s">
        <v>3962</v>
      </c>
      <c r="C286" s="6" t="s">
        <v>3948</v>
      </c>
      <c r="D286" s="6" t="s">
        <v>3950</v>
      </c>
      <c r="E286" s="21">
        <v>43855</v>
      </c>
      <c r="F286" s="4" t="s">
        <v>1461</v>
      </c>
      <c r="H286" s="4">
        <v>6448</v>
      </c>
      <c r="I286" s="4">
        <v>4368</v>
      </c>
      <c r="J286" s="4" t="s">
        <v>4486</v>
      </c>
      <c r="K286" s="6" t="s">
        <v>4346</v>
      </c>
      <c r="L286" s="4">
        <v>2</v>
      </c>
      <c r="M286" s="410">
        <v>8571</v>
      </c>
      <c r="N286" s="4" t="s">
        <v>2886</v>
      </c>
      <c r="O286" s="410">
        <v>8571</v>
      </c>
      <c r="P286" s="410">
        <v>10200</v>
      </c>
      <c r="Q286" s="410">
        <v>20400</v>
      </c>
      <c r="R286" s="26">
        <v>43855</v>
      </c>
      <c r="S286" s="4" t="s">
        <v>1501</v>
      </c>
      <c r="T286" s="410">
        <v>57500</v>
      </c>
      <c r="U286" t="s">
        <v>3934</v>
      </c>
      <c r="V286" s="411">
        <v>6000</v>
      </c>
      <c r="W286" s="411">
        <v>2571</v>
      </c>
      <c r="X286" s="375">
        <v>0.3</v>
      </c>
    </row>
    <row r="287" spans="1:24" x14ac:dyDescent="0.25">
      <c r="A287" s="4">
        <v>130</v>
      </c>
      <c r="B287" s="4" t="s">
        <v>3906</v>
      </c>
      <c r="C287" s="6" t="s">
        <v>3813</v>
      </c>
      <c r="D287" s="6" t="s">
        <v>1646</v>
      </c>
      <c r="E287" s="21">
        <v>43855</v>
      </c>
      <c r="F287" s="4" t="s">
        <v>1461</v>
      </c>
      <c r="H287" s="4">
        <v>6448</v>
      </c>
      <c r="I287" s="4">
        <v>4368</v>
      </c>
      <c r="J287" s="4" t="s">
        <v>4486</v>
      </c>
      <c r="K287" s="6" t="s">
        <v>4346</v>
      </c>
      <c r="L287" s="4">
        <v>2</v>
      </c>
      <c r="M287" s="410">
        <v>3529</v>
      </c>
      <c r="N287" s="4" t="s">
        <v>2886</v>
      </c>
      <c r="O287" s="410">
        <v>3529</v>
      </c>
      <c r="P287" s="410">
        <v>4200</v>
      </c>
      <c r="Q287" s="410">
        <v>8400</v>
      </c>
      <c r="R287" s="26">
        <v>43855</v>
      </c>
      <c r="S287" s="4" t="s">
        <v>1501</v>
      </c>
      <c r="T287" s="410">
        <v>57500</v>
      </c>
      <c r="U287" t="s">
        <v>3934</v>
      </c>
      <c r="V287" s="411">
        <v>2408</v>
      </c>
      <c r="W287" s="411">
        <v>1121</v>
      </c>
      <c r="X287" s="375">
        <v>0.32</v>
      </c>
    </row>
    <row r="288" spans="1:24" x14ac:dyDescent="0.25">
      <c r="A288" s="4">
        <v>130</v>
      </c>
      <c r="B288" s="4" t="s">
        <v>1711</v>
      </c>
      <c r="C288" s="6" t="s">
        <v>2361</v>
      </c>
      <c r="D288" s="6" t="s">
        <v>1539</v>
      </c>
      <c r="E288" s="21">
        <v>43855</v>
      </c>
      <c r="F288" s="4" t="s">
        <v>1461</v>
      </c>
      <c r="H288" s="4">
        <v>6448</v>
      </c>
      <c r="I288" s="4">
        <v>4368</v>
      </c>
      <c r="J288" s="4" t="s">
        <v>4486</v>
      </c>
      <c r="K288" s="6" t="s">
        <v>4346</v>
      </c>
      <c r="L288" s="4">
        <v>1</v>
      </c>
      <c r="M288" s="410">
        <v>6303</v>
      </c>
      <c r="N288" s="4" t="s">
        <v>2886</v>
      </c>
      <c r="O288" s="410">
        <v>6303</v>
      </c>
      <c r="P288" s="410">
        <v>7500</v>
      </c>
      <c r="Q288" s="410">
        <v>7500</v>
      </c>
      <c r="R288" s="26">
        <v>43855</v>
      </c>
      <c r="S288" s="4" t="s">
        <v>1501</v>
      </c>
      <c r="T288" s="410">
        <v>57500</v>
      </c>
      <c r="U288" t="s">
        <v>1524</v>
      </c>
      <c r="V288" s="411">
        <v>5042</v>
      </c>
      <c r="W288" s="411">
        <v>1261</v>
      </c>
      <c r="X288" s="375">
        <v>0.2</v>
      </c>
    </row>
    <row r="289" spans="1:24" x14ac:dyDescent="0.25">
      <c r="A289" s="4">
        <v>131</v>
      </c>
      <c r="B289" s="4" t="s">
        <v>1783</v>
      </c>
      <c r="C289" s="6" t="s">
        <v>5380</v>
      </c>
      <c r="D289" s="6" t="s">
        <v>5448</v>
      </c>
      <c r="E289" s="21">
        <v>43855</v>
      </c>
      <c r="F289" s="4" t="s">
        <v>1461</v>
      </c>
      <c r="H289" s="4">
        <v>6448</v>
      </c>
      <c r="I289" s="4">
        <v>4369</v>
      </c>
      <c r="J289" s="4" t="s">
        <v>4486</v>
      </c>
      <c r="K289" s="6" t="s">
        <v>4346</v>
      </c>
      <c r="L289" s="4">
        <v>2</v>
      </c>
      <c r="M289" s="410">
        <v>3639</v>
      </c>
      <c r="N289" s="4" t="s">
        <v>2886</v>
      </c>
      <c r="O289" s="410">
        <v>3639</v>
      </c>
      <c r="P289" s="410">
        <v>4330</v>
      </c>
      <c r="Q289" s="410">
        <v>8660</v>
      </c>
      <c r="R289" s="26">
        <v>43855</v>
      </c>
      <c r="S289" s="4" t="s">
        <v>1501</v>
      </c>
      <c r="T289" s="410">
        <v>8660</v>
      </c>
      <c r="U289" t="s">
        <v>1626</v>
      </c>
      <c r="V289" s="411">
        <v>2547</v>
      </c>
      <c r="W289" s="411">
        <v>1092</v>
      </c>
      <c r="X289" s="375">
        <v>0.3</v>
      </c>
    </row>
    <row r="290" spans="1:24" x14ac:dyDescent="0.25">
      <c r="A290" s="4">
        <v>134</v>
      </c>
      <c r="B290" s="4" t="s">
        <v>838</v>
      </c>
      <c r="C290" s="6" t="s">
        <v>2062</v>
      </c>
      <c r="D290" s="6" t="s">
        <v>840</v>
      </c>
      <c r="E290" s="21">
        <v>43855</v>
      </c>
      <c r="F290" s="4" t="s">
        <v>1461</v>
      </c>
      <c r="H290" s="4">
        <v>6447</v>
      </c>
      <c r="I290" s="4">
        <v>4372</v>
      </c>
      <c r="J290" s="4" t="s">
        <v>3200</v>
      </c>
      <c r="K290" s="6" t="s">
        <v>3201</v>
      </c>
      <c r="L290" s="4">
        <v>1</v>
      </c>
      <c r="M290" s="410">
        <v>16555</v>
      </c>
      <c r="N290" s="4" t="s">
        <v>2886</v>
      </c>
      <c r="O290" s="410">
        <v>16555</v>
      </c>
      <c r="P290" s="410">
        <v>19700</v>
      </c>
      <c r="Q290" s="410">
        <v>19700</v>
      </c>
      <c r="R290" s="26">
        <v>43855</v>
      </c>
      <c r="S290" s="4" t="s">
        <v>1501</v>
      </c>
      <c r="T290" s="410">
        <v>19700</v>
      </c>
      <c r="U290" t="s">
        <v>1572</v>
      </c>
      <c r="V290" s="411">
        <v>12429</v>
      </c>
      <c r="W290" s="411">
        <v>4126</v>
      </c>
      <c r="X290" s="375">
        <v>0.25</v>
      </c>
    </row>
    <row r="291" spans="1:24" x14ac:dyDescent="0.25">
      <c r="A291" s="4">
        <v>132</v>
      </c>
      <c r="B291" s="4" t="s">
        <v>4620</v>
      </c>
      <c r="C291" s="6" t="s">
        <v>4621</v>
      </c>
      <c r="D291" s="6" t="s">
        <v>4622</v>
      </c>
      <c r="E291" s="21">
        <v>43855</v>
      </c>
      <c r="F291" s="4" t="s">
        <v>1461</v>
      </c>
      <c r="H291" s="4">
        <v>6451</v>
      </c>
      <c r="I291" s="4">
        <v>4370</v>
      </c>
      <c r="J291" s="4" t="s">
        <v>4580</v>
      </c>
      <c r="K291" s="6" t="s">
        <v>4581</v>
      </c>
      <c r="L291" s="4">
        <v>2</v>
      </c>
      <c r="M291" s="410">
        <v>29832</v>
      </c>
      <c r="N291" s="4" t="s">
        <v>2886</v>
      </c>
      <c r="O291" s="410">
        <v>29832</v>
      </c>
      <c r="P291" s="410">
        <v>35500</v>
      </c>
      <c r="Q291" s="410">
        <v>71000</v>
      </c>
      <c r="R291" s="26">
        <v>43857</v>
      </c>
      <c r="S291" s="4" t="s">
        <v>1501</v>
      </c>
      <c r="T291" s="410">
        <v>71000</v>
      </c>
      <c r="U291" t="s">
        <v>4602</v>
      </c>
      <c r="V291" s="411">
        <v>26207</v>
      </c>
      <c r="W291" s="411">
        <v>3625</v>
      </c>
      <c r="X291" s="375">
        <v>0.12</v>
      </c>
    </row>
    <row r="292" spans="1:24" x14ac:dyDescent="0.25">
      <c r="A292" s="4">
        <v>139</v>
      </c>
      <c r="B292" s="4" t="s">
        <v>4605</v>
      </c>
      <c r="C292" s="6" t="s">
        <v>5654</v>
      </c>
      <c r="D292" s="6" t="s">
        <v>5655</v>
      </c>
      <c r="E292" s="21">
        <v>43855</v>
      </c>
      <c r="F292" s="4" t="s">
        <v>1461</v>
      </c>
      <c r="H292" s="4">
        <v>6451</v>
      </c>
      <c r="I292" s="4">
        <v>4377</v>
      </c>
      <c r="J292" s="4" t="s">
        <v>4580</v>
      </c>
      <c r="K292" s="6" t="s">
        <v>4581</v>
      </c>
      <c r="L292" s="4">
        <v>1</v>
      </c>
      <c r="M292" s="410">
        <v>21429</v>
      </c>
      <c r="N292" s="4" t="s">
        <v>2886</v>
      </c>
      <c r="O292" s="410">
        <v>21429</v>
      </c>
      <c r="P292" s="410">
        <v>25500</v>
      </c>
      <c r="Q292" s="410">
        <v>25500</v>
      </c>
      <c r="R292" s="26">
        <v>43857</v>
      </c>
      <c r="S292" s="4" t="s">
        <v>1501</v>
      </c>
      <c r="T292" s="410">
        <v>25500</v>
      </c>
      <c r="U292" t="s">
        <v>4602</v>
      </c>
      <c r="V292" s="411">
        <v>18726</v>
      </c>
      <c r="W292" s="411">
        <v>2703</v>
      </c>
      <c r="X292" s="375">
        <v>0.13</v>
      </c>
    </row>
    <row r="293" spans="1:24" x14ac:dyDescent="0.25">
      <c r="A293" s="4">
        <v>137</v>
      </c>
      <c r="B293" s="4" t="s">
        <v>2250</v>
      </c>
      <c r="C293" s="6" t="s">
        <v>2249</v>
      </c>
      <c r="D293" s="6" t="s">
        <v>1638</v>
      </c>
      <c r="E293" s="21">
        <v>43855</v>
      </c>
      <c r="F293" s="4" t="s">
        <v>1461</v>
      </c>
      <c r="H293" s="4">
        <v>6444</v>
      </c>
      <c r="I293" s="4">
        <v>4375</v>
      </c>
      <c r="J293" s="4" t="s">
        <v>4040</v>
      </c>
      <c r="K293" s="6" t="s">
        <v>4038</v>
      </c>
      <c r="L293" s="4">
        <v>6</v>
      </c>
      <c r="M293" s="410">
        <v>3193</v>
      </c>
      <c r="N293" s="4" t="s">
        <v>2886</v>
      </c>
      <c r="O293" s="410">
        <v>3193</v>
      </c>
      <c r="P293" s="410">
        <v>3800</v>
      </c>
      <c r="Q293" s="410">
        <v>22800</v>
      </c>
      <c r="R293" s="26">
        <v>43855</v>
      </c>
      <c r="S293" s="4" t="s">
        <v>1501</v>
      </c>
      <c r="T293" s="410">
        <v>22800</v>
      </c>
      <c r="U293" t="s">
        <v>1545</v>
      </c>
      <c r="V293" s="411">
        <v>2100</v>
      </c>
      <c r="W293" s="411">
        <v>1093</v>
      </c>
      <c r="X293" s="375">
        <v>0.34</v>
      </c>
    </row>
    <row r="294" spans="1:24" x14ac:dyDescent="0.25">
      <c r="A294" s="4">
        <v>138</v>
      </c>
      <c r="B294" s="4" t="s">
        <v>4620</v>
      </c>
      <c r="C294" s="6" t="s">
        <v>4621</v>
      </c>
      <c r="D294" s="6" t="s">
        <v>4622</v>
      </c>
      <c r="E294" s="21">
        <v>43855</v>
      </c>
      <c r="F294" s="4" t="s">
        <v>1461</v>
      </c>
      <c r="H294" s="4">
        <v>6450</v>
      </c>
      <c r="I294" s="4">
        <v>4376</v>
      </c>
      <c r="J294" s="4" t="s">
        <v>4791</v>
      </c>
      <c r="K294" s="6" t="s">
        <v>4792</v>
      </c>
      <c r="L294" s="4">
        <v>2</v>
      </c>
      <c r="M294" s="410">
        <v>29832</v>
      </c>
      <c r="N294" s="4" t="s">
        <v>2886</v>
      </c>
      <c r="O294" s="410">
        <v>29832</v>
      </c>
      <c r="P294" s="410">
        <v>35500</v>
      </c>
      <c r="Q294" s="439">
        <v>71000</v>
      </c>
      <c r="R294" s="26">
        <v>43859</v>
      </c>
      <c r="S294" s="4" t="s">
        <v>1501</v>
      </c>
      <c r="T294" s="410">
        <v>71000</v>
      </c>
      <c r="U294" t="s">
        <v>4602</v>
      </c>
      <c r="V294" s="411">
        <v>26207</v>
      </c>
      <c r="W294" s="411">
        <v>3625</v>
      </c>
      <c r="X294" s="375">
        <v>0.12</v>
      </c>
    </row>
    <row r="295" spans="1:24" x14ac:dyDescent="0.25">
      <c r="A295" s="4">
        <v>136</v>
      </c>
      <c r="B295" s="4" t="s">
        <v>830</v>
      </c>
      <c r="C295" s="6" t="s">
        <v>2495</v>
      </c>
      <c r="D295" s="6" t="s">
        <v>837</v>
      </c>
      <c r="E295" s="21">
        <v>43855</v>
      </c>
      <c r="F295" s="4" t="s">
        <v>1461</v>
      </c>
      <c r="H295" s="4">
        <v>6445</v>
      </c>
      <c r="I295" s="4">
        <v>4374</v>
      </c>
      <c r="J295" s="4" t="s">
        <v>2344</v>
      </c>
      <c r="K295" s="6" t="s">
        <v>2345</v>
      </c>
      <c r="L295" s="4">
        <v>1</v>
      </c>
      <c r="M295" s="410">
        <v>13866</v>
      </c>
      <c r="N295" s="4" t="s">
        <v>2886</v>
      </c>
      <c r="O295" s="410">
        <v>13866</v>
      </c>
      <c r="P295" s="410">
        <v>16500</v>
      </c>
      <c r="Q295" s="439">
        <v>16500</v>
      </c>
      <c r="R295" s="26">
        <v>43855</v>
      </c>
      <c r="S295" s="4" t="s">
        <v>1501</v>
      </c>
      <c r="T295" s="410">
        <v>26700</v>
      </c>
      <c r="U295" t="s">
        <v>1572</v>
      </c>
      <c r="V295" s="411">
        <v>10390</v>
      </c>
      <c r="W295" s="411">
        <v>3476</v>
      </c>
      <c r="X295" s="375">
        <v>0.25</v>
      </c>
    </row>
    <row r="296" spans="1:24" x14ac:dyDescent="0.25">
      <c r="A296" s="4">
        <v>136</v>
      </c>
      <c r="B296" s="4" t="s">
        <v>847</v>
      </c>
      <c r="C296" s="6" t="s">
        <v>2201</v>
      </c>
      <c r="D296" s="6" t="s">
        <v>2198</v>
      </c>
      <c r="E296" s="21">
        <v>43855</v>
      </c>
      <c r="F296" s="4" t="s">
        <v>1461</v>
      </c>
      <c r="H296" s="4">
        <v>6445</v>
      </c>
      <c r="I296" s="4">
        <v>4374</v>
      </c>
      <c r="J296" s="4" t="s">
        <v>2344</v>
      </c>
      <c r="K296" s="6" t="s">
        <v>2345</v>
      </c>
      <c r="L296" s="4">
        <v>1</v>
      </c>
      <c r="M296" s="410">
        <v>8571</v>
      </c>
      <c r="N296" s="4" t="s">
        <v>2886</v>
      </c>
      <c r="O296" s="410">
        <v>8571</v>
      </c>
      <c r="P296" s="410">
        <v>10200</v>
      </c>
      <c r="Q296" s="410">
        <v>10200</v>
      </c>
      <c r="R296" s="26">
        <v>43855</v>
      </c>
      <c r="S296" s="4" t="s">
        <v>1501</v>
      </c>
      <c r="T296" s="410">
        <v>26700</v>
      </c>
      <c r="U296" t="s">
        <v>1572</v>
      </c>
      <c r="V296" s="411">
        <v>5992</v>
      </c>
      <c r="W296" s="411">
        <v>2579</v>
      </c>
      <c r="X296" s="375">
        <v>0.3</v>
      </c>
    </row>
    <row r="297" spans="1:24" x14ac:dyDescent="0.25">
      <c r="A297" s="4">
        <v>135</v>
      </c>
      <c r="B297" s="4" t="s">
        <v>658</v>
      </c>
      <c r="C297" s="6" t="s">
        <v>1974</v>
      </c>
      <c r="D297" s="6" t="s">
        <v>794</v>
      </c>
      <c r="E297" s="21">
        <v>43855</v>
      </c>
      <c r="F297" s="4" t="s">
        <v>1461</v>
      </c>
      <c r="H297" s="4">
        <v>6446</v>
      </c>
      <c r="I297" s="4">
        <v>4373</v>
      </c>
      <c r="J297" s="4" t="s">
        <v>5603</v>
      </c>
      <c r="K297" s="6" t="s">
        <v>5604</v>
      </c>
      <c r="L297" s="4">
        <v>1</v>
      </c>
      <c r="M297" s="410">
        <v>19328</v>
      </c>
      <c r="N297" s="4" t="s">
        <v>2886</v>
      </c>
      <c r="O297" s="410">
        <v>19328</v>
      </c>
      <c r="P297" s="410">
        <v>23000</v>
      </c>
      <c r="Q297" s="410">
        <v>23000</v>
      </c>
      <c r="R297" s="26">
        <v>43855</v>
      </c>
      <c r="S297" s="4" t="s">
        <v>1501</v>
      </c>
      <c r="T297" s="410">
        <v>23000</v>
      </c>
      <c r="U297" t="s">
        <v>1551</v>
      </c>
      <c r="V297" s="411">
        <v>14604</v>
      </c>
      <c r="W297" s="411">
        <v>4724</v>
      </c>
      <c r="X297" s="375">
        <v>0.24</v>
      </c>
    </row>
    <row r="298" spans="1:24" x14ac:dyDescent="0.25">
      <c r="A298" s="4">
        <v>133</v>
      </c>
      <c r="B298" s="4" t="s">
        <v>838</v>
      </c>
      <c r="C298" s="6" t="s">
        <v>2062</v>
      </c>
      <c r="D298" s="6" t="s">
        <v>840</v>
      </c>
      <c r="E298" s="21">
        <v>43855</v>
      </c>
      <c r="F298" s="4" t="s">
        <v>1461</v>
      </c>
      <c r="H298" s="4">
        <v>6449</v>
      </c>
      <c r="I298" s="4">
        <v>4371</v>
      </c>
      <c r="J298" s="4" t="s">
        <v>1276</v>
      </c>
      <c r="K298" s="6" t="s">
        <v>1064</v>
      </c>
      <c r="L298" s="4">
        <v>1</v>
      </c>
      <c r="M298" s="410">
        <v>16555</v>
      </c>
      <c r="N298" s="4" t="s">
        <v>2886</v>
      </c>
      <c r="O298" s="410">
        <v>16555</v>
      </c>
      <c r="P298" s="410">
        <v>19700</v>
      </c>
      <c r="Q298" s="410">
        <v>19700</v>
      </c>
      <c r="R298" s="26">
        <v>43855</v>
      </c>
      <c r="S298" s="4" t="s">
        <v>1501</v>
      </c>
      <c r="T298" s="410">
        <v>19700</v>
      </c>
      <c r="U298" t="s">
        <v>1572</v>
      </c>
      <c r="V298" s="411">
        <v>12429</v>
      </c>
      <c r="W298" s="411">
        <v>4126</v>
      </c>
      <c r="X298" s="375">
        <v>0.25</v>
      </c>
    </row>
    <row r="299" spans="1:24" x14ac:dyDescent="0.25">
      <c r="A299" s="4">
        <v>143</v>
      </c>
      <c r="B299" s="4" t="s">
        <v>3203</v>
      </c>
      <c r="C299" s="6" t="s">
        <v>3406</v>
      </c>
      <c r="D299" s="6" t="s">
        <v>1976</v>
      </c>
      <c r="E299" s="21">
        <v>43857</v>
      </c>
      <c r="F299" s="4" t="s">
        <v>1461</v>
      </c>
      <c r="H299" s="4">
        <v>6455</v>
      </c>
      <c r="I299" s="4">
        <v>4381</v>
      </c>
      <c r="J299" s="4" t="s">
        <v>3683</v>
      </c>
      <c r="K299" s="6" t="s">
        <v>3684</v>
      </c>
      <c r="L299" s="4">
        <v>1</v>
      </c>
      <c r="M299" s="410">
        <v>28151</v>
      </c>
      <c r="N299" s="4" t="s">
        <v>2886</v>
      </c>
      <c r="O299" s="410">
        <v>28151</v>
      </c>
      <c r="P299" s="410">
        <v>33500</v>
      </c>
      <c r="Q299" s="410">
        <v>33500</v>
      </c>
      <c r="R299" s="26">
        <v>43857</v>
      </c>
      <c r="S299" s="4" t="s">
        <v>1501</v>
      </c>
      <c r="T299" s="410">
        <v>33500</v>
      </c>
      <c r="U299" t="s">
        <v>1551</v>
      </c>
      <c r="V299" s="411">
        <v>21094</v>
      </c>
      <c r="W299" s="411">
        <v>7057</v>
      </c>
      <c r="X299" s="375">
        <v>0.25</v>
      </c>
    </row>
    <row r="300" spans="1:24" x14ac:dyDescent="0.25">
      <c r="A300" s="4">
        <v>140</v>
      </c>
      <c r="B300" s="4" t="s">
        <v>2567</v>
      </c>
      <c r="C300" s="6" t="s">
        <v>2624</v>
      </c>
      <c r="D300" s="6" t="s">
        <v>1539</v>
      </c>
      <c r="E300" s="21">
        <v>43857</v>
      </c>
      <c r="F300" s="4" t="s">
        <v>1461</v>
      </c>
      <c r="H300" s="4">
        <v>6452</v>
      </c>
      <c r="I300" s="4">
        <v>4378</v>
      </c>
      <c r="J300" s="4" t="s">
        <v>1204</v>
      </c>
      <c r="K300" s="6" t="s">
        <v>1052</v>
      </c>
      <c r="L300" s="4">
        <v>2</v>
      </c>
      <c r="M300" s="410">
        <v>20588</v>
      </c>
      <c r="N300" s="519" t="s">
        <v>2886</v>
      </c>
      <c r="O300" s="410">
        <v>20588</v>
      </c>
      <c r="P300" s="410">
        <v>24500</v>
      </c>
      <c r="Q300" s="410">
        <v>49000</v>
      </c>
      <c r="R300" s="26">
        <v>43855</v>
      </c>
      <c r="S300" s="4" t="s">
        <v>1501</v>
      </c>
      <c r="T300" s="410">
        <v>49000</v>
      </c>
      <c r="U300" t="s">
        <v>1524</v>
      </c>
      <c r="V300" s="411">
        <v>16387</v>
      </c>
      <c r="W300" s="411">
        <v>4201</v>
      </c>
      <c r="X300" s="375">
        <v>0.2</v>
      </c>
    </row>
    <row r="301" spans="1:24" x14ac:dyDescent="0.25">
      <c r="A301" s="4">
        <v>142</v>
      </c>
      <c r="B301" s="4" t="s">
        <v>4617</v>
      </c>
      <c r="C301" s="6" t="s">
        <v>5149</v>
      </c>
      <c r="D301" s="6" t="s">
        <v>4618</v>
      </c>
      <c r="E301" s="21">
        <v>43857</v>
      </c>
      <c r="F301" s="4" t="s">
        <v>1461</v>
      </c>
      <c r="H301" s="4">
        <v>6454</v>
      </c>
      <c r="I301" s="4">
        <v>4380</v>
      </c>
      <c r="J301" s="4" t="s">
        <v>2360</v>
      </c>
      <c r="K301" s="6" t="s">
        <v>4296</v>
      </c>
      <c r="L301" s="4">
        <v>1</v>
      </c>
      <c r="M301" s="410">
        <v>25546</v>
      </c>
      <c r="N301" s="519" t="s">
        <v>2886</v>
      </c>
      <c r="O301" s="410">
        <v>26471</v>
      </c>
      <c r="P301" s="410">
        <v>31500</v>
      </c>
      <c r="Q301" s="410">
        <v>31500</v>
      </c>
      <c r="R301" s="26">
        <v>43857</v>
      </c>
      <c r="S301" s="4" t="s">
        <v>1501</v>
      </c>
      <c r="T301" s="410">
        <v>31500</v>
      </c>
      <c r="U301" t="s">
        <v>4602</v>
      </c>
      <c r="V301" s="411">
        <v>20442</v>
      </c>
      <c r="W301" s="411">
        <v>5104</v>
      </c>
      <c r="X301" s="375">
        <v>0.2</v>
      </c>
    </row>
    <row r="302" spans="1:24" x14ac:dyDescent="0.25">
      <c r="A302" s="4">
        <v>141</v>
      </c>
      <c r="B302" s="4" t="s">
        <v>2098</v>
      </c>
      <c r="C302" s="6" t="s">
        <v>2288</v>
      </c>
      <c r="D302" s="6" t="s">
        <v>1469</v>
      </c>
      <c r="E302" s="21">
        <v>43857</v>
      </c>
      <c r="F302" s="4" t="s">
        <v>1461</v>
      </c>
      <c r="H302" s="4">
        <v>6453</v>
      </c>
      <c r="I302" s="4">
        <v>4379</v>
      </c>
      <c r="J302" s="4" t="s">
        <v>1236</v>
      </c>
      <c r="K302" s="6" t="s">
        <v>1920</v>
      </c>
      <c r="L302" s="4">
        <v>1</v>
      </c>
      <c r="M302" s="410">
        <v>19496</v>
      </c>
      <c r="N302" s="519" t="s">
        <v>2886</v>
      </c>
      <c r="O302" s="410">
        <v>19496</v>
      </c>
      <c r="P302" s="410">
        <v>23200</v>
      </c>
      <c r="Q302" s="410">
        <v>23200</v>
      </c>
      <c r="R302" s="26">
        <v>43857</v>
      </c>
      <c r="S302" s="4" t="s">
        <v>1501</v>
      </c>
      <c r="T302" s="410">
        <v>35950</v>
      </c>
      <c r="U302" t="s">
        <v>1570</v>
      </c>
      <c r="V302" s="411">
        <v>14700</v>
      </c>
      <c r="W302" s="411">
        <v>4796</v>
      </c>
      <c r="X302" s="375">
        <v>0.25</v>
      </c>
    </row>
    <row r="303" spans="1:24" x14ac:dyDescent="0.25">
      <c r="A303" s="4">
        <v>141</v>
      </c>
      <c r="B303" s="4" t="s">
        <v>3405</v>
      </c>
      <c r="C303" s="6" t="s">
        <v>3967</v>
      </c>
      <c r="D303" s="6" t="s">
        <v>1469</v>
      </c>
      <c r="E303" s="21">
        <v>43857</v>
      </c>
      <c r="F303" s="4" t="s">
        <v>1461</v>
      </c>
      <c r="H303" s="4">
        <v>6453</v>
      </c>
      <c r="I303" s="4">
        <v>4379</v>
      </c>
      <c r="J303" s="4" t="s">
        <v>1236</v>
      </c>
      <c r="K303" s="6" t="s">
        <v>1920</v>
      </c>
      <c r="L303" s="4">
        <v>2</v>
      </c>
      <c r="M303" s="410">
        <v>4790</v>
      </c>
      <c r="N303" s="519" t="s">
        <v>2886</v>
      </c>
      <c r="O303" s="410">
        <v>4790</v>
      </c>
      <c r="P303" s="410">
        <v>5700</v>
      </c>
      <c r="Q303" s="410">
        <v>11400</v>
      </c>
      <c r="R303" s="26">
        <v>43857</v>
      </c>
      <c r="S303" s="4" t="s">
        <v>1501</v>
      </c>
      <c r="T303" s="410">
        <v>35950</v>
      </c>
      <c r="U303" t="s">
        <v>1570</v>
      </c>
      <c r="V303" s="411">
        <v>3360</v>
      </c>
      <c r="W303" s="411">
        <v>1430</v>
      </c>
      <c r="X303" s="375">
        <v>0.3</v>
      </c>
    </row>
    <row r="304" spans="1:24" x14ac:dyDescent="0.25">
      <c r="A304" s="4">
        <v>141</v>
      </c>
      <c r="B304" s="4" t="s">
        <v>1834</v>
      </c>
      <c r="C304" s="6" t="s">
        <v>1878</v>
      </c>
      <c r="D304" s="6" t="s">
        <v>1879</v>
      </c>
      <c r="E304" s="21">
        <v>43857</v>
      </c>
      <c r="F304" s="4" t="s">
        <v>1461</v>
      </c>
      <c r="H304" s="4">
        <v>6453</v>
      </c>
      <c r="I304" s="4">
        <v>4379</v>
      </c>
      <c r="J304" s="4" t="s">
        <v>1236</v>
      </c>
      <c r="K304" s="6" t="s">
        <v>1920</v>
      </c>
      <c r="L304" s="4">
        <v>3</v>
      </c>
      <c r="M304" s="410">
        <v>378</v>
      </c>
      <c r="N304" s="519" t="s">
        <v>2886</v>
      </c>
      <c r="O304" s="410">
        <v>378</v>
      </c>
      <c r="P304" s="410">
        <v>450</v>
      </c>
      <c r="Q304" s="410">
        <v>1350</v>
      </c>
      <c r="R304" s="26">
        <v>43857</v>
      </c>
      <c r="S304" s="4" t="s">
        <v>1501</v>
      </c>
      <c r="T304" s="410">
        <v>35950</v>
      </c>
      <c r="U304" t="s">
        <v>1879</v>
      </c>
      <c r="V304" s="411">
        <v>265</v>
      </c>
      <c r="W304" s="411">
        <v>113</v>
      </c>
      <c r="X304" s="375">
        <v>0.3</v>
      </c>
    </row>
    <row r="305" spans="1:24" x14ac:dyDescent="0.25">
      <c r="A305" s="4">
        <v>147</v>
      </c>
      <c r="B305" s="4" t="s">
        <v>830</v>
      </c>
      <c r="C305" s="6" t="s">
        <v>2495</v>
      </c>
      <c r="D305" s="6" t="s">
        <v>837</v>
      </c>
      <c r="E305" s="21">
        <v>43858</v>
      </c>
      <c r="F305" s="4" t="s">
        <v>1461</v>
      </c>
      <c r="H305" s="4">
        <v>6457</v>
      </c>
      <c r="I305" s="4">
        <v>4385</v>
      </c>
      <c r="J305" s="4" t="s">
        <v>5154</v>
      </c>
      <c r="K305" s="6" t="s">
        <v>5155</v>
      </c>
      <c r="L305" s="4">
        <v>1</v>
      </c>
      <c r="M305" s="410">
        <v>13866</v>
      </c>
      <c r="N305" s="441" t="s">
        <v>2886</v>
      </c>
      <c r="O305" s="410">
        <v>13866</v>
      </c>
      <c r="P305" s="410">
        <v>16500</v>
      </c>
      <c r="Q305" s="410">
        <v>16500</v>
      </c>
      <c r="R305" s="26">
        <v>43858</v>
      </c>
      <c r="S305" s="4" t="s">
        <v>1501</v>
      </c>
      <c r="T305" s="410">
        <v>16500</v>
      </c>
      <c r="U305" t="s">
        <v>1572</v>
      </c>
      <c r="V305" s="411">
        <v>10390</v>
      </c>
      <c r="W305" s="411">
        <v>3476</v>
      </c>
      <c r="X305" s="375">
        <v>0.25</v>
      </c>
    </row>
    <row r="306" spans="1:24" x14ac:dyDescent="0.25">
      <c r="A306" s="4">
        <v>151</v>
      </c>
      <c r="B306" s="4" t="s">
        <v>838</v>
      </c>
      <c r="C306" s="6" t="s">
        <v>2062</v>
      </c>
      <c r="D306" s="6" t="s">
        <v>840</v>
      </c>
      <c r="E306" s="21">
        <v>43858</v>
      </c>
      <c r="F306" s="4" t="s">
        <v>1461</v>
      </c>
      <c r="H306" s="4">
        <v>6461</v>
      </c>
      <c r="I306" s="4">
        <v>4389</v>
      </c>
      <c r="J306" s="4" t="s">
        <v>4953</v>
      </c>
      <c r="K306" s="6" t="s">
        <v>4954</v>
      </c>
      <c r="L306" s="4">
        <v>1</v>
      </c>
      <c r="M306" s="410">
        <v>16555</v>
      </c>
      <c r="N306" s="441" t="s">
        <v>2886</v>
      </c>
      <c r="O306" s="410">
        <v>16555</v>
      </c>
      <c r="P306" s="410">
        <v>19700</v>
      </c>
      <c r="Q306" s="410">
        <v>19700</v>
      </c>
      <c r="R306" s="26">
        <v>43858</v>
      </c>
      <c r="S306" s="4" t="s">
        <v>1501</v>
      </c>
      <c r="T306" s="410">
        <v>19700</v>
      </c>
      <c r="U306" t="s">
        <v>1572</v>
      </c>
      <c r="V306" s="411">
        <v>12429</v>
      </c>
      <c r="W306" s="411">
        <v>4126</v>
      </c>
      <c r="X306" s="375">
        <v>0.25</v>
      </c>
    </row>
    <row r="307" spans="1:24" x14ac:dyDescent="0.25">
      <c r="A307" s="4">
        <v>148</v>
      </c>
      <c r="B307" s="4" t="s">
        <v>2250</v>
      </c>
      <c r="C307" s="6" t="s">
        <v>2249</v>
      </c>
      <c r="D307" s="6" t="s">
        <v>1638</v>
      </c>
      <c r="E307" s="21">
        <v>43858</v>
      </c>
      <c r="F307" s="4" t="s">
        <v>1461</v>
      </c>
      <c r="H307" s="4">
        <v>6458</v>
      </c>
      <c r="I307" s="4">
        <v>4386</v>
      </c>
      <c r="J307" s="4" t="s">
        <v>1257</v>
      </c>
      <c r="K307" s="6" t="s">
        <v>2145</v>
      </c>
      <c r="L307" s="4">
        <v>3</v>
      </c>
      <c r="M307" s="410">
        <v>3193</v>
      </c>
      <c r="N307" s="441" t="s">
        <v>2886</v>
      </c>
      <c r="O307" s="410">
        <v>3193</v>
      </c>
      <c r="P307" s="410">
        <v>3800</v>
      </c>
      <c r="Q307" s="410">
        <v>11400</v>
      </c>
      <c r="R307" s="26">
        <v>43858</v>
      </c>
      <c r="S307" s="4" t="s">
        <v>1501</v>
      </c>
      <c r="T307" s="410">
        <v>11400</v>
      </c>
      <c r="U307" t="s">
        <v>1545</v>
      </c>
      <c r="V307" s="523">
        <v>2100</v>
      </c>
      <c r="W307" s="523">
        <v>1093</v>
      </c>
      <c r="X307" s="375">
        <v>0.34</v>
      </c>
    </row>
    <row r="308" spans="1:24" x14ac:dyDescent="0.25">
      <c r="A308" s="4">
        <v>149</v>
      </c>
      <c r="B308" s="4" t="s">
        <v>792</v>
      </c>
      <c r="C308" s="6" t="s">
        <v>1928</v>
      </c>
      <c r="D308" s="6" t="s">
        <v>794</v>
      </c>
      <c r="E308" s="21">
        <v>43858</v>
      </c>
      <c r="F308" s="4" t="s">
        <v>1461</v>
      </c>
      <c r="H308" s="4">
        <v>6459</v>
      </c>
      <c r="I308" s="4">
        <v>4387</v>
      </c>
      <c r="J308" s="4" t="s">
        <v>1216</v>
      </c>
      <c r="K308" s="6" t="s">
        <v>2209</v>
      </c>
      <c r="L308" s="4">
        <v>2</v>
      </c>
      <c r="M308" s="410">
        <v>20084</v>
      </c>
      <c r="N308" s="4" t="s">
        <v>2886</v>
      </c>
      <c r="O308" s="410">
        <v>20084</v>
      </c>
      <c r="P308" s="410">
        <v>23900</v>
      </c>
      <c r="Q308" s="410">
        <v>47800</v>
      </c>
      <c r="R308" s="26">
        <v>43858</v>
      </c>
      <c r="S308" s="4" t="s">
        <v>1501</v>
      </c>
      <c r="T308" s="410">
        <v>47800</v>
      </c>
      <c r="U308" t="s">
        <v>1551</v>
      </c>
      <c r="V308" s="411">
        <v>14604</v>
      </c>
      <c r="W308" s="411">
        <v>5480</v>
      </c>
      <c r="X308" s="375">
        <v>0.27</v>
      </c>
    </row>
    <row r="309" spans="1:24" x14ac:dyDescent="0.25">
      <c r="A309" s="4">
        <v>144</v>
      </c>
      <c r="B309" s="4" t="s">
        <v>38</v>
      </c>
      <c r="C309" s="6" t="s">
        <v>2856</v>
      </c>
      <c r="D309" s="6" t="s">
        <v>1693</v>
      </c>
      <c r="E309" s="21">
        <v>43858</v>
      </c>
      <c r="F309" s="4" t="s">
        <v>925</v>
      </c>
      <c r="H309" s="4" t="s">
        <v>2528</v>
      </c>
      <c r="I309" s="4">
        <v>4382</v>
      </c>
      <c r="J309" s="4" t="s">
        <v>1207</v>
      </c>
      <c r="K309" s="6" t="s">
        <v>963</v>
      </c>
      <c r="L309" s="4">
        <v>6</v>
      </c>
      <c r="M309" s="410">
        <v>3248</v>
      </c>
      <c r="N309" s="374">
        <v>0.09</v>
      </c>
      <c r="O309" s="410">
        <v>2980</v>
      </c>
      <c r="P309" s="410">
        <v>3517</v>
      </c>
      <c r="Q309" s="410">
        <v>21102</v>
      </c>
      <c r="R309" s="26">
        <v>43861</v>
      </c>
      <c r="S309" s="4" t="s">
        <v>1445</v>
      </c>
      <c r="T309" s="410">
        <v>21103</v>
      </c>
      <c r="U309" t="s">
        <v>1563</v>
      </c>
      <c r="V309" s="411">
        <v>2345</v>
      </c>
      <c r="W309" s="411">
        <v>635</v>
      </c>
      <c r="X309" s="375">
        <v>0.21</v>
      </c>
    </row>
    <row r="310" spans="1:24" x14ac:dyDescent="0.25">
      <c r="A310" s="4">
        <v>146</v>
      </c>
      <c r="B310" s="4" t="s">
        <v>2250</v>
      </c>
      <c r="C310" s="6" t="s">
        <v>2249</v>
      </c>
      <c r="D310" s="6" t="s">
        <v>1638</v>
      </c>
      <c r="E310" s="21">
        <v>43858</v>
      </c>
      <c r="F310" s="4" t="s">
        <v>1461</v>
      </c>
      <c r="H310" s="4">
        <v>6456</v>
      </c>
      <c r="I310" s="4">
        <v>4384</v>
      </c>
      <c r="J310" s="4" t="s">
        <v>4465</v>
      </c>
      <c r="K310" s="6" t="s">
        <v>4466</v>
      </c>
      <c r="L310" s="4">
        <v>1</v>
      </c>
      <c r="M310" s="513">
        <v>3193</v>
      </c>
      <c r="N310" s="519" t="s">
        <v>2886</v>
      </c>
      <c r="O310" s="513">
        <v>3193</v>
      </c>
      <c r="P310" s="513">
        <v>3800</v>
      </c>
      <c r="Q310" s="513">
        <v>3800</v>
      </c>
      <c r="R310" s="26">
        <v>43858</v>
      </c>
      <c r="S310" s="4" t="s">
        <v>1501</v>
      </c>
      <c r="T310" s="513">
        <v>3800</v>
      </c>
      <c r="U310" t="s">
        <v>1545</v>
      </c>
      <c r="V310" s="514">
        <v>2100</v>
      </c>
      <c r="W310" s="514">
        <v>1093</v>
      </c>
      <c r="X310" s="375">
        <v>0.34</v>
      </c>
    </row>
    <row r="311" spans="1:24" x14ac:dyDescent="0.25">
      <c r="A311" s="4">
        <v>150</v>
      </c>
      <c r="B311" s="4" t="s">
        <v>830</v>
      </c>
      <c r="C311" s="6" t="s">
        <v>2495</v>
      </c>
      <c r="D311" s="6" t="s">
        <v>837</v>
      </c>
      <c r="E311" s="21">
        <v>43858</v>
      </c>
      <c r="F311" s="4" t="s">
        <v>1461</v>
      </c>
      <c r="H311" s="4">
        <v>6460</v>
      </c>
      <c r="I311" s="4">
        <v>4388</v>
      </c>
      <c r="J311" s="4" t="s">
        <v>5359</v>
      </c>
      <c r="K311" s="6" t="s">
        <v>5360</v>
      </c>
      <c r="L311" s="4">
        <v>1</v>
      </c>
      <c r="M311" s="513">
        <v>13866</v>
      </c>
      <c r="N311" s="519" t="s">
        <v>2886</v>
      </c>
      <c r="O311" s="513">
        <v>13866</v>
      </c>
      <c r="P311" s="513">
        <v>16500</v>
      </c>
      <c r="Q311" s="513">
        <v>16500</v>
      </c>
      <c r="R311" s="26">
        <v>43858</v>
      </c>
      <c r="S311" s="4" t="s">
        <v>1501</v>
      </c>
      <c r="T311" s="513">
        <v>53100</v>
      </c>
      <c r="U311" t="s">
        <v>1572</v>
      </c>
      <c r="V311" s="514">
        <v>10390</v>
      </c>
      <c r="W311" s="514">
        <v>3476</v>
      </c>
      <c r="X311" s="375">
        <v>0.25</v>
      </c>
    </row>
    <row r="312" spans="1:24" x14ac:dyDescent="0.25">
      <c r="A312" s="4">
        <v>150</v>
      </c>
      <c r="B312" s="4" t="s">
        <v>1516</v>
      </c>
      <c r="C312" s="6" t="s">
        <v>1737</v>
      </c>
      <c r="D312" s="6" t="s">
        <v>1504</v>
      </c>
      <c r="E312" s="21">
        <v>43858</v>
      </c>
      <c r="F312" s="4" t="s">
        <v>1461</v>
      </c>
      <c r="H312" s="4">
        <v>6460</v>
      </c>
      <c r="I312" s="4">
        <v>4388</v>
      </c>
      <c r="J312" s="4" t="s">
        <v>5359</v>
      </c>
      <c r="K312" s="6" t="s">
        <v>5360</v>
      </c>
      <c r="L312" s="4">
        <v>2</v>
      </c>
      <c r="M312" s="410">
        <v>3193</v>
      </c>
      <c r="N312" s="519" t="s">
        <v>2886</v>
      </c>
      <c r="O312" s="410">
        <v>3193</v>
      </c>
      <c r="P312" s="410">
        <v>3800</v>
      </c>
      <c r="Q312" s="410">
        <v>7600</v>
      </c>
      <c r="R312" s="26">
        <v>43858</v>
      </c>
      <c r="S312" s="4" t="s">
        <v>1501</v>
      </c>
      <c r="T312" s="410">
        <v>53100</v>
      </c>
      <c r="U312" t="s">
        <v>1545</v>
      </c>
      <c r="V312" s="411">
        <v>2195</v>
      </c>
      <c r="W312" s="411">
        <v>998</v>
      </c>
      <c r="X312" s="375">
        <v>0.31</v>
      </c>
    </row>
    <row r="313" spans="1:24" x14ac:dyDescent="0.25">
      <c r="A313" s="4">
        <v>150</v>
      </c>
      <c r="B313" s="4" t="s">
        <v>2250</v>
      </c>
      <c r="C313" s="6" t="s">
        <v>2249</v>
      </c>
      <c r="D313" s="6" t="s">
        <v>1638</v>
      </c>
      <c r="E313" s="21">
        <v>43858</v>
      </c>
      <c r="F313" s="4" t="s">
        <v>1461</v>
      </c>
      <c r="H313" s="4">
        <v>6460</v>
      </c>
      <c r="I313" s="4">
        <v>4388</v>
      </c>
      <c r="J313" s="4" t="s">
        <v>5359</v>
      </c>
      <c r="K313" s="6" t="s">
        <v>5360</v>
      </c>
      <c r="L313" s="4">
        <v>2</v>
      </c>
      <c r="M313" s="410">
        <v>3193</v>
      </c>
      <c r="N313" s="519" t="s">
        <v>2886</v>
      </c>
      <c r="O313" s="410">
        <v>3193</v>
      </c>
      <c r="P313" s="410">
        <v>3800</v>
      </c>
      <c r="Q313" s="410">
        <v>7600</v>
      </c>
      <c r="R313" s="26">
        <v>43858</v>
      </c>
      <c r="S313" s="4" t="s">
        <v>1501</v>
      </c>
      <c r="T313" s="410">
        <v>53100</v>
      </c>
      <c r="U313" t="s">
        <v>1545</v>
      </c>
      <c r="V313" s="411">
        <v>2100</v>
      </c>
      <c r="W313" s="411">
        <v>1093</v>
      </c>
      <c r="X313" s="375">
        <v>0.34</v>
      </c>
    </row>
    <row r="314" spans="1:24" x14ac:dyDescent="0.25">
      <c r="A314" s="4">
        <v>150</v>
      </c>
      <c r="B314" s="4" t="s">
        <v>1924</v>
      </c>
      <c r="C314" s="6" t="s">
        <v>1897</v>
      </c>
      <c r="D314" s="6" t="s">
        <v>1504</v>
      </c>
      <c r="E314" s="21">
        <v>43858</v>
      </c>
      <c r="F314" s="4" t="s">
        <v>1461</v>
      </c>
      <c r="H314" s="4">
        <v>6460</v>
      </c>
      <c r="I314" s="4">
        <v>4388</v>
      </c>
      <c r="J314" s="4" t="s">
        <v>5359</v>
      </c>
      <c r="K314" s="6" t="s">
        <v>5360</v>
      </c>
      <c r="L314" s="4">
        <v>2</v>
      </c>
      <c r="M314" s="410">
        <v>2101</v>
      </c>
      <c r="N314" s="519" t="s">
        <v>2886</v>
      </c>
      <c r="O314" s="410">
        <v>2101</v>
      </c>
      <c r="P314" s="410">
        <v>2500</v>
      </c>
      <c r="Q314" s="410">
        <v>5000</v>
      </c>
      <c r="R314" s="26">
        <v>43858</v>
      </c>
      <c r="S314" s="4" t="s">
        <v>1501</v>
      </c>
      <c r="T314" s="410">
        <v>53100</v>
      </c>
      <c r="U314" t="s">
        <v>1545</v>
      </c>
      <c r="V314" s="411">
        <v>850</v>
      </c>
      <c r="W314" s="411">
        <v>1251</v>
      </c>
      <c r="X314" s="375">
        <v>0.6</v>
      </c>
    </row>
    <row r="315" spans="1:24" x14ac:dyDescent="0.25">
      <c r="A315" s="4">
        <v>150</v>
      </c>
      <c r="B315" s="4" t="s">
        <v>2109</v>
      </c>
      <c r="C315" s="6" t="s">
        <v>2110</v>
      </c>
      <c r="D315" s="6" t="s">
        <v>1504</v>
      </c>
      <c r="E315" s="21">
        <v>43858</v>
      </c>
      <c r="F315" s="4" t="s">
        <v>1461</v>
      </c>
      <c r="H315" s="4">
        <v>6460</v>
      </c>
      <c r="I315" s="4">
        <v>4388</v>
      </c>
      <c r="J315" s="4" t="s">
        <v>5359</v>
      </c>
      <c r="K315" s="6" t="s">
        <v>5360</v>
      </c>
      <c r="L315" s="4">
        <v>2</v>
      </c>
      <c r="M315" s="410">
        <v>2017</v>
      </c>
      <c r="N315" s="519" t="s">
        <v>2886</v>
      </c>
      <c r="O315" s="410">
        <v>2017</v>
      </c>
      <c r="P315" s="410">
        <v>2400</v>
      </c>
      <c r="Q315" s="410">
        <v>4800</v>
      </c>
      <c r="R315" s="26">
        <v>43858</v>
      </c>
      <c r="S315" s="4" t="s">
        <v>1501</v>
      </c>
      <c r="T315" s="410">
        <v>53100</v>
      </c>
      <c r="U315" t="s">
        <v>1545</v>
      </c>
      <c r="V315" s="411">
        <v>1150</v>
      </c>
      <c r="W315" s="411">
        <v>867</v>
      </c>
      <c r="X315" s="375">
        <v>0.43</v>
      </c>
    </row>
    <row r="316" spans="1:24" x14ac:dyDescent="0.25">
      <c r="A316" s="4">
        <v>150</v>
      </c>
      <c r="B316" s="4" t="s">
        <v>1515</v>
      </c>
      <c r="C316" s="6" t="s">
        <v>1652</v>
      </c>
      <c r="D316" s="6" t="s">
        <v>1638</v>
      </c>
      <c r="E316" s="21">
        <v>43858</v>
      </c>
      <c r="F316" s="4" t="s">
        <v>1461</v>
      </c>
      <c r="H316" s="4">
        <v>6460</v>
      </c>
      <c r="I316" s="4">
        <v>4388</v>
      </c>
      <c r="J316" s="4" t="s">
        <v>5359</v>
      </c>
      <c r="K316" s="6" t="s">
        <v>5360</v>
      </c>
      <c r="L316" s="4">
        <v>2</v>
      </c>
      <c r="M316" s="410">
        <v>4874</v>
      </c>
      <c r="N316" s="519" t="s">
        <v>2886</v>
      </c>
      <c r="O316" s="410">
        <v>4874</v>
      </c>
      <c r="P316" s="410">
        <v>5800</v>
      </c>
      <c r="Q316" s="410">
        <v>11600</v>
      </c>
      <c r="R316" s="26">
        <v>43858</v>
      </c>
      <c r="S316" s="4" t="s">
        <v>1501</v>
      </c>
      <c r="T316" s="410">
        <v>53100</v>
      </c>
      <c r="U316" t="s">
        <v>1545</v>
      </c>
      <c r="V316" s="523">
        <v>2400</v>
      </c>
      <c r="W316" s="411">
        <v>2474</v>
      </c>
      <c r="X316" s="375">
        <v>0.51</v>
      </c>
    </row>
    <row r="317" spans="1:24" x14ac:dyDescent="0.25">
      <c r="A317" s="4">
        <v>145</v>
      </c>
      <c r="B317" s="4" t="s">
        <v>5338</v>
      </c>
      <c r="C317" s="6" t="s">
        <v>5339</v>
      </c>
      <c r="D317" s="6" t="s">
        <v>4457</v>
      </c>
      <c r="E317" s="21">
        <v>43858</v>
      </c>
      <c r="F317" s="4" t="s">
        <v>925</v>
      </c>
      <c r="H317" s="4" t="s">
        <v>2528</v>
      </c>
      <c r="I317" s="4">
        <v>4383</v>
      </c>
      <c r="J317" s="4" t="s">
        <v>4907</v>
      </c>
      <c r="K317" s="6" t="s">
        <v>4908</v>
      </c>
      <c r="L317" s="4">
        <v>60</v>
      </c>
      <c r="M317" s="410">
        <v>741</v>
      </c>
      <c r="N317" s="374">
        <v>0.09</v>
      </c>
      <c r="O317" s="410">
        <v>680</v>
      </c>
      <c r="P317" s="410">
        <v>802</v>
      </c>
      <c r="Q317" s="410">
        <v>48120</v>
      </c>
      <c r="R317" s="26">
        <v>43861</v>
      </c>
      <c r="S317" s="4" t="s">
        <v>1445</v>
      </c>
      <c r="T317" s="410">
        <v>65289</v>
      </c>
      <c r="U317" t="s">
        <v>1563</v>
      </c>
      <c r="V317" s="411">
        <v>535</v>
      </c>
      <c r="W317" s="411">
        <v>145</v>
      </c>
      <c r="X317" s="375">
        <v>0.21</v>
      </c>
    </row>
    <row r="318" spans="1:24" x14ac:dyDescent="0.25">
      <c r="A318" s="4">
        <v>145</v>
      </c>
      <c r="B318" s="4" t="s">
        <v>1471</v>
      </c>
      <c r="C318" s="6" t="s">
        <v>1655</v>
      </c>
      <c r="D318" s="6" t="s">
        <v>1469</v>
      </c>
      <c r="E318" s="21">
        <v>43858</v>
      </c>
      <c r="F318" s="4" t="s">
        <v>925</v>
      </c>
      <c r="H318" s="4" t="s">
        <v>2528</v>
      </c>
      <c r="I318" s="4">
        <v>4383</v>
      </c>
      <c r="J318" s="4" t="s">
        <v>4907</v>
      </c>
      <c r="K318" s="6" t="s">
        <v>4908</v>
      </c>
      <c r="L318" s="4">
        <v>18</v>
      </c>
      <c r="M318" s="410">
        <v>880</v>
      </c>
      <c r="N318" s="374">
        <v>0.09</v>
      </c>
      <c r="O318" s="410">
        <v>807</v>
      </c>
      <c r="P318" s="410">
        <v>952</v>
      </c>
      <c r="Q318" s="410">
        <v>17136</v>
      </c>
      <c r="R318" s="26">
        <v>43861</v>
      </c>
      <c r="S318" s="4" t="s">
        <v>1445</v>
      </c>
      <c r="T318" s="410">
        <v>65289</v>
      </c>
      <c r="U318" t="s">
        <v>1570</v>
      </c>
      <c r="V318" s="411">
        <v>635</v>
      </c>
      <c r="W318" s="411">
        <v>172</v>
      </c>
      <c r="X318" s="375">
        <v>0.21</v>
      </c>
    </row>
    <row r="319" spans="1:24" x14ac:dyDescent="0.25">
      <c r="A319" s="4">
        <v>157</v>
      </c>
      <c r="B319" s="4" t="s">
        <v>855</v>
      </c>
      <c r="C319" s="6" t="s">
        <v>2499</v>
      </c>
      <c r="D319" s="6" t="s">
        <v>857</v>
      </c>
      <c r="E319" s="21">
        <v>43859</v>
      </c>
      <c r="F319" s="4" t="s">
        <v>1461</v>
      </c>
      <c r="H319" s="4">
        <v>6465</v>
      </c>
      <c r="I319" s="4">
        <v>4395</v>
      </c>
      <c r="J319" s="4" t="s">
        <v>3990</v>
      </c>
      <c r="K319" s="6" t="s">
        <v>3993</v>
      </c>
      <c r="L319" s="4">
        <v>1</v>
      </c>
      <c r="M319" s="410">
        <v>13277</v>
      </c>
      <c r="N319" s="519" t="s">
        <v>2886</v>
      </c>
      <c r="O319" s="410">
        <v>13277</v>
      </c>
      <c r="P319" s="410">
        <v>15800</v>
      </c>
      <c r="Q319" s="410">
        <v>15800</v>
      </c>
      <c r="R319" s="26">
        <v>43859</v>
      </c>
      <c r="S319" s="4" t="s">
        <v>1501</v>
      </c>
      <c r="T319" s="410">
        <v>15800</v>
      </c>
      <c r="U319" t="s">
        <v>1551</v>
      </c>
      <c r="V319" s="411">
        <v>9975</v>
      </c>
      <c r="W319" s="411">
        <v>3302</v>
      </c>
      <c r="X319" s="375">
        <v>0.25</v>
      </c>
    </row>
    <row r="320" spans="1:24" x14ac:dyDescent="0.25">
      <c r="A320" s="4">
        <v>153</v>
      </c>
      <c r="B320" s="4" t="s">
        <v>830</v>
      </c>
      <c r="C320" s="6" t="s">
        <v>2495</v>
      </c>
      <c r="D320" s="6" t="s">
        <v>837</v>
      </c>
      <c r="E320" s="21">
        <v>43859</v>
      </c>
      <c r="F320" s="4" t="s">
        <v>1461</v>
      </c>
      <c r="H320" s="4">
        <v>6462</v>
      </c>
      <c r="I320" s="4">
        <v>4391</v>
      </c>
      <c r="J320" s="4" t="s">
        <v>5591</v>
      </c>
      <c r="K320" s="6" t="s">
        <v>5592</v>
      </c>
      <c r="L320" s="4">
        <v>1</v>
      </c>
      <c r="M320" s="410">
        <v>13866</v>
      </c>
      <c r="N320" s="519" t="s">
        <v>2886</v>
      </c>
      <c r="O320" s="410">
        <v>13866</v>
      </c>
      <c r="P320" s="410">
        <v>16500</v>
      </c>
      <c r="Q320" s="410">
        <v>16500</v>
      </c>
      <c r="R320" s="26">
        <v>43859</v>
      </c>
      <c r="S320" s="4" t="s">
        <v>2050</v>
      </c>
      <c r="T320" s="410">
        <v>16500</v>
      </c>
      <c r="U320" t="s">
        <v>1572</v>
      </c>
      <c r="V320" s="411">
        <v>10390</v>
      </c>
      <c r="W320" s="411">
        <v>3476</v>
      </c>
      <c r="X320" s="375">
        <v>0.25</v>
      </c>
    </row>
    <row r="321" spans="1:24" x14ac:dyDescent="0.25">
      <c r="A321" s="4">
        <v>155</v>
      </c>
      <c r="B321" s="4" t="s">
        <v>792</v>
      </c>
      <c r="C321" s="6" t="s">
        <v>1928</v>
      </c>
      <c r="D321" s="6" t="s">
        <v>794</v>
      </c>
      <c r="E321" s="21">
        <v>43859</v>
      </c>
      <c r="F321" s="4" t="s">
        <v>1461</v>
      </c>
      <c r="H321" s="4">
        <v>6464</v>
      </c>
      <c r="I321" s="4">
        <v>4393</v>
      </c>
      <c r="J321" s="4" t="s">
        <v>5665</v>
      </c>
      <c r="K321" s="6" t="s">
        <v>5666</v>
      </c>
      <c r="L321" s="4">
        <v>1</v>
      </c>
      <c r="M321" s="410">
        <v>20084</v>
      </c>
      <c r="N321" s="519" t="s">
        <v>2886</v>
      </c>
      <c r="O321" s="410">
        <v>20084</v>
      </c>
      <c r="P321" s="410">
        <v>23900</v>
      </c>
      <c r="Q321" s="410">
        <v>23900</v>
      </c>
      <c r="R321" s="26">
        <v>43859</v>
      </c>
      <c r="S321" s="4" t="s">
        <v>1501</v>
      </c>
      <c r="T321" s="410">
        <v>23900</v>
      </c>
      <c r="U321" t="s">
        <v>1551</v>
      </c>
      <c r="V321" s="411">
        <v>14604</v>
      </c>
      <c r="W321" s="411">
        <v>5480</v>
      </c>
      <c r="X321" s="375">
        <v>0.27</v>
      </c>
    </row>
    <row r="322" spans="1:24" x14ac:dyDescent="0.25">
      <c r="A322" s="4">
        <v>158</v>
      </c>
      <c r="B322" s="4" t="s">
        <v>5147</v>
      </c>
      <c r="C322" s="6" t="s">
        <v>5148</v>
      </c>
      <c r="D322" s="6" t="s">
        <v>4618</v>
      </c>
      <c r="E322" s="21">
        <v>43859</v>
      </c>
      <c r="F322" s="4" t="s">
        <v>1461</v>
      </c>
      <c r="H322" s="4">
        <v>6466</v>
      </c>
      <c r="I322" s="4">
        <v>4396</v>
      </c>
      <c r="J322" s="4" t="s">
        <v>4800</v>
      </c>
      <c r="K322" s="6" t="s">
        <v>4801</v>
      </c>
      <c r="L322" s="4">
        <v>4</v>
      </c>
      <c r="M322" s="410">
        <v>26471</v>
      </c>
      <c r="N322" s="374">
        <v>0.05</v>
      </c>
      <c r="O322" s="410">
        <v>25191</v>
      </c>
      <c r="P322" s="410">
        <v>29900</v>
      </c>
      <c r="Q322" s="410">
        <v>119600</v>
      </c>
      <c r="R322" s="26">
        <v>43859</v>
      </c>
      <c r="S322" s="4" t="s">
        <v>1501</v>
      </c>
      <c r="T322" s="410">
        <v>119600</v>
      </c>
      <c r="U322" t="s">
        <v>4602</v>
      </c>
      <c r="V322" s="411">
        <v>21183</v>
      </c>
      <c r="W322" s="411">
        <v>4008</v>
      </c>
      <c r="X322" s="375">
        <v>0.16</v>
      </c>
    </row>
    <row r="323" spans="1:24" x14ac:dyDescent="0.25">
      <c r="A323" s="4">
        <v>154</v>
      </c>
      <c r="B323" s="4" t="s">
        <v>830</v>
      </c>
      <c r="C323" s="6" t="s">
        <v>2495</v>
      </c>
      <c r="D323" s="6" t="s">
        <v>837</v>
      </c>
      <c r="E323" s="21">
        <v>43859</v>
      </c>
      <c r="F323" s="4" t="s">
        <v>1461</v>
      </c>
      <c r="H323" s="4">
        <v>6463</v>
      </c>
      <c r="I323" s="4">
        <v>4392</v>
      </c>
      <c r="J323" s="4" t="s">
        <v>5399</v>
      </c>
      <c r="K323" s="6" t="s">
        <v>5400</v>
      </c>
      <c r="L323" s="4">
        <v>2</v>
      </c>
      <c r="M323" s="410">
        <v>13866</v>
      </c>
      <c r="N323" s="441" t="s">
        <v>2886</v>
      </c>
      <c r="O323" s="410">
        <v>13866</v>
      </c>
      <c r="P323" s="410">
        <v>16500</v>
      </c>
      <c r="Q323" s="410">
        <v>33000</v>
      </c>
      <c r="R323" s="26">
        <v>43859</v>
      </c>
      <c r="S323" s="4" t="s">
        <v>2050</v>
      </c>
      <c r="T323" s="410">
        <v>33000</v>
      </c>
      <c r="U323" t="s">
        <v>1572</v>
      </c>
      <c r="V323" s="440">
        <v>10390</v>
      </c>
      <c r="W323" s="411">
        <v>3476</v>
      </c>
      <c r="X323" s="375">
        <v>0.25</v>
      </c>
    </row>
    <row r="324" spans="1:24" x14ac:dyDescent="0.25">
      <c r="A324" s="4">
        <v>152</v>
      </c>
      <c r="B324" s="4" t="s">
        <v>847</v>
      </c>
      <c r="C324" s="6" t="s">
        <v>2201</v>
      </c>
      <c r="D324" s="6" t="s">
        <v>2198</v>
      </c>
      <c r="E324" s="21">
        <v>43859</v>
      </c>
      <c r="F324" s="4" t="s">
        <v>925</v>
      </c>
      <c r="H324" s="4" t="s">
        <v>2528</v>
      </c>
      <c r="I324" s="4">
        <v>4390</v>
      </c>
      <c r="J324" s="4" t="s">
        <v>1256</v>
      </c>
      <c r="K324" s="6" t="s">
        <v>976</v>
      </c>
      <c r="L324" s="4">
        <v>5</v>
      </c>
      <c r="M324" s="410">
        <v>8914</v>
      </c>
      <c r="N324" s="374">
        <v>0.09</v>
      </c>
      <c r="O324" s="410">
        <v>8178</v>
      </c>
      <c r="P324" s="410">
        <v>9653</v>
      </c>
      <c r="Q324" s="410">
        <v>48265</v>
      </c>
      <c r="R324" s="26">
        <v>43861</v>
      </c>
      <c r="S324" s="4" t="s">
        <v>1445</v>
      </c>
      <c r="T324" s="410">
        <v>48266</v>
      </c>
      <c r="U324" t="s">
        <v>1572</v>
      </c>
      <c r="V324" s="411">
        <v>6436</v>
      </c>
      <c r="W324" s="411">
        <v>1742</v>
      </c>
      <c r="X324" s="375">
        <v>0.21</v>
      </c>
    </row>
    <row r="325" spans="1:24" x14ac:dyDescent="0.25">
      <c r="A325" s="4">
        <v>156</v>
      </c>
      <c r="B325" s="4" t="s">
        <v>4657</v>
      </c>
      <c r="C325" s="6" t="s">
        <v>4658</v>
      </c>
      <c r="D325" s="6" t="s">
        <v>4636</v>
      </c>
      <c r="E325" s="21">
        <v>43859</v>
      </c>
      <c r="F325" s="4" t="s">
        <v>1461</v>
      </c>
      <c r="H325" s="4" t="s">
        <v>5671</v>
      </c>
      <c r="I325" s="4">
        <v>4394</v>
      </c>
      <c r="J325" s="4" t="s">
        <v>5668</v>
      </c>
      <c r="K325" s="6" t="s">
        <v>5669</v>
      </c>
      <c r="L325" s="4">
        <v>10</v>
      </c>
      <c r="M325" s="410">
        <v>893</v>
      </c>
      <c r="N325" s="374">
        <v>7.0000000000000007E-2</v>
      </c>
      <c r="O325" s="410">
        <v>835</v>
      </c>
      <c r="P325" s="410">
        <v>988</v>
      </c>
      <c r="Q325" s="410">
        <v>9880</v>
      </c>
      <c r="R325" s="26">
        <v>43859</v>
      </c>
      <c r="S325" s="4" t="s">
        <v>2050</v>
      </c>
      <c r="T325" s="410">
        <v>9881</v>
      </c>
      <c r="U325" t="s">
        <v>4767</v>
      </c>
      <c r="V325" s="411">
        <v>625</v>
      </c>
      <c r="W325" s="411">
        <v>210</v>
      </c>
      <c r="X325" s="375">
        <v>0.25</v>
      </c>
    </row>
    <row r="326" spans="1:24" x14ac:dyDescent="0.25">
      <c r="A326" s="4">
        <v>163</v>
      </c>
      <c r="B326" s="4" t="s">
        <v>658</v>
      </c>
      <c r="C326" s="6" t="s">
        <v>1974</v>
      </c>
      <c r="D326" s="6" t="s">
        <v>794</v>
      </c>
      <c r="E326" s="21">
        <v>43860</v>
      </c>
      <c r="F326" s="4" t="s">
        <v>1461</v>
      </c>
      <c r="H326" s="4">
        <v>6470</v>
      </c>
      <c r="I326" s="4">
        <v>4401</v>
      </c>
      <c r="J326" s="4" t="s">
        <v>5228</v>
      </c>
      <c r="K326" s="6" t="s">
        <v>5229</v>
      </c>
      <c r="L326" s="4">
        <v>1</v>
      </c>
      <c r="M326" s="413">
        <v>19328</v>
      </c>
      <c r="N326" s="441" t="s">
        <v>2886</v>
      </c>
      <c r="O326" s="413">
        <v>19328</v>
      </c>
      <c r="P326" s="413">
        <v>23000</v>
      </c>
      <c r="Q326" s="413">
        <v>23000</v>
      </c>
      <c r="R326" s="26">
        <v>43860</v>
      </c>
      <c r="S326" s="4" t="s">
        <v>1501</v>
      </c>
      <c r="T326" s="413">
        <v>35500</v>
      </c>
      <c r="U326" t="s">
        <v>1551</v>
      </c>
      <c r="V326" s="523">
        <v>14604</v>
      </c>
      <c r="W326" s="414">
        <v>4724</v>
      </c>
      <c r="X326" s="375">
        <v>0.24</v>
      </c>
    </row>
    <row r="327" spans="1:24" x14ac:dyDescent="0.25">
      <c r="A327" s="4">
        <v>163</v>
      </c>
      <c r="B327" s="4" t="s">
        <v>2038</v>
      </c>
      <c r="C327" s="6" t="s">
        <v>2097</v>
      </c>
      <c r="D327" s="6" t="s">
        <v>794</v>
      </c>
      <c r="E327" s="21">
        <v>43860</v>
      </c>
      <c r="F327" s="4" t="s">
        <v>1461</v>
      </c>
      <c r="H327" s="4">
        <v>6470</v>
      </c>
      <c r="I327" s="4">
        <v>4401</v>
      </c>
      <c r="J327" s="4" t="s">
        <v>5228</v>
      </c>
      <c r="K327" s="6" t="s">
        <v>5229</v>
      </c>
      <c r="L327" s="4">
        <v>1</v>
      </c>
      <c r="M327" s="413">
        <v>10504</v>
      </c>
      <c r="N327" s="441" t="s">
        <v>2886</v>
      </c>
      <c r="O327" s="413">
        <v>10504</v>
      </c>
      <c r="P327" s="413">
        <v>12500</v>
      </c>
      <c r="Q327" s="413">
        <v>12500</v>
      </c>
      <c r="R327" s="26">
        <v>43860</v>
      </c>
      <c r="S327" s="4" t="s">
        <v>1501</v>
      </c>
      <c r="T327" s="413">
        <v>35500</v>
      </c>
      <c r="U327" t="s">
        <v>1551</v>
      </c>
      <c r="V327" s="414">
        <v>7956</v>
      </c>
      <c r="W327" s="414">
        <v>2548</v>
      </c>
      <c r="X327" s="375">
        <v>0.24</v>
      </c>
    </row>
    <row r="328" spans="1:24" x14ac:dyDescent="0.25">
      <c r="A328" s="4">
        <v>161</v>
      </c>
      <c r="B328" s="4" t="s">
        <v>855</v>
      </c>
      <c r="C328" s="6" t="s">
        <v>2499</v>
      </c>
      <c r="D328" s="6" t="s">
        <v>857</v>
      </c>
      <c r="E328" s="21">
        <v>43860</v>
      </c>
      <c r="F328" s="4" t="s">
        <v>1461</v>
      </c>
      <c r="H328" s="4">
        <v>6468</v>
      </c>
      <c r="I328" s="4">
        <v>4399</v>
      </c>
      <c r="J328" s="4" t="s">
        <v>1285</v>
      </c>
      <c r="K328" s="6" t="s">
        <v>1071</v>
      </c>
      <c r="L328" s="4">
        <v>1</v>
      </c>
      <c r="M328" s="413">
        <v>13277</v>
      </c>
      <c r="N328" s="441" t="s">
        <v>2886</v>
      </c>
      <c r="O328" s="413">
        <v>13277</v>
      </c>
      <c r="P328" s="413">
        <v>15800</v>
      </c>
      <c r="Q328" s="413">
        <v>15800</v>
      </c>
      <c r="R328" s="26">
        <v>43860</v>
      </c>
      <c r="S328" s="4" t="s">
        <v>1501</v>
      </c>
      <c r="T328" s="413">
        <v>15800</v>
      </c>
      <c r="U328" t="s">
        <v>1551</v>
      </c>
      <c r="V328" s="414">
        <v>9975</v>
      </c>
      <c r="W328" s="414">
        <v>3302</v>
      </c>
      <c r="X328" s="375">
        <v>0.25</v>
      </c>
    </row>
    <row r="329" spans="1:24" x14ac:dyDescent="0.25">
      <c r="A329" s="4">
        <v>160</v>
      </c>
      <c r="B329" s="4" t="s">
        <v>830</v>
      </c>
      <c r="C329" s="6" t="s">
        <v>2495</v>
      </c>
      <c r="D329" s="6" t="s">
        <v>837</v>
      </c>
      <c r="E329" s="21">
        <v>43860</v>
      </c>
      <c r="F329" s="4" t="s">
        <v>1461</v>
      </c>
      <c r="H329" s="4">
        <v>6467</v>
      </c>
      <c r="I329" s="4">
        <v>4398</v>
      </c>
      <c r="J329" s="4" t="s">
        <v>4542</v>
      </c>
      <c r="K329" s="6" t="s">
        <v>4543</v>
      </c>
      <c r="L329" s="4">
        <v>3</v>
      </c>
      <c r="M329" s="413">
        <v>13866</v>
      </c>
      <c r="N329" s="441" t="s">
        <v>2886</v>
      </c>
      <c r="O329" s="413">
        <v>13866</v>
      </c>
      <c r="P329" s="413">
        <v>16500</v>
      </c>
      <c r="Q329" s="413">
        <v>49500</v>
      </c>
      <c r="R329" s="26">
        <v>43860</v>
      </c>
      <c r="S329" s="4" t="s">
        <v>1501</v>
      </c>
      <c r="T329" s="413">
        <v>49500</v>
      </c>
      <c r="U329" t="s">
        <v>1572</v>
      </c>
      <c r="V329" s="414">
        <v>10390</v>
      </c>
      <c r="W329" s="414">
        <v>3476</v>
      </c>
      <c r="X329" s="375">
        <v>0.25</v>
      </c>
    </row>
    <row r="330" spans="1:24" x14ac:dyDescent="0.25">
      <c r="A330" s="4">
        <v>162</v>
      </c>
      <c r="B330" s="4" t="s">
        <v>855</v>
      </c>
      <c r="C330" s="6" t="s">
        <v>2499</v>
      </c>
      <c r="D330" s="6" t="s">
        <v>857</v>
      </c>
      <c r="E330" s="21">
        <v>43860</v>
      </c>
      <c r="F330" s="4" t="s">
        <v>1461</v>
      </c>
      <c r="H330" s="4">
        <v>6469</v>
      </c>
      <c r="I330" s="4">
        <v>4400</v>
      </c>
      <c r="J330" s="4" t="s">
        <v>1301</v>
      </c>
      <c r="K330" s="6" t="s">
        <v>968</v>
      </c>
      <c r="L330" s="4">
        <v>2</v>
      </c>
      <c r="M330" s="413">
        <v>13277</v>
      </c>
      <c r="N330" s="441" t="s">
        <v>2886</v>
      </c>
      <c r="O330" s="413">
        <v>13277</v>
      </c>
      <c r="P330" s="413">
        <v>15800</v>
      </c>
      <c r="Q330" s="413">
        <v>31600</v>
      </c>
      <c r="R330" s="26">
        <v>43860</v>
      </c>
      <c r="S330" s="4" t="s">
        <v>1501</v>
      </c>
      <c r="T330" s="413">
        <v>31600</v>
      </c>
      <c r="U330" t="s">
        <v>1551</v>
      </c>
      <c r="V330" s="414">
        <v>9975</v>
      </c>
      <c r="W330" s="414">
        <v>3302</v>
      </c>
      <c r="X330" s="375">
        <v>0.25</v>
      </c>
    </row>
    <row r="331" spans="1:24" x14ac:dyDescent="0.25">
      <c r="A331" s="4">
        <v>164</v>
      </c>
      <c r="B331" s="4" t="s">
        <v>843</v>
      </c>
      <c r="C331" s="6" t="s">
        <v>2058</v>
      </c>
      <c r="D331" s="6" t="s">
        <v>840</v>
      </c>
      <c r="E331" s="21">
        <v>43860</v>
      </c>
      <c r="F331" s="4" t="s">
        <v>1461</v>
      </c>
      <c r="H331" s="4">
        <v>6471</v>
      </c>
      <c r="I331" s="4">
        <v>4402</v>
      </c>
      <c r="J331" s="4" t="s">
        <v>5402</v>
      </c>
      <c r="K331" s="6" t="s">
        <v>5403</v>
      </c>
      <c r="L331" s="4">
        <v>1</v>
      </c>
      <c r="M331" s="413">
        <v>16723</v>
      </c>
      <c r="N331" s="441" t="s">
        <v>2886</v>
      </c>
      <c r="O331" s="413">
        <v>16723</v>
      </c>
      <c r="P331" s="413">
        <v>19900</v>
      </c>
      <c r="Q331" s="413">
        <v>19900</v>
      </c>
      <c r="R331" s="26">
        <v>43860</v>
      </c>
      <c r="S331" s="4" t="s">
        <v>1501</v>
      </c>
      <c r="T331" s="413">
        <v>19900</v>
      </c>
      <c r="U331" t="s">
        <v>1572</v>
      </c>
      <c r="V331" s="414">
        <v>11888</v>
      </c>
      <c r="W331" s="414">
        <v>4835</v>
      </c>
      <c r="X331" s="375">
        <v>0.28999999999999998</v>
      </c>
    </row>
    <row r="332" spans="1:24" x14ac:dyDescent="0.25">
      <c r="A332" s="4">
        <v>167</v>
      </c>
      <c r="B332" s="4" t="s">
        <v>1755</v>
      </c>
      <c r="C332" s="6" t="s">
        <v>1925</v>
      </c>
      <c r="D332" s="6" t="s">
        <v>1504</v>
      </c>
      <c r="E332" s="21">
        <v>43860</v>
      </c>
      <c r="F332" s="4" t="s">
        <v>1461</v>
      </c>
      <c r="H332" s="4">
        <v>6474</v>
      </c>
      <c r="I332" s="4">
        <v>4405</v>
      </c>
      <c r="J332" s="4" t="s">
        <v>4406</v>
      </c>
      <c r="K332" s="6" t="s">
        <v>4407</v>
      </c>
      <c r="L332" s="4">
        <v>20</v>
      </c>
      <c r="M332" s="413">
        <v>2941</v>
      </c>
      <c r="N332" s="441" t="s">
        <v>2886</v>
      </c>
      <c r="O332" s="413">
        <v>2941</v>
      </c>
      <c r="P332" s="413">
        <v>3500</v>
      </c>
      <c r="Q332" s="413">
        <v>70000</v>
      </c>
      <c r="R332" s="26">
        <v>43861</v>
      </c>
      <c r="S332" s="4" t="s">
        <v>1445</v>
      </c>
      <c r="T332" s="413">
        <v>284000</v>
      </c>
      <c r="U332" t="s">
        <v>1545</v>
      </c>
      <c r="V332" s="414">
        <v>2119</v>
      </c>
      <c r="W332" s="414">
        <v>822</v>
      </c>
      <c r="X332" s="375">
        <v>0.28000000000000003</v>
      </c>
    </row>
    <row r="333" spans="1:24" x14ac:dyDescent="0.25">
      <c r="A333" s="4">
        <v>167</v>
      </c>
      <c r="B333" s="4" t="s">
        <v>1924</v>
      </c>
      <c r="C333" s="6" t="s">
        <v>1897</v>
      </c>
      <c r="D333" s="6" t="s">
        <v>1504</v>
      </c>
      <c r="E333" s="21">
        <v>43860</v>
      </c>
      <c r="F333" s="4" t="s">
        <v>1461</v>
      </c>
      <c r="H333" s="4">
        <v>6474</v>
      </c>
      <c r="I333" s="4">
        <v>4405</v>
      </c>
      <c r="J333" s="4" t="s">
        <v>4406</v>
      </c>
      <c r="K333" s="6" t="s">
        <v>4407</v>
      </c>
      <c r="L333" s="4">
        <v>20</v>
      </c>
      <c r="M333" s="413">
        <v>2101</v>
      </c>
      <c r="N333" s="4" t="s">
        <v>2886</v>
      </c>
      <c r="O333" s="413">
        <v>2101</v>
      </c>
      <c r="P333" s="413">
        <v>2500</v>
      </c>
      <c r="Q333" s="413">
        <v>50000</v>
      </c>
      <c r="R333" s="26">
        <v>43861</v>
      </c>
      <c r="S333" s="4" t="s">
        <v>1445</v>
      </c>
      <c r="T333" s="413">
        <v>284000</v>
      </c>
      <c r="U333" t="s">
        <v>1545</v>
      </c>
      <c r="V333" s="414">
        <v>850</v>
      </c>
      <c r="W333" s="414">
        <v>1251</v>
      </c>
      <c r="X333" s="375">
        <v>0.6</v>
      </c>
    </row>
    <row r="334" spans="1:24" x14ac:dyDescent="0.25">
      <c r="A334" s="4">
        <v>167</v>
      </c>
      <c r="B334" s="4" t="s">
        <v>2109</v>
      </c>
      <c r="C334" s="6" t="s">
        <v>2110</v>
      </c>
      <c r="D334" s="6" t="s">
        <v>1504</v>
      </c>
      <c r="E334" s="21">
        <v>43860</v>
      </c>
      <c r="F334" s="4" t="s">
        <v>1461</v>
      </c>
      <c r="H334" s="4">
        <v>6474</v>
      </c>
      <c r="I334" s="4">
        <v>4405</v>
      </c>
      <c r="J334" s="4" t="s">
        <v>4406</v>
      </c>
      <c r="K334" s="6" t="s">
        <v>4407</v>
      </c>
      <c r="L334" s="4">
        <v>20</v>
      </c>
      <c r="M334" s="413">
        <v>2017</v>
      </c>
      <c r="N334" s="4" t="s">
        <v>2886</v>
      </c>
      <c r="O334" s="413">
        <v>2017</v>
      </c>
      <c r="P334" s="413">
        <v>2400</v>
      </c>
      <c r="Q334" s="413">
        <v>48000</v>
      </c>
      <c r="R334" s="26">
        <v>43861</v>
      </c>
      <c r="S334" s="4" t="s">
        <v>1445</v>
      </c>
      <c r="T334" s="413">
        <v>284000</v>
      </c>
      <c r="U334" t="s">
        <v>1545</v>
      </c>
      <c r="V334" s="414">
        <v>1150</v>
      </c>
      <c r="W334" s="414">
        <v>867</v>
      </c>
      <c r="X334" s="375">
        <v>0.43</v>
      </c>
    </row>
    <row r="335" spans="1:24" x14ac:dyDescent="0.25">
      <c r="A335" s="4">
        <v>167</v>
      </c>
      <c r="B335" s="4" t="s">
        <v>1515</v>
      </c>
      <c r="C335" s="6" t="s">
        <v>1652</v>
      </c>
      <c r="D335" s="6" t="s">
        <v>1638</v>
      </c>
      <c r="E335" s="21">
        <v>43860</v>
      </c>
      <c r="F335" s="4" t="s">
        <v>1461</v>
      </c>
      <c r="H335" s="4">
        <v>6474</v>
      </c>
      <c r="I335" s="4">
        <v>4405</v>
      </c>
      <c r="J335" s="4" t="s">
        <v>4406</v>
      </c>
      <c r="K335" s="6" t="s">
        <v>4407</v>
      </c>
      <c r="L335" s="4">
        <v>20</v>
      </c>
      <c r="M335" s="413">
        <v>4874</v>
      </c>
      <c r="N335" s="4" t="s">
        <v>2886</v>
      </c>
      <c r="O335" s="413">
        <v>4874</v>
      </c>
      <c r="P335" s="413">
        <v>5800</v>
      </c>
      <c r="Q335" s="413">
        <v>116000</v>
      </c>
      <c r="R335" s="26">
        <v>43861</v>
      </c>
      <c r="S335" s="4" t="s">
        <v>1445</v>
      </c>
      <c r="T335" s="413">
        <v>284000</v>
      </c>
      <c r="U335" t="s">
        <v>1545</v>
      </c>
      <c r="V335" s="414">
        <v>2400</v>
      </c>
      <c r="W335" s="414">
        <v>2474</v>
      </c>
      <c r="X335" s="375">
        <v>0.51</v>
      </c>
    </row>
    <row r="336" spans="1:24" x14ac:dyDescent="0.25">
      <c r="A336" s="4">
        <v>159</v>
      </c>
      <c r="B336" s="4" t="s">
        <v>838</v>
      </c>
      <c r="C336" s="6" t="s">
        <v>2062</v>
      </c>
      <c r="D336" s="6" t="s">
        <v>840</v>
      </c>
      <c r="E336" s="21">
        <v>43860</v>
      </c>
      <c r="F336" s="4" t="s">
        <v>925</v>
      </c>
      <c r="H336" s="4" t="s">
        <v>2528</v>
      </c>
      <c r="I336" s="4">
        <v>4397</v>
      </c>
      <c r="J336" s="4" t="s">
        <v>1239</v>
      </c>
      <c r="K336" s="6" t="s">
        <v>3501</v>
      </c>
      <c r="L336" s="4">
        <v>1</v>
      </c>
      <c r="M336" s="439">
        <v>17215</v>
      </c>
      <c r="N336" s="374">
        <v>0.05</v>
      </c>
      <c r="O336" s="439">
        <v>16395</v>
      </c>
      <c r="P336" s="439">
        <v>19461</v>
      </c>
      <c r="Q336" s="439">
        <v>19461</v>
      </c>
      <c r="R336" s="26">
        <v>43860</v>
      </c>
      <c r="S336" s="4" t="s">
        <v>1501</v>
      </c>
      <c r="T336" s="439">
        <v>19461</v>
      </c>
      <c r="U336" t="s">
        <v>1572</v>
      </c>
      <c r="V336" s="440">
        <v>12429</v>
      </c>
      <c r="W336" s="440">
        <v>3966</v>
      </c>
      <c r="X336" s="375">
        <v>0.24</v>
      </c>
    </row>
    <row r="337" spans="1:24" x14ac:dyDescent="0.25">
      <c r="A337" s="4">
        <v>165</v>
      </c>
      <c r="B337" s="4" t="s">
        <v>4218</v>
      </c>
      <c r="C337" s="6" t="s">
        <v>4219</v>
      </c>
      <c r="D337" s="6" t="s">
        <v>3950</v>
      </c>
      <c r="E337" s="21">
        <v>43860</v>
      </c>
      <c r="F337" s="4" t="s">
        <v>925</v>
      </c>
      <c r="H337" s="4" t="s">
        <v>5672</v>
      </c>
      <c r="I337" s="4">
        <v>4403</v>
      </c>
      <c r="J337" s="4" t="s">
        <v>1192</v>
      </c>
      <c r="K337" s="6" t="s">
        <v>1061</v>
      </c>
      <c r="L337" s="4">
        <v>6</v>
      </c>
      <c r="M337" s="413">
        <v>7895</v>
      </c>
      <c r="N337" s="4" t="s">
        <v>2886</v>
      </c>
      <c r="O337" s="413">
        <v>7895</v>
      </c>
      <c r="P337" s="413">
        <v>9395</v>
      </c>
      <c r="Q337" s="413">
        <v>56370</v>
      </c>
      <c r="R337" s="26">
        <v>43860</v>
      </c>
      <c r="S337" s="4" t="s">
        <v>1501</v>
      </c>
      <c r="T337" s="413">
        <v>181076</v>
      </c>
      <c r="U337" t="s">
        <v>3934</v>
      </c>
      <c r="V337" s="414">
        <v>6000</v>
      </c>
      <c r="W337" s="414">
        <v>1895</v>
      </c>
      <c r="X337" s="375">
        <v>0.24</v>
      </c>
    </row>
    <row r="338" spans="1:24" x14ac:dyDescent="0.25">
      <c r="A338" s="4">
        <v>165</v>
      </c>
      <c r="B338" s="4" t="s">
        <v>3906</v>
      </c>
      <c r="C338" s="6" t="s">
        <v>3813</v>
      </c>
      <c r="D338" s="6" t="s">
        <v>1646</v>
      </c>
      <c r="E338" s="21">
        <v>43860</v>
      </c>
      <c r="F338" s="4" t="s">
        <v>925</v>
      </c>
      <c r="H338" s="4" t="s">
        <v>5672</v>
      </c>
      <c r="I338" s="4">
        <v>4403</v>
      </c>
      <c r="J338" s="4" t="s">
        <v>1192</v>
      </c>
      <c r="K338" s="6" t="s">
        <v>1061</v>
      </c>
      <c r="L338" s="4">
        <v>12</v>
      </c>
      <c r="M338" s="413">
        <v>3335</v>
      </c>
      <c r="N338" s="4" t="s">
        <v>2886</v>
      </c>
      <c r="O338" s="413">
        <v>3335</v>
      </c>
      <c r="P338" s="413">
        <v>3969</v>
      </c>
      <c r="Q338" s="413">
        <v>47628</v>
      </c>
      <c r="R338" s="26">
        <v>43860</v>
      </c>
      <c r="S338" s="4" t="s">
        <v>1501</v>
      </c>
      <c r="T338" s="413">
        <v>181076</v>
      </c>
      <c r="U338" t="s">
        <v>3934</v>
      </c>
      <c r="V338" s="414">
        <v>2408</v>
      </c>
      <c r="W338" s="414">
        <v>927</v>
      </c>
      <c r="X338" s="375">
        <v>0.28000000000000003</v>
      </c>
    </row>
    <row r="339" spans="1:24" x14ac:dyDescent="0.25">
      <c r="A339" s="4">
        <v>165</v>
      </c>
      <c r="B339" s="4" t="s">
        <v>2289</v>
      </c>
      <c r="C339" s="6" t="s">
        <v>2620</v>
      </c>
      <c r="D339" s="6" t="s">
        <v>1539</v>
      </c>
      <c r="E339" s="21">
        <v>43860</v>
      </c>
      <c r="F339" s="4" t="s">
        <v>925</v>
      </c>
      <c r="H339" s="4" t="s">
        <v>5672</v>
      </c>
      <c r="I339" s="4">
        <v>4403</v>
      </c>
      <c r="J339" s="4" t="s">
        <v>1192</v>
      </c>
      <c r="K339" s="6" t="s">
        <v>1061</v>
      </c>
      <c r="L339" s="4">
        <v>2</v>
      </c>
      <c r="M339" s="413">
        <v>20084</v>
      </c>
      <c r="N339" s="4" t="s">
        <v>2886</v>
      </c>
      <c r="O339" s="413">
        <v>20084</v>
      </c>
      <c r="P339" s="413">
        <v>23900</v>
      </c>
      <c r="Q339" s="413">
        <v>47800</v>
      </c>
      <c r="R339" s="26">
        <v>43860</v>
      </c>
      <c r="S339" s="4" t="s">
        <v>1501</v>
      </c>
      <c r="T339" s="413">
        <v>181076</v>
      </c>
      <c r="U339" t="s">
        <v>1524</v>
      </c>
      <c r="V339" s="414">
        <v>16386</v>
      </c>
      <c r="W339" s="414">
        <v>3698</v>
      </c>
      <c r="X339" s="375">
        <v>0.18</v>
      </c>
    </row>
    <row r="340" spans="1:24" x14ac:dyDescent="0.25">
      <c r="A340" s="4">
        <v>165</v>
      </c>
      <c r="B340" s="4" t="s">
        <v>35</v>
      </c>
      <c r="C340" s="6" t="s">
        <v>2855</v>
      </c>
      <c r="D340" s="6" t="s">
        <v>1693</v>
      </c>
      <c r="E340" s="21">
        <v>43860</v>
      </c>
      <c r="F340" s="4" t="s">
        <v>925</v>
      </c>
      <c r="H340" s="4" t="s">
        <v>5672</v>
      </c>
      <c r="I340" s="4">
        <v>4403</v>
      </c>
      <c r="J340" s="4" t="s">
        <v>1192</v>
      </c>
      <c r="K340" s="6" t="s">
        <v>1061</v>
      </c>
      <c r="L340" s="4">
        <v>4</v>
      </c>
      <c r="M340" s="413">
        <v>6151</v>
      </c>
      <c r="N340" s="4" t="s">
        <v>2886</v>
      </c>
      <c r="O340" s="413">
        <v>6151</v>
      </c>
      <c r="P340" s="413">
        <v>7320</v>
      </c>
      <c r="Q340" s="413">
        <v>29280</v>
      </c>
      <c r="R340" s="26">
        <v>43860</v>
      </c>
      <c r="S340" s="4" t="s">
        <v>1501</v>
      </c>
      <c r="T340" s="413">
        <v>181076</v>
      </c>
      <c r="U340" t="s">
        <v>1563</v>
      </c>
      <c r="V340" s="414">
        <v>4922</v>
      </c>
      <c r="W340" s="414">
        <v>1229</v>
      </c>
      <c r="X340" s="375">
        <v>0.2</v>
      </c>
    </row>
    <row r="341" spans="1:24" x14ac:dyDescent="0.25">
      <c r="A341" s="4">
        <v>166</v>
      </c>
      <c r="B341" s="4" t="s">
        <v>4420</v>
      </c>
      <c r="C341" s="6" t="s">
        <v>4421</v>
      </c>
      <c r="D341" s="6" t="s">
        <v>1504</v>
      </c>
      <c r="E341" s="21">
        <v>43860</v>
      </c>
      <c r="F341" s="4" t="s">
        <v>925</v>
      </c>
      <c r="H341" s="4" t="s">
        <v>2528</v>
      </c>
      <c r="I341" s="4">
        <v>4404</v>
      </c>
      <c r="J341" s="4" t="s">
        <v>1256</v>
      </c>
      <c r="K341" s="6" t="s">
        <v>976</v>
      </c>
      <c r="L341" s="4">
        <v>22</v>
      </c>
      <c r="M341" s="413">
        <v>495</v>
      </c>
      <c r="N341" s="4" t="s">
        <v>2886</v>
      </c>
      <c r="O341" s="413">
        <v>495</v>
      </c>
      <c r="P341" s="413">
        <v>589</v>
      </c>
      <c r="Q341" s="413">
        <v>12958</v>
      </c>
      <c r="R341" s="26">
        <v>43861</v>
      </c>
      <c r="S341" s="4" t="s">
        <v>1445</v>
      </c>
      <c r="T341" s="413">
        <v>14599</v>
      </c>
      <c r="U341" t="s">
        <v>4410</v>
      </c>
      <c r="V341" s="414">
        <v>264</v>
      </c>
      <c r="W341" s="414">
        <v>231</v>
      </c>
      <c r="X341" s="375">
        <v>0.47</v>
      </c>
    </row>
    <row r="342" spans="1:24" x14ac:dyDescent="0.25">
      <c r="A342" s="4">
        <v>166</v>
      </c>
      <c r="B342" s="4" t="s">
        <v>4422</v>
      </c>
      <c r="C342" s="6" t="s">
        <v>4423</v>
      </c>
      <c r="D342" s="6" t="s">
        <v>1504</v>
      </c>
      <c r="E342" s="21">
        <v>43860</v>
      </c>
      <c r="F342" s="4" t="s">
        <v>925</v>
      </c>
      <c r="H342" s="4" t="s">
        <v>2528</v>
      </c>
      <c r="I342" s="4">
        <v>4404</v>
      </c>
      <c r="J342" s="4" t="s">
        <v>1256</v>
      </c>
      <c r="K342" s="6" t="s">
        <v>976</v>
      </c>
      <c r="L342" s="4">
        <v>22</v>
      </c>
      <c r="M342" s="413">
        <v>62</v>
      </c>
      <c r="N342" s="441" t="s">
        <v>2886</v>
      </c>
      <c r="O342" s="413">
        <v>62</v>
      </c>
      <c r="P342" s="413">
        <v>74</v>
      </c>
      <c r="Q342" s="413">
        <v>1628</v>
      </c>
      <c r="R342" s="26">
        <v>43861</v>
      </c>
      <c r="S342" s="4" t="s">
        <v>1445</v>
      </c>
      <c r="T342" s="413">
        <v>14599</v>
      </c>
      <c r="U342" t="s">
        <v>4410</v>
      </c>
      <c r="V342" s="414">
        <v>45</v>
      </c>
      <c r="W342" s="414">
        <v>17</v>
      </c>
      <c r="X342" s="375">
        <v>0.27</v>
      </c>
    </row>
    <row r="343" spans="1:24" x14ac:dyDescent="0.25">
      <c r="A343" s="4">
        <v>169</v>
      </c>
      <c r="B343" s="4" t="s">
        <v>855</v>
      </c>
      <c r="C343" s="6" t="s">
        <v>2499</v>
      </c>
      <c r="D343" s="6" t="s">
        <v>857</v>
      </c>
      <c r="E343" s="21">
        <v>43861</v>
      </c>
      <c r="F343" s="4" t="s">
        <v>925</v>
      </c>
      <c r="H343" s="4" t="s">
        <v>2528</v>
      </c>
      <c r="I343" s="4">
        <v>4407</v>
      </c>
      <c r="J343" s="4" t="s">
        <v>1193</v>
      </c>
      <c r="K343" s="6" t="s">
        <v>1017</v>
      </c>
      <c r="L343" s="4">
        <v>3</v>
      </c>
      <c r="M343" s="413">
        <v>13816</v>
      </c>
      <c r="N343" s="374">
        <v>0.05</v>
      </c>
      <c r="O343" s="413">
        <v>13158</v>
      </c>
      <c r="P343" s="413">
        <v>15619</v>
      </c>
      <c r="Q343" s="413">
        <v>46857</v>
      </c>
      <c r="R343" s="26">
        <v>43861</v>
      </c>
      <c r="S343" s="4" t="s">
        <v>1445</v>
      </c>
      <c r="T343" s="413">
        <v>99565</v>
      </c>
      <c r="U343" t="s">
        <v>1551</v>
      </c>
      <c r="V343" s="414">
        <v>9975</v>
      </c>
      <c r="W343" s="414">
        <v>3183</v>
      </c>
      <c r="X343" s="375">
        <v>0.24</v>
      </c>
    </row>
    <row r="344" spans="1:24" x14ac:dyDescent="0.25">
      <c r="A344" s="4">
        <v>169</v>
      </c>
      <c r="B344" s="4" t="s">
        <v>845</v>
      </c>
      <c r="C344" s="6" t="s">
        <v>2199</v>
      </c>
      <c r="D344" s="6" t="s">
        <v>2198</v>
      </c>
      <c r="E344" s="21">
        <v>43861</v>
      </c>
      <c r="F344" s="4" t="s">
        <v>925</v>
      </c>
      <c r="H344" s="4" t="s">
        <v>2528</v>
      </c>
      <c r="I344" s="4">
        <v>4407</v>
      </c>
      <c r="J344" s="4" t="s">
        <v>1193</v>
      </c>
      <c r="K344" s="6" t="s">
        <v>1017</v>
      </c>
      <c r="L344" s="4">
        <v>1</v>
      </c>
      <c r="M344" s="413">
        <v>20572</v>
      </c>
      <c r="N344" s="374">
        <v>0.05</v>
      </c>
      <c r="O344" s="413">
        <v>19592</v>
      </c>
      <c r="P344" s="413">
        <v>23257</v>
      </c>
      <c r="Q344" s="413">
        <v>23257</v>
      </c>
      <c r="R344" s="26">
        <v>43861</v>
      </c>
      <c r="S344" s="4" t="s">
        <v>1445</v>
      </c>
      <c r="T344" s="413">
        <v>99565</v>
      </c>
      <c r="U344" t="s">
        <v>1572</v>
      </c>
      <c r="V344" s="414">
        <v>14853</v>
      </c>
      <c r="W344" s="414">
        <v>4739</v>
      </c>
      <c r="X344" s="375">
        <v>0.24</v>
      </c>
    </row>
    <row r="345" spans="1:24" x14ac:dyDescent="0.25">
      <c r="A345" s="4">
        <v>169</v>
      </c>
      <c r="B345" s="4" t="s">
        <v>922</v>
      </c>
      <c r="C345" s="6" t="s">
        <v>1654</v>
      </c>
      <c r="D345" s="6" t="s">
        <v>1469</v>
      </c>
      <c r="E345" s="21">
        <v>43861</v>
      </c>
      <c r="F345" s="4" t="s">
        <v>925</v>
      </c>
      <c r="H345" s="4" t="s">
        <v>2528</v>
      </c>
      <c r="I345" s="4">
        <v>4407</v>
      </c>
      <c r="J345" s="4" t="s">
        <v>1193</v>
      </c>
      <c r="K345" s="6" t="s">
        <v>1017</v>
      </c>
      <c r="L345" s="4">
        <v>12</v>
      </c>
      <c r="M345" s="413">
        <v>2285</v>
      </c>
      <c r="N345" s="374">
        <v>0.1</v>
      </c>
      <c r="O345" s="413">
        <v>2082</v>
      </c>
      <c r="P345" s="413">
        <v>2454</v>
      </c>
      <c r="Q345" s="413">
        <v>29448</v>
      </c>
      <c r="R345" s="26">
        <v>43861</v>
      </c>
      <c r="S345" s="4" t="s">
        <v>1445</v>
      </c>
      <c r="T345" s="413">
        <v>99565</v>
      </c>
      <c r="U345" t="s">
        <v>1570</v>
      </c>
      <c r="V345" s="414">
        <v>1650</v>
      </c>
      <c r="W345" s="414">
        <v>432</v>
      </c>
      <c r="X345" s="375">
        <v>0.21</v>
      </c>
    </row>
    <row r="346" spans="1:24" x14ac:dyDescent="0.25">
      <c r="A346" s="4">
        <v>170</v>
      </c>
      <c r="B346" s="4" t="s">
        <v>2034</v>
      </c>
      <c r="C346" s="6" t="s">
        <v>2064</v>
      </c>
      <c r="D346" s="6" t="s">
        <v>840</v>
      </c>
      <c r="E346" s="21">
        <v>43861</v>
      </c>
      <c r="F346" s="4" t="s">
        <v>925</v>
      </c>
      <c r="H346" s="4" t="s">
        <v>2528</v>
      </c>
      <c r="I346" s="4">
        <v>4408</v>
      </c>
      <c r="J346" s="4" t="s">
        <v>1193</v>
      </c>
      <c r="K346" s="6" t="s">
        <v>1017</v>
      </c>
      <c r="L346" s="4">
        <v>14</v>
      </c>
      <c r="M346" s="413">
        <v>1515</v>
      </c>
      <c r="N346" s="374">
        <v>0.05</v>
      </c>
      <c r="O346" s="413">
        <v>1443</v>
      </c>
      <c r="P346" s="413">
        <v>1713</v>
      </c>
      <c r="Q346" s="413">
        <v>23982</v>
      </c>
      <c r="R346" s="26">
        <v>43861</v>
      </c>
      <c r="S346" s="4" t="s">
        <v>1445</v>
      </c>
      <c r="T346" s="413">
        <v>23982</v>
      </c>
      <c r="U346" t="s">
        <v>1572</v>
      </c>
      <c r="V346" s="414">
        <v>1094</v>
      </c>
      <c r="W346" s="414">
        <v>349</v>
      </c>
      <c r="X346" s="375">
        <v>0.24</v>
      </c>
    </row>
    <row r="347" spans="1:24" x14ac:dyDescent="0.25">
      <c r="A347" s="4">
        <v>172</v>
      </c>
      <c r="B347" s="4" t="s">
        <v>656</v>
      </c>
      <c r="C347" s="6" t="s">
        <v>1973</v>
      </c>
      <c r="D347" s="6" t="s">
        <v>794</v>
      </c>
      <c r="E347" s="21">
        <v>43861</v>
      </c>
      <c r="F347" s="4" t="s">
        <v>1461</v>
      </c>
      <c r="H347" s="4">
        <v>6473</v>
      </c>
      <c r="I347" s="4">
        <v>4410</v>
      </c>
      <c r="J347" s="4" t="s">
        <v>1320</v>
      </c>
      <c r="K347" s="6" t="s">
        <v>3394</v>
      </c>
      <c r="L347" s="4">
        <v>1</v>
      </c>
      <c r="M347" s="413">
        <v>19328</v>
      </c>
      <c r="N347" s="441" t="s">
        <v>2886</v>
      </c>
      <c r="O347" s="413">
        <v>19328</v>
      </c>
      <c r="P347" s="413">
        <v>23000</v>
      </c>
      <c r="Q347" s="413">
        <v>23000</v>
      </c>
      <c r="R347" s="26">
        <v>43860</v>
      </c>
      <c r="S347" s="4" t="s">
        <v>1501</v>
      </c>
      <c r="T347" s="413">
        <v>35500</v>
      </c>
      <c r="U347" t="s">
        <v>1551</v>
      </c>
      <c r="V347" s="414">
        <v>14604</v>
      </c>
      <c r="W347" s="414">
        <v>4724</v>
      </c>
      <c r="X347" s="375">
        <v>0.24</v>
      </c>
    </row>
    <row r="348" spans="1:24" x14ac:dyDescent="0.25">
      <c r="A348" s="4">
        <v>172</v>
      </c>
      <c r="B348" s="4" t="s">
        <v>2038</v>
      </c>
      <c r="C348" s="6" t="s">
        <v>2097</v>
      </c>
      <c r="D348" s="6" t="s">
        <v>794</v>
      </c>
      <c r="E348" s="21">
        <v>43861</v>
      </c>
      <c r="F348" s="4" t="s">
        <v>1461</v>
      </c>
      <c r="H348" s="4">
        <v>6473</v>
      </c>
      <c r="I348" s="4">
        <v>4410</v>
      </c>
      <c r="J348" s="4" t="s">
        <v>1320</v>
      </c>
      <c r="K348" s="6" t="s">
        <v>3394</v>
      </c>
      <c r="L348" s="4">
        <v>1</v>
      </c>
      <c r="M348" s="415">
        <v>10504</v>
      </c>
      <c r="N348" s="441" t="s">
        <v>2886</v>
      </c>
      <c r="O348" s="415">
        <v>10504</v>
      </c>
      <c r="P348" s="415">
        <v>12500</v>
      </c>
      <c r="Q348" s="415">
        <v>12500</v>
      </c>
      <c r="R348" s="26">
        <v>43860</v>
      </c>
      <c r="S348" s="4" t="s">
        <v>1501</v>
      </c>
      <c r="T348" s="415">
        <v>35500</v>
      </c>
      <c r="U348" t="s">
        <v>1551</v>
      </c>
      <c r="V348" s="416">
        <v>7956</v>
      </c>
      <c r="W348" s="416">
        <v>2548</v>
      </c>
      <c r="X348" s="375">
        <v>0.24</v>
      </c>
    </row>
    <row r="349" spans="1:24" x14ac:dyDescent="0.25">
      <c r="A349" s="4">
        <v>173</v>
      </c>
      <c r="B349" s="4" t="s">
        <v>838</v>
      </c>
      <c r="C349" s="6" t="s">
        <v>2062</v>
      </c>
      <c r="D349" s="6" t="s">
        <v>840</v>
      </c>
      <c r="E349" s="21">
        <v>43861</v>
      </c>
      <c r="F349" s="4" t="s">
        <v>1461</v>
      </c>
      <c r="H349" s="4">
        <v>6475</v>
      </c>
      <c r="I349" s="4">
        <v>4411</v>
      </c>
      <c r="J349" s="4" t="s">
        <v>5273</v>
      </c>
      <c r="K349" s="6" t="s">
        <v>5274</v>
      </c>
      <c r="L349" s="4">
        <v>1</v>
      </c>
      <c r="M349" s="415">
        <v>16555</v>
      </c>
      <c r="N349" s="4" t="s">
        <v>2886</v>
      </c>
      <c r="O349" s="415">
        <v>16555</v>
      </c>
      <c r="P349" s="415">
        <v>19700</v>
      </c>
      <c r="Q349" s="415">
        <v>19700</v>
      </c>
      <c r="R349" s="26">
        <v>43861</v>
      </c>
      <c r="S349" s="4" t="s">
        <v>1501</v>
      </c>
      <c r="T349" s="415">
        <v>19700</v>
      </c>
      <c r="U349" t="s">
        <v>1572</v>
      </c>
      <c r="V349" s="416">
        <v>12429</v>
      </c>
      <c r="W349" s="416">
        <v>4126</v>
      </c>
      <c r="X349" s="375">
        <v>0.25</v>
      </c>
    </row>
    <row r="350" spans="1:24" x14ac:dyDescent="0.25">
      <c r="A350" s="4">
        <v>171</v>
      </c>
      <c r="B350" s="4" t="s">
        <v>847</v>
      </c>
      <c r="C350" s="6" t="s">
        <v>2201</v>
      </c>
      <c r="D350" s="6" t="s">
        <v>2198</v>
      </c>
      <c r="E350" s="21">
        <v>43861</v>
      </c>
      <c r="F350" s="4" t="s">
        <v>1461</v>
      </c>
      <c r="H350" s="4">
        <v>6472</v>
      </c>
      <c r="I350" s="4">
        <v>4409</v>
      </c>
      <c r="J350" s="4" t="s">
        <v>1399</v>
      </c>
      <c r="K350" s="6" t="s">
        <v>1004</v>
      </c>
      <c r="L350" s="4">
        <v>1</v>
      </c>
      <c r="M350" s="415">
        <v>8571</v>
      </c>
      <c r="N350" s="4" t="s">
        <v>2886</v>
      </c>
      <c r="O350" s="415">
        <v>8571</v>
      </c>
      <c r="P350" s="415">
        <v>10200</v>
      </c>
      <c r="Q350" s="415">
        <v>10200</v>
      </c>
      <c r="R350" s="26">
        <v>43860</v>
      </c>
      <c r="S350" s="4" t="s">
        <v>1501</v>
      </c>
      <c r="T350" s="415">
        <v>10200</v>
      </c>
      <c r="U350" t="s">
        <v>1572</v>
      </c>
      <c r="V350" s="416">
        <v>6436</v>
      </c>
      <c r="W350" s="416">
        <v>2135</v>
      </c>
      <c r="X350" s="375">
        <v>0.25</v>
      </c>
    </row>
    <row r="351" spans="1:24" x14ac:dyDescent="0.25">
      <c r="A351" s="4">
        <v>174</v>
      </c>
      <c r="B351" s="4" t="s">
        <v>855</v>
      </c>
      <c r="C351" s="6" t="s">
        <v>2499</v>
      </c>
      <c r="D351" s="6" t="s">
        <v>857</v>
      </c>
      <c r="E351" s="21">
        <v>43861</v>
      </c>
      <c r="F351" s="4" t="s">
        <v>1461</v>
      </c>
      <c r="H351" s="4">
        <v>6476</v>
      </c>
      <c r="I351" s="4">
        <v>4412</v>
      </c>
      <c r="J351" s="4" t="s">
        <v>3303</v>
      </c>
      <c r="K351" s="6" t="s">
        <v>3304</v>
      </c>
      <c r="L351" s="4">
        <v>1</v>
      </c>
      <c r="M351" s="415">
        <v>13277</v>
      </c>
      <c r="N351" s="4" t="s">
        <v>2886</v>
      </c>
      <c r="O351" s="415">
        <v>13277</v>
      </c>
      <c r="P351" s="415">
        <v>15800</v>
      </c>
      <c r="Q351" s="415">
        <v>15800</v>
      </c>
      <c r="R351" s="26">
        <v>43861</v>
      </c>
      <c r="S351" s="4" t="s">
        <v>1501</v>
      </c>
      <c r="T351" s="415">
        <v>15800</v>
      </c>
      <c r="U351" t="s">
        <v>1551</v>
      </c>
      <c r="V351" s="416">
        <v>9975</v>
      </c>
      <c r="W351" s="416">
        <v>3302</v>
      </c>
      <c r="X351" s="375">
        <v>0.25</v>
      </c>
    </row>
    <row r="352" spans="1:24" x14ac:dyDescent="0.25">
      <c r="A352" s="4">
        <v>175</v>
      </c>
      <c r="B352" s="4" t="s">
        <v>855</v>
      </c>
      <c r="C352" s="6" t="s">
        <v>2499</v>
      </c>
      <c r="D352" s="6" t="s">
        <v>857</v>
      </c>
      <c r="E352" s="21">
        <v>43861</v>
      </c>
      <c r="F352" s="4" t="s">
        <v>1461</v>
      </c>
      <c r="H352" s="4">
        <v>6477</v>
      </c>
      <c r="I352" s="4">
        <v>4413</v>
      </c>
      <c r="J352" s="4" t="s">
        <v>4947</v>
      </c>
      <c r="K352" s="6" t="s">
        <v>4948</v>
      </c>
      <c r="L352" s="4">
        <v>1</v>
      </c>
      <c r="M352" s="415">
        <v>13277</v>
      </c>
      <c r="N352" s="441" t="s">
        <v>2886</v>
      </c>
      <c r="O352" s="415">
        <v>13277</v>
      </c>
      <c r="P352" s="415">
        <v>15800</v>
      </c>
      <c r="Q352" s="415">
        <v>15800</v>
      </c>
      <c r="R352" s="26">
        <v>43861</v>
      </c>
      <c r="S352" s="4" t="s">
        <v>1501</v>
      </c>
      <c r="T352" s="415">
        <v>15800</v>
      </c>
      <c r="U352" t="s">
        <v>1551</v>
      </c>
      <c r="V352" s="416">
        <v>9975</v>
      </c>
      <c r="W352" s="416">
        <v>3302</v>
      </c>
      <c r="X352" s="375">
        <v>0.25</v>
      </c>
    </row>
    <row r="353" spans="1:24" x14ac:dyDescent="0.25">
      <c r="A353" s="4">
        <v>168</v>
      </c>
      <c r="B353" s="4" t="s">
        <v>1777</v>
      </c>
      <c r="C353" s="6" t="s">
        <v>5477</v>
      </c>
      <c r="D353" s="6" t="s">
        <v>89</v>
      </c>
      <c r="E353" s="21">
        <v>43861</v>
      </c>
      <c r="F353" s="4" t="s">
        <v>925</v>
      </c>
      <c r="H353" s="4" t="s">
        <v>2528</v>
      </c>
      <c r="I353" s="4">
        <v>4406</v>
      </c>
      <c r="J353" s="4" t="s">
        <v>1275</v>
      </c>
      <c r="K353" s="6" t="s">
        <v>2218</v>
      </c>
      <c r="L353" s="4">
        <v>2</v>
      </c>
      <c r="M353" s="415">
        <v>12964</v>
      </c>
      <c r="N353" s="374">
        <v>0.06</v>
      </c>
      <c r="O353" s="415">
        <v>12229</v>
      </c>
      <c r="P353" s="415">
        <v>14500</v>
      </c>
      <c r="Q353" s="415">
        <v>29000</v>
      </c>
      <c r="R353" s="26">
        <v>43861</v>
      </c>
      <c r="S353" s="4" t="s">
        <v>1445</v>
      </c>
      <c r="T353" s="415">
        <v>29000</v>
      </c>
      <c r="U353" t="s">
        <v>88</v>
      </c>
      <c r="V353" s="416">
        <v>9360</v>
      </c>
      <c r="W353" s="416">
        <v>2869</v>
      </c>
      <c r="X353" s="375">
        <v>0.23</v>
      </c>
    </row>
    <row r="354" spans="1:24" x14ac:dyDescent="0.25">
      <c r="A354" s="4">
        <v>177</v>
      </c>
      <c r="B354" s="4" t="s">
        <v>5369</v>
      </c>
      <c r="C354" s="6" t="s">
        <v>5370</v>
      </c>
      <c r="D354" s="6" t="s">
        <v>4457</v>
      </c>
      <c r="E354" s="21">
        <v>43861</v>
      </c>
      <c r="F354" s="4" t="s">
        <v>1461</v>
      </c>
      <c r="H354" s="4">
        <v>6478</v>
      </c>
      <c r="I354" s="4">
        <v>4415</v>
      </c>
      <c r="J354" s="4" t="s">
        <v>1253</v>
      </c>
      <c r="K354" s="6" t="s">
        <v>990</v>
      </c>
      <c r="L354" s="4">
        <v>12</v>
      </c>
      <c r="M354" s="415">
        <v>756</v>
      </c>
      <c r="N354" s="441" t="s">
        <v>2886</v>
      </c>
      <c r="O354" s="415">
        <v>756</v>
      </c>
      <c r="P354" s="415">
        <v>900</v>
      </c>
      <c r="Q354" s="415">
        <v>10800</v>
      </c>
      <c r="R354" s="26">
        <v>43861</v>
      </c>
      <c r="S354" s="4" t="s">
        <v>1501</v>
      </c>
      <c r="T354" s="415">
        <v>10800</v>
      </c>
      <c r="U354" t="s">
        <v>1563</v>
      </c>
      <c r="V354" s="416">
        <v>535</v>
      </c>
      <c r="W354" s="416">
        <v>221</v>
      </c>
      <c r="X354" s="375">
        <v>0.28999999999999998</v>
      </c>
    </row>
    <row r="355" spans="1:24" x14ac:dyDescent="0.25">
      <c r="A355" s="4">
        <v>176</v>
      </c>
      <c r="B355" s="4" t="s">
        <v>5340</v>
      </c>
      <c r="C355" s="6" t="s">
        <v>5385</v>
      </c>
      <c r="D355" s="6" t="s">
        <v>5386</v>
      </c>
      <c r="E355" s="21">
        <v>43861</v>
      </c>
      <c r="F355" s="4" t="s">
        <v>1461</v>
      </c>
      <c r="H355" s="4">
        <v>6479</v>
      </c>
      <c r="I355" s="4">
        <v>4414</v>
      </c>
      <c r="J355" s="4" t="s">
        <v>1213</v>
      </c>
      <c r="K355" s="6" t="s">
        <v>985</v>
      </c>
      <c r="L355" s="4">
        <v>1</v>
      </c>
      <c r="M355" s="415">
        <v>7143</v>
      </c>
      <c r="N355" s="441" t="s">
        <v>2886</v>
      </c>
      <c r="O355" s="415">
        <v>7143</v>
      </c>
      <c r="P355" s="415">
        <v>8500</v>
      </c>
      <c r="Q355" s="415">
        <v>8500</v>
      </c>
      <c r="R355" s="26">
        <v>43861</v>
      </c>
      <c r="S355" s="4" t="s">
        <v>1501</v>
      </c>
      <c r="T355" s="415">
        <v>31800</v>
      </c>
      <c r="U355" t="s">
        <v>4524</v>
      </c>
      <c r="V355" s="416">
        <v>754</v>
      </c>
      <c r="W355" s="416">
        <v>6389</v>
      </c>
      <c r="X355" s="375">
        <v>0.89</v>
      </c>
    </row>
    <row r="356" spans="1:24" x14ac:dyDescent="0.25">
      <c r="A356" s="4">
        <v>176</v>
      </c>
      <c r="B356" s="4" t="s">
        <v>2035</v>
      </c>
      <c r="C356" s="6" t="s">
        <v>2206</v>
      </c>
      <c r="D356" s="6" t="s">
        <v>2197</v>
      </c>
      <c r="E356" s="21">
        <v>43861</v>
      </c>
      <c r="F356" s="4" t="s">
        <v>1461</v>
      </c>
      <c r="H356" s="4">
        <v>6479</v>
      </c>
      <c r="I356" s="4">
        <v>4414</v>
      </c>
      <c r="J356" s="4" t="s">
        <v>1213</v>
      </c>
      <c r="K356" s="6" t="s">
        <v>985</v>
      </c>
      <c r="L356" s="4">
        <v>1</v>
      </c>
      <c r="M356" s="415">
        <v>10504</v>
      </c>
      <c r="N356" s="4" t="s">
        <v>2886</v>
      </c>
      <c r="O356" s="415">
        <v>10504</v>
      </c>
      <c r="P356" s="415">
        <v>12500</v>
      </c>
      <c r="Q356" s="415">
        <v>12500</v>
      </c>
      <c r="R356" s="26">
        <v>43861</v>
      </c>
      <c r="S356" s="4" t="s">
        <v>1501</v>
      </c>
      <c r="T356" s="415">
        <v>31800</v>
      </c>
      <c r="U356" t="s">
        <v>1572</v>
      </c>
      <c r="V356" s="416">
        <v>7409</v>
      </c>
      <c r="W356" s="416">
        <v>3095</v>
      </c>
      <c r="X356" s="375">
        <v>0.28999999999999998</v>
      </c>
    </row>
    <row r="357" spans="1:24" x14ac:dyDescent="0.25">
      <c r="A357" s="4">
        <v>176</v>
      </c>
      <c r="B357" s="4" t="s">
        <v>5369</v>
      </c>
      <c r="C357" s="6" t="s">
        <v>5370</v>
      </c>
      <c r="D357" s="6" t="s">
        <v>4457</v>
      </c>
      <c r="E357" s="21">
        <v>43861</v>
      </c>
      <c r="F357" s="4" t="s">
        <v>1461</v>
      </c>
      <c r="H357" s="4">
        <v>6479</v>
      </c>
      <c r="I357" s="4">
        <v>4414</v>
      </c>
      <c r="J357" s="4" t="s">
        <v>1213</v>
      </c>
      <c r="K357" s="6" t="s">
        <v>985</v>
      </c>
      <c r="L357" s="4">
        <v>12</v>
      </c>
      <c r="M357" s="415">
        <v>756</v>
      </c>
      <c r="N357" s="4" t="s">
        <v>2886</v>
      </c>
      <c r="O357" s="415">
        <v>756</v>
      </c>
      <c r="P357" s="415">
        <v>900</v>
      </c>
      <c r="Q357" s="415">
        <v>10800</v>
      </c>
      <c r="R357" s="26">
        <v>43861</v>
      </c>
      <c r="S357" s="4" t="s">
        <v>1501</v>
      </c>
      <c r="T357" s="415">
        <v>31800</v>
      </c>
      <c r="U357" t="s">
        <v>1563</v>
      </c>
      <c r="V357" s="416">
        <v>535</v>
      </c>
      <c r="W357" s="416">
        <v>221</v>
      </c>
      <c r="X357" s="375">
        <v>0.28999999999999998</v>
      </c>
    </row>
    <row r="358" spans="1:24" x14ac:dyDescent="0.25">
      <c r="A358" s="4">
        <v>180</v>
      </c>
      <c r="B358" s="4" t="s">
        <v>847</v>
      </c>
      <c r="C358" s="6" t="s">
        <v>2201</v>
      </c>
      <c r="D358" s="6" t="s">
        <v>2198</v>
      </c>
      <c r="E358" s="21">
        <v>43862</v>
      </c>
      <c r="F358" s="4" t="s">
        <v>1461</v>
      </c>
      <c r="H358" s="4">
        <v>6482</v>
      </c>
      <c r="I358" s="4">
        <v>4418</v>
      </c>
      <c r="J358" s="4" t="s">
        <v>3200</v>
      </c>
      <c r="K358" s="6" t="s">
        <v>3201</v>
      </c>
      <c r="L358" s="4">
        <v>1</v>
      </c>
      <c r="M358" s="417">
        <v>8571</v>
      </c>
      <c r="N358" s="4" t="s">
        <v>2886</v>
      </c>
      <c r="O358" s="417">
        <v>8571</v>
      </c>
      <c r="P358" s="417">
        <v>10200</v>
      </c>
      <c r="Q358" s="417">
        <v>10200</v>
      </c>
      <c r="R358" s="26">
        <v>43864</v>
      </c>
      <c r="S358" s="4" t="s">
        <v>1501</v>
      </c>
      <c r="T358" s="417">
        <v>10200</v>
      </c>
      <c r="U358" t="s">
        <v>1572</v>
      </c>
      <c r="V358" s="418">
        <v>6436</v>
      </c>
      <c r="W358" s="418">
        <v>2135</v>
      </c>
      <c r="X358" s="375">
        <v>0.25</v>
      </c>
    </row>
    <row r="359" spans="1:24" x14ac:dyDescent="0.25">
      <c r="A359" s="4">
        <v>178</v>
      </c>
      <c r="B359" s="4" t="s">
        <v>2250</v>
      </c>
      <c r="C359" s="6" t="s">
        <v>2249</v>
      </c>
      <c r="D359" s="6" t="s">
        <v>1638</v>
      </c>
      <c r="E359" s="21">
        <v>43862</v>
      </c>
      <c r="F359" s="4" t="s">
        <v>1461</v>
      </c>
      <c r="H359" s="4">
        <v>6480</v>
      </c>
      <c r="I359" s="4">
        <v>4416</v>
      </c>
      <c r="J359" s="4" t="s">
        <v>1293</v>
      </c>
      <c r="K359" s="6" t="s">
        <v>1081</v>
      </c>
      <c r="L359" s="4">
        <v>4</v>
      </c>
      <c r="M359" s="417">
        <v>3193</v>
      </c>
      <c r="N359" s="4" t="s">
        <v>2886</v>
      </c>
      <c r="O359" s="417">
        <v>3193</v>
      </c>
      <c r="P359" s="417">
        <v>3800</v>
      </c>
      <c r="Q359" s="417">
        <v>15200</v>
      </c>
      <c r="R359" s="26">
        <v>43864</v>
      </c>
      <c r="S359" s="4" t="s">
        <v>1501</v>
      </c>
      <c r="T359" s="417">
        <v>43500</v>
      </c>
      <c r="U359" t="s">
        <v>1545</v>
      </c>
      <c r="V359" s="418">
        <v>2100</v>
      </c>
      <c r="W359" s="418">
        <v>1093</v>
      </c>
      <c r="X359" s="375">
        <v>0.34</v>
      </c>
    </row>
    <row r="360" spans="1:24" x14ac:dyDescent="0.25">
      <c r="A360" s="4">
        <v>178</v>
      </c>
      <c r="B360" s="4" t="s">
        <v>1516</v>
      </c>
      <c r="C360" s="6" t="s">
        <v>1737</v>
      </c>
      <c r="D360" s="6" t="s">
        <v>1504</v>
      </c>
      <c r="E360" s="21">
        <v>43862</v>
      </c>
      <c r="F360" s="4" t="s">
        <v>1461</v>
      </c>
      <c r="H360" s="4">
        <v>6480</v>
      </c>
      <c r="I360" s="4">
        <v>4416</v>
      </c>
      <c r="J360" s="4" t="s">
        <v>1293</v>
      </c>
      <c r="K360" s="6" t="s">
        <v>1081</v>
      </c>
      <c r="L360" s="4">
        <v>2</v>
      </c>
      <c r="M360" s="417">
        <v>3193</v>
      </c>
      <c r="N360" s="4" t="s">
        <v>2886</v>
      </c>
      <c r="O360" s="417">
        <v>3193</v>
      </c>
      <c r="P360" s="417">
        <v>3800</v>
      </c>
      <c r="Q360" s="417">
        <v>7600</v>
      </c>
      <c r="R360" s="26">
        <v>43864</v>
      </c>
      <c r="S360" s="4" t="s">
        <v>1501</v>
      </c>
      <c r="T360" s="417">
        <v>43500</v>
      </c>
      <c r="U360" t="s">
        <v>1545</v>
      </c>
      <c r="V360" s="418">
        <v>2195</v>
      </c>
      <c r="W360" s="418">
        <v>998</v>
      </c>
      <c r="X360" s="375">
        <v>0.31</v>
      </c>
    </row>
    <row r="361" spans="1:24" x14ac:dyDescent="0.25">
      <c r="A361" s="4">
        <v>178</v>
      </c>
      <c r="B361" s="4" t="s">
        <v>1924</v>
      </c>
      <c r="C361" s="6" t="s">
        <v>1897</v>
      </c>
      <c r="D361" s="6" t="s">
        <v>1504</v>
      </c>
      <c r="E361" s="21">
        <v>43862</v>
      </c>
      <c r="F361" s="4" t="s">
        <v>1461</v>
      </c>
      <c r="H361" s="4">
        <v>6480</v>
      </c>
      <c r="I361" s="4">
        <v>4416</v>
      </c>
      <c r="J361" s="4" t="s">
        <v>1293</v>
      </c>
      <c r="K361" s="6" t="s">
        <v>1081</v>
      </c>
      <c r="L361" s="4">
        <v>1</v>
      </c>
      <c r="M361" s="417">
        <v>2101</v>
      </c>
      <c r="N361" s="4" t="s">
        <v>2886</v>
      </c>
      <c r="O361" s="417">
        <v>2101</v>
      </c>
      <c r="P361" s="417">
        <v>2500</v>
      </c>
      <c r="Q361" s="417">
        <v>2500</v>
      </c>
      <c r="R361" s="26">
        <v>43864</v>
      </c>
      <c r="S361" s="4" t="s">
        <v>1501</v>
      </c>
      <c r="T361" s="417">
        <v>43500</v>
      </c>
      <c r="U361" t="s">
        <v>1545</v>
      </c>
      <c r="V361" s="418">
        <v>850</v>
      </c>
      <c r="W361" s="418">
        <v>1251</v>
      </c>
      <c r="X361" s="375">
        <v>0.6</v>
      </c>
    </row>
    <row r="362" spans="1:24" x14ac:dyDescent="0.25">
      <c r="A362" s="4">
        <v>178</v>
      </c>
      <c r="B362" s="4" t="s">
        <v>38</v>
      </c>
      <c r="C362" s="6" t="s">
        <v>2856</v>
      </c>
      <c r="D362" s="6" t="s">
        <v>1693</v>
      </c>
      <c r="E362" s="21">
        <v>43862</v>
      </c>
      <c r="F362" s="4" t="s">
        <v>1461</v>
      </c>
      <c r="H362" s="4">
        <v>6480</v>
      </c>
      <c r="I362" s="4">
        <v>4416</v>
      </c>
      <c r="J362" s="4" t="s">
        <v>1293</v>
      </c>
      <c r="K362" s="6" t="s">
        <v>1081</v>
      </c>
      <c r="L362" s="4">
        <v>2</v>
      </c>
      <c r="M362" s="417">
        <v>3109</v>
      </c>
      <c r="N362" s="4" t="s">
        <v>2886</v>
      </c>
      <c r="O362" s="417">
        <v>3109</v>
      </c>
      <c r="P362" s="417">
        <v>3700</v>
      </c>
      <c r="Q362" s="417">
        <v>7400</v>
      </c>
      <c r="R362" s="26">
        <v>43864</v>
      </c>
      <c r="S362" s="4" t="s">
        <v>1501</v>
      </c>
      <c r="T362" s="417">
        <v>43500</v>
      </c>
      <c r="U362" t="s">
        <v>1563</v>
      </c>
      <c r="V362" s="418">
        <v>2345</v>
      </c>
      <c r="W362" s="418">
        <v>764</v>
      </c>
      <c r="X362" s="375">
        <v>0.25</v>
      </c>
    </row>
    <row r="363" spans="1:24" x14ac:dyDescent="0.25">
      <c r="A363" s="4">
        <v>178</v>
      </c>
      <c r="B363" s="4" t="s">
        <v>5369</v>
      </c>
      <c r="C363" s="6" t="s">
        <v>5370</v>
      </c>
      <c r="D363" s="6" t="s">
        <v>4457</v>
      </c>
      <c r="E363" s="21">
        <v>43862</v>
      </c>
      <c r="F363" s="4" t="s">
        <v>1461</v>
      </c>
      <c r="H363" s="4">
        <v>6480</v>
      </c>
      <c r="I363" s="4">
        <v>4416</v>
      </c>
      <c r="J363" s="4" t="s">
        <v>1293</v>
      </c>
      <c r="K363" s="6" t="s">
        <v>1081</v>
      </c>
      <c r="L363" s="4">
        <v>12</v>
      </c>
      <c r="M363" s="417">
        <v>756</v>
      </c>
      <c r="N363" s="4" t="s">
        <v>2886</v>
      </c>
      <c r="O363" s="417">
        <v>756</v>
      </c>
      <c r="P363" s="417">
        <v>900</v>
      </c>
      <c r="Q363" s="417">
        <v>10800</v>
      </c>
      <c r="R363" s="26">
        <v>43864</v>
      </c>
      <c r="S363" s="4" t="s">
        <v>1501</v>
      </c>
      <c r="T363" s="417">
        <v>43500</v>
      </c>
      <c r="U363" t="s">
        <v>1563</v>
      </c>
      <c r="V363" s="418">
        <v>535</v>
      </c>
      <c r="W363" s="418">
        <v>221</v>
      </c>
      <c r="X363" s="375">
        <v>0.28999999999999998</v>
      </c>
    </row>
    <row r="364" spans="1:24" x14ac:dyDescent="0.25">
      <c r="A364" s="4">
        <v>179</v>
      </c>
      <c r="B364" s="4" t="s">
        <v>855</v>
      </c>
      <c r="C364" s="6" t="s">
        <v>2499</v>
      </c>
      <c r="D364" s="6" t="s">
        <v>857</v>
      </c>
      <c r="E364" s="21">
        <v>43862</v>
      </c>
      <c r="F364" s="4" t="s">
        <v>1461</v>
      </c>
      <c r="H364" s="4">
        <v>6481</v>
      </c>
      <c r="I364" s="4">
        <v>4417</v>
      </c>
      <c r="J364" s="4" t="s">
        <v>3562</v>
      </c>
      <c r="K364" s="6" t="s">
        <v>3563</v>
      </c>
      <c r="L364" s="4">
        <v>1</v>
      </c>
      <c r="M364" s="417">
        <v>13277</v>
      </c>
      <c r="N364" s="4" t="s">
        <v>2886</v>
      </c>
      <c r="O364" s="417">
        <v>13277</v>
      </c>
      <c r="P364" s="417">
        <v>15800</v>
      </c>
      <c r="Q364" s="417">
        <v>15800</v>
      </c>
      <c r="R364" s="26">
        <v>43864</v>
      </c>
      <c r="S364" s="4" t="s">
        <v>1501</v>
      </c>
      <c r="T364" s="417">
        <v>28500</v>
      </c>
      <c r="U364" t="s">
        <v>1551</v>
      </c>
      <c r="V364" s="418">
        <v>9975</v>
      </c>
      <c r="W364" s="418">
        <v>3302</v>
      </c>
      <c r="X364" s="375">
        <v>0.25</v>
      </c>
    </row>
    <row r="365" spans="1:24" x14ac:dyDescent="0.25">
      <c r="A365" s="4">
        <v>179</v>
      </c>
      <c r="B365" s="4" t="s">
        <v>847</v>
      </c>
      <c r="C365" s="6" t="s">
        <v>2201</v>
      </c>
      <c r="D365" s="6" t="s">
        <v>2198</v>
      </c>
      <c r="E365" s="21">
        <v>43862</v>
      </c>
      <c r="F365" s="4" t="s">
        <v>1461</v>
      </c>
      <c r="H365" s="4">
        <v>6481</v>
      </c>
      <c r="I365" s="4">
        <v>4417</v>
      </c>
      <c r="J365" s="4" t="s">
        <v>3562</v>
      </c>
      <c r="K365" s="6" t="s">
        <v>3563</v>
      </c>
      <c r="L365" s="4">
        <v>1</v>
      </c>
      <c r="M365" s="417">
        <v>8571</v>
      </c>
      <c r="N365" s="4" t="s">
        <v>2886</v>
      </c>
      <c r="O365" s="417">
        <v>8571</v>
      </c>
      <c r="P365" s="417">
        <v>10200</v>
      </c>
      <c r="Q365" s="417">
        <v>10200</v>
      </c>
      <c r="R365" s="26">
        <v>43864</v>
      </c>
      <c r="S365" s="4" t="s">
        <v>1501</v>
      </c>
      <c r="T365" s="417">
        <v>28500</v>
      </c>
      <c r="U365" t="s">
        <v>1572</v>
      </c>
      <c r="V365" s="418">
        <v>6436</v>
      </c>
      <c r="W365" s="418">
        <v>2135</v>
      </c>
      <c r="X365" s="375">
        <v>0.25</v>
      </c>
    </row>
    <row r="366" spans="1:24" x14ac:dyDescent="0.25">
      <c r="A366" s="4">
        <v>179</v>
      </c>
      <c r="B366" s="4" t="s">
        <v>1924</v>
      </c>
      <c r="C366" s="6" t="s">
        <v>1897</v>
      </c>
      <c r="D366" s="6" t="s">
        <v>1504</v>
      </c>
      <c r="E366" s="21">
        <v>43862</v>
      </c>
      <c r="F366" s="4" t="s">
        <v>1461</v>
      </c>
      <c r="H366" s="4">
        <v>6481</v>
      </c>
      <c r="I366" s="4">
        <v>4417</v>
      </c>
      <c r="J366" s="4" t="s">
        <v>3562</v>
      </c>
      <c r="K366" s="6" t="s">
        <v>3563</v>
      </c>
      <c r="L366" s="4">
        <v>1</v>
      </c>
      <c r="M366" s="417">
        <v>2101</v>
      </c>
      <c r="N366" s="4" t="s">
        <v>2886</v>
      </c>
      <c r="O366" s="417">
        <v>2101</v>
      </c>
      <c r="P366" s="417">
        <v>2500</v>
      </c>
      <c r="Q366" s="417">
        <v>2500</v>
      </c>
      <c r="R366" s="26">
        <v>43864</v>
      </c>
      <c r="S366" s="4" t="s">
        <v>1501</v>
      </c>
      <c r="T366" s="417">
        <v>28500</v>
      </c>
      <c r="U366" t="s">
        <v>1545</v>
      </c>
      <c r="V366" s="418">
        <v>850</v>
      </c>
      <c r="W366" s="418">
        <v>1251</v>
      </c>
      <c r="X366" s="375">
        <v>0.6</v>
      </c>
    </row>
    <row r="367" spans="1:24" x14ac:dyDescent="0.25">
      <c r="A367" s="4">
        <v>184</v>
      </c>
      <c r="B367" s="4" t="s">
        <v>1971</v>
      </c>
      <c r="C367" s="6" t="s">
        <v>5111</v>
      </c>
      <c r="D367" s="6" t="s">
        <v>1504</v>
      </c>
      <c r="E367" s="21">
        <v>43864</v>
      </c>
      <c r="F367" s="4" t="s">
        <v>1461</v>
      </c>
      <c r="H367" s="4">
        <v>6483</v>
      </c>
      <c r="I367" s="4">
        <v>4422</v>
      </c>
      <c r="J367" s="4" t="s">
        <v>1204</v>
      </c>
      <c r="K367" s="6" t="s">
        <v>1052</v>
      </c>
      <c r="L367" s="4">
        <v>2</v>
      </c>
      <c r="M367" s="419">
        <v>4958</v>
      </c>
      <c r="N367" s="441" t="s">
        <v>2886</v>
      </c>
      <c r="O367" s="419">
        <v>4958</v>
      </c>
      <c r="P367" s="419">
        <v>5900</v>
      </c>
      <c r="Q367" s="419">
        <v>11800</v>
      </c>
      <c r="R367" s="26">
        <v>43864</v>
      </c>
      <c r="S367" s="4" t="s">
        <v>1501</v>
      </c>
      <c r="T367" s="419">
        <v>38600</v>
      </c>
      <c r="U367" t="s">
        <v>1545</v>
      </c>
      <c r="V367" s="420">
        <v>3624</v>
      </c>
      <c r="W367" s="420">
        <v>1334</v>
      </c>
      <c r="X367" s="375">
        <v>0.27</v>
      </c>
    </row>
    <row r="368" spans="1:24" x14ac:dyDescent="0.25">
      <c r="A368" s="4">
        <v>184</v>
      </c>
      <c r="B368" s="4" t="s">
        <v>2250</v>
      </c>
      <c r="C368" s="6" t="s">
        <v>2249</v>
      </c>
      <c r="D368" s="6" t="s">
        <v>1638</v>
      </c>
      <c r="E368" s="21">
        <v>43864</v>
      </c>
      <c r="F368" s="4" t="s">
        <v>1461</v>
      </c>
      <c r="H368" s="4">
        <v>6483</v>
      </c>
      <c r="I368" s="4">
        <v>4422</v>
      </c>
      <c r="J368" s="4" t="s">
        <v>1204</v>
      </c>
      <c r="K368" s="6" t="s">
        <v>1052</v>
      </c>
      <c r="L368" s="4">
        <v>4</v>
      </c>
      <c r="M368" s="439">
        <v>3193</v>
      </c>
      <c r="N368" s="4" t="s">
        <v>2886</v>
      </c>
      <c r="O368" s="439">
        <v>3193</v>
      </c>
      <c r="P368" s="439">
        <v>3800</v>
      </c>
      <c r="Q368" s="439">
        <v>15200</v>
      </c>
      <c r="R368" s="26">
        <v>43864</v>
      </c>
      <c r="S368" s="4" t="s">
        <v>1501</v>
      </c>
      <c r="T368" s="439">
        <v>38600</v>
      </c>
      <c r="U368" t="s">
        <v>1545</v>
      </c>
      <c r="V368" s="440">
        <v>2100</v>
      </c>
      <c r="W368" s="440">
        <v>1093</v>
      </c>
      <c r="X368" s="375">
        <v>0.34</v>
      </c>
    </row>
    <row r="369" spans="1:24" x14ac:dyDescent="0.25">
      <c r="A369" s="4">
        <v>184</v>
      </c>
      <c r="B369" s="4" t="s">
        <v>1515</v>
      </c>
      <c r="C369" s="6" t="s">
        <v>1652</v>
      </c>
      <c r="D369" s="6" t="s">
        <v>1638</v>
      </c>
      <c r="E369" s="21">
        <v>43864</v>
      </c>
      <c r="F369" s="4" t="s">
        <v>1461</v>
      </c>
      <c r="H369" s="4">
        <v>6483</v>
      </c>
      <c r="I369" s="4">
        <v>4422</v>
      </c>
      <c r="J369" s="4" t="s">
        <v>1204</v>
      </c>
      <c r="K369" s="6" t="s">
        <v>1052</v>
      </c>
      <c r="L369" s="4">
        <v>2</v>
      </c>
      <c r="M369" s="419">
        <v>4874</v>
      </c>
      <c r="N369" s="4" t="s">
        <v>2886</v>
      </c>
      <c r="O369" s="419">
        <v>4874</v>
      </c>
      <c r="P369" s="419">
        <v>5800</v>
      </c>
      <c r="Q369" s="419">
        <v>11600</v>
      </c>
      <c r="R369" s="26">
        <v>43864</v>
      </c>
      <c r="S369" s="4" t="s">
        <v>1501</v>
      </c>
      <c r="T369" s="419">
        <v>38600</v>
      </c>
      <c r="U369" t="s">
        <v>1545</v>
      </c>
      <c r="V369" s="420">
        <v>2400</v>
      </c>
      <c r="W369" s="420">
        <v>2474</v>
      </c>
      <c r="X369" s="375">
        <v>0.51</v>
      </c>
    </row>
    <row r="370" spans="1:24" x14ac:dyDescent="0.25">
      <c r="A370" s="4">
        <v>185</v>
      </c>
      <c r="B370" s="4" t="s">
        <v>838</v>
      </c>
      <c r="C370" s="6" t="s">
        <v>2062</v>
      </c>
      <c r="D370" s="6" t="s">
        <v>840</v>
      </c>
      <c r="E370" s="21">
        <v>43864</v>
      </c>
      <c r="F370" s="4" t="s">
        <v>1461</v>
      </c>
      <c r="H370" s="4">
        <v>6488</v>
      </c>
      <c r="I370" s="4">
        <v>4423</v>
      </c>
      <c r="J370" s="4" t="s">
        <v>1322</v>
      </c>
      <c r="K370" s="6" t="s">
        <v>2317</v>
      </c>
      <c r="L370" s="4">
        <v>1</v>
      </c>
      <c r="M370" s="419">
        <v>16555</v>
      </c>
      <c r="N370" s="4" t="s">
        <v>2886</v>
      </c>
      <c r="O370" s="419">
        <v>16555</v>
      </c>
      <c r="P370" s="419">
        <v>19700</v>
      </c>
      <c r="Q370" s="419">
        <v>19700</v>
      </c>
      <c r="R370" s="26">
        <v>43864</v>
      </c>
      <c r="S370" s="4" t="s">
        <v>1501</v>
      </c>
      <c r="T370" s="419">
        <v>19700</v>
      </c>
      <c r="U370" t="s">
        <v>1572</v>
      </c>
      <c r="V370" s="420">
        <v>12429</v>
      </c>
      <c r="W370" s="420">
        <v>4126</v>
      </c>
      <c r="X370" s="375">
        <v>0.25</v>
      </c>
    </row>
    <row r="371" spans="1:24" x14ac:dyDescent="0.25">
      <c r="A371" s="4">
        <v>183</v>
      </c>
      <c r="B371" s="4" t="s">
        <v>656</v>
      </c>
      <c r="C371" s="6" t="s">
        <v>1973</v>
      </c>
      <c r="D371" s="6" t="s">
        <v>794</v>
      </c>
      <c r="E371" s="21">
        <v>43864</v>
      </c>
      <c r="F371" s="4" t="s">
        <v>1461</v>
      </c>
      <c r="H371" s="4">
        <v>6485</v>
      </c>
      <c r="I371" s="4">
        <v>4421</v>
      </c>
      <c r="J371" s="4" t="s">
        <v>2437</v>
      </c>
      <c r="K371" s="6" t="s">
        <v>2438</v>
      </c>
      <c r="L371" s="4">
        <v>1</v>
      </c>
      <c r="M371" s="419">
        <v>19328</v>
      </c>
      <c r="N371" s="519" t="s">
        <v>2886</v>
      </c>
      <c r="O371" s="419">
        <v>19328</v>
      </c>
      <c r="P371" s="419">
        <v>23000</v>
      </c>
      <c r="Q371" s="419">
        <v>23000</v>
      </c>
      <c r="R371" s="26">
        <v>43864</v>
      </c>
      <c r="S371" s="4" t="s">
        <v>1501</v>
      </c>
      <c r="T371" s="419">
        <v>23000</v>
      </c>
      <c r="U371" t="s">
        <v>1551</v>
      </c>
      <c r="V371" s="420">
        <v>14604</v>
      </c>
      <c r="W371" s="420">
        <v>4724</v>
      </c>
      <c r="X371" s="375">
        <v>0.24</v>
      </c>
    </row>
    <row r="372" spans="1:24" x14ac:dyDescent="0.25">
      <c r="A372" s="4">
        <v>186</v>
      </c>
      <c r="B372" s="4" t="s">
        <v>855</v>
      </c>
      <c r="C372" s="6" t="s">
        <v>2499</v>
      </c>
      <c r="D372" s="6" t="s">
        <v>857</v>
      </c>
      <c r="E372" s="21">
        <v>43864</v>
      </c>
      <c r="F372" s="4" t="s">
        <v>1461</v>
      </c>
      <c r="H372" s="4">
        <v>6484</v>
      </c>
      <c r="I372" s="4">
        <v>4424</v>
      </c>
      <c r="J372" s="4" t="s">
        <v>5558</v>
      </c>
      <c r="K372" s="6" t="s">
        <v>5559</v>
      </c>
      <c r="L372" s="4">
        <v>1</v>
      </c>
      <c r="M372" s="419">
        <v>13277</v>
      </c>
      <c r="N372" s="519" t="s">
        <v>2886</v>
      </c>
      <c r="O372" s="419">
        <v>13277</v>
      </c>
      <c r="P372" s="419">
        <v>15800</v>
      </c>
      <c r="Q372" s="419">
        <v>15800</v>
      </c>
      <c r="R372" s="26">
        <v>43864</v>
      </c>
      <c r="S372" s="4" t="s">
        <v>1501</v>
      </c>
      <c r="T372" s="419">
        <v>24800</v>
      </c>
      <c r="U372" t="s">
        <v>1551</v>
      </c>
      <c r="V372" s="420">
        <v>9975</v>
      </c>
      <c r="W372" s="420">
        <v>3302</v>
      </c>
      <c r="X372" s="375">
        <v>0.25</v>
      </c>
    </row>
    <row r="373" spans="1:24" x14ac:dyDescent="0.25">
      <c r="A373" s="4">
        <v>186</v>
      </c>
      <c r="B373" s="4" t="s">
        <v>4943</v>
      </c>
      <c r="C373" s="6" t="s">
        <v>4944</v>
      </c>
      <c r="D373" s="6" t="s">
        <v>4940</v>
      </c>
      <c r="E373" s="21">
        <v>43864</v>
      </c>
      <c r="F373" s="4" t="s">
        <v>1461</v>
      </c>
      <c r="H373" s="4">
        <v>6484</v>
      </c>
      <c r="I373" s="4">
        <v>4424</v>
      </c>
      <c r="J373" s="4" t="s">
        <v>5558</v>
      </c>
      <c r="K373" s="6" t="s">
        <v>5559</v>
      </c>
      <c r="L373" s="4">
        <v>1</v>
      </c>
      <c r="M373" s="419">
        <v>7563</v>
      </c>
      <c r="N373" s="4" t="s">
        <v>2886</v>
      </c>
      <c r="O373" s="419">
        <v>7563</v>
      </c>
      <c r="P373" s="419">
        <v>9000</v>
      </c>
      <c r="Q373" s="419">
        <v>9000</v>
      </c>
      <c r="R373" s="26">
        <v>43864</v>
      </c>
      <c r="S373" s="4" t="s">
        <v>1501</v>
      </c>
      <c r="T373" s="419">
        <v>24800</v>
      </c>
      <c r="U373" t="s">
        <v>4934</v>
      </c>
      <c r="V373" s="420">
        <v>5300</v>
      </c>
      <c r="W373" s="420">
        <v>2263</v>
      </c>
      <c r="X373" s="375">
        <v>0.3</v>
      </c>
    </row>
    <row r="374" spans="1:24" x14ac:dyDescent="0.25">
      <c r="A374" s="4">
        <v>182</v>
      </c>
      <c r="B374" s="4" t="s">
        <v>2250</v>
      </c>
      <c r="C374" s="6" t="s">
        <v>2249</v>
      </c>
      <c r="D374" s="6" t="s">
        <v>1638</v>
      </c>
      <c r="E374" s="21">
        <v>43864</v>
      </c>
      <c r="F374" s="4" t="s">
        <v>1461</v>
      </c>
      <c r="H374" s="4">
        <v>6486</v>
      </c>
      <c r="I374" s="4">
        <v>4420</v>
      </c>
      <c r="J374" s="4" t="s">
        <v>4310</v>
      </c>
      <c r="K374" s="6" t="s">
        <v>4311</v>
      </c>
      <c r="L374" s="4">
        <v>6</v>
      </c>
      <c r="M374" s="419">
        <v>3193</v>
      </c>
      <c r="N374" s="4" t="s">
        <v>2886</v>
      </c>
      <c r="O374" s="419">
        <v>3193</v>
      </c>
      <c r="P374" s="419">
        <v>3800</v>
      </c>
      <c r="Q374" s="419">
        <v>22800</v>
      </c>
      <c r="R374" s="26">
        <v>43864</v>
      </c>
      <c r="S374" s="4" t="s">
        <v>1501</v>
      </c>
      <c r="T374" s="419">
        <v>30400</v>
      </c>
      <c r="U374" t="s">
        <v>1545</v>
      </c>
      <c r="V374" s="420">
        <v>2100</v>
      </c>
      <c r="W374" s="420">
        <v>1093</v>
      </c>
      <c r="X374" s="375">
        <v>0.34</v>
      </c>
    </row>
    <row r="375" spans="1:24" x14ac:dyDescent="0.25">
      <c r="A375" s="4">
        <v>182</v>
      </c>
      <c r="B375" s="4" t="s">
        <v>1516</v>
      </c>
      <c r="C375" s="6" t="s">
        <v>1737</v>
      </c>
      <c r="D375" s="6" t="s">
        <v>1504</v>
      </c>
      <c r="E375" s="21">
        <v>43864</v>
      </c>
      <c r="F375" s="4" t="s">
        <v>1461</v>
      </c>
      <c r="H375" s="4">
        <v>6486</v>
      </c>
      <c r="I375" s="4">
        <v>4420</v>
      </c>
      <c r="J375" s="4" t="s">
        <v>4310</v>
      </c>
      <c r="K375" s="6" t="s">
        <v>4311</v>
      </c>
      <c r="L375" s="4">
        <v>2</v>
      </c>
      <c r="M375" s="419">
        <v>3193</v>
      </c>
      <c r="N375" s="4" t="s">
        <v>2886</v>
      </c>
      <c r="O375" s="419">
        <v>3193</v>
      </c>
      <c r="P375" s="419">
        <v>3800</v>
      </c>
      <c r="Q375" s="419">
        <v>7600</v>
      </c>
      <c r="R375" s="26">
        <v>43864</v>
      </c>
      <c r="S375" s="4" t="s">
        <v>1501</v>
      </c>
      <c r="T375" s="419">
        <v>30400</v>
      </c>
      <c r="U375" t="s">
        <v>1545</v>
      </c>
      <c r="V375" s="420">
        <v>2195</v>
      </c>
      <c r="W375" s="420">
        <v>998</v>
      </c>
      <c r="X375" s="375">
        <v>0.31</v>
      </c>
    </row>
    <row r="376" spans="1:24" x14ac:dyDescent="0.25">
      <c r="A376" s="4">
        <v>181</v>
      </c>
      <c r="B376" s="4" t="s">
        <v>838</v>
      </c>
      <c r="C376" s="6" t="s">
        <v>2062</v>
      </c>
      <c r="D376" s="6" t="s">
        <v>840</v>
      </c>
      <c r="E376" s="21">
        <v>43864</v>
      </c>
      <c r="F376" s="4" t="s">
        <v>1461</v>
      </c>
      <c r="H376" s="4">
        <v>6487</v>
      </c>
      <c r="I376" s="4">
        <v>4419</v>
      </c>
      <c r="J376" s="4" t="s">
        <v>2619</v>
      </c>
      <c r="K376" s="6" t="s">
        <v>3361</v>
      </c>
      <c r="L376" s="4">
        <v>1</v>
      </c>
      <c r="M376" s="419">
        <v>16555</v>
      </c>
      <c r="N376" s="441" t="s">
        <v>2886</v>
      </c>
      <c r="O376" s="419">
        <v>16555</v>
      </c>
      <c r="P376" s="419">
        <v>19700</v>
      </c>
      <c r="Q376" s="419">
        <v>19700</v>
      </c>
      <c r="R376" s="26">
        <v>43864</v>
      </c>
      <c r="S376" s="4" t="s">
        <v>1501</v>
      </c>
      <c r="T376" s="419">
        <v>29900</v>
      </c>
      <c r="U376" t="s">
        <v>1572</v>
      </c>
      <c r="V376" s="420">
        <v>12429</v>
      </c>
      <c r="W376" s="420">
        <v>4126</v>
      </c>
      <c r="X376" s="375">
        <v>0.25</v>
      </c>
    </row>
    <row r="377" spans="1:24" x14ac:dyDescent="0.25">
      <c r="A377" s="4">
        <v>181</v>
      </c>
      <c r="B377" s="4" t="s">
        <v>847</v>
      </c>
      <c r="C377" s="6" t="s">
        <v>2201</v>
      </c>
      <c r="D377" s="6" t="s">
        <v>2198</v>
      </c>
      <c r="E377" s="21">
        <v>43864</v>
      </c>
      <c r="F377" s="4" t="s">
        <v>1461</v>
      </c>
      <c r="H377" s="4">
        <v>6487</v>
      </c>
      <c r="I377" s="4">
        <v>4419</v>
      </c>
      <c r="J377" s="4" t="s">
        <v>2619</v>
      </c>
      <c r="K377" s="6" t="s">
        <v>3361</v>
      </c>
      <c r="L377" s="4">
        <v>1</v>
      </c>
      <c r="M377" s="419">
        <v>8571</v>
      </c>
      <c r="N377" s="4" t="s">
        <v>2886</v>
      </c>
      <c r="O377" s="419">
        <v>8571</v>
      </c>
      <c r="P377" s="419">
        <v>10200</v>
      </c>
      <c r="Q377" s="419">
        <v>10200</v>
      </c>
      <c r="R377" s="26">
        <v>43864</v>
      </c>
      <c r="S377" s="4" t="s">
        <v>1501</v>
      </c>
      <c r="T377" s="419">
        <v>29900</v>
      </c>
      <c r="U377" t="s">
        <v>1572</v>
      </c>
      <c r="V377" s="420">
        <v>6436</v>
      </c>
      <c r="W377" s="420">
        <v>2135</v>
      </c>
      <c r="X377" s="375">
        <v>0.25</v>
      </c>
    </row>
    <row r="378" spans="1:24" x14ac:dyDescent="0.25">
      <c r="A378" s="4">
        <v>190</v>
      </c>
      <c r="B378" s="4" t="s">
        <v>5147</v>
      </c>
      <c r="C378" s="6" t="s">
        <v>5148</v>
      </c>
      <c r="D378" s="6" t="s">
        <v>4618</v>
      </c>
      <c r="E378" s="21">
        <v>43865</v>
      </c>
      <c r="F378" s="4" t="s">
        <v>1461</v>
      </c>
      <c r="H378" s="4">
        <v>6489</v>
      </c>
      <c r="I378" s="4">
        <v>4428</v>
      </c>
      <c r="J378" s="4" t="s">
        <v>2226</v>
      </c>
      <c r="K378" s="6" t="s">
        <v>2227</v>
      </c>
      <c r="L378" s="4">
        <v>3</v>
      </c>
      <c r="M378" s="419">
        <v>22689</v>
      </c>
      <c r="N378" s="4" t="s">
        <v>2886</v>
      </c>
      <c r="O378" s="419">
        <v>22689</v>
      </c>
      <c r="P378" s="419">
        <v>27000</v>
      </c>
      <c r="Q378" s="419">
        <v>81000</v>
      </c>
      <c r="R378" s="26">
        <v>43865</v>
      </c>
      <c r="S378" s="4" t="s">
        <v>1501</v>
      </c>
      <c r="T378" s="419">
        <v>81000</v>
      </c>
      <c r="U378" t="s">
        <v>4602</v>
      </c>
      <c r="V378" s="420">
        <v>21183</v>
      </c>
      <c r="W378" s="420">
        <v>1506</v>
      </c>
      <c r="X378" s="375">
        <v>7.0000000000000007E-2</v>
      </c>
    </row>
    <row r="379" spans="1:24" x14ac:dyDescent="0.25">
      <c r="A379" s="4">
        <v>187</v>
      </c>
      <c r="B379" s="4" t="s">
        <v>855</v>
      </c>
      <c r="C379" s="6" t="s">
        <v>2499</v>
      </c>
      <c r="D379" s="6" t="s">
        <v>857</v>
      </c>
      <c r="E379" s="21">
        <v>43865</v>
      </c>
      <c r="F379" s="4" t="s">
        <v>1461</v>
      </c>
      <c r="H379" s="4" t="s">
        <v>2528</v>
      </c>
      <c r="I379" s="4">
        <v>4425</v>
      </c>
      <c r="J379" s="4" t="s">
        <v>1285</v>
      </c>
      <c r="K379" s="6" t="s">
        <v>1071</v>
      </c>
      <c r="L379" s="4">
        <v>1</v>
      </c>
      <c r="M379" s="419">
        <v>12437</v>
      </c>
      <c r="N379" s="4" t="s">
        <v>2886</v>
      </c>
      <c r="O379" s="419">
        <v>12437</v>
      </c>
      <c r="P379" s="419">
        <v>14800</v>
      </c>
      <c r="Q379" s="419">
        <v>14800</v>
      </c>
      <c r="R379" s="26">
        <v>43836</v>
      </c>
      <c r="S379" s="4" t="s">
        <v>1501</v>
      </c>
      <c r="T379" s="419">
        <v>14800</v>
      </c>
      <c r="U379" t="s">
        <v>1551</v>
      </c>
      <c r="V379" s="420">
        <v>9975</v>
      </c>
      <c r="W379" s="420">
        <v>2462</v>
      </c>
      <c r="X379" s="375">
        <v>0.2</v>
      </c>
    </row>
    <row r="380" spans="1:24" x14ac:dyDescent="0.25">
      <c r="A380" s="4">
        <v>191</v>
      </c>
      <c r="B380" s="4" t="s">
        <v>2250</v>
      </c>
      <c r="C380" s="6" t="s">
        <v>2249</v>
      </c>
      <c r="D380" s="6" t="s">
        <v>1638</v>
      </c>
      <c r="E380" s="21">
        <v>43865</v>
      </c>
      <c r="F380" s="4" t="s">
        <v>1461</v>
      </c>
      <c r="H380" s="4">
        <v>6490</v>
      </c>
      <c r="I380" s="4">
        <v>4429</v>
      </c>
      <c r="J380" s="4" t="s">
        <v>1257</v>
      </c>
      <c r="K380" s="6" t="s">
        <v>2145</v>
      </c>
      <c r="L380" s="4">
        <v>3</v>
      </c>
      <c r="M380" s="419">
        <v>3193</v>
      </c>
      <c r="N380" s="4" t="s">
        <v>2886</v>
      </c>
      <c r="O380" s="419">
        <v>3193</v>
      </c>
      <c r="P380" s="419">
        <v>3800</v>
      </c>
      <c r="Q380" s="419">
        <v>11400</v>
      </c>
      <c r="R380" s="26">
        <v>43865</v>
      </c>
      <c r="S380" s="4" t="s">
        <v>1501</v>
      </c>
      <c r="T380" s="419">
        <v>16300</v>
      </c>
      <c r="U380" t="s">
        <v>1545</v>
      </c>
      <c r="V380" s="420">
        <v>2100</v>
      </c>
      <c r="W380" s="420">
        <v>1093</v>
      </c>
      <c r="X380" s="375">
        <v>0.34</v>
      </c>
    </row>
    <row r="381" spans="1:24" x14ac:dyDescent="0.25">
      <c r="A381" s="4">
        <v>191</v>
      </c>
      <c r="B381" s="4" t="s">
        <v>1672</v>
      </c>
      <c r="C381" s="6" t="s">
        <v>5112</v>
      </c>
      <c r="D381" s="6" t="s">
        <v>1504</v>
      </c>
      <c r="E381" s="21">
        <v>43865</v>
      </c>
      <c r="F381" s="4" t="s">
        <v>1461</v>
      </c>
      <c r="H381" s="4">
        <v>6490</v>
      </c>
      <c r="I381" s="4">
        <v>4429</v>
      </c>
      <c r="J381" s="4" t="s">
        <v>1257</v>
      </c>
      <c r="K381" s="6" t="s">
        <v>2145</v>
      </c>
      <c r="L381" s="4">
        <v>1</v>
      </c>
      <c r="M381" s="419">
        <v>4118</v>
      </c>
      <c r="N381" s="441" t="s">
        <v>2886</v>
      </c>
      <c r="O381" s="419">
        <v>4118</v>
      </c>
      <c r="P381" s="419">
        <v>4900</v>
      </c>
      <c r="Q381" s="439">
        <v>4900</v>
      </c>
      <c r="R381" s="26">
        <v>43865</v>
      </c>
      <c r="S381" s="4" t="s">
        <v>1501</v>
      </c>
      <c r="T381" s="419">
        <v>16300</v>
      </c>
      <c r="U381" t="s">
        <v>1545</v>
      </c>
      <c r="V381" s="420">
        <v>2250</v>
      </c>
      <c r="W381" s="420">
        <v>1868</v>
      </c>
      <c r="X381" s="375">
        <v>0.45</v>
      </c>
    </row>
    <row r="382" spans="1:24" x14ac:dyDescent="0.25">
      <c r="A382" s="4">
        <v>189</v>
      </c>
      <c r="B382" s="4" t="s">
        <v>830</v>
      </c>
      <c r="C382" s="6" t="s">
        <v>2495</v>
      </c>
      <c r="D382" s="6" t="s">
        <v>837</v>
      </c>
      <c r="E382" s="21">
        <v>43865</v>
      </c>
      <c r="F382" s="4" t="s">
        <v>1461</v>
      </c>
      <c r="H382" s="4" t="s">
        <v>2528</v>
      </c>
      <c r="I382" s="4">
        <v>4427</v>
      </c>
      <c r="J382" s="4" t="s">
        <v>4462</v>
      </c>
      <c r="K382" s="6" t="s">
        <v>4463</v>
      </c>
      <c r="L382" s="4">
        <v>1</v>
      </c>
      <c r="M382" s="419">
        <v>13866</v>
      </c>
      <c r="N382" s="4" t="s">
        <v>2886</v>
      </c>
      <c r="O382" s="419">
        <v>13866</v>
      </c>
      <c r="P382" s="419">
        <v>16500</v>
      </c>
      <c r="Q382" s="419">
        <v>16500</v>
      </c>
      <c r="R382" s="26">
        <v>43851</v>
      </c>
      <c r="S382" s="4" t="s">
        <v>1501</v>
      </c>
      <c r="T382" s="419">
        <v>16500</v>
      </c>
      <c r="U382" t="s">
        <v>1572</v>
      </c>
      <c r="V382" s="420">
        <v>10390</v>
      </c>
      <c r="W382" s="420">
        <v>3476</v>
      </c>
      <c r="X382" s="375">
        <v>0.25</v>
      </c>
    </row>
    <row r="383" spans="1:24" x14ac:dyDescent="0.25">
      <c r="A383" s="4">
        <v>192</v>
      </c>
      <c r="B383" s="4" t="s">
        <v>1755</v>
      </c>
      <c r="C383" s="6" t="s">
        <v>1925</v>
      </c>
      <c r="D383" s="6" t="s">
        <v>1504</v>
      </c>
      <c r="E383" s="21">
        <v>43865</v>
      </c>
      <c r="F383" s="4" t="s">
        <v>1461</v>
      </c>
      <c r="H383" s="4">
        <v>6491</v>
      </c>
      <c r="I383" s="4">
        <v>4430</v>
      </c>
      <c r="J383" s="4" t="s">
        <v>4471</v>
      </c>
      <c r="K383" s="6" t="s">
        <v>4873</v>
      </c>
      <c r="L383" s="4">
        <v>5</v>
      </c>
      <c r="M383" s="419">
        <v>2941</v>
      </c>
      <c r="N383" s="4" t="s">
        <v>2886</v>
      </c>
      <c r="O383" s="419">
        <v>2941</v>
      </c>
      <c r="P383" s="419">
        <v>3500</v>
      </c>
      <c r="Q383" s="419">
        <v>17500</v>
      </c>
      <c r="R383" s="26">
        <v>43865</v>
      </c>
      <c r="S383" s="4" t="s">
        <v>1501</v>
      </c>
      <c r="T383" s="419">
        <v>36500</v>
      </c>
      <c r="U383" t="s">
        <v>1545</v>
      </c>
      <c r="V383" s="420">
        <v>2119</v>
      </c>
      <c r="W383" s="420">
        <v>822</v>
      </c>
      <c r="X383" s="375">
        <v>0.28000000000000003</v>
      </c>
    </row>
    <row r="384" spans="1:24" x14ac:dyDescent="0.25">
      <c r="A384" s="4">
        <v>192</v>
      </c>
      <c r="B384" s="4" t="s">
        <v>1516</v>
      </c>
      <c r="C384" s="6" t="s">
        <v>1737</v>
      </c>
      <c r="D384" s="6" t="s">
        <v>1504</v>
      </c>
      <c r="E384" s="21">
        <v>43865</v>
      </c>
      <c r="F384" s="4" t="s">
        <v>1461</v>
      </c>
      <c r="H384" s="4">
        <v>6491</v>
      </c>
      <c r="I384" s="4">
        <v>4430</v>
      </c>
      <c r="J384" s="4" t="s">
        <v>4471</v>
      </c>
      <c r="K384" s="6" t="s">
        <v>4873</v>
      </c>
      <c r="L384" s="4">
        <v>5</v>
      </c>
      <c r="M384" s="419">
        <v>3193</v>
      </c>
      <c r="N384" s="4" t="s">
        <v>2886</v>
      </c>
      <c r="O384" s="419">
        <v>3193</v>
      </c>
      <c r="P384" s="419">
        <v>3800</v>
      </c>
      <c r="Q384" s="419">
        <v>19000</v>
      </c>
      <c r="R384" s="26">
        <v>43865</v>
      </c>
      <c r="S384" s="4" t="s">
        <v>1501</v>
      </c>
      <c r="T384" s="419">
        <v>36500</v>
      </c>
      <c r="U384" t="s">
        <v>1545</v>
      </c>
      <c r="V384" s="420">
        <v>2195</v>
      </c>
      <c r="W384" s="420">
        <v>998</v>
      </c>
      <c r="X384" s="375">
        <v>0.31</v>
      </c>
    </row>
    <row r="385" spans="1:24" x14ac:dyDescent="0.25">
      <c r="A385" s="4">
        <v>188</v>
      </c>
      <c r="B385" s="4" t="s">
        <v>792</v>
      </c>
      <c r="C385" s="6" t="s">
        <v>1928</v>
      </c>
      <c r="D385" s="6" t="s">
        <v>794</v>
      </c>
      <c r="E385" s="21">
        <v>43865</v>
      </c>
      <c r="F385" s="4" t="s">
        <v>1461</v>
      </c>
      <c r="H385" s="4" t="s">
        <v>2528</v>
      </c>
      <c r="I385" s="4">
        <v>4426</v>
      </c>
      <c r="J385" s="4" t="s">
        <v>1216</v>
      </c>
      <c r="K385" s="6" t="s">
        <v>2209</v>
      </c>
      <c r="L385" s="4">
        <v>2</v>
      </c>
      <c r="M385" s="419">
        <v>20084</v>
      </c>
      <c r="N385" s="4" t="s">
        <v>2886</v>
      </c>
      <c r="O385" s="419">
        <v>20084</v>
      </c>
      <c r="P385" s="419">
        <v>23900</v>
      </c>
      <c r="Q385" s="419">
        <v>47800</v>
      </c>
      <c r="R385" s="26">
        <v>43840</v>
      </c>
      <c r="S385" s="4" t="s">
        <v>1501</v>
      </c>
      <c r="T385" s="419">
        <v>47800</v>
      </c>
      <c r="U385" t="s">
        <v>1551</v>
      </c>
      <c r="V385" s="420">
        <v>14604</v>
      </c>
      <c r="W385" s="420">
        <v>5480</v>
      </c>
      <c r="X385" s="375">
        <v>0.27</v>
      </c>
    </row>
    <row r="386" spans="1:24" x14ac:dyDescent="0.25">
      <c r="A386" s="4">
        <v>193</v>
      </c>
      <c r="B386" s="4" t="s">
        <v>845</v>
      </c>
      <c r="C386" s="6" t="s">
        <v>2199</v>
      </c>
      <c r="D386" s="6" t="s">
        <v>2198</v>
      </c>
      <c r="E386" s="21">
        <v>43865</v>
      </c>
      <c r="F386" s="4" t="s">
        <v>1461</v>
      </c>
      <c r="H386" s="4">
        <v>6492</v>
      </c>
      <c r="I386" s="4">
        <v>4431</v>
      </c>
      <c r="J386" s="4" t="s">
        <v>1419</v>
      </c>
      <c r="K386" s="6" t="s">
        <v>1119</v>
      </c>
      <c r="L386" s="4">
        <v>1</v>
      </c>
      <c r="M386" s="419">
        <v>19748</v>
      </c>
      <c r="N386" s="4" t="s">
        <v>2886</v>
      </c>
      <c r="O386" s="419">
        <v>19748</v>
      </c>
      <c r="P386" s="419">
        <v>23500</v>
      </c>
      <c r="Q386" s="419">
        <v>23500</v>
      </c>
      <c r="R386" s="26">
        <v>43865</v>
      </c>
      <c r="S386" s="4" t="s">
        <v>1501</v>
      </c>
      <c r="T386" s="419">
        <v>23500</v>
      </c>
      <c r="U386" t="s">
        <v>1572</v>
      </c>
      <c r="V386" s="420">
        <v>14853</v>
      </c>
      <c r="W386" s="420">
        <v>4895</v>
      </c>
      <c r="X386" s="375">
        <v>0.25</v>
      </c>
    </row>
    <row r="387" spans="1:24" x14ac:dyDescent="0.25">
      <c r="A387" s="4">
        <v>195</v>
      </c>
      <c r="B387" s="4" t="s">
        <v>2303</v>
      </c>
      <c r="C387" s="6" t="s">
        <v>2205</v>
      </c>
      <c r="D387" s="6" t="s">
        <v>2197</v>
      </c>
      <c r="E387" s="21">
        <v>43866</v>
      </c>
      <c r="F387" s="4" t="s">
        <v>925</v>
      </c>
      <c r="H387" s="4">
        <v>1039080</v>
      </c>
      <c r="I387" s="4">
        <v>4433</v>
      </c>
      <c r="J387" s="4" t="s">
        <v>1175</v>
      </c>
      <c r="K387" s="6" t="s">
        <v>1144</v>
      </c>
      <c r="L387" s="4">
        <v>3</v>
      </c>
      <c r="M387" s="422">
        <v>4366</v>
      </c>
      <c r="N387" s="374">
        <v>0.05</v>
      </c>
      <c r="O387" s="422">
        <v>4158</v>
      </c>
      <c r="P387" s="422">
        <v>4935</v>
      </c>
      <c r="Q387" s="422">
        <v>14805</v>
      </c>
      <c r="R387" s="26">
        <v>43866</v>
      </c>
      <c r="S387" s="4" t="s">
        <v>2050</v>
      </c>
      <c r="T387" s="422">
        <v>211217</v>
      </c>
      <c r="U387" t="s">
        <v>1572</v>
      </c>
      <c r="V387" s="423">
        <v>3152</v>
      </c>
      <c r="W387" s="423">
        <v>1006</v>
      </c>
      <c r="X387" s="375">
        <v>0.24</v>
      </c>
    </row>
    <row r="388" spans="1:24" x14ac:dyDescent="0.25">
      <c r="A388" s="4">
        <v>195</v>
      </c>
      <c r="B388" s="4" t="s">
        <v>1471</v>
      </c>
      <c r="C388" s="6" t="s">
        <v>1655</v>
      </c>
      <c r="D388" s="6" t="s">
        <v>1469</v>
      </c>
      <c r="E388" s="21">
        <v>43866</v>
      </c>
      <c r="F388" s="4" t="s">
        <v>925</v>
      </c>
      <c r="H388" s="4">
        <v>1039080</v>
      </c>
      <c r="I388" s="4">
        <v>4433</v>
      </c>
      <c r="J388" s="4" t="s">
        <v>1175</v>
      </c>
      <c r="K388" s="6" t="s">
        <v>1144</v>
      </c>
      <c r="L388" s="4">
        <v>18</v>
      </c>
      <c r="M388" s="422">
        <v>880</v>
      </c>
      <c r="N388" s="374">
        <v>0.05</v>
      </c>
      <c r="O388" s="422">
        <v>838</v>
      </c>
      <c r="P388" s="422">
        <v>994</v>
      </c>
      <c r="Q388" s="422">
        <v>17892</v>
      </c>
      <c r="R388" s="26">
        <v>43866</v>
      </c>
      <c r="S388" s="4" t="s">
        <v>2050</v>
      </c>
      <c r="T388" s="422">
        <v>211217</v>
      </c>
      <c r="U388" t="s">
        <v>1570</v>
      </c>
      <c r="V388" s="423">
        <v>635</v>
      </c>
      <c r="W388" s="423">
        <v>203</v>
      </c>
      <c r="X388" s="375">
        <v>0.24</v>
      </c>
    </row>
    <row r="389" spans="1:24" x14ac:dyDescent="0.25">
      <c r="A389" s="4">
        <v>195</v>
      </c>
      <c r="B389" s="4" t="s">
        <v>1472</v>
      </c>
      <c r="C389" s="6" t="s">
        <v>1656</v>
      </c>
      <c r="D389" s="6" t="s">
        <v>1469</v>
      </c>
      <c r="E389" s="21">
        <v>43866</v>
      </c>
      <c r="F389" s="4" t="s">
        <v>925</v>
      </c>
      <c r="H389" s="4">
        <v>1039080</v>
      </c>
      <c r="I389" s="4">
        <v>4433</v>
      </c>
      <c r="J389" s="4" t="s">
        <v>1175</v>
      </c>
      <c r="K389" s="6" t="s">
        <v>1144</v>
      </c>
      <c r="L389" s="4">
        <v>16</v>
      </c>
      <c r="M389" s="422">
        <v>1676</v>
      </c>
      <c r="N389" s="374">
        <v>0.05</v>
      </c>
      <c r="O389" s="422">
        <v>1596</v>
      </c>
      <c r="P389" s="422">
        <v>1895</v>
      </c>
      <c r="Q389" s="422">
        <v>30320</v>
      </c>
      <c r="R389" s="26">
        <v>43866</v>
      </c>
      <c r="S389" s="4" t="s">
        <v>2050</v>
      </c>
      <c r="T389" s="422">
        <v>211217</v>
      </c>
      <c r="U389" t="s">
        <v>1570</v>
      </c>
      <c r="V389" s="423">
        <v>1210</v>
      </c>
      <c r="W389" s="423">
        <v>386</v>
      </c>
      <c r="X389" s="375">
        <v>0.24</v>
      </c>
    </row>
    <row r="390" spans="1:24" x14ac:dyDescent="0.25">
      <c r="A390" s="4">
        <v>195</v>
      </c>
      <c r="B390" s="4" t="s">
        <v>1473</v>
      </c>
      <c r="C390" s="6" t="s">
        <v>1657</v>
      </c>
      <c r="D390" s="6" t="s">
        <v>1469</v>
      </c>
      <c r="E390" s="21">
        <v>43866</v>
      </c>
      <c r="F390" s="4" t="s">
        <v>925</v>
      </c>
      <c r="H390" s="4">
        <v>1039080</v>
      </c>
      <c r="I390" s="4">
        <v>4433</v>
      </c>
      <c r="J390" s="4" t="s">
        <v>1175</v>
      </c>
      <c r="K390" s="6" t="s">
        <v>1144</v>
      </c>
      <c r="L390" s="4">
        <v>2</v>
      </c>
      <c r="M390" s="422">
        <v>13643</v>
      </c>
      <c r="N390" s="374">
        <v>0.1</v>
      </c>
      <c r="O390" s="422">
        <v>12431</v>
      </c>
      <c r="P390" s="422">
        <v>14652</v>
      </c>
      <c r="Q390" s="422">
        <v>29304</v>
      </c>
      <c r="R390" s="26">
        <v>43866</v>
      </c>
      <c r="S390" s="4" t="s">
        <v>2050</v>
      </c>
      <c r="T390" s="422">
        <v>211217</v>
      </c>
      <c r="U390" t="s">
        <v>1570</v>
      </c>
      <c r="V390" s="423">
        <v>9850</v>
      </c>
      <c r="W390" s="423">
        <v>2581</v>
      </c>
      <c r="X390" s="375">
        <v>0.21</v>
      </c>
    </row>
    <row r="391" spans="1:24" x14ac:dyDescent="0.25">
      <c r="A391" s="4">
        <v>194</v>
      </c>
      <c r="B391" s="4" t="s">
        <v>838</v>
      </c>
      <c r="C391" s="6" t="s">
        <v>2062</v>
      </c>
      <c r="D391" s="6" t="s">
        <v>840</v>
      </c>
      <c r="E391" s="21">
        <v>43866</v>
      </c>
      <c r="F391" s="4" t="s">
        <v>1461</v>
      </c>
      <c r="H391" s="4">
        <v>6493</v>
      </c>
      <c r="I391" s="4">
        <v>4432</v>
      </c>
      <c r="J391" s="4" t="s">
        <v>1214</v>
      </c>
      <c r="K391" s="6" t="s">
        <v>2143</v>
      </c>
      <c r="L391" s="4">
        <v>1</v>
      </c>
      <c r="M391" s="422">
        <v>16555</v>
      </c>
      <c r="N391" s="587" t="s">
        <v>2886</v>
      </c>
      <c r="O391" s="422">
        <v>16555</v>
      </c>
      <c r="P391" s="422">
        <v>19700</v>
      </c>
      <c r="Q391" s="422">
        <v>19700</v>
      </c>
      <c r="R391" s="26">
        <v>43866</v>
      </c>
      <c r="S391" s="4" t="s">
        <v>2050</v>
      </c>
      <c r="T391" s="422">
        <v>19700</v>
      </c>
      <c r="U391" t="s">
        <v>1572</v>
      </c>
      <c r="V391" s="423">
        <v>12429</v>
      </c>
      <c r="W391" s="423">
        <v>4126</v>
      </c>
      <c r="X391" s="375">
        <v>0.25</v>
      </c>
    </row>
    <row r="392" spans="1:24" x14ac:dyDescent="0.25">
      <c r="A392" s="4">
        <v>199</v>
      </c>
      <c r="B392" s="4" t="s">
        <v>855</v>
      </c>
      <c r="C392" s="6" t="s">
        <v>2499</v>
      </c>
      <c r="D392" s="6" t="s">
        <v>857</v>
      </c>
      <c r="E392" s="21">
        <v>43866</v>
      </c>
      <c r="F392" s="4" t="s">
        <v>1461</v>
      </c>
      <c r="H392" s="4">
        <v>6494</v>
      </c>
      <c r="I392" s="4">
        <v>4437</v>
      </c>
      <c r="J392" s="4" t="s">
        <v>3236</v>
      </c>
      <c r="K392" s="6" t="s">
        <v>3237</v>
      </c>
      <c r="L392" s="4">
        <v>1</v>
      </c>
      <c r="M392" s="422">
        <v>13277</v>
      </c>
      <c r="N392" s="587" t="s">
        <v>2886</v>
      </c>
      <c r="O392" s="422">
        <v>13277</v>
      </c>
      <c r="P392" s="422">
        <v>15800</v>
      </c>
      <c r="Q392" s="422">
        <v>15800</v>
      </c>
      <c r="R392" s="26">
        <v>43867</v>
      </c>
      <c r="S392" s="4" t="s">
        <v>1501</v>
      </c>
      <c r="T392" s="422">
        <v>15800</v>
      </c>
      <c r="U392" t="s">
        <v>1551</v>
      </c>
      <c r="V392" s="423">
        <v>9975</v>
      </c>
      <c r="W392" s="423">
        <v>3302</v>
      </c>
      <c r="X392" s="375">
        <v>0.25</v>
      </c>
    </row>
    <row r="393" spans="1:24" x14ac:dyDescent="0.25">
      <c r="A393" s="4">
        <v>200</v>
      </c>
      <c r="B393" s="4" t="s">
        <v>38</v>
      </c>
      <c r="C393" s="6" t="s">
        <v>2856</v>
      </c>
      <c r="D393" s="6" t="s">
        <v>1693</v>
      </c>
      <c r="E393" s="21">
        <v>43866</v>
      </c>
      <c r="F393" s="4" t="s">
        <v>925</v>
      </c>
      <c r="H393" s="4" t="s">
        <v>2528</v>
      </c>
      <c r="I393" s="4">
        <v>4438</v>
      </c>
      <c r="J393" s="4" t="s">
        <v>1179</v>
      </c>
      <c r="K393" s="6" t="s">
        <v>952</v>
      </c>
      <c r="L393" s="4">
        <v>6</v>
      </c>
      <c r="M393" s="422">
        <v>3248</v>
      </c>
      <c r="N393" s="374">
        <v>0.09</v>
      </c>
      <c r="O393" s="422">
        <v>2980</v>
      </c>
      <c r="P393" s="422">
        <v>3517</v>
      </c>
      <c r="Q393" s="422">
        <v>21102</v>
      </c>
      <c r="R393" s="26">
        <v>43866</v>
      </c>
      <c r="S393" s="4" t="s">
        <v>2050</v>
      </c>
      <c r="T393" s="422">
        <v>21103</v>
      </c>
      <c r="U393" t="s">
        <v>1563</v>
      </c>
      <c r="V393" s="423">
        <v>2345</v>
      </c>
      <c r="W393" s="423">
        <v>635</v>
      </c>
      <c r="X393" s="375">
        <v>0.21</v>
      </c>
    </row>
    <row r="394" spans="1:24" x14ac:dyDescent="0.25">
      <c r="A394" s="4">
        <v>198</v>
      </c>
      <c r="B394" s="4" t="s">
        <v>226</v>
      </c>
      <c r="C394" s="6" t="s">
        <v>2244</v>
      </c>
      <c r="D394" s="6" t="s">
        <v>1690</v>
      </c>
      <c r="E394" s="21">
        <v>43866</v>
      </c>
      <c r="F394" s="4" t="s">
        <v>925</v>
      </c>
      <c r="H394" s="4" t="s">
        <v>2528</v>
      </c>
      <c r="I394" s="4">
        <v>4436</v>
      </c>
      <c r="J394" s="4" t="s">
        <v>1178</v>
      </c>
      <c r="K394" s="6" t="s">
        <v>950</v>
      </c>
      <c r="L394" s="4">
        <v>12</v>
      </c>
      <c r="M394" s="422">
        <v>1219</v>
      </c>
      <c r="N394" s="374">
        <v>0.1</v>
      </c>
      <c r="O394" s="422">
        <v>1111</v>
      </c>
      <c r="P394" s="422">
        <v>1309</v>
      </c>
      <c r="Q394" s="422">
        <v>15708</v>
      </c>
      <c r="R394" s="26">
        <v>43866</v>
      </c>
      <c r="S394" s="4" t="s">
        <v>2050</v>
      </c>
      <c r="T394" s="422">
        <v>51583</v>
      </c>
      <c r="U394" t="s">
        <v>1626</v>
      </c>
      <c r="V394" s="423">
        <v>816</v>
      </c>
      <c r="W394" s="423">
        <v>295</v>
      </c>
      <c r="X394" s="375">
        <v>0.27</v>
      </c>
    </row>
    <row r="395" spans="1:24" x14ac:dyDescent="0.25">
      <c r="A395" s="4">
        <v>198</v>
      </c>
      <c r="B395" s="4" t="s">
        <v>5081</v>
      </c>
      <c r="C395" s="6" t="s">
        <v>5242</v>
      </c>
      <c r="D395" s="6" t="s">
        <v>4570</v>
      </c>
      <c r="E395" s="21">
        <v>43866</v>
      </c>
      <c r="F395" s="4" t="s">
        <v>925</v>
      </c>
      <c r="H395" s="4" t="s">
        <v>2528</v>
      </c>
      <c r="I395" s="4">
        <v>4436</v>
      </c>
      <c r="J395" s="4" t="s">
        <v>1178</v>
      </c>
      <c r="K395" s="6" t="s">
        <v>950</v>
      </c>
      <c r="L395" s="4">
        <v>30</v>
      </c>
      <c r="M395" s="422">
        <v>817</v>
      </c>
      <c r="N395" s="374">
        <v>0.1</v>
      </c>
      <c r="O395" s="422">
        <v>744</v>
      </c>
      <c r="P395" s="422">
        <v>877</v>
      </c>
      <c r="Q395" s="422">
        <v>26310</v>
      </c>
      <c r="R395" s="26">
        <v>43866</v>
      </c>
      <c r="S395" s="4" t="s">
        <v>2050</v>
      </c>
      <c r="T395" s="422">
        <v>51583</v>
      </c>
      <c r="U395" t="s">
        <v>1563</v>
      </c>
      <c r="V395" s="423">
        <v>510</v>
      </c>
      <c r="W395" s="423">
        <v>234</v>
      </c>
      <c r="X395" s="375">
        <v>0.31</v>
      </c>
    </row>
    <row r="396" spans="1:24" x14ac:dyDescent="0.25">
      <c r="A396" s="4">
        <v>198</v>
      </c>
      <c r="B396" s="4" t="s">
        <v>30</v>
      </c>
      <c r="C396" s="6" t="s">
        <v>5241</v>
      </c>
      <c r="D396" s="6" t="s">
        <v>33</v>
      </c>
      <c r="E396" s="21">
        <v>43866</v>
      </c>
      <c r="F396" s="4" t="s">
        <v>925</v>
      </c>
      <c r="H396" s="4" t="s">
        <v>2528</v>
      </c>
      <c r="I396" s="4">
        <v>4436</v>
      </c>
      <c r="J396" s="4" t="s">
        <v>1178</v>
      </c>
      <c r="K396" s="6" t="s">
        <v>950</v>
      </c>
      <c r="L396" s="4">
        <v>12</v>
      </c>
      <c r="M396" s="422">
        <v>741</v>
      </c>
      <c r="N396" s="374">
        <v>0.1</v>
      </c>
      <c r="O396" s="422">
        <v>675</v>
      </c>
      <c r="P396" s="422">
        <v>796</v>
      </c>
      <c r="Q396" s="422">
        <v>9552</v>
      </c>
      <c r="R396" s="26">
        <v>43866</v>
      </c>
      <c r="S396" s="4" t="s">
        <v>2050</v>
      </c>
      <c r="T396" s="422">
        <v>51583</v>
      </c>
      <c r="U396" t="s">
        <v>1563</v>
      </c>
      <c r="V396" s="423">
        <v>535</v>
      </c>
      <c r="W396" s="423">
        <v>140</v>
      </c>
      <c r="X396" s="375">
        <v>0.21</v>
      </c>
    </row>
    <row r="397" spans="1:24" x14ac:dyDescent="0.25">
      <c r="A397" s="4">
        <v>197</v>
      </c>
      <c r="B397" s="4" t="s">
        <v>1685</v>
      </c>
      <c r="C397" s="6" t="s">
        <v>2666</v>
      </c>
      <c r="D397" s="6" t="s">
        <v>661</v>
      </c>
      <c r="E397" s="21">
        <v>43866</v>
      </c>
      <c r="F397" s="4" t="s">
        <v>925</v>
      </c>
      <c r="H397" s="4">
        <v>1039082</v>
      </c>
      <c r="I397" s="4">
        <v>4435</v>
      </c>
      <c r="J397" s="4" t="s">
        <v>1175</v>
      </c>
      <c r="K397" s="6" t="s">
        <v>1144</v>
      </c>
      <c r="L397" s="4">
        <v>24</v>
      </c>
      <c r="M397" s="422">
        <v>748</v>
      </c>
      <c r="N397" s="587" t="s">
        <v>2886</v>
      </c>
      <c r="O397" s="422">
        <v>748</v>
      </c>
      <c r="P397" s="422">
        <v>890</v>
      </c>
      <c r="Q397" s="422">
        <v>21360</v>
      </c>
      <c r="R397" s="26">
        <v>43866</v>
      </c>
      <c r="S397" s="4" t="s">
        <v>2050</v>
      </c>
      <c r="T397" s="422">
        <v>340475</v>
      </c>
      <c r="U397" t="s">
        <v>1739</v>
      </c>
      <c r="V397" s="423">
        <v>540</v>
      </c>
      <c r="W397" s="423">
        <v>208</v>
      </c>
      <c r="X397" s="375">
        <v>0.28000000000000003</v>
      </c>
    </row>
    <row r="398" spans="1:24" x14ac:dyDescent="0.25">
      <c r="A398" s="4">
        <v>195</v>
      </c>
      <c r="B398" s="4" t="s">
        <v>841</v>
      </c>
      <c r="C398" s="6" t="s">
        <v>2061</v>
      </c>
      <c r="D398" s="6" t="s">
        <v>840</v>
      </c>
      <c r="E398" s="21">
        <v>43866</v>
      </c>
      <c r="F398" s="4" t="s">
        <v>925</v>
      </c>
      <c r="H398" s="4">
        <v>1039080</v>
      </c>
      <c r="I398" s="4">
        <v>4433</v>
      </c>
      <c r="J398" s="4" t="s">
        <v>1175</v>
      </c>
      <c r="K398" s="6" t="s">
        <v>1144</v>
      </c>
      <c r="L398" s="4">
        <v>3</v>
      </c>
      <c r="M398" s="422">
        <v>7540</v>
      </c>
      <c r="N398" s="374">
        <v>0.05</v>
      </c>
      <c r="O398" s="422">
        <v>7181</v>
      </c>
      <c r="P398" s="422">
        <v>8524</v>
      </c>
      <c r="Q398" s="422">
        <v>25572</v>
      </c>
      <c r="R398" s="26">
        <v>43866</v>
      </c>
      <c r="S398" s="4" t="s">
        <v>2050</v>
      </c>
      <c r="T398" s="422">
        <v>211217</v>
      </c>
      <c r="U398" t="s">
        <v>1572</v>
      </c>
      <c r="V398" s="423">
        <v>5444</v>
      </c>
      <c r="W398" s="423">
        <v>1737</v>
      </c>
      <c r="X398" s="375">
        <v>0.24</v>
      </c>
    </row>
    <row r="399" spans="1:24" x14ac:dyDescent="0.25">
      <c r="A399" s="4">
        <v>195</v>
      </c>
      <c r="B399" s="4" t="s">
        <v>1964</v>
      </c>
      <c r="C399" s="6" t="s">
        <v>2202</v>
      </c>
      <c r="D399" s="6" t="s">
        <v>2198</v>
      </c>
      <c r="E399" s="21">
        <v>43866</v>
      </c>
      <c r="F399" s="4" t="s">
        <v>925</v>
      </c>
      <c r="H399" s="4">
        <v>1039080</v>
      </c>
      <c r="I399" s="4">
        <v>4433</v>
      </c>
      <c r="J399" s="4" t="s">
        <v>1175</v>
      </c>
      <c r="K399" s="6" t="s">
        <v>1144</v>
      </c>
      <c r="L399" s="4">
        <v>20</v>
      </c>
      <c r="M399" s="422">
        <v>1078</v>
      </c>
      <c r="N399" s="374">
        <v>0.05</v>
      </c>
      <c r="O399" s="422">
        <v>1027</v>
      </c>
      <c r="P399" s="422">
        <v>1218</v>
      </c>
      <c r="Q399" s="422">
        <v>24360</v>
      </c>
      <c r="R399" s="26">
        <v>43866</v>
      </c>
      <c r="S399" s="4" t="s">
        <v>2050</v>
      </c>
      <c r="T399" s="422">
        <v>211217</v>
      </c>
      <c r="U399" t="s">
        <v>1572</v>
      </c>
      <c r="V399" s="423">
        <v>778</v>
      </c>
      <c r="W399" s="423">
        <v>249</v>
      </c>
      <c r="X399" s="375">
        <v>0.24</v>
      </c>
    </row>
    <row r="400" spans="1:24" x14ac:dyDescent="0.25">
      <c r="A400" s="4">
        <v>195</v>
      </c>
      <c r="B400" s="4" t="s">
        <v>847</v>
      </c>
      <c r="C400" s="6" t="s">
        <v>2201</v>
      </c>
      <c r="D400" s="6" t="s">
        <v>2198</v>
      </c>
      <c r="E400" s="21">
        <v>43866</v>
      </c>
      <c r="F400" s="4" t="s">
        <v>925</v>
      </c>
      <c r="H400" s="4">
        <v>1039080</v>
      </c>
      <c r="I400" s="4">
        <v>4433</v>
      </c>
      <c r="J400" s="4" t="s">
        <v>1175</v>
      </c>
      <c r="K400" s="6" t="s">
        <v>1144</v>
      </c>
      <c r="L400" s="4">
        <v>2</v>
      </c>
      <c r="M400" s="422">
        <v>8914</v>
      </c>
      <c r="N400" s="374">
        <v>0.05</v>
      </c>
      <c r="O400" s="422">
        <v>8490</v>
      </c>
      <c r="P400" s="422">
        <v>10077</v>
      </c>
      <c r="Q400" s="422">
        <v>20154</v>
      </c>
      <c r="R400" s="26">
        <v>43866</v>
      </c>
      <c r="S400" s="4" t="s">
        <v>2050</v>
      </c>
      <c r="T400" s="422">
        <v>211217</v>
      </c>
      <c r="U400" t="s">
        <v>1572</v>
      </c>
      <c r="V400" s="423">
        <v>6436</v>
      </c>
      <c r="W400" s="423">
        <v>2054</v>
      </c>
      <c r="X400" s="375">
        <v>0.24</v>
      </c>
    </row>
    <row r="401" spans="1:24" x14ac:dyDescent="0.25">
      <c r="A401" s="4">
        <v>197</v>
      </c>
      <c r="B401" s="4" t="s">
        <v>254</v>
      </c>
      <c r="C401" s="6" t="s">
        <v>2586</v>
      </c>
      <c r="D401" s="6" t="s">
        <v>2792</v>
      </c>
      <c r="E401" s="21">
        <v>43866</v>
      </c>
      <c r="F401" s="4" t="s">
        <v>925</v>
      </c>
      <c r="H401" s="4">
        <v>1039082</v>
      </c>
      <c r="I401" s="4">
        <v>4435</v>
      </c>
      <c r="J401" s="4" t="s">
        <v>1175</v>
      </c>
      <c r="K401" s="6" t="s">
        <v>1144</v>
      </c>
      <c r="L401" s="4">
        <v>24</v>
      </c>
      <c r="M401" s="422">
        <v>273</v>
      </c>
      <c r="N401" s="374">
        <v>-0.06</v>
      </c>
      <c r="O401" s="422">
        <v>291</v>
      </c>
      <c r="P401" s="422">
        <v>345</v>
      </c>
      <c r="Q401" s="422">
        <v>8280</v>
      </c>
      <c r="R401" s="26">
        <v>43866</v>
      </c>
      <c r="S401" s="4" t="s">
        <v>2050</v>
      </c>
      <c r="T401" s="422">
        <v>340475</v>
      </c>
      <c r="U401" t="s">
        <v>2755</v>
      </c>
      <c r="V401" s="423">
        <v>197</v>
      </c>
      <c r="W401" s="423">
        <v>94</v>
      </c>
      <c r="X401" s="375">
        <v>0.32</v>
      </c>
    </row>
    <row r="402" spans="1:24" x14ac:dyDescent="0.25">
      <c r="A402" s="4">
        <v>197</v>
      </c>
      <c r="B402" s="4" t="s">
        <v>258</v>
      </c>
      <c r="C402" s="6" t="s">
        <v>2818</v>
      </c>
      <c r="D402" s="6" t="s">
        <v>2792</v>
      </c>
      <c r="E402" s="21">
        <v>43866</v>
      </c>
      <c r="F402" s="4" t="s">
        <v>925</v>
      </c>
      <c r="H402" s="4">
        <v>1039082</v>
      </c>
      <c r="I402" s="4">
        <v>4435</v>
      </c>
      <c r="J402" s="4" t="s">
        <v>1175</v>
      </c>
      <c r="K402" s="6" t="s">
        <v>1144</v>
      </c>
      <c r="L402" s="4">
        <v>24</v>
      </c>
      <c r="M402" s="422">
        <v>314</v>
      </c>
      <c r="N402" s="374">
        <v>-0.06</v>
      </c>
      <c r="O402" s="422">
        <v>334</v>
      </c>
      <c r="P402" s="422">
        <v>396</v>
      </c>
      <c r="Q402" s="422">
        <v>9504</v>
      </c>
      <c r="R402" s="26">
        <v>43866</v>
      </c>
      <c r="S402" s="4" t="s">
        <v>2050</v>
      </c>
      <c r="T402" s="422">
        <v>340475</v>
      </c>
      <c r="U402" t="s">
        <v>2755</v>
      </c>
      <c r="V402" s="423">
        <v>227</v>
      </c>
      <c r="W402" s="423">
        <v>107</v>
      </c>
      <c r="X402" s="375">
        <v>0.32</v>
      </c>
    </row>
    <row r="403" spans="1:24" x14ac:dyDescent="0.25">
      <c r="A403" s="4">
        <v>197</v>
      </c>
      <c r="B403" s="4" t="s">
        <v>260</v>
      </c>
      <c r="C403" s="6" t="s">
        <v>2820</v>
      </c>
      <c r="D403" s="6" t="s">
        <v>2792</v>
      </c>
      <c r="E403" s="21">
        <v>43866</v>
      </c>
      <c r="F403" s="4" t="s">
        <v>925</v>
      </c>
      <c r="H403" s="4">
        <v>1039082</v>
      </c>
      <c r="I403" s="4">
        <v>4435</v>
      </c>
      <c r="J403" s="4" t="s">
        <v>1175</v>
      </c>
      <c r="K403" s="6" t="s">
        <v>1144</v>
      </c>
      <c r="L403" s="4">
        <v>24</v>
      </c>
      <c r="M403" s="422">
        <v>314</v>
      </c>
      <c r="N403" s="374">
        <v>-0.06</v>
      </c>
      <c r="O403" s="422">
        <v>334</v>
      </c>
      <c r="P403" s="422">
        <v>397</v>
      </c>
      <c r="Q403" s="422">
        <v>9528</v>
      </c>
      <c r="R403" s="26">
        <v>43866</v>
      </c>
      <c r="S403" s="4" t="s">
        <v>2050</v>
      </c>
      <c r="T403" s="422">
        <v>340475</v>
      </c>
      <c r="U403" t="s">
        <v>2755</v>
      </c>
      <c r="V403" s="423">
        <v>227</v>
      </c>
      <c r="W403" s="423">
        <v>107</v>
      </c>
      <c r="X403" s="375">
        <v>0.32</v>
      </c>
    </row>
    <row r="404" spans="1:24" x14ac:dyDescent="0.25">
      <c r="A404" s="4">
        <v>197</v>
      </c>
      <c r="B404" s="4" t="s">
        <v>257</v>
      </c>
      <c r="C404" s="6" t="s">
        <v>2589</v>
      </c>
      <c r="D404" s="6" t="s">
        <v>2792</v>
      </c>
      <c r="E404" s="21">
        <v>43866</v>
      </c>
      <c r="F404" s="4" t="s">
        <v>925</v>
      </c>
      <c r="H404" s="4">
        <v>1039082</v>
      </c>
      <c r="I404" s="4">
        <v>4435</v>
      </c>
      <c r="J404" s="4" t="s">
        <v>1175</v>
      </c>
      <c r="K404" s="6" t="s">
        <v>1144</v>
      </c>
      <c r="L404" s="4">
        <v>24</v>
      </c>
      <c r="M404" s="422">
        <v>314</v>
      </c>
      <c r="N404" s="374">
        <v>-0.06</v>
      </c>
      <c r="O404" s="422">
        <v>334</v>
      </c>
      <c r="P404" s="422">
        <v>396</v>
      </c>
      <c r="Q404" s="422">
        <v>9504</v>
      </c>
      <c r="R404" s="26">
        <v>43866</v>
      </c>
      <c r="S404" s="4" t="s">
        <v>2050</v>
      </c>
      <c r="T404" s="422">
        <v>340475</v>
      </c>
      <c r="U404" t="s">
        <v>2755</v>
      </c>
      <c r="V404" s="423">
        <v>227</v>
      </c>
      <c r="W404" s="423">
        <v>107</v>
      </c>
      <c r="X404" s="375">
        <v>0.32</v>
      </c>
    </row>
    <row r="405" spans="1:24" x14ac:dyDescent="0.25">
      <c r="A405" s="4">
        <v>197</v>
      </c>
      <c r="B405" s="4" t="s">
        <v>5281</v>
      </c>
      <c r="C405" s="6" t="s">
        <v>5305</v>
      </c>
      <c r="D405" s="6" t="s">
        <v>4636</v>
      </c>
      <c r="E405" s="21">
        <v>43866</v>
      </c>
      <c r="F405" s="4" t="s">
        <v>925</v>
      </c>
      <c r="H405" s="4">
        <v>1039082</v>
      </c>
      <c r="I405" s="4">
        <v>4435</v>
      </c>
      <c r="J405" s="4" t="s">
        <v>1175</v>
      </c>
      <c r="K405" s="6" t="s">
        <v>1144</v>
      </c>
      <c r="L405" s="4">
        <v>20</v>
      </c>
      <c r="M405" s="422">
        <v>4212</v>
      </c>
      <c r="N405" s="374">
        <v>0.05</v>
      </c>
      <c r="O405" s="422">
        <v>4007</v>
      </c>
      <c r="P405" s="422">
        <v>4756</v>
      </c>
      <c r="Q405" s="422">
        <v>95120</v>
      </c>
      <c r="R405" s="26">
        <v>43866</v>
      </c>
      <c r="S405" s="4" t="s">
        <v>2050</v>
      </c>
      <c r="T405" s="422">
        <v>340475</v>
      </c>
      <c r="U405" t="s">
        <v>4767</v>
      </c>
      <c r="V405" s="423">
        <v>2889</v>
      </c>
      <c r="W405" s="423">
        <v>1118</v>
      </c>
      <c r="X405" s="375">
        <v>0.28000000000000003</v>
      </c>
    </row>
    <row r="406" spans="1:24" x14ac:dyDescent="0.25">
      <c r="A406" s="4">
        <v>197</v>
      </c>
      <c r="B406" s="4" t="s">
        <v>5280</v>
      </c>
      <c r="C406" s="6" t="s">
        <v>5440</v>
      </c>
      <c r="D406" s="6" t="s">
        <v>4636</v>
      </c>
      <c r="E406" s="21">
        <v>43866</v>
      </c>
      <c r="F406" s="4" t="s">
        <v>925</v>
      </c>
      <c r="H406" s="4">
        <v>1039082</v>
      </c>
      <c r="I406" s="4">
        <v>4435</v>
      </c>
      <c r="J406" s="4" t="s">
        <v>1175</v>
      </c>
      <c r="K406" s="6" t="s">
        <v>1144</v>
      </c>
      <c r="L406" s="4">
        <v>20</v>
      </c>
      <c r="M406" s="422">
        <v>2688</v>
      </c>
      <c r="N406" s="374">
        <v>0.05</v>
      </c>
      <c r="O406" s="422">
        <v>2557</v>
      </c>
      <c r="P406" s="422">
        <v>3035</v>
      </c>
      <c r="Q406" s="422">
        <v>60700</v>
      </c>
      <c r="R406" s="26">
        <v>43866</v>
      </c>
      <c r="S406" s="4" t="s">
        <v>2050</v>
      </c>
      <c r="T406" s="422">
        <v>340475</v>
      </c>
      <c r="U406" t="s">
        <v>4767</v>
      </c>
      <c r="V406" s="423">
        <v>1844</v>
      </c>
      <c r="W406" s="423">
        <v>713</v>
      </c>
      <c r="X406" s="375">
        <v>0.28000000000000003</v>
      </c>
    </row>
    <row r="407" spans="1:24" x14ac:dyDescent="0.25">
      <c r="A407" s="4">
        <v>195</v>
      </c>
      <c r="B407" s="4" t="s">
        <v>830</v>
      </c>
      <c r="C407" s="6" t="s">
        <v>2495</v>
      </c>
      <c r="D407" s="6" t="s">
        <v>837</v>
      </c>
      <c r="E407" s="21">
        <v>43866</v>
      </c>
      <c r="F407" s="4" t="s">
        <v>925</v>
      </c>
      <c r="H407" s="4">
        <v>1039080</v>
      </c>
      <c r="I407" s="4">
        <v>4433</v>
      </c>
      <c r="J407" s="4" t="s">
        <v>1175</v>
      </c>
      <c r="K407" s="6" t="s">
        <v>1144</v>
      </c>
      <c r="L407" s="4">
        <v>3</v>
      </c>
      <c r="M407" s="422">
        <v>14391</v>
      </c>
      <c r="N407" s="374">
        <v>0.05</v>
      </c>
      <c r="O407" s="422">
        <v>13706</v>
      </c>
      <c r="P407" s="422">
        <v>16269</v>
      </c>
      <c r="Q407" s="422">
        <v>48807</v>
      </c>
      <c r="R407" s="26">
        <v>43866</v>
      </c>
      <c r="S407" s="4" t="s">
        <v>2050</v>
      </c>
      <c r="T407" s="422">
        <v>211217</v>
      </c>
      <c r="U407" t="s">
        <v>1572</v>
      </c>
      <c r="V407" s="423">
        <v>10390</v>
      </c>
      <c r="W407" s="423">
        <v>3316</v>
      </c>
      <c r="X407" s="375">
        <v>0.24</v>
      </c>
    </row>
    <row r="408" spans="1:24" x14ac:dyDescent="0.25">
      <c r="A408" s="4">
        <v>197</v>
      </c>
      <c r="B408" s="4" t="s">
        <v>179</v>
      </c>
      <c r="C408" s="6" t="s">
        <v>2301</v>
      </c>
      <c r="D408" s="6" t="s">
        <v>188</v>
      </c>
      <c r="E408" s="21">
        <v>43866</v>
      </c>
      <c r="F408" s="4" t="s">
        <v>925</v>
      </c>
      <c r="H408" s="4">
        <v>1039082</v>
      </c>
      <c r="I408" s="4">
        <v>4435</v>
      </c>
      <c r="J408" s="4" t="s">
        <v>1175</v>
      </c>
      <c r="K408" s="6" t="s">
        <v>1144</v>
      </c>
      <c r="L408" s="4">
        <v>12</v>
      </c>
      <c r="M408" s="422">
        <v>3601</v>
      </c>
      <c r="N408" s="374">
        <v>0.03</v>
      </c>
      <c r="O408" s="422">
        <v>3511</v>
      </c>
      <c r="P408" s="422">
        <v>4175</v>
      </c>
      <c r="Q408" s="422">
        <v>50100</v>
      </c>
      <c r="R408" s="26">
        <v>43866</v>
      </c>
      <c r="S408" s="4" t="s">
        <v>2050</v>
      </c>
      <c r="T408" s="422">
        <v>340475</v>
      </c>
      <c r="U408" t="s">
        <v>2822</v>
      </c>
      <c r="V408" s="423">
        <v>2600</v>
      </c>
      <c r="W408" s="423">
        <v>911</v>
      </c>
      <c r="X408" s="375">
        <v>0.26</v>
      </c>
    </row>
    <row r="409" spans="1:24" x14ac:dyDescent="0.25">
      <c r="A409" s="4">
        <v>197</v>
      </c>
      <c r="B409" s="4" t="s">
        <v>30</v>
      </c>
      <c r="C409" s="6" t="s">
        <v>5241</v>
      </c>
      <c r="D409" s="6" t="s">
        <v>33</v>
      </c>
      <c r="E409" s="21">
        <v>43866</v>
      </c>
      <c r="F409" s="4" t="s">
        <v>925</v>
      </c>
      <c r="H409" s="4">
        <v>1039082</v>
      </c>
      <c r="I409" s="4">
        <v>4435</v>
      </c>
      <c r="J409" s="4" t="s">
        <v>1175</v>
      </c>
      <c r="K409" s="6" t="s">
        <v>1144</v>
      </c>
      <c r="L409" s="4">
        <v>60</v>
      </c>
      <c r="M409" s="422">
        <v>741</v>
      </c>
      <c r="N409" s="374">
        <v>0.05</v>
      </c>
      <c r="O409" s="422">
        <v>709</v>
      </c>
      <c r="P409" s="422">
        <v>842</v>
      </c>
      <c r="Q409" s="422">
        <v>50520</v>
      </c>
      <c r="R409" s="26">
        <v>43866</v>
      </c>
      <c r="S409" s="4" t="s">
        <v>2050</v>
      </c>
      <c r="T409" s="422">
        <v>340475</v>
      </c>
      <c r="U409" t="s">
        <v>1563</v>
      </c>
      <c r="V409" s="423">
        <v>535</v>
      </c>
      <c r="W409" s="423">
        <v>174</v>
      </c>
      <c r="X409" s="375">
        <v>0.25</v>
      </c>
    </row>
    <row r="410" spans="1:24" x14ac:dyDescent="0.25">
      <c r="A410" s="4">
        <v>196</v>
      </c>
      <c r="B410" s="4" t="s">
        <v>1634</v>
      </c>
      <c r="C410" s="6" t="s">
        <v>3555</v>
      </c>
      <c r="D410" s="6" t="s">
        <v>661</v>
      </c>
      <c r="E410" s="21">
        <v>43866</v>
      </c>
      <c r="F410" s="4" t="s">
        <v>925</v>
      </c>
      <c r="H410" s="4">
        <v>1039083</v>
      </c>
      <c r="I410" s="4">
        <v>4434</v>
      </c>
      <c r="J410" s="4" t="s">
        <v>1175</v>
      </c>
      <c r="K410" s="6" t="s">
        <v>1144</v>
      </c>
      <c r="L410" s="4">
        <v>12</v>
      </c>
      <c r="M410" s="422">
        <v>1234</v>
      </c>
      <c r="N410" s="374">
        <v>-0.08</v>
      </c>
      <c r="O410" s="422">
        <v>1345</v>
      </c>
      <c r="P410" s="422">
        <v>1590</v>
      </c>
      <c r="Q410" s="422">
        <v>19080</v>
      </c>
      <c r="R410" s="26">
        <v>43866</v>
      </c>
      <c r="S410" s="4" t="s">
        <v>2050</v>
      </c>
      <c r="T410" s="422">
        <v>175277</v>
      </c>
      <c r="U410" t="s">
        <v>1739</v>
      </c>
      <c r="V410" s="423">
        <v>891</v>
      </c>
      <c r="W410" s="423">
        <v>454</v>
      </c>
      <c r="X410" s="375">
        <v>0.34</v>
      </c>
    </row>
    <row r="411" spans="1:24" x14ac:dyDescent="0.25">
      <c r="A411" s="4">
        <v>196</v>
      </c>
      <c r="B411" s="4" t="s">
        <v>4046</v>
      </c>
      <c r="C411" s="6" t="s">
        <v>4061</v>
      </c>
      <c r="D411" s="6" t="s">
        <v>4045</v>
      </c>
      <c r="E411" s="21">
        <v>43866</v>
      </c>
      <c r="F411" s="4" t="s">
        <v>925</v>
      </c>
      <c r="H411" s="4">
        <v>1039083</v>
      </c>
      <c r="I411" s="4">
        <v>4434</v>
      </c>
      <c r="J411" s="4" t="s">
        <v>1175</v>
      </c>
      <c r="K411" s="6" t="s">
        <v>1144</v>
      </c>
      <c r="L411" s="4">
        <v>12</v>
      </c>
      <c r="M411" s="422">
        <v>1801</v>
      </c>
      <c r="N411" s="374">
        <v>0.06</v>
      </c>
      <c r="O411" s="422">
        <v>1704</v>
      </c>
      <c r="P411" s="422">
        <v>2021</v>
      </c>
      <c r="Q411" s="422">
        <v>24252</v>
      </c>
      <c r="R411" s="26">
        <v>43866</v>
      </c>
      <c r="S411" s="4" t="s">
        <v>2050</v>
      </c>
      <c r="T411" s="422">
        <v>175277</v>
      </c>
      <c r="U411" t="s">
        <v>1739</v>
      </c>
      <c r="V411" s="423">
        <v>1300</v>
      </c>
      <c r="W411" s="423">
        <v>404</v>
      </c>
      <c r="X411" s="375">
        <v>0.24</v>
      </c>
    </row>
    <row r="412" spans="1:24" x14ac:dyDescent="0.25">
      <c r="A412" s="4">
        <v>196</v>
      </c>
      <c r="B412" s="4" t="s">
        <v>4054</v>
      </c>
      <c r="C412" s="6" t="s">
        <v>4058</v>
      </c>
      <c r="D412" s="6" t="s">
        <v>4045</v>
      </c>
      <c r="E412" s="21">
        <v>43866</v>
      </c>
      <c r="F412" s="4" t="s">
        <v>925</v>
      </c>
      <c r="H412" s="4">
        <v>1039083</v>
      </c>
      <c r="I412" s="4">
        <v>4434</v>
      </c>
      <c r="J412" s="4" t="s">
        <v>1175</v>
      </c>
      <c r="K412" s="6" t="s">
        <v>1144</v>
      </c>
      <c r="L412" s="4">
        <v>12</v>
      </c>
      <c r="M412" s="422">
        <v>1773</v>
      </c>
      <c r="N412" s="374">
        <v>-0.01</v>
      </c>
      <c r="O412" s="422">
        <v>1797</v>
      </c>
      <c r="P412" s="422">
        <v>2138</v>
      </c>
      <c r="Q412" s="422">
        <v>25656</v>
      </c>
      <c r="R412" s="26">
        <v>43866</v>
      </c>
      <c r="S412" s="4" t="s">
        <v>2050</v>
      </c>
      <c r="T412" s="422">
        <v>175277</v>
      </c>
      <c r="U412" t="s">
        <v>1739</v>
      </c>
      <c r="V412" s="423">
        <v>1280</v>
      </c>
      <c r="W412" s="423">
        <v>517</v>
      </c>
      <c r="X412" s="375">
        <v>0.28999999999999998</v>
      </c>
    </row>
    <row r="413" spans="1:24" x14ac:dyDescent="0.25">
      <c r="A413" s="4">
        <v>197</v>
      </c>
      <c r="B413" s="4" t="s">
        <v>4048</v>
      </c>
      <c r="C413" s="6" t="s">
        <v>4063</v>
      </c>
      <c r="D413" s="6" t="s">
        <v>4045</v>
      </c>
      <c r="E413" s="21">
        <v>43866</v>
      </c>
      <c r="F413" s="4" t="s">
        <v>925</v>
      </c>
      <c r="H413" s="4">
        <v>1039082</v>
      </c>
      <c r="I413" s="4">
        <v>4435</v>
      </c>
      <c r="J413" s="4" t="s">
        <v>1175</v>
      </c>
      <c r="K413" s="6" t="s">
        <v>1144</v>
      </c>
      <c r="L413" s="4">
        <v>12</v>
      </c>
      <c r="M413" s="422">
        <v>1787</v>
      </c>
      <c r="N413" s="374">
        <v>-0.01</v>
      </c>
      <c r="O413" s="422">
        <v>1811</v>
      </c>
      <c r="P413" s="422">
        <v>2155</v>
      </c>
      <c r="Q413" s="422">
        <v>25860</v>
      </c>
      <c r="R413" s="26">
        <v>43866</v>
      </c>
      <c r="S413" s="4" t="s">
        <v>2050</v>
      </c>
      <c r="T413" s="422">
        <v>340475</v>
      </c>
      <c r="U413" t="s">
        <v>1739</v>
      </c>
      <c r="V413" s="423">
        <v>1290</v>
      </c>
      <c r="W413" s="423">
        <v>521</v>
      </c>
      <c r="X413" s="375">
        <v>0.28999999999999998</v>
      </c>
    </row>
    <row r="414" spans="1:24" x14ac:dyDescent="0.25">
      <c r="A414" s="4">
        <v>196</v>
      </c>
      <c r="B414" s="4" t="s">
        <v>5517</v>
      </c>
      <c r="C414" s="6" t="s">
        <v>5518</v>
      </c>
      <c r="D414" s="6" t="s">
        <v>5214</v>
      </c>
      <c r="E414" s="21">
        <v>43866</v>
      </c>
      <c r="F414" s="4" t="s">
        <v>925</v>
      </c>
      <c r="H414" s="4">
        <v>1039083</v>
      </c>
      <c r="I414" s="4">
        <v>4434</v>
      </c>
      <c r="J414" s="4" t="s">
        <v>1175</v>
      </c>
      <c r="K414" s="6" t="s">
        <v>1144</v>
      </c>
      <c r="L414" s="4">
        <v>12</v>
      </c>
      <c r="M414" s="422">
        <v>1274</v>
      </c>
      <c r="N414" s="374">
        <v>-0.41</v>
      </c>
      <c r="O414" s="422">
        <v>2159</v>
      </c>
      <c r="P414" s="422">
        <v>2138</v>
      </c>
      <c r="Q414" s="422">
        <v>25656</v>
      </c>
      <c r="R414" s="26">
        <v>43866</v>
      </c>
      <c r="S414" s="4" t="s">
        <v>2050</v>
      </c>
      <c r="T414" s="422">
        <v>175277</v>
      </c>
      <c r="U414" t="s">
        <v>5170</v>
      </c>
      <c r="V414" s="423">
        <v>920</v>
      </c>
      <c r="W414" s="423">
        <v>1239</v>
      </c>
      <c r="X414" s="375">
        <v>0.56999999999999995</v>
      </c>
    </row>
    <row r="415" spans="1:24" x14ac:dyDescent="0.25">
      <c r="A415" s="4">
        <v>196</v>
      </c>
      <c r="B415" s="4" t="s">
        <v>4670</v>
      </c>
      <c r="C415" s="6" t="s">
        <v>4671</v>
      </c>
      <c r="D415" s="6" t="s">
        <v>4636</v>
      </c>
      <c r="E415" s="21">
        <v>43866</v>
      </c>
      <c r="F415" s="4" t="s">
        <v>925</v>
      </c>
      <c r="H415" s="4">
        <v>1039083</v>
      </c>
      <c r="I415" s="4">
        <v>4434</v>
      </c>
      <c r="J415" s="4" t="s">
        <v>1175</v>
      </c>
      <c r="K415" s="6" t="s">
        <v>1144</v>
      </c>
      <c r="L415" s="4">
        <v>6</v>
      </c>
      <c r="M415" s="422">
        <v>4625</v>
      </c>
      <c r="N415" s="374">
        <v>0.1</v>
      </c>
      <c r="O415" s="422">
        <v>4214</v>
      </c>
      <c r="P415" s="422">
        <v>4967</v>
      </c>
      <c r="Q415" s="422">
        <v>29802</v>
      </c>
      <c r="R415" s="26">
        <v>43866</v>
      </c>
      <c r="S415" s="4" t="s">
        <v>2050</v>
      </c>
      <c r="T415" s="422">
        <v>175277</v>
      </c>
      <c r="U415" t="s">
        <v>4767</v>
      </c>
      <c r="V415" s="423">
        <v>3306</v>
      </c>
      <c r="W415" s="423">
        <v>908</v>
      </c>
      <c r="X415" s="375">
        <v>0.22</v>
      </c>
    </row>
    <row r="416" spans="1:24" x14ac:dyDescent="0.25">
      <c r="A416" s="4">
        <v>196</v>
      </c>
      <c r="B416" s="4" t="s">
        <v>4781</v>
      </c>
      <c r="C416" s="6" t="s">
        <v>4782</v>
      </c>
      <c r="D416" s="6" t="s">
        <v>4636</v>
      </c>
      <c r="E416" s="21">
        <v>43866</v>
      </c>
      <c r="F416" s="4" t="s">
        <v>925</v>
      </c>
      <c r="H416" s="4">
        <v>1039083</v>
      </c>
      <c r="I416" s="4">
        <v>4434</v>
      </c>
      <c r="J416" s="4" t="s">
        <v>1175</v>
      </c>
      <c r="K416" s="6" t="s">
        <v>1144</v>
      </c>
      <c r="L416" s="4">
        <v>6</v>
      </c>
      <c r="M416" s="422">
        <v>4832</v>
      </c>
      <c r="N416" s="374">
        <v>0.14000000000000001</v>
      </c>
      <c r="O416" s="422">
        <v>4239</v>
      </c>
      <c r="P416" s="422">
        <v>4945</v>
      </c>
      <c r="Q416" s="422">
        <v>29670</v>
      </c>
      <c r="R416" s="26">
        <v>43866</v>
      </c>
      <c r="S416" s="4" t="s">
        <v>2050</v>
      </c>
      <c r="T416" s="422">
        <v>175277</v>
      </c>
      <c r="U416" t="s">
        <v>4767</v>
      </c>
      <c r="V416" s="423">
        <v>3489</v>
      </c>
      <c r="W416" s="423">
        <v>750</v>
      </c>
      <c r="X416" s="375">
        <v>0.18</v>
      </c>
    </row>
    <row r="417" spans="1:24" x14ac:dyDescent="0.25">
      <c r="A417" s="4">
        <v>196</v>
      </c>
      <c r="B417" s="4" t="s">
        <v>5009</v>
      </c>
      <c r="C417" s="6" t="s">
        <v>5010</v>
      </c>
      <c r="D417" s="6" t="s">
        <v>4980</v>
      </c>
      <c r="E417" s="21">
        <v>43866</v>
      </c>
      <c r="F417" s="4" t="s">
        <v>925</v>
      </c>
      <c r="H417" s="4">
        <v>1039083</v>
      </c>
      <c r="I417" s="4">
        <v>4434</v>
      </c>
      <c r="J417" s="4" t="s">
        <v>1175</v>
      </c>
      <c r="K417" s="6" t="s">
        <v>1144</v>
      </c>
      <c r="L417" s="4">
        <v>12</v>
      </c>
      <c r="M417" s="422">
        <v>741</v>
      </c>
      <c r="N417" s="374">
        <v>0.05</v>
      </c>
      <c r="O417" s="422">
        <v>706</v>
      </c>
      <c r="P417" s="422">
        <v>837</v>
      </c>
      <c r="Q417" s="422">
        <v>10044</v>
      </c>
      <c r="R417" s="26">
        <v>43866</v>
      </c>
      <c r="S417" s="4" t="s">
        <v>2050</v>
      </c>
      <c r="T417" s="422">
        <v>175277</v>
      </c>
      <c r="U417" t="s">
        <v>4977</v>
      </c>
      <c r="V417" s="423">
        <v>512</v>
      </c>
      <c r="W417" s="423">
        <v>194</v>
      </c>
      <c r="X417" s="375">
        <v>0.27</v>
      </c>
    </row>
    <row r="418" spans="1:24" x14ac:dyDescent="0.25">
      <c r="A418" s="4">
        <v>196</v>
      </c>
      <c r="B418" s="4" t="s">
        <v>5005</v>
      </c>
      <c r="C418" s="6" t="s">
        <v>5006</v>
      </c>
      <c r="D418" s="6" t="s">
        <v>4980</v>
      </c>
      <c r="E418" s="21">
        <v>43866</v>
      </c>
      <c r="F418" s="4" t="s">
        <v>925</v>
      </c>
      <c r="H418" s="4">
        <v>1039083</v>
      </c>
      <c r="I418" s="4">
        <v>4434</v>
      </c>
      <c r="J418" s="4" t="s">
        <v>1175</v>
      </c>
      <c r="K418" s="6" t="s">
        <v>1144</v>
      </c>
      <c r="L418" s="4">
        <v>24</v>
      </c>
      <c r="M418" s="422">
        <v>385</v>
      </c>
      <c r="N418" s="374">
        <v>-0.01</v>
      </c>
      <c r="O418" s="422">
        <v>389</v>
      </c>
      <c r="P418" s="422">
        <v>463</v>
      </c>
      <c r="Q418" s="422">
        <v>11112</v>
      </c>
      <c r="R418" s="26">
        <v>43866</v>
      </c>
      <c r="S418" s="4" t="s">
        <v>2050</v>
      </c>
      <c r="T418" s="422">
        <v>175277</v>
      </c>
      <c r="U418" t="s">
        <v>4977</v>
      </c>
      <c r="V418" s="523">
        <v>266</v>
      </c>
      <c r="W418" s="423">
        <v>123</v>
      </c>
      <c r="X418" s="375">
        <v>0.32</v>
      </c>
    </row>
    <row r="419" spans="1:24" x14ac:dyDescent="0.25">
      <c r="A419" s="4">
        <v>202</v>
      </c>
      <c r="B419" s="4" t="s">
        <v>656</v>
      </c>
      <c r="C419" s="6" t="s">
        <v>1973</v>
      </c>
      <c r="D419" s="6" t="s">
        <v>794</v>
      </c>
      <c r="E419" s="21">
        <v>43867</v>
      </c>
      <c r="F419" s="4" t="s">
        <v>1461</v>
      </c>
      <c r="H419" s="4">
        <v>6498</v>
      </c>
      <c r="I419" s="4">
        <v>4440</v>
      </c>
      <c r="J419" s="4" t="s">
        <v>5564</v>
      </c>
      <c r="K419" s="6" t="s">
        <v>5565</v>
      </c>
      <c r="L419" s="4">
        <v>1</v>
      </c>
      <c r="M419" s="430">
        <v>19328</v>
      </c>
      <c r="N419" s="519" t="s">
        <v>2886</v>
      </c>
      <c r="O419" s="430">
        <v>19328</v>
      </c>
      <c r="P419" s="430">
        <v>23000</v>
      </c>
      <c r="Q419" s="430">
        <v>23000</v>
      </c>
      <c r="R419" s="26">
        <v>43867</v>
      </c>
      <c r="S419" s="4" t="s">
        <v>1501</v>
      </c>
      <c r="T419" s="430">
        <v>23000</v>
      </c>
      <c r="U419" t="s">
        <v>1551</v>
      </c>
      <c r="V419" s="431">
        <v>14604</v>
      </c>
      <c r="W419" s="431">
        <v>4724</v>
      </c>
      <c r="X419" s="375">
        <v>0.24</v>
      </c>
    </row>
    <row r="420" spans="1:24" x14ac:dyDescent="0.25">
      <c r="A420" s="4">
        <v>205</v>
      </c>
      <c r="B420" s="4" t="s">
        <v>3968</v>
      </c>
      <c r="C420" s="6" t="s">
        <v>4018</v>
      </c>
      <c r="D420" s="6" t="s">
        <v>4019</v>
      </c>
      <c r="E420" s="21">
        <v>43867</v>
      </c>
      <c r="F420" s="4" t="s">
        <v>1461</v>
      </c>
      <c r="H420" s="4">
        <v>6495</v>
      </c>
      <c r="I420" s="4">
        <v>4443</v>
      </c>
      <c r="J420" s="4" t="s">
        <v>4794</v>
      </c>
      <c r="K420" s="6" t="s">
        <v>4795</v>
      </c>
      <c r="L420" s="4">
        <v>2</v>
      </c>
      <c r="M420" s="430">
        <v>19076</v>
      </c>
      <c r="N420" s="519" t="s">
        <v>2886</v>
      </c>
      <c r="O420" s="430">
        <v>19076</v>
      </c>
      <c r="P420" s="430">
        <v>22700</v>
      </c>
      <c r="Q420" s="430">
        <v>45400</v>
      </c>
      <c r="R420" s="26">
        <v>43867</v>
      </c>
      <c r="S420" s="4" t="s">
        <v>1501</v>
      </c>
      <c r="T420" s="430">
        <v>45400</v>
      </c>
      <c r="U420" t="s">
        <v>1551</v>
      </c>
      <c r="V420" s="431">
        <v>14122</v>
      </c>
      <c r="W420" s="431">
        <v>4954</v>
      </c>
      <c r="X420" s="375">
        <v>0.26</v>
      </c>
    </row>
    <row r="421" spans="1:24" x14ac:dyDescent="0.25">
      <c r="A421" s="4">
        <v>201</v>
      </c>
      <c r="B421" s="4" t="s">
        <v>2109</v>
      </c>
      <c r="C421" s="6" t="s">
        <v>2110</v>
      </c>
      <c r="D421" s="6" t="s">
        <v>1504</v>
      </c>
      <c r="E421" s="21">
        <v>43867</v>
      </c>
      <c r="F421" s="4" t="s">
        <v>1461</v>
      </c>
      <c r="H421" s="4">
        <v>6499</v>
      </c>
      <c r="I421" s="4">
        <v>4439</v>
      </c>
      <c r="J421" s="4" t="s">
        <v>1235</v>
      </c>
      <c r="K421" s="6" t="s">
        <v>989</v>
      </c>
      <c r="L421" s="4">
        <v>2</v>
      </c>
      <c r="M421" s="430">
        <v>2017</v>
      </c>
      <c r="N421" s="519" t="s">
        <v>2886</v>
      </c>
      <c r="O421" s="430">
        <v>2017</v>
      </c>
      <c r="P421" s="430">
        <v>2400</v>
      </c>
      <c r="Q421" s="430">
        <v>4800</v>
      </c>
      <c r="R421" s="26">
        <v>43869</v>
      </c>
      <c r="S421" s="4" t="s">
        <v>1501</v>
      </c>
      <c r="T421" s="430">
        <v>4800</v>
      </c>
      <c r="U421" t="s">
        <v>1545</v>
      </c>
      <c r="V421" s="431">
        <v>1150</v>
      </c>
      <c r="W421" s="431">
        <v>867</v>
      </c>
      <c r="X421" s="375">
        <v>0.43</v>
      </c>
    </row>
    <row r="422" spans="1:24" x14ac:dyDescent="0.25">
      <c r="A422" s="4">
        <v>206</v>
      </c>
      <c r="B422" s="4" t="s">
        <v>855</v>
      </c>
      <c r="C422" s="6" t="s">
        <v>2499</v>
      </c>
      <c r="D422" s="6" t="s">
        <v>857</v>
      </c>
      <c r="E422" s="21">
        <v>43867</v>
      </c>
      <c r="F422" s="4" t="s">
        <v>1461</v>
      </c>
      <c r="H422" s="4">
        <v>6500</v>
      </c>
      <c r="I422" s="4">
        <v>4444</v>
      </c>
      <c r="J422" s="4" t="s">
        <v>4545</v>
      </c>
      <c r="K422" s="6" t="s">
        <v>4546</v>
      </c>
      <c r="L422" s="4">
        <v>4</v>
      </c>
      <c r="M422" s="430">
        <v>13277</v>
      </c>
      <c r="N422" s="519" t="s">
        <v>2886</v>
      </c>
      <c r="O422" s="430">
        <v>13277</v>
      </c>
      <c r="P422" s="430">
        <v>15800</v>
      </c>
      <c r="Q422" s="430">
        <v>63200</v>
      </c>
      <c r="R422" s="26">
        <v>43867</v>
      </c>
      <c r="S422" s="4" t="s">
        <v>1501</v>
      </c>
      <c r="T422" s="430">
        <v>78400</v>
      </c>
      <c r="U422" t="s">
        <v>1551</v>
      </c>
      <c r="V422" s="431">
        <v>9975</v>
      </c>
      <c r="W422" s="431">
        <v>3302</v>
      </c>
      <c r="X422" s="375">
        <v>0.25</v>
      </c>
    </row>
    <row r="423" spans="1:24" x14ac:dyDescent="0.25">
      <c r="A423" s="4">
        <v>206</v>
      </c>
      <c r="B423" s="4" t="s">
        <v>1516</v>
      </c>
      <c r="C423" s="6" t="s">
        <v>1737</v>
      </c>
      <c r="D423" s="6" t="s">
        <v>1504</v>
      </c>
      <c r="E423" s="21">
        <v>43867</v>
      </c>
      <c r="F423" s="4" t="s">
        <v>1461</v>
      </c>
      <c r="H423" s="4">
        <v>6500</v>
      </c>
      <c r="I423" s="4">
        <v>4444</v>
      </c>
      <c r="J423" s="4" t="s">
        <v>4545</v>
      </c>
      <c r="K423" s="6" t="s">
        <v>4546</v>
      </c>
      <c r="L423" s="4">
        <v>4</v>
      </c>
      <c r="M423" s="430">
        <v>3193</v>
      </c>
      <c r="N423" s="519" t="s">
        <v>2886</v>
      </c>
      <c r="O423" s="430">
        <v>3193</v>
      </c>
      <c r="P423" s="430">
        <v>3800</v>
      </c>
      <c r="Q423" s="430">
        <v>15200</v>
      </c>
      <c r="R423" s="26">
        <v>43867</v>
      </c>
      <c r="S423" s="4" t="s">
        <v>1501</v>
      </c>
      <c r="T423" s="430">
        <v>78400</v>
      </c>
      <c r="U423" t="s">
        <v>1545</v>
      </c>
      <c r="V423" s="431">
        <v>2195</v>
      </c>
      <c r="W423" s="431">
        <v>998</v>
      </c>
      <c r="X423" s="375">
        <v>0.31</v>
      </c>
    </row>
    <row r="424" spans="1:24" x14ac:dyDescent="0.25">
      <c r="A424" s="4">
        <v>203</v>
      </c>
      <c r="B424" s="4" t="s">
        <v>792</v>
      </c>
      <c r="C424" s="6" t="s">
        <v>1928</v>
      </c>
      <c r="D424" s="6" t="s">
        <v>794</v>
      </c>
      <c r="E424" s="21">
        <v>43867</v>
      </c>
      <c r="F424" s="4" t="s">
        <v>1461</v>
      </c>
      <c r="H424" s="4">
        <v>6497</v>
      </c>
      <c r="I424" s="4">
        <v>4441</v>
      </c>
      <c r="J424" s="4" t="s">
        <v>3998</v>
      </c>
      <c r="K424" s="6" t="s">
        <v>3999</v>
      </c>
      <c r="L424" s="4">
        <v>1</v>
      </c>
      <c r="M424" s="430">
        <v>20084</v>
      </c>
      <c r="N424" s="519" t="s">
        <v>2886</v>
      </c>
      <c r="O424" s="430">
        <v>20084</v>
      </c>
      <c r="P424" s="430">
        <v>23900</v>
      </c>
      <c r="Q424" s="430">
        <v>23900</v>
      </c>
      <c r="R424" s="26">
        <v>43867</v>
      </c>
      <c r="S424" s="4" t="s">
        <v>1501</v>
      </c>
      <c r="T424" s="430">
        <v>23900</v>
      </c>
      <c r="U424" t="s">
        <v>1551</v>
      </c>
      <c r="V424" s="431">
        <v>14604</v>
      </c>
      <c r="W424" s="431">
        <v>5480</v>
      </c>
      <c r="X424" s="375">
        <v>0.27</v>
      </c>
    </row>
    <row r="425" spans="1:24" x14ac:dyDescent="0.25">
      <c r="A425" s="4">
        <v>204</v>
      </c>
      <c r="B425" s="4" t="s">
        <v>855</v>
      </c>
      <c r="C425" s="6" t="s">
        <v>2499</v>
      </c>
      <c r="D425" s="6" t="s">
        <v>857</v>
      </c>
      <c r="E425" s="21">
        <v>43867</v>
      </c>
      <c r="F425" s="4" t="s">
        <v>1461</v>
      </c>
      <c r="H425" s="4">
        <v>6496</v>
      </c>
      <c r="I425" s="4">
        <v>4442</v>
      </c>
      <c r="J425" s="4" t="s">
        <v>4403</v>
      </c>
      <c r="K425" s="6" t="s">
        <v>4405</v>
      </c>
      <c r="L425" s="4">
        <v>3</v>
      </c>
      <c r="M425" s="430">
        <v>13277</v>
      </c>
      <c r="N425" s="519" t="s">
        <v>2886</v>
      </c>
      <c r="O425" s="430">
        <v>13277</v>
      </c>
      <c r="P425" s="430">
        <v>15800</v>
      </c>
      <c r="Q425" s="430">
        <v>47400</v>
      </c>
      <c r="R425" s="26">
        <v>43867</v>
      </c>
      <c r="S425" s="4" t="s">
        <v>1501</v>
      </c>
      <c r="T425" s="430">
        <v>51419</v>
      </c>
      <c r="U425" t="s">
        <v>1551</v>
      </c>
      <c r="V425" s="431">
        <v>9975</v>
      </c>
      <c r="W425" s="431">
        <v>3302</v>
      </c>
      <c r="X425" s="375">
        <v>0.25</v>
      </c>
    </row>
    <row r="426" spans="1:24" x14ac:dyDescent="0.25">
      <c r="A426" s="4">
        <v>204</v>
      </c>
      <c r="B426" s="4" t="s">
        <v>1516</v>
      </c>
      <c r="C426" s="6" t="s">
        <v>1737</v>
      </c>
      <c r="D426" s="6" t="s">
        <v>1504</v>
      </c>
      <c r="E426" s="21">
        <v>43867</v>
      </c>
      <c r="F426" s="4" t="s">
        <v>1461</v>
      </c>
      <c r="H426" s="4">
        <v>6496</v>
      </c>
      <c r="I426" s="4">
        <v>4442</v>
      </c>
      <c r="J426" s="4" t="s">
        <v>4403</v>
      </c>
      <c r="K426" s="6" t="s">
        <v>4405</v>
      </c>
      <c r="L426" s="4">
        <v>1</v>
      </c>
      <c r="M426" s="430">
        <v>3377</v>
      </c>
      <c r="N426" s="519" t="s">
        <v>2886</v>
      </c>
      <c r="O426" s="430">
        <v>3377</v>
      </c>
      <c r="P426" s="430">
        <v>4019</v>
      </c>
      <c r="Q426" s="430">
        <v>4019</v>
      </c>
      <c r="R426" s="26">
        <v>43867</v>
      </c>
      <c r="S426" s="4" t="s">
        <v>1501</v>
      </c>
      <c r="T426" s="430">
        <v>51419</v>
      </c>
      <c r="U426" t="s">
        <v>1545</v>
      </c>
      <c r="V426" s="431">
        <v>2195</v>
      </c>
      <c r="W426" s="431">
        <v>1182</v>
      </c>
      <c r="X426" s="375">
        <v>0.35</v>
      </c>
    </row>
    <row r="427" spans="1:24" x14ac:dyDescent="0.25">
      <c r="A427" s="4">
        <v>207</v>
      </c>
      <c r="B427" s="4" t="s">
        <v>1924</v>
      </c>
      <c r="C427" s="6" t="s">
        <v>1897</v>
      </c>
      <c r="D427" s="6" t="s">
        <v>1504</v>
      </c>
      <c r="E427" s="21">
        <v>43868</v>
      </c>
      <c r="F427" s="4" t="s">
        <v>925</v>
      </c>
      <c r="H427" s="4" t="s">
        <v>2528</v>
      </c>
      <c r="I427" s="4">
        <v>4445</v>
      </c>
      <c r="J427" s="4" t="s">
        <v>1282</v>
      </c>
      <c r="K427" s="6" t="s">
        <v>2389</v>
      </c>
      <c r="L427" s="4">
        <v>20</v>
      </c>
      <c r="M427" s="430">
        <v>1210</v>
      </c>
      <c r="N427" s="519" t="s">
        <v>2886</v>
      </c>
      <c r="O427" s="430">
        <v>1210</v>
      </c>
      <c r="P427" s="430">
        <v>1440</v>
      </c>
      <c r="Q427" s="430">
        <v>28800</v>
      </c>
      <c r="R427" s="26">
        <v>43868</v>
      </c>
      <c r="S427" s="4" t="s">
        <v>1445</v>
      </c>
      <c r="T427" s="430">
        <v>217977</v>
      </c>
      <c r="U427" t="s">
        <v>1545</v>
      </c>
      <c r="V427" s="431">
        <v>850</v>
      </c>
      <c r="W427" s="431">
        <v>360</v>
      </c>
      <c r="X427" s="375">
        <v>0.3</v>
      </c>
    </row>
    <row r="428" spans="1:24" x14ac:dyDescent="0.25">
      <c r="A428" s="4">
        <v>207</v>
      </c>
      <c r="B428" s="4" t="s">
        <v>2111</v>
      </c>
      <c r="C428" s="6" t="s">
        <v>5113</v>
      </c>
      <c r="D428" s="6" t="s">
        <v>1638</v>
      </c>
      <c r="E428" s="21">
        <v>43868</v>
      </c>
      <c r="F428" s="4" t="s">
        <v>925</v>
      </c>
      <c r="H428" s="4" t="s">
        <v>2528</v>
      </c>
      <c r="I428" s="4">
        <v>4445</v>
      </c>
      <c r="J428" s="4" t="s">
        <v>1282</v>
      </c>
      <c r="K428" s="6" t="s">
        <v>2389</v>
      </c>
      <c r="L428" s="4">
        <v>20</v>
      </c>
      <c r="M428" s="430">
        <v>3152</v>
      </c>
      <c r="N428" s="441" t="s">
        <v>2886</v>
      </c>
      <c r="O428" s="430">
        <v>3152</v>
      </c>
      <c r="P428" s="430">
        <v>3751</v>
      </c>
      <c r="Q428" s="430">
        <v>75020</v>
      </c>
      <c r="R428" s="26">
        <v>43868</v>
      </c>
      <c r="S428" s="4" t="s">
        <v>1445</v>
      </c>
      <c r="T428" s="430">
        <v>217977</v>
      </c>
      <c r="U428" t="s">
        <v>1545</v>
      </c>
      <c r="V428" s="431">
        <v>2250</v>
      </c>
      <c r="W428" s="431">
        <v>902</v>
      </c>
      <c r="X428" s="375">
        <v>0.28999999999999998</v>
      </c>
    </row>
    <row r="429" spans="1:24" x14ac:dyDescent="0.25">
      <c r="A429" s="4">
        <v>207</v>
      </c>
      <c r="B429" s="4" t="s">
        <v>4420</v>
      </c>
      <c r="C429" s="6" t="s">
        <v>4421</v>
      </c>
      <c r="D429" s="6" t="s">
        <v>1504</v>
      </c>
      <c r="E429" s="21">
        <v>43868</v>
      </c>
      <c r="F429" s="4" t="s">
        <v>925</v>
      </c>
      <c r="H429" s="4" t="s">
        <v>2528</v>
      </c>
      <c r="I429" s="4">
        <v>4445</v>
      </c>
      <c r="J429" s="4" t="s">
        <v>1282</v>
      </c>
      <c r="K429" s="6" t="s">
        <v>2389</v>
      </c>
      <c r="L429" s="4">
        <v>22</v>
      </c>
      <c r="M429" s="430">
        <v>418</v>
      </c>
      <c r="N429" s="374">
        <v>0.05</v>
      </c>
      <c r="O429" s="430">
        <v>398</v>
      </c>
      <c r="P429" s="430">
        <v>472</v>
      </c>
      <c r="Q429" s="430">
        <v>10384</v>
      </c>
      <c r="R429" s="26">
        <v>43868</v>
      </c>
      <c r="S429" s="4" t="s">
        <v>1445</v>
      </c>
      <c r="T429" s="430">
        <v>217977</v>
      </c>
      <c r="U429" t="s">
        <v>4410</v>
      </c>
      <c r="V429" s="431">
        <v>264</v>
      </c>
      <c r="W429" s="431">
        <v>134</v>
      </c>
      <c r="X429" s="375">
        <v>0.34</v>
      </c>
    </row>
    <row r="430" spans="1:24" x14ac:dyDescent="0.25">
      <c r="A430" s="4">
        <v>207</v>
      </c>
      <c r="B430" s="4" t="s">
        <v>4418</v>
      </c>
      <c r="C430" s="6" t="s">
        <v>4419</v>
      </c>
      <c r="D430" s="6" t="s">
        <v>1504</v>
      </c>
      <c r="E430" s="21">
        <v>43868</v>
      </c>
      <c r="F430" s="4" t="s">
        <v>925</v>
      </c>
      <c r="H430" s="4" t="s">
        <v>2528</v>
      </c>
      <c r="I430" s="4">
        <v>4445</v>
      </c>
      <c r="J430" s="4" t="s">
        <v>1282</v>
      </c>
      <c r="K430" s="6" t="s">
        <v>2389</v>
      </c>
      <c r="L430" s="4">
        <v>6</v>
      </c>
      <c r="M430" s="430">
        <v>1314</v>
      </c>
      <c r="N430" s="374">
        <v>0.05</v>
      </c>
      <c r="O430" s="430">
        <v>1251</v>
      </c>
      <c r="P430" s="430">
        <v>1485</v>
      </c>
      <c r="Q430" s="430">
        <v>8910</v>
      </c>
      <c r="R430" s="26">
        <v>43868</v>
      </c>
      <c r="S430" s="4" t="s">
        <v>1445</v>
      </c>
      <c r="T430" s="430">
        <v>217977</v>
      </c>
      <c r="U430" t="s">
        <v>4410</v>
      </c>
      <c r="V430" s="431">
        <v>830</v>
      </c>
      <c r="W430" s="431">
        <v>421</v>
      </c>
      <c r="X430" s="375">
        <v>0.34</v>
      </c>
    </row>
    <row r="431" spans="1:24" x14ac:dyDescent="0.25">
      <c r="A431" s="4">
        <v>207</v>
      </c>
      <c r="B431" s="4" t="s">
        <v>1662</v>
      </c>
      <c r="C431" s="6" t="s">
        <v>1660</v>
      </c>
      <c r="D431" s="6" t="s">
        <v>1469</v>
      </c>
      <c r="E431" s="21">
        <v>43868</v>
      </c>
      <c r="F431" s="4" t="s">
        <v>925</v>
      </c>
      <c r="H431" s="4" t="s">
        <v>2528</v>
      </c>
      <c r="I431" s="4">
        <v>4445</v>
      </c>
      <c r="J431" s="4" t="s">
        <v>1282</v>
      </c>
      <c r="K431" s="6" t="s">
        <v>2389</v>
      </c>
      <c r="L431" s="4">
        <v>12</v>
      </c>
      <c r="M431" s="430">
        <v>1787</v>
      </c>
      <c r="N431" s="374">
        <v>0.1</v>
      </c>
      <c r="O431" s="430">
        <v>1628</v>
      </c>
      <c r="P431" s="430">
        <v>1919</v>
      </c>
      <c r="Q431" s="430">
        <v>23028</v>
      </c>
      <c r="R431" s="26">
        <v>43868</v>
      </c>
      <c r="S431" s="4" t="s">
        <v>1445</v>
      </c>
      <c r="T431" s="430">
        <v>217977</v>
      </c>
      <c r="U431" t="s">
        <v>1570</v>
      </c>
      <c r="V431" s="431">
        <v>1290</v>
      </c>
      <c r="W431" s="431">
        <v>338</v>
      </c>
      <c r="X431" s="375">
        <v>0.21</v>
      </c>
    </row>
    <row r="432" spans="1:24" x14ac:dyDescent="0.25">
      <c r="A432" s="4">
        <v>207</v>
      </c>
      <c r="B432" s="4" t="s">
        <v>1663</v>
      </c>
      <c r="C432" s="6" t="s">
        <v>1661</v>
      </c>
      <c r="D432" s="6" t="s">
        <v>1469</v>
      </c>
      <c r="E432" s="21">
        <v>43868</v>
      </c>
      <c r="F432" s="4" t="s">
        <v>925</v>
      </c>
      <c r="H432" s="4" t="s">
        <v>2528</v>
      </c>
      <c r="I432" s="4">
        <v>4445</v>
      </c>
      <c r="J432" s="4" t="s">
        <v>1282</v>
      </c>
      <c r="K432" s="6" t="s">
        <v>2389</v>
      </c>
      <c r="L432" s="4">
        <v>6</v>
      </c>
      <c r="M432" s="430">
        <v>3428</v>
      </c>
      <c r="N432" s="374">
        <v>0.1</v>
      </c>
      <c r="O432" s="430">
        <v>3123</v>
      </c>
      <c r="P432" s="430">
        <v>3682</v>
      </c>
      <c r="Q432" s="430">
        <v>22092</v>
      </c>
      <c r="R432" s="26">
        <v>43868</v>
      </c>
      <c r="S432" s="4" t="s">
        <v>1445</v>
      </c>
      <c r="T432" s="430">
        <v>217977</v>
      </c>
      <c r="U432" t="s">
        <v>1570</v>
      </c>
      <c r="V432" s="431">
        <v>2475</v>
      </c>
      <c r="W432" s="431">
        <v>648</v>
      </c>
      <c r="X432" s="375">
        <v>0.21</v>
      </c>
    </row>
    <row r="433" spans="1:24" x14ac:dyDescent="0.25">
      <c r="A433" s="4">
        <v>207</v>
      </c>
      <c r="B433" s="4" t="s">
        <v>1964</v>
      </c>
      <c r="C433" s="6" t="s">
        <v>2202</v>
      </c>
      <c r="D433" s="6" t="s">
        <v>2198</v>
      </c>
      <c r="E433" s="21">
        <v>43868</v>
      </c>
      <c r="F433" s="4" t="s">
        <v>925</v>
      </c>
      <c r="H433" s="4" t="s">
        <v>2528</v>
      </c>
      <c r="I433" s="4">
        <v>4445</v>
      </c>
      <c r="J433" s="4" t="s">
        <v>1282</v>
      </c>
      <c r="K433" s="6" t="s">
        <v>2389</v>
      </c>
      <c r="L433" s="4">
        <v>20</v>
      </c>
      <c r="M433" s="430">
        <v>1078</v>
      </c>
      <c r="N433" s="374">
        <v>0.1</v>
      </c>
      <c r="O433" s="430">
        <v>982</v>
      </c>
      <c r="P433" s="430">
        <v>1157</v>
      </c>
      <c r="Q433" s="430">
        <v>23140</v>
      </c>
      <c r="R433" s="26">
        <v>43868</v>
      </c>
      <c r="S433" s="4" t="s">
        <v>1445</v>
      </c>
      <c r="T433" s="430">
        <v>217977</v>
      </c>
      <c r="U433" t="s">
        <v>1572</v>
      </c>
      <c r="V433" s="431">
        <v>778</v>
      </c>
      <c r="W433" s="431">
        <v>204</v>
      </c>
      <c r="X433" s="375">
        <v>0.21</v>
      </c>
    </row>
    <row r="434" spans="1:24" x14ac:dyDescent="0.25">
      <c r="A434" s="4">
        <v>207</v>
      </c>
      <c r="B434" s="4" t="s">
        <v>2303</v>
      </c>
      <c r="C434" s="6" t="s">
        <v>2205</v>
      </c>
      <c r="D434" s="6" t="s">
        <v>2197</v>
      </c>
      <c r="E434" s="21">
        <v>43868</v>
      </c>
      <c r="F434" s="4" t="s">
        <v>925</v>
      </c>
      <c r="H434" s="4" t="s">
        <v>2528</v>
      </c>
      <c r="I434" s="4">
        <v>4445</v>
      </c>
      <c r="J434" s="4" t="s">
        <v>1282</v>
      </c>
      <c r="K434" s="6" t="s">
        <v>2389</v>
      </c>
      <c r="L434" s="4">
        <v>5</v>
      </c>
      <c r="M434" s="430">
        <v>4366</v>
      </c>
      <c r="N434" s="374">
        <v>0.1</v>
      </c>
      <c r="O434" s="430">
        <v>3978</v>
      </c>
      <c r="P434" s="430">
        <v>4689</v>
      </c>
      <c r="Q434" s="430">
        <v>23445</v>
      </c>
      <c r="R434" s="26">
        <v>43868</v>
      </c>
      <c r="S434" s="4" t="s">
        <v>1445</v>
      </c>
      <c r="T434" s="430">
        <v>217977</v>
      </c>
      <c r="U434" t="s">
        <v>1572</v>
      </c>
      <c r="V434" s="431">
        <v>3152</v>
      </c>
      <c r="W434" s="431">
        <v>826</v>
      </c>
      <c r="X434" s="375">
        <v>0.21</v>
      </c>
    </row>
    <row r="435" spans="1:24" x14ac:dyDescent="0.25">
      <c r="A435" s="4">
        <v>207</v>
      </c>
      <c r="B435" s="4" t="s">
        <v>4568</v>
      </c>
      <c r="C435" s="6" t="s">
        <v>4569</v>
      </c>
      <c r="D435" s="6" t="s">
        <v>4570</v>
      </c>
      <c r="E435" s="21">
        <v>43868</v>
      </c>
      <c r="F435" s="4" t="s">
        <v>925</v>
      </c>
      <c r="H435" s="4" t="s">
        <v>2528</v>
      </c>
      <c r="I435" s="4">
        <v>4445</v>
      </c>
      <c r="J435" s="4" t="s">
        <v>1282</v>
      </c>
      <c r="K435" s="6" t="s">
        <v>2389</v>
      </c>
      <c r="L435" s="4">
        <v>2</v>
      </c>
      <c r="M435" s="430">
        <v>817</v>
      </c>
      <c r="N435" s="374">
        <v>0.17</v>
      </c>
      <c r="O435" s="430">
        <v>698</v>
      </c>
      <c r="P435" s="430">
        <v>807</v>
      </c>
      <c r="Q435" s="430">
        <v>1614</v>
      </c>
      <c r="R435" s="26">
        <v>43868</v>
      </c>
      <c r="S435" s="4" t="s">
        <v>1445</v>
      </c>
      <c r="T435" s="430">
        <v>217977</v>
      </c>
      <c r="U435" t="s">
        <v>1563</v>
      </c>
      <c r="V435" s="431">
        <v>590</v>
      </c>
      <c r="W435" s="431">
        <v>108</v>
      </c>
      <c r="X435" s="375">
        <v>0.15</v>
      </c>
    </row>
    <row r="436" spans="1:24" x14ac:dyDescent="0.25">
      <c r="A436" s="4">
        <v>207</v>
      </c>
      <c r="B436" s="4" t="s">
        <v>5338</v>
      </c>
      <c r="C436" s="6" t="s">
        <v>5339</v>
      </c>
      <c r="D436" s="6" t="s">
        <v>4457</v>
      </c>
      <c r="E436" s="21">
        <v>43868</v>
      </c>
      <c r="F436" s="4" t="s">
        <v>925</v>
      </c>
      <c r="H436" s="4" t="s">
        <v>2528</v>
      </c>
      <c r="I436" s="4">
        <v>4445</v>
      </c>
      <c r="J436" s="4" t="s">
        <v>1282</v>
      </c>
      <c r="K436" s="6" t="s">
        <v>2389</v>
      </c>
      <c r="L436" s="4">
        <v>2</v>
      </c>
      <c r="M436" s="430">
        <v>741</v>
      </c>
      <c r="N436" s="374">
        <v>0.13</v>
      </c>
      <c r="O436" s="430">
        <v>657</v>
      </c>
      <c r="P436" s="430">
        <v>769</v>
      </c>
      <c r="Q436" s="430">
        <v>1538</v>
      </c>
      <c r="R436" s="26">
        <v>43868</v>
      </c>
      <c r="S436" s="4" t="s">
        <v>1445</v>
      </c>
      <c r="T436" s="430">
        <v>217977</v>
      </c>
      <c r="U436" t="s">
        <v>1563</v>
      </c>
      <c r="V436" s="431">
        <v>535</v>
      </c>
      <c r="W436" s="431">
        <v>122</v>
      </c>
      <c r="X436" s="375">
        <v>0.19</v>
      </c>
    </row>
    <row r="437" spans="1:24" x14ac:dyDescent="0.25">
      <c r="A437" s="4">
        <v>208</v>
      </c>
      <c r="B437" s="4" t="s">
        <v>2250</v>
      </c>
      <c r="C437" s="6" t="s">
        <v>2249</v>
      </c>
      <c r="D437" s="6" t="s">
        <v>1638</v>
      </c>
      <c r="E437" s="21">
        <v>43868</v>
      </c>
      <c r="F437" s="4" t="s">
        <v>925</v>
      </c>
      <c r="H437" s="4" t="s">
        <v>5698</v>
      </c>
      <c r="I437" s="4">
        <v>4446</v>
      </c>
      <c r="J437" s="4" t="s">
        <v>1282</v>
      </c>
      <c r="K437" s="6" t="s">
        <v>2389</v>
      </c>
      <c r="L437" s="4">
        <v>20</v>
      </c>
      <c r="M437" s="430">
        <v>3062</v>
      </c>
      <c r="N437" s="374">
        <v>0.1</v>
      </c>
      <c r="O437" s="430">
        <v>2790</v>
      </c>
      <c r="P437" s="430">
        <v>3288</v>
      </c>
      <c r="Q437" s="430">
        <v>65760</v>
      </c>
      <c r="R437" s="26">
        <v>43868</v>
      </c>
      <c r="S437" s="4" t="s">
        <v>1445</v>
      </c>
      <c r="T437" s="430">
        <v>65763</v>
      </c>
      <c r="U437" t="s">
        <v>1545</v>
      </c>
      <c r="V437" s="431">
        <v>2100</v>
      </c>
      <c r="W437" s="431">
        <v>690</v>
      </c>
      <c r="X437" s="375">
        <v>0.25</v>
      </c>
    </row>
    <row r="438" spans="1:24" x14ac:dyDescent="0.25">
      <c r="A438" s="4">
        <v>215</v>
      </c>
      <c r="B438" s="4" t="s">
        <v>4943</v>
      </c>
      <c r="C438" s="6" t="s">
        <v>4944</v>
      </c>
      <c r="D438" s="6" t="s">
        <v>4940</v>
      </c>
      <c r="E438" s="21">
        <v>43868</v>
      </c>
      <c r="F438" s="4" t="s">
        <v>1461</v>
      </c>
      <c r="H438" s="4">
        <v>6505</v>
      </c>
      <c r="I438" s="4">
        <v>4453</v>
      </c>
      <c r="J438" s="4" t="s">
        <v>1234</v>
      </c>
      <c r="K438" s="6" t="s">
        <v>970</v>
      </c>
      <c r="L438" s="4">
        <v>1</v>
      </c>
      <c r="M438" s="430">
        <v>7563</v>
      </c>
      <c r="N438" s="441" t="s">
        <v>2886</v>
      </c>
      <c r="O438" s="430">
        <v>7563</v>
      </c>
      <c r="P438" s="430">
        <v>9000</v>
      </c>
      <c r="Q438" s="430">
        <v>9000</v>
      </c>
      <c r="R438" s="26">
        <v>43869</v>
      </c>
      <c r="S438" s="4" t="s">
        <v>1501</v>
      </c>
      <c r="T438" s="430">
        <v>9000</v>
      </c>
      <c r="U438" t="s">
        <v>4934</v>
      </c>
      <c r="V438" s="431">
        <v>5300</v>
      </c>
      <c r="W438" s="431">
        <v>2263</v>
      </c>
      <c r="X438" s="375">
        <v>0.3</v>
      </c>
    </row>
    <row r="439" spans="1:24" x14ac:dyDescent="0.25">
      <c r="A439" s="4">
        <v>213</v>
      </c>
      <c r="B439" s="4" t="s">
        <v>5713</v>
      </c>
      <c r="C439" s="6" t="s">
        <v>5714</v>
      </c>
      <c r="D439" s="6" t="s">
        <v>5715</v>
      </c>
      <c r="E439" s="21">
        <v>43868</v>
      </c>
      <c r="F439" s="4" t="s">
        <v>1461</v>
      </c>
      <c r="H439" s="4">
        <v>6503</v>
      </c>
      <c r="I439" s="4">
        <v>4451</v>
      </c>
      <c r="J439" s="4" t="s">
        <v>1205</v>
      </c>
      <c r="K439" s="6" t="s">
        <v>2171</v>
      </c>
      <c r="L439" s="4">
        <v>1</v>
      </c>
      <c r="M439" s="433">
        <v>14286</v>
      </c>
      <c r="N439" s="519" t="s">
        <v>2886</v>
      </c>
      <c r="O439" s="433">
        <v>14286</v>
      </c>
      <c r="P439" s="433">
        <v>17000</v>
      </c>
      <c r="Q439" s="433">
        <v>17000</v>
      </c>
      <c r="R439" s="26">
        <v>43868</v>
      </c>
      <c r="S439" s="4" t="s">
        <v>1445</v>
      </c>
      <c r="T439" s="433">
        <v>17000</v>
      </c>
      <c r="U439" t="s">
        <v>5708</v>
      </c>
      <c r="V439" s="434">
        <v>10000</v>
      </c>
      <c r="W439" s="434">
        <v>4286</v>
      </c>
      <c r="X439" s="375">
        <v>0.3</v>
      </c>
    </row>
    <row r="440" spans="1:24" x14ac:dyDescent="0.25">
      <c r="A440" s="4">
        <v>209</v>
      </c>
      <c r="B440" s="4" t="s">
        <v>4923</v>
      </c>
      <c r="C440" s="6" t="s">
        <v>5439</v>
      </c>
      <c r="D440" s="6" t="s">
        <v>4636</v>
      </c>
      <c r="E440" s="21">
        <v>43868</v>
      </c>
      <c r="F440" s="4" t="s">
        <v>925</v>
      </c>
      <c r="H440" s="4" t="s">
        <v>2528</v>
      </c>
      <c r="I440" s="4">
        <v>4447</v>
      </c>
      <c r="J440" s="4" t="s">
        <v>1207</v>
      </c>
      <c r="K440" s="6" t="s">
        <v>963</v>
      </c>
      <c r="L440" s="4">
        <v>1</v>
      </c>
      <c r="M440" s="433">
        <v>35561</v>
      </c>
      <c r="N440" s="374">
        <v>0.06</v>
      </c>
      <c r="O440" s="433">
        <v>33474</v>
      </c>
      <c r="P440" s="433">
        <v>39679</v>
      </c>
      <c r="Q440" s="433">
        <v>39679</v>
      </c>
      <c r="R440" s="26">
        <v>43868</v>
      </c>
      <c r="S440" s="4" t="s">
        <v>1445</v>
      </c>
      <c r="T440" s="433">
        <v>39679</v>
      </c>
      <c r="U440" t="s">
        <v>4767</v>
      </c>
      <c r="V440" s="434">
        <v>25675</v>
      </c>
      <c r="W440" s="434">
        <v>7799</v>
      </c>
      <c r="X440" s="375">
        <v>0.23</v>
      </c>
    </row>
    <row r="441" spans="1:24" x14ac:dyDescent="0.25">
      <c r="A441" s="4">
        <v>211</v>
      </c>
      <c r="B441" s="4" t="s">
        <v>1503</v>
      </c>
      <c r="C441" s="6" t="s">
        <v>1972</v>
      </c>
      <c r="D441" s="6" t="s">
        <v>1638</v>
      </c>
      <c r="E441" s="21">
        <v>43868</v>
      </c>
      <c r="F441" s="4" t="s">
        <v>1461</v>
      </c>
      <c r="H441" s="4">
        <v>6501</v>
      </c>
      <c r="I441" s="4">
        <v>4449</v>
      </c>
      <c r="J441" s="4" t="s">
        <v>5699</v>
      </c>
      <c r="K441" s="6" t="s">
        <v>5700</v>
      </c>
      <c r="L441" s="4">
        <v>1</v>
      </c>
      <c r="M441" s="433">
        <v>3193</v>
      </c>
      <c r="N441" s="441" t="s">
        <v>2886</v>
      </c>
      <c r="O441" s="433">
        <v>3193</v>
      </c>
      <c r="P441" s="433">
        <v>3800</v>
      </c>
      <c r="Q441" s="433">
        <v>3800</v>
      </c>
      <c r="R441" s="26">
        <v>43867</v>
      </c>
      <c r="S441" s="4" t="s">
        <v>1501</v>
      </c>
      <c r="T441" s="433">
        <v>19700</v>
      </c>
      <c r="U441" t="s">
        <v>1545</v>
      </c>
      <c r="V441" s="434">
        <v>2200</v>
      </c>
      <c r="W441" s="434">
        <v>993</v>
      </c>
      <c r="X441" s="375">
        <v>0.31</v>
      </c>
    </row>
    <row r="442" spans="1:24" x14ac:dyDescent="0.25">
      <c r="A442" s="4">
        <v>211</v>
      </c>
      <c r="B442" s="4" t="s">
        <v>2250</v>
      </c>
      <c r="C442" s="6" t="s">
        <v>2249</v>
      </c>
      <c r="D442" s="6" t="s">
        <v>1638</v>
      </c>
      <c r="E442" s="21">
        <v>43868</v>
      </c>
      <c r="F442" s="4" t="s">
        <v>1461</v>
      </c>
      <c r="H442" s="4">
        <v>6501</v>
      </c>
      <c r="I442" s="4">
        <v>4449</v>
      </c>
      <c r="J442" s="4" t="s">
        <v>5699</v>
      </c>
      <c r="K442" s="6" t="s">
        <v>5700</v>
      </c>
      <c r="L442" s="4">
        <v>2</v>
      </c>
      <c r="M442" s="433">
        <v>3193</v>
      </c>
      <c r="N442" s="4" t="s">
        <v>2886</v>
      </c>
      <c r="O442" s="433">
        <v>3193</v>
      </c>
      <c r="P442" s="433">
        <v>3800</v>
      </c>
      <c r="Q442" s="433">
        <v>7600</v>
      </c>
      <c r="R442" s="26">
        <v>43867</v>
      </c>
      <c r="S442" s="4" t="s">
        <v>1501</v>
      </c>
      <c r="T442" s="433">
        <v>19700</v>
      </c>
      <c r="U442" t="s">
        <v>1545</v>
      </c>
      <c r="V442" s="434">
        <v>2100</v>
      </c>
      <c r="W442" s="434">
        <v>1093</v>
      </c>
      <c r="X442" s="375">
        <v>0.34</v>
      </c>
    </row>
    <row r="443" spans="1:24" x14ac:dyDescent="0.25">
      <c r="A443" s="4">
        <v>211</v>
      </c>
      <c r="B443" s="4" t="s">
        <v>1924</v>
      </c>
      <c r="C443" s="6" t="s">
        <v>1897</v>
      </c>
      <c r="D443" s="6" t="s">
        <v>1504</v>
      </c>
      <c r="E443" s="21">
        <v>43868</v>
      </c>
      <c r="F443" s="4" t="s">
        <v>1461</v>
      </c>
      <c r="H443" s="4">
        <v>6501</v>
      </c>
      <c r="I443" s="4">
        <v>4449</v>
      </c>
      <c r="J443" s="4" t="s">
        <v>5699</v>
      </c>
      <c r="K443" s="6" t="s">
        <v>5700</v>
      </c>
      <c r="L443" s="4">
        <v>1</v>
      </c>
      <c r="M443" s="433">
        <v>2101</v>
      </c>
      <c r="N443" s="441" t="s">
        <v>2886</v>
      </c>
      <c r="O443" s="433">
        <v>2101</v>
      </c>
      <c r="P443" s="433">
        <v>2500</v>
      </c>
      <c r="Q443" s="433">
        <v>2500</v>
      </c>
      <c r="R443" s="26">
        <v>43867</v>
      </c>
      <c r="S443" s="4" t="s">
        <v>1501</v>
      </c>
      <c r="T443" s="433">
        <v>19700</v>
      </c>
      <c r="U443" t="s">
        <v>1545</v>
      </c>
      <c r="V443" s="434">
        <v>850</v>
      </c>
      <c r="W443" s="434">
        <v>1251</v>
      </c>
      <c r="X443" s="375">
        <v>0.6</v>
      </c>
    </row>
    <row r="444" spans="1:24" x14ac:dyDescent="0.25">
      <c r="A444" s="4">
        <v>211</v>
      </c>
      <c r="B444" s="4" t="s">
        <v>1515</v>
      </c>
      <c r="C444" s="6" t="s">
        <v>1652</v>
      </c>
      <c r="D444" s="6" t="s">
        <v>1638</v>
      </c>
      <c r="E444" s="21">
        <v>43868</v>
      </c>
      <c r="F444" s="4" t="s">
        <v>1461</v>
      </c>
      <c r="H444" s="4">
        <v>6501</v>
      </c>
      <c r="I444" s="4">
        <v>4449</v>
      </c>
      <c r="J444" s="4" t="s">
        <v>5699</v>
      </c>
      <c r="K444" s="6" t="s">
        <v>5700</v>
      </c>
      <c r="L444" s="4">
        <v>1</v>
      </c>
      <c r="M444" s="433">
        <v>4874</v>
      </c>
      <c r="N444" s="441" t="s">
        <v>2886</v>
      </c>
      <c r="O444" s="433">
        <v>4874</v>
      </c>
      <c r="P444" s="433">
        <v>5800</v>
      </c>
      <c r="Q444" s="433">
        <v>5800</v>
      </c>
      <c r="R444" s="26">
        <v>43867</v>
      </c>
      <c r="S444" s="4" t="s">
        <v>1501</v>
      </c>
      <c r="T444" s="433">
        <v>19700</v>
      </c>
      <c r="U444" t="s">
        <v>1545</v>
      </c>
      <c r="V444" s="434">
        <v>2400</v>
      </c>
      <c r="W444" s="434">
        <v>2474</v>
      </c>
      <c r="X444" s="375">
        <v>0.51</v>
      </c>
    </row>
    <row r="445" spans="1:24" x14ac:dyDescent="0.25">
      <c r="A445" s="4">
        <v>212</v>
      </c>
      <c r="B445" s="4" t="s">
        <v>838</v>
      </c>
      <c r="C445" s="6" t="s">
        <v>2062</v>
      </c>
      <c r="D445" s="6" t="s">
        <v>840</v>
      </c>
      <c r="E445" s="21">
        <v>43868</v>
      </c>
      <c r="F445" s="4" t="s">
        <v>1461</v>
      </c>
      <c r="H445" s="4">
        <v>6502</v>
      </c>
      <c r="I445" s="4">
        <v>4450</v>
      </c>
      <c r="J445" s="4" t="s">
        <v>5402</v>
      </c>
      <c r="K445" s="6" t="s">
        <v>5403</v>
      </c>
      <c r="L445" s="4">
        <v>1</v>
      </c>
      <c r="M445" s="433">
        <v>16555</v>
      </c>
      <c r="N445" s="4" t="s">
        <v>2886</v>
      </c>
      <c r="O445" s="433">
        <v>16555</v>
      </c>
      <c r="P445" s="433">
        <v>19700</v>
      </c>
      <c r="Q445" s="433">
        <v>19700</v>
      </c>
      <c r="R445" s="26">
        <v>43867</v>
      </c>
      <c r="S445" s="4" t="s">
        <v>1501</v>
      </c>
      <c r="T445" s="433">
        <v>39600</v>
      </c>
      <c r="U445" t="s">
        <v>1572</v>
      </c>
      <c r="V445" s="434">
        <v>12429</v>
      </c>
      <c r="W445" s="434">
        <v>4126</v>
      </c>
      <c r="X445" s="375">
        <v>0.25</v>
      </c>
    </row>
    <row r="446" spans="1:24" x14ac:dyDescent="0.25">
      <c r="A446" s="4">
        <v>212</v>
      </c>
      <c r="B446" s="4" t="s">
        <v>843</v>
      </c>
      <c r="C446" s="6" t="s">
        <v>2058</v>
      </c>
      <c r="D446" s="6" t="s">
        <v>840</v>
      </c>
      <c r="E446" s="21">
        <v>43868</v>
      </c>
      <c r="F446" s="4" t="s">
        <v>1461</v>
      </c>
      <c r="H446" s="4">
        <v>6502</v>
      </c>
      <c r="I446" s="4">
        <v>4450</v>
      </c>
      <c r="J446" s="4" t="s">
        <v>5402</v>
      </c>
      <c r="K446" s="6" t="s">
        <v>5403</v>
      </c>
      <c r="L446" s="4">
        <v>1</v>
      </c>
      <c r="M446" s="433">
        <v>16723</v>
      </c>
      <c r="N446" s="441" t="s">
        <v>2886</v>
      </c>
      <c r="O446" s="433">
        <v>16723</v>
      </c>
      <c r="P446" s="433">
        <v>19900</v>
      </c>
      <c r="Q446" s="433">
        <v>19900</v>
      </c>
      <c r="R446" s="26">
        <v>43867</v>
      </c>
      <c r="S446" s="4" t="s">
        <v>1501</v>
      </c>
      <c r="T446" s="433">
        <v>39600</v>
      </c>
      <c r="U446" t="s">
        <v>1572</v>
      </c>
      <c r="V446" s="434">
        <v>11888</v>
      </c>
      <c r="W446" s="434">
        <v>4835</v>
      </c>
      <c r="X446" s="375">
        <v>0.28999999999999998</v>
      </c>
    </row>
    <row r="447" spans="1:24" x14ac:dyDescent="0.25">
      <c r="A447" s="4">
        <v>214</v>
      </c>
      <c r="B447" s="4" t="s">
        <v>830</v>
      </c>
      <c r="C447" s="6" t="s">
        <v>2495</v>
      </c>
      <c r="D447" s="6" t="s">
        <v>837</v>
      </c>
      <c r="E447" s="21">
        <v>43868</v>
      </c>
      <c r="F447" s="4" t="s">
        <v>1461</v>
      </c>
      <c r="H447" s="4">
        <v>6504</v>
      </c>
      <c r="I447" s="4">
        <v>4452</v>
      </c>
      <c r="J447" s="4" t="s">
        <v>1200</v>
      </c>
      <c r="K447" s="6" t="s">
        <v>2316</v>
      </c>
      <c r="L447" s="4">
        <v>1</v>
      </c>
      <c r="M447" s="439">
        <v>13866</v>
      </c>
      <c r="N447" s="4" t="s">
        <v>2886</v>
      </c>
      <c r="O447" s="439">
        <v>13866</v>
      </c>
      <c r="P447" s="439">
        <v>16500</v>
      </c>
      <c r="Q447" s="439">
        <v>16500</v>
      </c>
      <c r="R447" s="26">
        <v>43868</v>
      </c>
      <c r="S447" s="4" t="s">
        <v>1445</v>
      </c>
      <c r="T447" s="439">
        <v>45200</v>
      </c>
      <c r="U447" t="s">
        <v>1572</v>
      </c>
      <c r="V447" s="440">
        <v>10390</v>
      </c>
      <c r="W447" s="440">
        <v>3476</v>
      </c>
      <c r="X447" s="375">
        <v>0.25</v>
      </c>
    </row>
    <row r="448" spans="1:24" x14ac:dyDescent="0.25">
      <c r="A448" s="4">
        <v>214</v>
      </c>
      <c r="B448" s="4" t="s">
        <v>1473</v>
      </c>
      <c r="C448" s="6" t="s">
        <v>1657</v>
      </c>
      <c r="D448" s="6" t="s">
        <v>1469</v>
      </c>
      <c r="E448" s="21">
        <v>43868</v>
      </c>
      <c r="F448" s="4" t="s">
        <v>1461</v>
      </c>
      <c r="H448" s="4">
        <v>6504</v>
      </c>
      <c r="I448" s="4">
        <v>4452</v>
      </c>
      <c r="J448" s="4" t="s">
        <v>1200</v>
      </c>
      <c r="K448" s="6" t="s">
        <v>2316</v>
      </c>
      <c r="L448" s="4">
        <v>1</v>
      </c>
      <c r="M448" s="433">
        <v>13109</v>
      </c>
      <c r="N448" s="441" t="s">
        <v>2886</v>
      </c>
      <c r="O448" s="433">
        <v>13109</v>
      </c>
      <c r="P448" s="433">
        <v>15600</v>
      </c>
      <c r="Q448" s="433">
        <v>15600</v>
      </c>
      <c r="R448" s="26">
        <v>43868</v>
      </c>
      <c r="S448" s="4" t="s">
        <v>1445</v>
      </c>
      <c r="T448" s="433">
        <v>45200</v>
      </c>
      <c r="U448" t="s">
        <v>1570</v>
      </c>
      <c r="V448" s="434">
        <v>9850</v>
      </c>
      <c r="W448" s="434">
        <v>3259</v>
      </c>
      <c r="X448" s="375">
        <v>0.25</v>
      </c>
    </row>
    <row r="449" spans="1:24" x14ac:dyDescent="0.25">
      <c r="A449" s="4">
        <v>214</v>
      </c>
      <c r="B449" s="4" t="s">
        <v>1516</v>
      </c>
      <c r="C449" s="6" t="s">
        <v>1737</v>
      </c>
      <c r="D449" s="6" t="s">
        <v>1504</v>
      </c>
      <c r="E449" s="21">
        <v>43868</v>
      </c>
      <c r="F449" s="4" t="s">
        <v>1461</v>
      </c>
      <c r="H449" s="4">
        <v>6504</v>
      </c>
      <c r="I449" s="4">
        <v>4452</v>
      </c>
      <c r="J449" s="4" t="s">
        <v>1200</v>
      </c>
      <c r="K449" s="6" t="s">
        <v>2316</v>
      </c>
      <c r="L449" s="4">
        <v>2</v>
      </c>
      <c r="M449" s="433">
        <v>3193</v>
      </c>
      <c r="N449" s="441" t="s">
        <v>2886</v>
      </c>
      <c r="O449" s="433">
        <v>3193</v>
      </c>
      <c r="P449" s="433">
        <v>3800</v>
      </c>
      <c r="Q449" s="433">
        <v>7600</v>
      </c>
      <c r="R449" s="26">
        <v>43868</v>
      </c>
      <c r="S449" s="4" t="s">
        <v>1445</v>
      </c>
      <c r="T449" s="433">
        <v>45200</v>
      </c>
      <c r="U449" t="s">
        <v>1545</v>
      </c>
      <c r="V449" s="434">
        <v>2195</v>
      </c>
      <c r="W449" s="434">
        <v>998</v>
      </c>
      <c r="X449" s="375">
        <v>0.31</v>
      </c>
    </row>
    <row r="450" spans="1:24" x14ac:dyDescent="0.25">
      <c r="A450" s="4">
        <v>214</v>
      </c>
      <c r="B450" s="4" t="s">
        <v>4352</v>
      </c>
      <c r="C450" s="6" t="s">
        <v>4453</v>
      </c>
      <c r="D450" s="6" t="s">
        <v>4454</v>
      </c>
      <c r="E450" s="21">
        <v>43868</v>
      </c>
      <c r="F450" s="4" t="s">
        <v>1461</v>
      </c>
      <c r="H450" s="4">
        <v>6504</v>
      </c>
      <c r="I450" s="4">
        <v>4452</v>
      </c>
      <c r="J450" s="4" t="s">
        <v>1200</v>
      </c>
      <c r="K450" s="6" t="s">
        <v>2316</v>
      </c>
      <c r="L450" s="4">
        <v>1</v>
      </c>
      <c r="M450" s="433">
        <v>4622</v>
      </c>
      <c r="N450" s="441" t="s">
        <v>2886</v>
      </c>
      <c r="O450" s="433">
        <v>4622</v>
      </c>
      <c r="P450" s="433">
        <v>5500</v>
      </c>
      <c r="Q450" s="433">
        <v>5500</v>
      </c>
      <c r="R450" s="26">
        <v>43868</v>
      </c>
      <c r="S450" s="4" t="s">
        <v>1445</v>
      </c>
      <c r="T450" s="433">
        <v>45200</v>
      </c>
      <c r="U450" t="s">
        <v>1551</v>
      </c>
      <c r="V450" s="434">
        <v>2695</v>
      </c>
      <c r="W450" s="434">
        <v>1927</v>
      </c>
      <c r="X450" s="375">
        <v>0.42</v>
      </c>
    </row>
    <row r="451" spans="1:24" x14ac:dyDescent="0.25">
      <c r="A451" s="4">
        <v>216</v>
      </c>
      <c r="B451" s="4" t="s">
        <v>2098</v>
      </c>
      <c r="C451" s="6" t="s">
        <v>2288</v>
      </c>
      <c r="D451" s="6" t="s">
        <v>1469</v>
      </c>
      <c r="E451" s="21">
        <v>43868</v>
      </c>
      <c r="F451" s="4" t="s">
        <v>1461</v>
      </c>
      <c r="H451" s="4">
        <v>6506</v>
      </c>
      <c r="I451" s="4">
        <v>4454</v>
      </c>
      <c r="J451" s="4" t="s">
        <v>1402</v>
      </c>
      <c r="K451" s="6" t="s">
        <v>3588</v>
      </c>
      <c r="L451" s="4">
        <v>1</v>
      </c>
      <c r="M451" s="433">
        <v>19496</v>
      </c>
      <c r="N451" s="441" t="s">
        <v>2886</v>
      </c>
      <c r="O451" s="433">
        <v>19496</v>
      </c>
      <c r="P451" s="433">
        <v>23200</v>
      </c>
      <c r="Q451" s="433">
        <v>23200</v>
      </c>
      <c r="R451" s="26">
        <v>43869</v>
      </c>
      <c r="S451" s="4" t="s">
        <v>1501</v>
      </c>
      <c r="T451" s="433">
        <v>23200</v>
      </c>
      <c r="U451" t="s">
        <v>1570</v>
      </c>
      <c r="V451" s="434">
        <v>14700</v>
      </c>
      <c r="W451" s="434">
        <v>4796</v>
      </c>
      <c r="X451" s="375">
        <v>0.25</v>
      </c>
    </row>
    <row r="452" spans="1:24" x14ac:dyDescent="0.25">
      <c r="A452" s="4">
        <v>210</v>
      </c>
      <c r="B452" s="4" t="s">
        <v>5550</v>
      </c>
      <c r="C452" s="6" t="s">
        <v>5551</v>
      </c>
      <c r="D452" s="6" t="s">
        <v>5552</v>
      </c>
      <c r="E452" s="21">
        <v>43868</v>
      </c>
      <c r="F452" s="4" t="s">
        <v>925</v>
      </c>
      <c r="H452" s="4" t="s">
        <v>2528</v>
      </c>
      <c r="I452" s="4">
        <v>4448</v>
      </c>
      <c r="J452" s="4" t="s">
        <v>1182</v>
      </c>
      <c r="K452" s="6" t="s">
        <v>1044</v>
      </c>
      <c r="L452" s="4">
        <v>4</v>
      </c>
      <c r="M452" s="433">
        <v>12185</v>
      </c>
      <c r="N452" s="441" t="s">
        <v>2886</v>
      </c>
      <c r="O452" s="433">
        <v>12185</v>
      </c>
      <c r="P452" s="433">
        <v>14500</v>
      </c>
      <c r="Q452" s="433">
        <v>58000</v>
      </c>
      <c r="R452" s="26">
        <v>43868</v>
      </c>
      <c r="S452" s="4" t="s">
        <v>1445</v>
      </c>
      <c r="T452" s="433">
        <v>107780</v>
      </c>
      <c r="U452" t="s">
        <v>1569</v>
      </c>
      <c r="V452" s="440">
        <v>4703</v>
      </c>
      <c r="W452" s="434">
        <v>7482</v>
      </c>
      <c r="X452" s="375">
        <v>0.61</v>
      </c>
    </row>
    <row r="453" spans="1:24" x14ac:dyDescent="0.25">
      <c r="A453" s="4">
        <v>210</v>
      </c>
      <c r="B453" s="4" t="s">
        <v>855</v>
      </c>
      <c r="C453" s="6" t="s">
        <v>2499</v>
      </c>
      <c r="D453" s="6" t="s">
        <v>857</v>
      </c>
      <c r="E453" s="21">
        <v>43868</v>
      </c>
      <c r="F453" s="4" t="s">
        <v>925</v>
      </c>
      <c r="H453" s="4" t="s">
        <v>2528</v>
      </c>
      <c r="I453" s="4">
        <v>4448</v>
      </c>
      <c r="J453" s="4" t="s">
        <v>1182</v>
      </c>
      <c r="K453" s="6" t="s">
        <v>1044</v>
      </c>
      <c r="L453" s="4">
        <v>2</v>
      </c>
      <c r="M453" s="439">
        <v>13816</v>
      </c>
      <c r="N453" s="374">
        <v>0.19</v>
      </c>
      <c r="O453" s="439">
        <v>11610</v>
      </c>
      <c r="P453" s="439">
        <v>13317</v>
      </c>
      <c r="Q453" s="439">
        <v>26634</v>
      </c>
      <c r="R453" s="26">
        <v>43868</v>
      </c>
      <c r="S453" s="4" t="s">
        <v>1445</v>
      </c>
      <c r="T453" s="439">
        <v>107780</v>
      </c>
      <c r="U453" t="s">
        <v>1551</v>
      </c>
      <c r="V453" s="440">
        <v>9975</v>
      </c>
      <c r="W453" s="440">
        <v>1635</v>
      </c>
      <c r="X453" s="375">
        <v>0.14000000000000001</v>
      </c>
    </row>
    <row r="454" spans="1:24" x14ac:dyDescent="0.25">
      <c r="A454" s="4">
        <v>210</v>
      </c>
      <c r="B454" s="4" t="s">
        <v>1964</v>
      </c>
      <c r="C454" s="6" t="s">
        <v>2202</v>
      </c>
      <c r="D454" s="6" t="s">
        <v>2198</v>
      </c>
      <c r="E454" s="21">
        <v>43868</v>
      </c>
      <c r="F454" s="4" t="s">
        <v>925</v>
      </c>
      <c r="H454" s="4" t="s">
        <v>2528</v>
      </c>
      <c r="I454" s="4">
        <v>4448</v>
      </c>
      <c r="J454" s="4" t="s">
        <v>1182</v>
      </c>
      <c r="K454" s="6" t="s">
        <v>1044</v>
      </c>
      <c r="L454" s="4">
        <v>20</v>
      </c>
      <c r="M454" s="439">
        <v>1078</v>
      </c>
      <c r="N454" s="374">
        <v>0.1</v>
      </c>
      <c r="O454" s="439">
        <v>982</v>
      </c>
      <c r="P454" s="439">
        <v>1157</v>
      </c>
      <c r="Q454" s="439">
        <v>23140</v>
      </c>
      <c r="R454" s="26">
        <v>43868</v>
      </c>
      <c r="S454" s="4" t="s">
        <v>1445</v>
      </c>
      <c r="T454" s="439">
        <v>107780</v>
      </c>
      <c r="U454" t="s">
        <v>1572</v>
      </c>
      <c r="V454" s="440">
        <v>778</v>
      </c>
      <c r="W454" s="440">
        <v>204</v>
      </c>
      <c r="X454" s="375">
        <v>0.21</v>
      </c>
    </row>
    <row r="455" spans="1:24" x14ac:dyDescent="0.25">
      <c r="A455" s="4">
        <v>217</v>
      </c>
      <c r="B455" s="4" t="s">
        <v>5175</v>
      </c>
      <c r="C455" s="6" t="s">
        <v>5176</v>
      </c>
      <c r="D455" s="6" t="s">
        <v>5177</v>
      </c>
      <c r="E455" s="21">
        <v>43871</v>
      </c>
      <c r="F455" s="4" t="s">
        <v>925</v>
      </c>
      <c r="H455" s="4" t="s">
        <v>2528</v>
      </c>
      <c r="I455" s="4">
        <v>4455</v>
      </c>
      <c r="J455" s="4" t="s">
        <v>1175</v>
      </c>
      <c r="K455" s="6" t="s">
        <v>1144</v>
      </c>
      <c r="L455" s="4">
        <v>300</v>
      </c>
      <c r="M455" s="442">
        <v>1312</v>
      </c>
      <c r="N455" s="374">
        <v>-0.02</v>
      </c>
      <c r="O455" s="442">
        <v>1336</v>
      </c>
      <c r="P455" s="442">
        <v>1590</v>
      </c>
      <c r="Q455" s="442">
        <v>477000</v>
      </c>
      <c r="R455" s="26">
        <v>43871</v>
      </c>
      <c r="S455" s="4" t="s">
        <v>1501</v>
      </c>
      <c r="T455" s="442">
        <v>477000</v>
      </c>
      <c r="U455" t="s">
        <v>4934</v>
      </c>
      <c r="V455" s="443">
        <v>900</v>
      </c>
      <c r="W455" s="443">
        <v>436</v>
      </c>
      <c r="X455" s="375">
        <v>0.33</v>
      </c>
    </row>
    <row r="456" spans="1:24" x14ac:dyDescent="0.25">
      <c r="A456" s="4">
        <v>226</v>
      </c>
      <c r="B456" s="4" t="s">
        <v>830</v>
      </c>
      <c r="C456" s="6" t="s">
        <v>2495</v>
      </c>
      <c r="D456" s="6" t="s">
        <v>837</v>
      </c>
      <c r="E456" s="21">
        <v>43871</v>
      </c>
      <c r="F456" s="4" t="s">
        <v>1461</v>
      </c>
      <c r="H456" s="4">
        <v>6514</v>
      </c>
      <c r="I456" s="4">
        <v>4464</v>
      </c>
      <c r="J456" s="4" t="s">
        <v>1234</v>
      </c>
      <c r="K456" s="6" t="s">
        <v>970</v>
      </c>
      <c r="L456" s="4">
        <v>1</v>
      </c>
      <c r="M456" s="442">
        <v>13866</v>
      </c>
      <c r="N456" s="4" t="s">
        <v>2886</v>
      </c>
      <c r="O456" s="442">
        <v>13866</v>
      </c>
      <c r="P456" s="442">
        <v>16500</v>
      </c>
      <c r="Q456" s="442">
        <v>16500</v>
      </c>
      <c r="R456" s="26">
        <v>43871</v>
      </c>
      <c r="S456" s="4" t="s">
        <v>1501</v>
      </c>
      <c r="T456" s="442">
        <v>16500</v>
      </c>
      <c r="U456" t="s">
        <v>1572</v>
      </c>
      <c r="V456" s="443">
        <v>10390</v>
      </c>
      <c r="W456" s="443">
        <v>3476</v>
      </c>
      <c r="X456" s="375">
        <v>0.25</v>
      </c>
    </row>
    <row r="457" spans="1:24" x14ac:dyDescent="0.25">
      <c r="A457" s="4">
        <v>228</v>
      </c>
      <c r="B457" s="4" t="s">
        <v>4605</v>
      </c>
      <c r="C457" s="6" t="s">
        <v>5654</v>
      </c>
      <c r="D457" s="6" t="s">
        <v>5655</v>
      </c>
      <c r="E457" s="21">
        <v>43871</v>
      </c>
      <c r="F457" s="4" t="s">
        <v>1461</v>
      </c>
      <c r="H457" s="4">
        <v>6517</v>
      </c>
      <c r="I457" s="4">
        <v>4466</v>
      </c>
      <c r="J457" s="4" t="s">
        <v>3200</v>
      </c>
      <c r="K457" s="6" t="s">
        <v>3201</v>
      </c>
      <c r="L457" s="4">
        <v>1</v>
      </c>
      <c r="M457" s="439">
        <v>21429</v>
      </c>
      <c r="N457" s="587" t="s">
        <v>2886</v>
      </c>
      <c r="O457" s="439">
        <v>21429</v>
      </c>
      <c r="P457" s="439">
        <v>25500</v>
      </c>
      <c r="Q457" s="439">
        <v>25500</v>
      </c>
      <c r="R457" s="26">
        <v>43871</v>
      </c>
      <c r="S457" s="4" t="s">
        <v>1501</v>
      </c>
      <c r="T457" s="439">
        <v>25500</v>
      </c>
      <c r="U457" t="s">
        <v>4602</v>
      </c>
      <c r="V457" s="440">
        <v>18726</v>
      </c>
      <c r="W457" s="440">
        <v>2703</v>
      </c>
      <c r="X457" s="375">
        <v>0.13</v>
      </c>
    </row>
    <row r="458" spans="1:24" x14ac:dyDescent="0.25">
      <c r="A458" s="4">
        <v>221</v>
      </c>
      <c r="B458" s="4" t="s">
        <v>4941</v>
      </c>
      <c r="C458" s="6" t="s">
        <v>4942</v>
      </c>
      <c r="D458" s="6" t="s">
        <v>4940</v>
      </c>
      <c r="E458" s="21">
        <v>43871</v>
      </c>
      <c r="F458" s="4" t="s">
        <v>1461</v>
      </c>
      <c r="H458" s="4">
        <v>6509</v>
      </c>
      <c r="I458" s="4">
        <v>4459</v>
      </c>
      <c r="J458" s="4" t="s">
        <v>3562</v>
      </c>
      <c r="K458" s="6" t="s">
        <v>3563</v>
      </c>
      <c r="L458" s="4">
        <v>1</v>
      </c>
      <c r="M458" s="442">
        <v>13866</v>
      </c>
      <c r="N458" s="4" t="s">
        <v>2886</v>
      </c>
      <c r="O458" s="442">
        <v>13866</v>
      </c>
      <c r="P458" s="442">
        <v>16500</v>
      </c>
      <c r="Q458" s="442">
        <v>16500</v>
      </c>
      <c r="R458" s="26">
        <v>43869</v>
      </c>
      <c r="S458" s="4" t="s">
        <v>1501</v>
      </c>
      <c r="T458" s="442">
        <v>22300</v>
      </c>
      <c r="U458" t="s">
        <v>4934</v>
      </c>
      <c r="V458" s="443">
        <v>9778</v>
      </c>
      <c r="W458" s="443">
        <v>4088</v>
      </c>
      <c r="X458" s="375">
        <v>0.28999999999999998</v>
      </c>
    </row>
    <row r="459" spans="1:24" x14ac:dyDescent="0.25">
      <c r="A459" s="4">
        <v>221</v>
      </c>
      <c r="B459" s="4" t="s">
        <v>1515</v>
      </c>
      <c r="C459" s="6" t="s">
        <v>1652</v>
      </c>
      <c r="D459" s="6" t="s">
        <v>1638</v>
      </c>
      <c r="E459" s="21">
        <v>43871</v>
      </c>
      <c r="F459" s="4" t="s">
        <v>1461</v>
      </c>
      <c r="H459" s="4">
        <v>6509</v>
      </c>
      <c r="I459" s="4">
        <v>4459</v>
      </c>
      <c r="J459" s="4" t="s">
        <v>3562</v>
      </c>
      <c r="K459" s="6" t="s">
        <v>3563</v>
      </c>
      <c r="L459" s="4">
        <v>1</v>
      </c>
      <c r="M459" s="442">
        <v>4874</v>
      </c>
      <c r="N459" s="4" t="s">
        <v>2886</v>
      </c>
      <c r="O459" s="442">
        <v>4874</v>
      </c>
      <c r="P459" s="442">
        <v>5800</v>
      </c>
      <c r="Q459" s="442">
        <v>5800</v>
      </c>
      <c r="R459" s="26">
        <v>43869</v>
      </c>
      <c r="S459" s="4" t="s">
        <v>1501</v>
      </c>
      <c r="T459" s="442">
        <v>22300</v>
      </c>
      <c r="U459" t="s">
        <v>1545</v>
      </c>
      <c r="V459" s="443">
        <v>2400</v>
      </c>
      <c r="W459" s="443">
        <v>2474</v>
      </c>
      <c r="X459" s="375">
        <v>0.51</v>
      </c>
    </row>
    <row r="460" spans="1:24" x14ac:dyDescent="0.25">
      <c r="A460" s="4">
        <v>224</v>
      </c>
      <c r="B460" s="4" t="s">
        <v>855</v>
      </c>
      <c r="C460" s="6" t="s">
        <v>2499</v>
      </c>
      <c r="D460" s="6" t="s">
        <v>857</v>
      </c>
      <c r="E460" s="21">
        <v>43871</v>
      </c>
      <c r="F460" s="4" t="s">
        <v>1461</v>
      </c>
      <c r="H460" s="4">
        <v>6512</v>
      </c>
      <c r="I460" s="4">
        <v>4462</v>
      </c>
      <c r="J460" s="4" t="s">
        <v>2656</v>
      </c>
      <c r="K460" s="6" t="s">
        <v>3362</v>
      </c>
      <c r="L460" s="4">
        <v>1</v>
      </c>
      <c r="M460" s="442">
        <v>13277</v>
      </c>
      <c r="N460" s="4" t="s">
        <v>2886</v>
      </c>
      <c r="O460" s="442">
        <v>13277</v>
      </c>
      <c r="P460" s="442">
        <v>15800</v>
      </c>
      <c r="Q460" s="442">
        <v>15800</v>
      </c>
      <c r="R460" s="26">
        <v>43869</v>
      </c>
      <c r="S460" s="4" t="s">
        <v>1501</v>
      </c>
      <c r="T460" s="442">
        <v>39300</v>
      </c>
      <c r="U460" t="s">
        <v>1551</v>
      </c>
      <c r="V460" s="443">
        <v>9975</v>
      </c>
      <c r="W460" s="443">
        <v>3302</v>
      </c>
      <c r="X460" s="375">
        <v>0.25</v>
      </c>
    </row>
    <row r="461" spans="1:24" x14ac:dyDescent="0.25">
      <c r="A461" s="4">
        <v>224</v>
      </c>
      <c r="B461" s="4" t="s">
        <v>800</v>
      </c>
      <c r="C461" s="6" t="s">
        <v>1927</v>
      </c>
      <c r="D461" s="6" t="s">
        <v>802</v>
      </c>
      <c r="E461" s="21">
        <v>43871</v>
      </c>
      <c r="F461" s="4" t="s">
        <v>1461</v>
      </c>
      <c r="H461" s="4">
        <v>6512</v>
      </c>
      <c r="I461" s="4">
        <v>4462</v>
      </c>
      <c r="J461" s="4" t="s">
        <v>2656</v>
      </c>
      <c r="K461" s="6" t="s">
        <v>3362</v>
      </c>
      <c r="L461" s="4">
        <v>1</v>
      </c>
      <c r="M461" s="442">
        <v>19748</v>
      </c>
      <c r="N461" s="4" t="s">
        <v>2886</v>
      </c>
      <c r="O461" s="442">
        <v>19748</v>
      </c>
      <c r="P461" s="442">
        <v>23500</v>
      </c>
      <c r="Q461" s="442">
        <v>23500</v>
      </c>
      <c r="R461" s="26">
        <v>43869</v>
      </c>
      <c r="S461" s="4" t="s">
        <v>1501</v>
      </c>
      <c r="T461" s="442">
        <v>39300</v>
      </c>
      <c r="U461" t="s">
        <v>1551</v>
      </c>
      <c r="V461" s="443">
        <v>14894</v>
      </c>
      <c r="W461" s="443">
        <v>4854</v>
      </c>
      <c r="X461" s="375">
        <v>0.25</v>
      </c>
    </row>
    <row r="462" spans="1:24" x14ac:dyDescent="0.25">
      <c r="A462" s="4">
        <v>223</v>
      </c>
      <c r="B462" s="4" t="s">
        <v>838</v>
      </c>
      <c r="C462" s="6" t="s">
        <v>2062</v>
      </c>
      <c r="D462" s="6" t="s">
        <v>840</v>
      </c>
      <c r="E462" s="21">
        <v>43871</v>
      </c>
      <c r="F462" s="4" t="s">
        <v>1461</v>
      </c>
      <c r="H462" s="4">
        <v>43869</v>
      </c>
      <c r="I462" s="4">
        <v>4461</v>
      </c>
      <c r="J462" s="4" t="s">
        <v>5273</v>
      </c>
      <c r="K462" s="6" t="s">
        <v>5274</v>
      </c>
      <c r="L462" s="4">
        <v>1</v>
      </c>
      <c r="M462" s="442">
        <v>16555</v>
      </c>
      <c r="N462" s="441" t="s">
        <v>2886</v>
      </c>
      <c r="O462" s="442">
        <v>16555</v>
      </c>
      <c r="P462" s="442">
        <v>19700</v>
      </c>
      <c r="Q462" s="442">
        <v>19700</v>
      </c>
      <c r="R462" s="26">
        <v>43869</v>
      </c>
      <c r="S462" s="4" t="s">
        <v>1501</v>
      </c>
      <c r="T462" s="442">
        <v>19700</v>
      </c>
      <c r="U462" t="s">
        <v>1572</v>
      </c>
      <c r="V462" s="443">
        <v>12429</v>
      </c>
      <c r="W462" s="443">
        <v>4126</v>
      </c>
      <c r="X462" s="375">
        <v>0.25</v>
      </c>
    </row>
    <row r="463" spans="1:24" x14ac:dyDescent="0.25">
      <c r="A463" s="4">
        <v>219</v>
      </c>
      <c r="B463" s="4" t="s">
        <v>2250</v>
      </c>
      <c r="C463" s="6" t="s">
        <v>2249</v>
      </c>
      <c r="D463" s="6" t="s">
        <v>1638</v>
      </c>
      <c r="E463" s="21">
        <v>43871</v>
      </c>
      <c r="F463" s="4" t="s">
        <v>1461</v>
      </c>
      <c r="H463" s="4">
        <v>6507</v>
      </c>
      <c r="I463" s="4">
        <v>4457</v>
      </c>
      <c r="J463" s="4" t="s">
        <v>5210</v>
      </c>
      <c r="K463" s="6" t="s">
        <v>5211</v>
      </c>
      <c r="L463" s="4">
        <v>4</v>
      </c>
      <c r="M463" s="442">
        <v>3193</v>
      </c>
      <c r="N463" s="4" t="s">
        <v>2886</v>
      </c>
      <c r="O463" s="442">
        <v>3193</v>
      </c>
      <c r="P463" s="442">
        <v>3800</v>
      </c>
      <c r="Q463" s="442">
        <v>15200</v>
      </c>
      <c r="R463" s="26">
        <v>43871</v>
      </c>
      <c r="S463" s="4" t="s">
        <v>1501</v>
      </c>
      <c r="T463" s="442">
        <v>30400</v>
      </c>
      <c r="U463" t="s">
        <v>1545</v>
      </c>
      <c r="V463" s="443">
        <v>2100</v>
      </c>
      <c r="W463" s="443">
        <v>1093</v>
      </c>
      <c r="X463" s="375">
        <v>0.34</v>
      </c>
    </row>
    <row r="464" spans="1:24" x14ac:dyDescent="0.25">
      <c r="A464" s="4">
        <v>219</v>
      </c>
      <c r="B464" s="4" t="s">
        <v>1516</v>
      </c>
      <c r="C464" s="6" t="s">
        <v>1737</v>
      </c>
      <c r="D464" s="6" t="s">
        <v>1504</v>
      </c>
      <c r="E464" s="21">
        <v>43871</v>
      </c>
      <c r="F464" s="4" t="s">
        <v>1461</v>
      </c>
      <c r="H464" s="4">
        <v>6507</v>
      </c>
      <c r="I464" s="4">
        <v>4457</v>
      </c>
      <c r="J464" s="4" t="s">
        <v>5210</v>
      </c>
      <c r="K464" s="6" t="s">
        <v>5211</v>
      </c>
      <c r="L464" s="4">
        <v>4</v>
      </c>
      <c r="M464" s="442">
        <v>3193</v>
      </c>
      <c r="N464" s="4" t="s">
        <v>2886</v>
      </c>
      <c r="O464" s="442">
        <v>3193</v>
      </c>
      <c r="P464" s="442">
        <v>3800</v>
      </c>
      <c r="Q464" s="442">
        <v>15200</v>
      </c>
      <c r="R464" s="26">
        <v>43871</v>
      </c>
      <c r="S464" s="4" t="s">
        <v>1501</v>
      </c>
      <c r="T464" s="442">
        <v>30400</v>
      </c>
      <c r="U464" t="s">
        <v>1545</v>
      </c>
      <c r="V464" s="443">
        <v>2195</v>
      </c>
      <c r="W464" s="443">
        <v>998</v>
      </c>
      <c r="X464" s="375">
        <v>0.31</v>
      </c>
    </row>
    <row r="465" spans="1:24" x14ac:dyDescent="0.25">
      <c r="A465" s="4">
        <v>227</v>
      </c>
      <c r="B465" s="4" t="s">
        <v>4620</v>
      </c>
      <c r="C465" s="6" t="s">
        <v>4621</v>
      </c>
      <c r="D465" s="6" t="s">
        <v>4622</v>
      </c>
      <c r="E465" s="21">
        <v>43871</v>
      </c>
      <c r="F465" s="4" t="s">
        <v>1461</v>
      </c>
      <c r="H465" s="4">
        <v>6515</v>
      </c>
      <c r="I465" s="4">
        <v>4465</v>
      </c>
      <c r="J465" s="4" t="s">
        <v>4807</v>
      </c>
      <c r="K465" s="6" t="s">
        <v>4808</v>
      </c>
      <c r="L465" s="4">
        <v>1</v>
      </c>
      <c r="M465" s="442">
        <v>32689</v>
      </c>
      <c r="N465" s="4" t="s">
        <v>2886</v>
      </c>
      <c r="O465" s="442">
        <v>32689</v>
      </c>
      <c r="P465" s="442">
        <v>38900</v>
      </c>
      <c r="Q465" s="442">
        <v>38900</v>
      </c>
      <c r="R465" s="26">
        <v>43871</v>
      </c>
      <c r="S465" s="4" t="s">
        <v>1501</v>
      </c>
      <c r="T465" s="442">
        <v>46400</v>
      </c>
      <c r="U465" t="s">
        <v>4602</v>
      </c>
      <c r="V465" s="443">
        <v>26207</v>
      </c>
      <c r="W465" s="443">
        <v>6482</v>
      </c>
      <c r="X465" s="375">
        <v>0.2</v>
      </c>
    </row>
    <row r="466" spans="1:24" x14ac:dyDescent="0.25">
      <c r="A466" s="4">
        <v>227</v>
      </c>
      <c r="B466" s="4" t="s">
        <v>1719</v>
      </c>
      <c r="C466" s="6" t="s">
        <v>2365</v>
      </c>
      <c r="D466" s="6" t="s">
        <v>1539</v>
      </c>
      <c r="E466" s="21">
        <v>43871</v>
      </c>
      <c r="F466" s="4" t="s">
        <v>1461</v>
      </c>
      <c r="H466" s="4">
        <v>6515</v>
      </c>
      <c r="I466" s="4">
        <v>4465</v>
      </c>
      <c r="J466" s="4" t="s">
        <v>4807</v>
      </c>
      <c r="K466" s="6" t="s">
        <v>4808</v>
      </c>
      <c r="L466" s="4">
        <v>1</v>
      </c>
      <c r="M466" s="442">
        <v>6303</v>
      </c>
      <c r="N466" s="4" t="s">
        <v>2886</v>
      </c>
      <c r="O466" s="442">
        <v>6303</v>
      </c>
      <c r="P466" s="442">
        <v>7500</v>
      </c>
      <c r="Q466" s="442">
        <v>7500</v>
      </c>
      <c r="R466" s="26">
        <v>43871</v>
      </c>
      <c r="S466" s="4" t="s">
        <v>1501</v>
      </c>
      <c r="T466" s="442">
        <v>46400</v>
      </c>
      <c r="U466" t="s">
        <v>1524</v>
      </c>
      <c r="V466" s="443">
        <v>5042</v>
      </c>
      <c r="W466" s="443">
        <v>1261</v>
      </c>
      <c r="X466" s="375">
        <v>0.2</v>
      </c>
    </row>
    <row r="467" spans="1:24" x14ac:dyDescent="0.25">
      <c r="A467" s="4">
        <v>225</v>
      </c>
      <c r="B467" s="4" t="s">
        <v>4620</v>
      </c>
      <c r="C467" s="6" t="s">
        <v>4621</v>
      </c>
      <c r="D467" s="6" t="s">
        <v>4622</v>
      </c>
      <c r="E467" s="21">
        <v>43871</v>
      </c>
      <c r="F467" s="4" t="s">
        <v>1461</v>
      </c>
      <c r="H467" s="4">
        <v>6513</v>
      </c>
      <c r="I467" s="4">
        <v>4463</v>
      </c>
      <c r="J467" s="4" t="s">
        <v>4863</v>
      </c>
      <c r="K467" s="6" t="s">
        <v>4864</v>
      </c>
      <c r="L467" s="4">
        <v>1</v>
      </c>
      <c r="M467" s="442">
        <v>29832</v>
      </c>
      <c r="N467" s="4" t="s">
        <v>2886</v>
      </c>
      <c r="O467" s="442">
        <v>29832</v>
      </c>
      <c r="P467" s="442">
        <v>35500</v>
      </c>
      <c r="Q467" s="442">
        <v>35500</v>
      </c>
      <c r="R467" s="26">
        <v>43871</v>
      </c>
      <c r="S467" s="4" t="s">
        <v>1501</v>
      </c>
      <c r="T467" s="442">
        <v>35500</v>
      </c>
      <c r="U467" t="s">
        <v>4602</v>
      </c>
      <c r="V467" s="443">
        <v>26207</v>
      </c>
      <c r="W467" s="443">
        <v>3625</v>
      </c>
      <c r="X467" s="375">
        <v>0.12</v>
      </c>
    </row>
    <row r="468" spans="1:24" x14ac:dyDescent="0.25">
      <c r="A468" s="4">
        <v>220</v>
      </c>
      <c r="B468" s="4" t="s">
        <v>838</v>
      </c>
      <c r="C468" s="6" t="s">
        <v>2062</v>
      </c>
      <c r="D468" s="6" t="s">
        <v>840</v>
      </c>
      <c r="E468" s="21">
        <v>43871</v>
      </c>
      <c r="F468" s="4" t="s">
        <v>1461</v>
      </c>
      <c r="H468" s="4">
        <v>6508</v>
      </c>
      <c r="I468" s="4">
        <v>4458</v>
      </c>
      <c r="J468" s="4" t="s">
        <v>5737</v>
      </c>
      <c r="K468" s="6" t="s">
        <v>5738</v>
      </c>
      <c r="L468" s="4">
        <v>1</v>
      </c>
      <c r="M468" s="442">
        <v>16555</v>
      </c>
      <c r="N468" s="4" t="s">
        <v>2886</v>
      </c>
      <c r="O468" s="442">
        <v>16555</v>
      </c>
      <c r="P468" s="442">
        <v>19700</v>
      </c>
      <c r="Q468" s="442">
        <v>19700</v>
      </c>
      <c r="R468" s="26">
        <v>43869</v>
      </c>
      <c r="S468" s="4" t="s">
        <v>1501</v>
      </c>
      <c r="T468" s="442">
        <v>19700</v>
      </c>
      <c r="U468" t="s">
        <v>1572</v>
      </c>
      <c r="V468" s="443">
        <v>12429</v>
      </c>
      <c r="W468" s="443">
        <v>4126</v>
      </c>
      <c r="X468" s="375">
        <v>0.25</v>
      </c>
    </row>
    <row r="469" spans="1:24" x14ac:dyDescent="0.25">
      <c r="A469" s="4">
        <v>218</v>
      </c>
      <c r="B469" s="4" t="s">
        <v>5338</v>
      </c>
      <c r="C469" s="6" t="s">
        <v>5339</v>
      </c>
      <c r="D469" s="6" t="s">
        <v>4457</v>
      </c>
      <c r="E469" s="21">
        <v>43871</v>
      </c>
      <c r="F469" s="4" t="s">
        <v>1461</v>
      </c>
      <c r="H469" s="4">
        <v>6516</v>
      </c>
      <c r="I469" s="4">
        <v>4456</v>
      </c>
      <c r="J469" s="4" t="s">
        <v>1236</v>
      </c>
      <c r="K469" s="6" t="s">
        <v>1920</v>
      </c>
      <c r="L469" s="4">
        <v>6</v>
      </c>
      <c r="M469" s="439">
        <v>764</v>
      </c>
      <c r="N469" s="4" t="s">
        <v>2886</v>
      </c>
      <c r="O469" s="439">
        <v>764</v>
      </c>
      <c r="P469" s="439">
        <v>910</v>
      </c>
      <c r="Q469" s="439">
        <v>5460</v>
      </c>
      <c r="R469" s="26">
        <v>43871</v>
      </c>
      <c r="S469" s="4" t="s">
        <v>1501</v>
      </c>
      <c r="T469" s="439">
        <v>5457</v>
      </c>
      <c r="U469" t="s">
        <v>1563</v>
      </c>
      <c r="V469" s="440">
        <v>535</v>
      </c>
      <c r="W469" s="440">
        <v>229</v>
      </c>
      <c r="X469" s="375">
        <v>0.3</v>
      </c>
    </row>
    <row r="470" spans="1:24" x14ac:dyDescent="0.25">
      <c r="A470" s="4">
        <v>218</v>
      </c>
      <c r="B470" s="4" t="s">
        <v>38</v>
      </c>
      <c r="C470" s="6" t="s">
        <v>2856</v>
      </c>
      <c r="D470" s="6" t="s">
        <v>1693</v>
      </c>
      <c r="E470" s="21">
        <v>43871</v>
      </c>
      <c r="F470" s="4" t="s">
        <v>1461</v>
      </c>
      <c r="H470" s="4">
        <v>6516</v>
      </c>
      <c r="I470" s="4">
        <v>4456</v>
      </c>
      <c r="J470" s="4" t="s">
        <v>1236</v>
      </c>
      <c r="K470" s="6" t="s">
        <v>1920</v>
      </c>
      <c r="L470" s="4">
        <v>0</v>
      </c>
      <c r="M470" s="439">
        <v>3135</v>
      </c>
      <c r="N470" s="374">
        <v>-0.05</v>
      </c>
      <c r="O470" s="439">
        <v>3284</v>
      </c>
      <c r="P470" s="439">
        <v>3900</v>
      </c>
      <c r="Q470" s="519" t="s">
        <v>5584</v>
      </c>
      <c r="R470" s="26">
        <v>43871</v>
      </c>
      <c r="S470" s="4" t="s">
        <v>1501</v>
      </c>
      <c r="T470" s="439">
        <v>5457</v>
      </c>
      <c r="U470" t="s">
        <v>1563</v>
      </c>
      <c r="V470" s="440">
        <v>2345</v>
      </c>
      <c r="W470" s="440">
        <v>939</v>
      </c>
      <c r="X470" s="375">
        <v>0.28999999999999998</v>
      </c>
    </row>
    <row r="471" spans="1:24" x14ac:dyDescent="0.25">
      <c r="A471" s="4">
        <v>222</v>
      </c>
      <c r="B471" s="4" t="s">
        <v>838</v>
      </c>
      <c r="C471" s="6" t="s">
        <v>2062</v>
      </c>
      <c r="D471" s="6" t="s">
        <v>840</v>
      </c>
      <c r="E471" s="21">
        <v>43871</v>
      </c>
      <c r="F471" s="4" t="s">
        <v>1461</v>
      </c>
      <c r="H471" s="4">
        <v>6510</v>
      </c>
      <c r="I471" s="4">
        <v>4460</v>
      </c>
      <c r="J471" s="4" t="s">
        <v>5335</v>
      </c>
      <c r="K471" s="6" t="s">
        <v>5336</v>
      </c>
      <c r="L471" s="4">
        <v>1</v>
      </c>
      <c r="M471" s="442">
        <v>16555</v>
      </c>
      <c r="N471" s="4" t="s">
        <v>2886</v>
      </c>
      <c r="O471" s="442">
        <v>16555</v>
      </c>
      <c r="P471" s="442">
        <v>19700</v>
      </c>
      <c r="Q471" s="442">
        <v>19700</v>
      </c>
      <c r="R471" s="26">
        <v>43869</v>
      </c>
      <c r="S471" s="4" t="s">
        <v>1501</v>
      </c>
      <c r="T471" s="442">
        <v>19700</v>
      </c>
      <c r="U471" t="s">
        <v>1572</v>
      </c>
      <c r="V471" s="443">
        <v>12429</v>
      </c>
      <c r="W471" s="443">
        <v>4126</v>
      </c>
      <c r="X471" s="375">
        <v>0.25</v>
      </c>
    </row>
    <row r="472" spans="1:24" x14ac:dyDescent="0.25">
      <c r="A472" s="4">
        <v>231</v>
      </c>
      <c r="B472" s="4" t="s">
        <v>656</v>
      </c>
      <c r="C472" s="6" t="s">
        <v>1973</v>
      </c>
      <c r="D472" s="6" t="s">
        <v>794</v>
      </c>
      <c r="E472" s="21">
        <v>43872</v>
      </c>
      <c r="F472" s="4" t="s">
        <v>1461</v>
      </c>
      <c r="H472" s="4">
        <v>6520</v>
      </c>
      <c r="I472" s="4">
        <v>4469</v>
      </c>
      <c r="J472" s="4" t="s">
        <v>5228</v>
      </c>
      <c r="K472" s="6" t="s">
        <v>5229</v>
      </c>
      <c r="L472" s="4">
        <v>1</v>
      </c>
      <c r="M472" s="442">
        <v>19328</v>
      </c>
      <c r="N472" s="4" t="s">
        <v>2886</v>
      </c>
      <c r="O472" s="442">
        <v>19328</v>
      </c>
      <c r="P472" s="442">
        <v>23000</v>
      </c>
      <c r="Q472" s="442">
        <v>23000</v>
      </c>
      <c r="R472" s="26">
        <v>43872</v>
      </c>
      <c r="S472" s="4" t="s">
        <v>1501</v>
      </c>
      <c r="T472" s="442">
        <v>35500</v>
      </c>
      <c r="U472" t="s">
        <v>1551</v>
      </c>
      <c r="V472" s="443">
        <v>14604</v>
      </c>
      <c r="W472" s="443">
        <v>4724</v>
      </c>
      <c r="X472" s="375">
        <v>0.24</v>
      </c>
    </row>
    <row r="473" spans="1:24" x14ac:dyDescent="0.25">
      <c r="A473" s="4">
        <v>231</v>
      </c>
      <c r="B473" s="4" t="s">
        <v>2038</v>
      </c>
      <c r="C473" s="6" t="s">
        <v>2097</v>
      </c>
      <c r="D473" s="6" t="s">
        <v>794</v>
      </c>
      <c r="E473" s="21">
        <v>43872</v>
      </c>
      <c r="F473" s="4" t="s">
        <v>1461</v>
      </c>
      <c r="H473" s="4">
        <v>6520</v>
      </c>
      <c r="I473" s="4">
        <v>4469</v>
      </c>
      <c r="J473" s="4" t="s">
        <v>5228</v>
      </c>
      <c r="K473" s="6" t="s">
        <v>5229</v>
      </c>
      <c r="L473" s="4">
        <v>1</v>
      </c>
      <c r="M473" s="442">
        <v>10504</v>
      </c>
      <c r="N473" s="4" t="s">
        <v>2886</v>
      </c>
      <c r="O473" s="442">
        <v>10504</v>
      </c>
      <c r="P473" s="442">
        <v>12500</v>
      </c>
      <c r="Q473" s="442">
        <v>12500</v>
      </c>
      <c r="R473" s="26">
        <v>43872</v>
      </c>
      <c r="S473" s="4" t="s">
        <v>1501</v>
      </c>
      <c r="T473" s="442">
        <v>35500</v>
      </c>
      <c r="U473" t="s">
        <v>1551</v>
      </c>
      <c r="V473" s="443">
        <v>7956</v>
      </c>
      <c r="W473" s="443">
        <v>2548</v>
      </c>
      <c r="X473" s="375">
        <v>0.24</v>
      </c>
    </row>
    <row r="474" spans="1:24" x14ac:dyDescent="0.25">
      <c r="A474" s="4">
        <v>235</v>
      </c>
      <c r="B474" s="4" t="s">
        <v>830</v>
      </c>
      <c r="C474" s="6" t="s">
        <v>2495</v>
      </c>
      <c r="D474" s="6" t="s">
        <v>837</v>
      </c>
      <c r="E474" s="21">
        <v>43872</v>
      </c>
      <c r="F474" s="4" t="s">
        <v>1461</v>
      </c>
      <c r="H474" s="4">
        <v>6524</v>
      </c>
      <c r="I474" s="4">
        <v>4473</v>
      </c>
      <c r="J474" s="4" t="s">
        <v>5743</v>
      </c>
      <c r="K474" s="6" t="s">
        <v>5744</v>
      </c>
      <c r="L474" s="4">
        <v>1</v>
      </c>
      <c r="M474" s="442">
        <v>13866</v>
      </c>
      <c r="N474" s="4" t="s">
        <v>2886</v>
      </c>
      <c r="O474" s="442">
        <v>13866</v>
      </c>
      <c r="P474" s="442">
        <v>16500</v>
      </c>
      <c r="Q474" s="442">
        <v>16500</v>
      </c>
      <c r="R474" s="26">
        <v>43872</v>
      </c>
      <c r="S474" s="4" t="s">
        <v>1501</v>
      </c>
      <c r="T474" s="442">
        <v>16500</v>
      </c>
      <c r="U474" t="s">
        <v>1572</v>
      </c>
      <c r="V474" s="443">
        <v>10390</v>
      </c>
      <c r="W474" s="443">
        <v>3476</v>
      </c>
      <c r="X474" s="375">
        <v>0.25</v>
      </c>
    </row>
    <row r="475" spans="1:24" x14ac:dyDescent="0.25">
      <c r="A475" s="4">
        <v>234</v>
      </c>
      <c r="B475" s="4" t="s">
        <v>830</v>
      </c>
      <c r="C475" s="6" t="s">
        <v>2495</v>
      </c>
      <c r="D475" s="6" t="s">
        <v>837</v>
      </c>
      <c r="E475" s="21">
        <v>43872</v>
      </c>
      <c r="F475" s="4" t="s">
        <v>1461</v>
      </c>
      <c r="H475" s="4">
        <v>6523</v>
      </c>
      <c r="I475" s="4">
        <v>4472</v>
      </c>
      <c r="J475" s="4" t="s">
        <v>5747</v>
      </c>
      <c r="K475" s="6" t="s">
        <v>5748</v>
      </c>
      <c r="L475" s="4">
        <v>2</v>
      </c>
      <c r="M475" s="442">
        <v>13866</v>
      </c>
      <c r="N475" s="4" t="s">
        <v>2886</v>
      </c>
      <c r="O475" s="442">
        <v>13866</v>
      </c>
      <c r="P475" s="442">
        <v>16500</v>
      </c>
      <c r="Q475" s="442">
        <v>33000</v>
      </c>
      <c r="R475" s="26">
        <v>43872</v>
      </c>
      <c r="S475" s="4" t="s">
        <v>1501</v>
      </c>
      <c r="T475" s="442">
        <v>33000</v>
      </c>
      <c r="U475" t="s">
        <v>1572</v>
      </c>
      <c r="V475" s="443">
        <v>10390</v>
      </c>
      <c r="W475" s="443">
        <v>3476</v>
      </c>
      <c r="X475" s="375">
        <v>0.25</v>
      </c>
    </row>
    <row r="476" spans="1:24" x14ac:dyDescent="0.25">
      <c r="A476" s="4">
        <v>229</v>
      </c>
      <c r="B476" s="4" t="s">
        <v>830</v>
      </c>
      <c r="C476" s="6" t="s">
        <v>2495</v>
      </c>
      <c r="D476" s="6" t="s">
        <v>837</v>
      </c>
      <c r="E476" s="21">
        <v>43872</v>
      </c>
      <c r="F476" s="4" t="s">
        <v>1461</v>
      </c>
      <c r="H476" s="4">
        <v>6518</v>
      </c>
      <c r="I476" s="4">
        <v>4467</v>
      </c>
      <c r="J476" s="4" t="s">
        <v>5740</v>
      </c>
      <c r="K476" s="6" t="s">
        <v>5741</v>
      </c>
      <c r="L476" s="4">
        <v>1</v>
      </c>
      <c r="M476" s="442">
        <v>13866</v>
      </c>
      <c r="N476" s="4" t="s">
        <v>2886</v>
      </c>
      <c r="O476" s="442">
        <v>13866</v>
      </c>
      <c r="P476" s="442">
        <v>16500</v>
      </c>
      <c r="Q476" s="442">
        <v>16500</v>
      </c>
      <c r="R476" s="26">
        <v>43871</v>
      </c>
      <c r="S476" s="4" t="s">
        <v>1501</v>
      </c>
      <c r="T476" s="442">
        <v>37700</v>
      </c>
      <c r="U476" t="s">
        <v>1572</v>
      </c>
      <c r="V476" s="443">
        <v>10390</v>
      </c>
      <c r="W476" s="443">
        <v>3476</v>
      </c>
      <c r="X476" s="375">
        <v>0.25</v>
      </c>
    </row>
    <row r="477" spans="1:24" x14ac:dyDescent="0.25">
      <c r="A477" s="4">
        <v>229</v>
      </c>
      <c r="B477" s="4" t="s">
        <v>4837</v>
      </c>
      <c r="C477" s="6" t="s">
        <v>4838</v>
      </c>
      <c r="D477" s="6" t="s">
        <v>802</v>
      </c>
      <c r="E477" s="21">
        <v>43872</v>
      </c>
      <c r="F477" s="4" t="s">
        <v>1461</v>
      </c>
      <c r="H477" s="4">
        <v>6518</v>
      </c>
      <c r="I477" s="4">
        <v>4467</v>
      </c>
      <c r="J477" s="4" t="s">
        <v>5740</v>
      </c>
      <c r="K477" s="6" t="s">
        <v>5741</v>
      </c>
      <c r="L477" s="4">
        <v>1</v>
      </c>
      <c r="M477" s="442">
        <v>17815</v>
      </c>
      <c r="N477" s="4" t="s">
        <v>2886</v>
      </c>
      <c r="O477" s="442">
        <v>17815</v>
      </c>
      <c r="P477" s="442">
        <v>21200</v>
      </c>
      <c r="Q477" s="442">
        <v>21200</v>
      </c>
      <c r="R477" s="26">
        <v>43871</v>
      </c>
      <c r="S477" s="4" t="s">
        <v>1501</v>
      </c>
      <c r="T477" s="442">
        <v>37700</v>
      </c>
      <c r="U477" t="s">
        <v>1551</v>
      </c>
      <c r="V477" s="443">
        <v>13279</v>
      </c>
      <c r="W477" s="443">
        <v>4536</v>
      </c>
      <c r="X477" s="375">
        <v>0.25</v>
      </c>
    </row>
    <row r="478" spans="1:24" x14ac:dyDescent="0.25">
      <c r="A478" s="4">
        <v>232</v>
      </c>
      <c r="B478" s="4" t="s">
        <v>1515</v>
      </c>
      <c r="C478" s="6" t="s">
        <v>1652</v>
      </c>
      <c r="D478" s="6" t="s">
        <v>1638</v>
      </c>
      <c r="E478" s="21">
        <v>43872</v>
      </c>
      <c r="F478" s="4" t="s">
        <v>1461</v>
      </c>
      <c r="H478" s="4">
        <v>6521</v>
      </c>
      <c r="I478" s="4">
        <v>4470</v>
      </c>
      <c r="J478" s="4" t="s">
        <v>4465</v>
      </c>
      <c r="K478" s="6" t="s">
        <v>4466</v>
      </c>
      <c r="L478" s="4">
        <v>1</v>
      </c>
      <c r="M478" s="442">
        <v>4874</v>
      </c>
      <c r="N478" s="4" t="s">
        <v>2886</v>
      </c>
      <c r="O478" s="442">
        <v>4874</v>
      </c>
      <c r="P478" s="442">
        <v>5800</v>
      </c>
      <c r="Q478" s="442">
        <v>5800</v>
      </c>
      <c r="R478" s="26">
        <v>43872</v>
      </c>
      <c r="S478" s="4" t="s">
        <v>1501</v>
      </c>
      <c r="T478" s="442">
        <v>9600</v>
      </c>
      <c r="U478" t="s">
        <v>1545</v>
      </c>
      <c r="V478" s="443">
        <v>2400</v>
      </c>
      <c r="W478" s="443">
        <v>2474</v>
      </c>
      <c r="X478" s="375">
        <v>0.51</v>
      </c>
    </row>
    <row r="479" spans="1:24" x14ac:dyDescent="0.25">
      <c r="A479" s="4">
        <v>232</v>
      </c>
      <c r="B479" s="4" t="s">
        <v>2250</v>
      </c>
      <c r="C479" s="6" t="s">
        <v>2249</v>
      </c>
      <c r="D479" s="6" t="s">
        <v>1638</v>
      </c>
      <c r="E479" s="21">
        <v>43872</v>
      </c>
      <c r="F479" s="4" t="s">
        <v>1461</v>
      </c>
      <c r="H479" s="4">
        <v>6521</v>
      </c>
      <c r="I479" s="4">
        <v>4470</v>
      </c>
      <c r="J479" s="4" t="s">
        <v>4465</v>
      </c>
      <c r="K479" s="6" t="s">
        <v>4466</v>
      </c>
      <c r="L479" s="4">
        <v>1</v>
      </c>
      <c r="M479" s="442">
        <v>3193</v>
      </c>
      <c r="N479" s="4" t="s">
        <v>2886</v>
      </c>
      <c r="O479" s="442">
        <v>3193</v>
      </c>
      <c r="P479" s="442">
        <v>3800</v>
      </c>
      <c r="Q479" s="442">
        <v>3800</v>
      </c>
      <c r="R479" s="26">
        <v>43872</v>
      </c>
      <c r="S479" s="4" t="s">
        <v>1501</v>
      </c>
      <c r="T479" s="442">
        <v>9600</v>
      </c>
      <c r="U479" t="s">
        <v>1545</v>
      </c>
      <c r="V479" s="443">
        <v>2100</v>
      </c>
      <c r="W479" s="443">
        <v>1093</v>
      </c>
      <c r="X479" s="375">
        <v>0.34</v>
      </c>
    </row>
    <row r="480" spans="1:24" x14ac:dyDescent="0.25">
      <c r="A480" s="4">
        <v>236</v>
      </c>
      <c r="B480" s="4" t="s">
        <v>5147</v>
      </c>
      <c r="C480" s="6" t="s">
        <v>5148</v>
      </c>
      <c r="D480" s="6" t="s">
        <v>4618</v>
      </c>
      <c r="E480" s="21">
        <v>43872</v>
      </c>
      <c r="F480" s="4" t="s">
        <v>1461</v>
      </c>
      <c r="H480" s="4">
        <v>6522</v>
      </c>
      <c r="I480" s="4">
        <v>4474</v>
      </c>
      <c r="J480" s="4" t="s">
        <v>3175</v>
      </c>
      <c r="K480" s="6" t="s">
        <v>3176</v>
      </c>
      <c r="L480" s="4">
        <v>1</v>
      </c>
      <c r="M480" s="442">
        <v>26471</v>
      </c>
      <c r="N480" s="512" t="s">
        <v>2886</v>
      </c>
      <c r="O480" s="442">
        <v>26471</v>
      </c>
      <c r="P480" s="442">
        <v>31500</v>
      </c>
      <c r="Q480" s="442">
        <v>31500</v>
      </c>
      <c r="R480" s="26">
        <v>43872</v>
      </c>
      <c r="S480" s="4" t="s">
        <v>1501</v>
      </c>
      <c r="T480" s="442">
        <v>31500</v>
      </c>
      <c r="U480" t="s">
        <v>4602</v>
      </c>
      <c r="V480" s="443">
        <v>21183</v>
      </c>
      <c r="W480" s="443">
        <v>5288</v>
      </c>
      <c r="X480" s="375">
        <v>0.2</v>
      </c>
    </row>
    <row r="481" spans="1:24" x14ac:dyDescent="0.25">
      <c r="A481" s="4">
        <v>237</v>
      </c>
      <c r="B481" s="4" t="s">
        <v>1714</v>
      </c>
      <c r="C481" s="6" t="s">
        <v>1884</v>
      </c>
      <c r="D481" s="6" t="s">
        <v>1885</v>
      </c>
      <c r="E481" s="21">
        <v>43872</v>
      </c>
      <c r="F481" s="4" t="s">
        <v>1461</v>
      </c>
      <c r="H481" s="4">
        <v>6525</v>
      </c>
      <c r="I481" s="4">
        <v>4475</v>
      </c>
      <c r="J481" s="4" t="s">
        <v>1872</v>
      </c>
      <c r="K481" s="6" t="s">
        <v>1873</v>
      </c>
      <c r="L481" s="4">
        <v>1</v>
      </c>
      <c r="M481" s="442">
        <v>10504</v>
      </c>
      <c r="N481" s="512" t="s">
        <v>2886</v>
      </c>
      <c r="O481" s="442">
        <v>10504</v>
      </c>
      <c r="P481" s="442">
        <v>12500</v>
      </c>
      <c r="Q481" s="442">
        <v>12500</v>
      </c>
      <c r="R481" s="26">
        <v>43872</v>
      </c>
      <c r="S481" s="4" t="s">
        <v>1501</v>
      </c>
      <c r="T481" s="442">
        <v>33900</v>
      </c>
      <c r="U481" t="s">
        <v>1876</v>
      </c>
      <c r="V481" s="443">
        <v>8190</v>
      </c>
      <c r="W481" s="443">
        <v>2314</v>
      </c>
      <c r="X481" s="375">
        <v>0.22</v>
      </c>
    </row>
    <row r="482" spans="1:24" x14ac:dyDescent="0.25">
      <c r="A482" s="4">
        <v>237</v>
      </c>
      <c r="B482" s="4" t="s">
        <v>1913</v>
      </c>
      <c r="C482" s="6" t="s">
        <v>1963</v>
      </c>
      <c r="D482" s="6" t="s">
        <v>1885</v>
      </c>
      <c r="E482" s="21">
        <v>43872</v>
      </c>
      <c r="F482" s="4" t="s">
        <v>1461</v>
      </c>
      <c r="H482" s="4">
        <v>6525</v>
      </c>
      <c r="I482" s="4">
        <v>4475</v>
      </c>
      <c r="J482" s="4" t="s">
        <v>1872</v>
      </c>
      <c r="K482" s="6" t="s">
        <v>1873</v>
      </c>
      <c r="L482" s="4">
        <v>1</v>
      </c>
      <c r="M482" s="442">
        <v>8319</v>
      </c>
      <c r="N482" s="4" t="s">
        <v>2886</v>
      </c>
      <c r="O482" s="442">
        <v>8319</v>
      </c>
      <c r="P482" s="442">
        <v>9900</v>
      </c>
      <c r="Q482" s="442">
        <v>9900</v>
      </c>
      <c r="R482" s="26">
        <v>43872</v>
      </c>
      <c r="S482" s="4" t="s">
        <v>1501</v>
      </c>
      <c r="T482" s="442">
        <v>33900</v>
      </c>
      <c r="U482" t="s">
        <v>1876</v>
      </c>
      <c r="V482" s="443">
        <v>6700</v>
      </c>
      <c r="W482" s="443">
        <v>1619</v>
      </c>
      <c r="X482" s="375">
        <v>0.19</v>
      </c>
    </row>
    <row r="483" spans="1:24" x14ac:dyDescent="0.25">
      <c r="A483" s="4">
        <v>237</v>
      </c>
      <c r="B483" s="4" t="s">
        <v>3478</v>
      </c>
      <c r="C483" s="6" t="s">
        <v>3977</v>
      </c>
      <c r="D483" s="6" t="s">
        <v>1885</v>
      </c>
      <c r="E483" s="21">
        <v>43872</v>
      </c>
      <c r="F483" s="4" t="s">
        <v>1461</v>
      </c>
      <c r="H483" s="4">
        <v>6525</v>
      </c>
      <c r="I483" s="4">
        <v>4475</v>
      </c>
      <c r="J483" s="4" t="s">
        <v>1872</v>
      </c>
      <c r="K483" s="6" t="s">
        <v>1873</v>
      </c>
      <c r="L483" s="4">
        <v>1</v>
      </c>
      <c r="M483" s="442">
        <v>9664</v>
      </c>
      <c r="N483" s="512" t="s">
        <v>2886</v>
      </c>
      <c r="O483" s="442">
        <v>9664</v>
      </c>
      <c r="P483" s="442">
        <v>11500</v>
      </c>
      <c r="Q483" s="442">
        <v>11500</v>
      </c>
      <c r="R483" s="26">
        <v>43872</v>
      </c>
      <c r="S483" s="4" t="s">
        <v>1501</v>
      </c>
      <c r="T483" s="442">
        <v>33900</v>
      </c>
      <c r="U483" t="s">
        <v>1876</v>
      </c>
      <c r="V483" s="443">
        <v>7350</v>
      </c>
      <c r="W483" s="443">
        <v>2314</v>
      </c>
      <c r="X483" s="375">
        <v>0.24</v>
      </c>
    </row>
    <row r="484" spans="1:24" x14ac:dyDescent="0.25">
      <c r="A484" s="4">
        <v>230</v>
      </c>
      <c r="B484" s="4" t="s">
        <v>2250</v>
      </c>
      <c r="C484" s="6" t="s">
        <v>2249</v>
      </c>
      <c r="D484" s="6" t="s">
        <v>1638</v>
      </c>
      <c r="E484" s="21">
        <v>43872</v>
      </c>
      <c r="F484" s="4" t="s">
        <v>1461</v>
      </c>
      <c r="H484" s="4">
        <v>6519</v>
      </c>
      <c r="I484" s="4">
        <v>4468</v>
      </c>
      <c r="J484" s="4" t="s">
        <v>1235</v>
      </c>
      <c r="K484" s="6" t="s">
        <v>989</v>
      </c>
      <c r="L484" s="4">
        <v>1</v>
      </c>
      <c r="M484" s="442">
        <v>3193</v>
      </c>
      <c r="N484" s="512" t="s">
        <v>2886</v>
      </c>
      <c r="O484" s="442">
        <v>3193</v>
      </c>
      <c r="P484" s="442">
        <v>3800</v>
      </c>
      <c r="Q484" s="522">
        <v>3800</v>
      </c>
      <c r="R484" s="26">
        <v>43871</v>
      </c>
      <c r="S484" s="4" t="s">
        <v>1501</v>
      </c>
      <c r="T484" s="442">
        <v>7300</v>
      </c>
      <c r="U484" t="s">
        <v>1545</v>
      </c>
      <c r="V484" s="443">
        <v>2100</v>
      </c>
      <c r="W484" s="443">
        <v>1093</v>
      </c>
      <c r="X484" s="375">
        <v>0.34</v>
      </c>
    </row>
    <row r="485" spans="1:24" x14ac:dyDescent="0.25">
      <c r="A485" s="4">
        <v>230</v>
      </c>
      <c r="B485" s="4" t="s">
        <v>1755</v>
      </c>
      <c r="C485" s="6" t="s">
        <v>1925</v>
      </c>
      <c r="D485" s="6" t="s">
        <v>1504</v>
      </c>
      <c r="E485" s="21">
        <v>43872</v>
      </c>
      <c r="F485" s="4" t="s">
        <v>1461</v>
      </c>
      <c r="H485" s="4">
        <v>6519</v>
      </c>
      <c r="I485" s="4">
        <v>4468</v>
      </c>
      <c r="J485" s="4" t="s">
        <v>1235</v>
      </c>
      <c r="K485" s="6" t="s">
        <v>989</v>
      </c>
      <c r="L485" s="4">
        <v>1</v>
      </c>
      <c r="M485" s="444">
        <v>2941</v>
      </c>
      <c r="N485" s="4" t="s">
        <v>2886</v>
      </c>
      <c r="O485" s="444">
        <v>2941</v>
      </c>
      <c r="P485" s="444">
        <v>3500</v>
      </c>
      <c r="Q485" s="522">
        <v>3500</v>
      </c>
      <c r="R485" s="26">
        <v>43871</v>
      </c>
      <c r="S485" s="4" t="s">
        <v>1501</v>
      </c>
      <c r="T485" s="444">
        <v>7300</v>
      </c>
      <c r="U485" t="s">
        <v>1545</v>
      </c>
      <c r="V485" s="445">
        <v>2119</v>
      </c>
      <c r="W485" s="445">
        <v>822</v>
      </c>
      <c r="X485" s="375">
        <v>0.28000000000000003</v>
      </c>
    </row>
    <row r="486" spans="1:24" x14ac:dyDescent="0.25">
      <c r="A486" s="4">
        <v>238</v>
      </c>
      <c r="B486" s="4" t="s">
        <v>1516</v>
      </c>
      <c r="C486" s="6" t="s">
        <v>1737</v>
      </c>
      <c r="D486" s="6" t="s">
        <v>1504</v>
      </c>
      <c r="E486" s="21">
        <v>43872</v>
      </c>
      <c r="F486" s="4" t="s">
        <v>1461</v>
      </c>
      <c r="H486" s="4">
        <v>6526</v>
      </c>
      <c r="I486" s="4">
        <v>4476</v>
      </c>
      <c r="J486" s="4" t="s">
        <v>2273</v>
      </c>
      <c r="K486" s="6" t="s">
        <v>2274</v>
      </c>
      <c r="L486" s="4">
        <v>3</v>
      </c>
      <c r="M486" s="444">
        <v>3377</v>
      </c>
      <c r="N486" s="374">
        <v>0.05</v>
      </c>
      <c r="O486" s="444">
        <v>3203</v>
      </c>
      <c r="P486" s="444">
        <v>3800</v>
      </c>
      <c r="Q486" s="444">
        <v>11400</v>
      </c>
      <c r="R486" s="26">
        <v>43872</v>
      </c>
      <c r="S486" s="4" t="s">
        <v>1501</v>
      </c>
      <c r="T486" s="444">
        <v>11400</v>
      </c>
      <c r="U486" t="s">
        <v>1545</v>
      </c>
      <c r="V486" s="445">
        <v>2195</v>
      </c>
      <c r="W486" s="445">
        <v>1008</v>
      </c>
      <c r="X486" s="375">
        <v>0.31</v>
      </c>
    </row>
    <row r="487" spans="1:24" x14ac:dyDescent="0.25">
      <c r="A487" s="4">
        <v>233</v>
      </c>
      <c r="B487" s="4" t="s">
        <v>2289</v>
      </c>
      <c r="C487" s="6" t="s">
        <v>2620</v>
      </c>
      <c r="D487" s="6" t="s">
        <v>1539</v>
      </c>
      <c r="E487" s="21">
        <v>43872</v>
      </c>
      <c r="F487" s="4" t="s">
        <v>925</v>
      </c>
      <c r="H487" s="4" t="s">
        <v>5599</v>
      </c>
      <c r="I487" s="4">
        <v>4471</v>
      </c>
      <c r="J487" s="4" t="s">
        <v>1192</v>
      </c>
      <c r="K487" s="6" t="s">
        <v>1061</v>
      </c>
      <c r="L487" s="4">
        <v>2</v>
      </c>
      <c r="M487" s="444">
        <v>22695</v>
      </c>
      <c r="N487" s="374">
        <v>0.12</v>
      </c>
      <c r="O487" s="444">
        <v>20353</v>
      </c>
      <c r="P487" s="444">
        <v>23900</v>
      </c>
      <c r="Q487" s="444">
        <v>47800</v>
      </c>
      <c r="R487" s="26">
        <v>43872</v>
      </c>
      <c r="S487" s="4" t="s">
        <v>1501</v>
      </c>
      <c r="T487" s="444">
        <v>365560</v>
      </c>
      <c r="U487" t="s">
        <v>1524</v>
      </c>
      <c r="V487" s="445">
        <v>16386</v>
      </c>
      <c r="W487" s="445">
        <v>3967</v>
      </c>
      <c r="X487" s="375">
        <v>0.19</v>
      </c>
    </row>
    <row r="488" spans="1:24" x14ac:dyDescent="0.25">
      <c r="A488" s="4">
        <v>233</v>
      </c>
      <c r="B488" s="4" t="s">
        <v>3907</v>
      </c>
      <c r="C488" s="6" t="s">
        <v>3814</v>
      </c>
      <c r="D488" s="6" t="s">
        <v>1646</v>
      </c>
      <c r="E488" s="21">
        <v>43872</v>
      </c>
      <c r="F488" s="4" t="s">
        <v>925</v>
      </c>
      <c r="H488" s="4" t="s">
        <v>5599</v>
      </c>
      <c r="I488" s="4">
        <v>4471</v>
      </c>
      <c r="J488" s="4" t="s">
        <v>1192</v>
      </c>
      <c r="K488" s="6" t="s">
        <v>1061</v>
      </c>
      <c r="L488" s="4">
        <v>6</v>
      </c>
      <c r="M488" s="447">
        <v>18571</v>
      </c>
      <c r="N488" s="374">
        <v>0.05</v>
      </c>
      <c r="O488" s="447">
        <v>17687</v>
      </c>
      <c r="P488" s="447">
        <v>20994</v>
      </c>
      <c r="Q488" s="447">
        <v>125964</v>
      </c>
      <c r="R488" s="26">
        <v>43872</v>
      </c>
      <c r="S488" s="4" t="s">
        <v>1501</v>
      </c>
      <c r="T488" s="447">
        <v>365560</v>
      </c>
      <c r="U488" t="s">
        <v>3934</v>
      </c>
      <c r="V488" s="448">
        <v>13408</v>
      </c>
      <c r="W488" s="448">
        <v>4279</v>
      </c>
      <c r="X488" s="375">
        <v>0.24</v>
      </c>
    </row>
    <row r="489" spans="1:24" x14ac:dyDescent="0.25">
      <c r="A489" s="4">
        <v>233</v>
      </c>
      <c r="B489" s="4" t="s">
        <v>3906</v>
      </c>
      <c r="C489" s="6" t="s">
        <v>3813</v>
      </c>
      <c r="D489" s="6" t="s">
        <v>1646</v>
      </c>
      <c r="E489" s="21">
        <v>43872</v>
      </c>
      <c r="F489" s="4" t="s">
        <v>925</v>
      </c>
      <c r="H489" s="4" t="s">
        <v>5599</v>
      </c>
      <c r="I489" s="4">
        <v>4471</v>
      </c>
      <c r="J489" s="4" t="s">
        <v>1192</v>
      </c>
      <c r="K489" s="6" t="s">
        <v>1061</v>
      </c>
      <c r="L489" s="4">
        <v>12</v>
      </c>
      <c r="M489" s="447">
        <v>3335</v>
      </c>
      <c r="N489" s="4" t="s">
        <v>2886</v>
      </c>
      <c r="O489" s="447">
        <v>3335</v>
      </c>
      <c r="P489" s="447">
        <v>3969</v>
      </c>
      <c r="Q489" s="447">
        <v>47628</v>
      </c>
      <c r="R489" s="26">
        <v>43872</v>
      </c>
      <c r="S489" s="4" t="s">
        <v>1501</v>
      </c>
      <c r="T489" s="447">
        <v>365560</v>
      </c>
      <c r="U489" t="s">
        <v>3934</v>
      </c>
      <c r="V489" s="448">
        <v>2408</v>
      </c>
      <c r="W489" s="448">
        <v>927</v>
      </c>
      <c r="X489" s="375">
        <v>0.28000000000000003</v>
      </c>
    </row>
    <row r="490" spans="1:24" x14ac:dyDescent="0.25">
      <c r="A490" s="4">
        <v>233</v>
      </c>
      <c r="B490" s="4" t="s">
        <v>35</v>
      </c>
      <c r="C490" s="6" t="s">
        <v>2855</v>
      </c>
      <c r="D490" s="6" t="s">
        <v>1693</v>
      </c>
      <c r="E490" s="21">
        <v>43872</v>
      </c>
      <c r="F490" s="4" t="s">
        <v>925</v>
      </c>
      <c r="H490" s="4" t="s">
        <v>5599</v>
      </c>
      <c r="I490" s="4">
        <v>4471</v>
      </c>
      <c r="J490" s="4" t="s">
        <v>1192</v>
      </c>
      <c r="K490" s="6" t="s">
        <v>1061</v>
      </c>
      <c r="L490" s="4">
        <v>6</v>
      </c>
      <c r="M490" s="447">
        <v>6817</v>
      </c>
      <c r="N490" s="374">
        <v>0.1</v>
      </c>
      <c r="O490" s="447">
        <v>6210</v>
      </c>
      <c r="P490" s="447">
        <v>7320</v>
      </c>
      <c r="Q490" s="447">
        <v>43920</v>
      </c>
      <c r="R490" s="26">
        <v>43872</v>
      </c>
      <c r="S490" s="4" t="s">
        <v>1501</v>
      </c>
      <c r="T490" s="447">
        <v>365560</v>
      </c>
      <c r="U490" t="s">
        <v>1563</v>
      </c>
      <c r="V490" s="448">
        <v>4922</v>
      </c>
      <c r="W490" s="448">
        <v>1288</v>
      </c>
      <c r="X490" s="375">
        <v>0.21</v>
      </c>
    </row>
    <row r="491" spans="1:24" x14ac:dyDescent="0.25">
      <c r="A491" s="4">
        <v>233</v>
      </c>
      <c r="B491" s="4" t="s">
        <v>4218</v>
      </c>
      <c r="C491" s="6" t="s">
        <v>4219</v>
      </c>
      <c r="D491" s="6" t="s">
        <v>3950</v>
      </c>
      <c r="E491" s="21">
        <v>43872</v>
      </c>
      <c r="F491" s="4" t="s">
        <v>925</v>
      </c>
      <c r="H491" s="4" t="s">
        <v>5599</v>
      </c>
      <c r="I491" s="4">
        <v>4471</v>
      </c>
      <c r="J491" s="4" t="s">
        <v>1192</v>
      </c>
      <c r="K491" s="6" t="s">
        <v>1061</v>
      </c>
      <c r="L491" s="4">
        <v>10</v>
      </c>
      <c r="M491" s="447">
        <v>8310</v>
      </c>
      <c r="N491" s="374">
        <v>0.05</v>
      </c>
      <c r="O491" s="447">
        <v>7914</v>
      </c>
      <c r="P491" s="447">
        <v>9395</v>
      </c>
      <c r="Q491" s="447">
        <v>93950</v>
      </c>
      <c r="R491" s="26">
        <v>43872</v>
      </c>
      <c r="S491" s="4" t="s">
        <v>1501</v>
      </c>
      <c r="T491" s="447">
        <v>365560</v>
      </c>
      <c r="U491" t="s">
        <v>3934</v>
      </c>
      <c r="V491" s="448">
        <v>6000</v>
      </c>
      <c r="W491" s="448">
        <v>1914</v>
      </c>
      <c r="X491" s="375">
        <v>0.24</v>
      </c>
    </row>
    <row r="492" spans="1:24" x14ac:dyDescent="0.25">
      <c r="A492" s="4">
        <v>241</v>
      </c>
      <c r="B492" s="4" t="s">
        <v>2207</v>
      </c>
      <c r="C492" s="6" t="s">
        <v>3697</v>
      </c>
      <c r="D492" s="6" t="s">
        <v>1900</v>
      </c>
      <c r="E492" s="21">
        <v>43873</v>
      </c>
      <c r="F492" s="4" t="s">
        <v>925</v>
      </c>
      <c r="H492" s="4">
        <v>1039081</v>
      </c>
      <c r="I492" s="4">
        <v>4479</v>
      </c>
      <c r="J492" s="4" t="s">
        <v>1175</v>
      </c>
      <c r="K492" s="6" t="s">
        <v>1144</v>
      </c>
      <c r="L492" s="4">
        <v>80</v>
      </c>
      <c r="M492" s="449">
        <v>453</v>
      </c>
      <c r="N492" s="374">
        <v>0.05</v>
      </c>
      <c r="O492" s="449">
        <v>431</v>
      </c>
      <c r="P492" s="449">
        <v>512</v>
      </c>
      <c r="Q492" s="449">
        <v>40960</v>
      </c>
      <c r="R492" s="26">
        <v>43873</v>
      </c>
      <c r="S492" s="4" t="s">
        <v>2050</v>
      </c>
      <c r="T492" s="449">
        <v>57820</v>
      </c>
      <c r="U492" t="s">
        <v>1562</v>
      </c>
      <c r="V492" s="450">
        <v>327</v>
      </c>
      <c r="W492" s="450">
        <v>104</v>
      </c>
      <c r="X492" s="375">
        <v>0.24</v>
      </c>
    </row>
    <row r="493" spans="1:24" x14ac:dyDescent="0.25">
      <c r="A493" s="4">
        <v>242</v>
      </c>
      <c r="B493" s="4" t="s">
        <v>4672</v>
      </c>
      <c r="C493" s="6" t="s">
        <v>4673</v>
      </c>
      <c r="D493" s="6" t="s">
        <v>4674</v>
      </c>
      <c r="E493" s="21">
        <v>43873</v>
      </c>
      <c r="F493" s="4" t="s">
        <v>925</v>
      </c>
      <c r="H493" s="4" t="s">
        <v>2528</v>
      </c>
      <c r="I493" s="4">
        <v>4480</v>
      </c>
      <c r="J493" s="4" t="s">
        <v>1175</v>
      </c>
      <c r="K493" s="6" t="s">
        <v>1144</v>
      </c>
      <c r="L493" s="4">
        <v>12</v>
      </c>
      <c r="M493" s="449">
        <v>1252</v>
      </c>
      <c r="N493" s="374">
        <v>0.05</v>
      </c>
      <c r="O493" s="449">
        <v>1192</v>
      </c>
      <c r="P493" s="449">
        <v>1415</v>
      </c>
      <c r="Q493" s="449">
        <v>16980</v>
      </c>
      <c r="R493" s="26">
        <v>43873</v>
      </c>
      <c r="S493" s="4" t="s">
        <v>2050</v>
      </c>
      <c r="T493" s="449">
        <v>174761</v>
      </c>
      <c r="U493" t="s">
        <v>4767</v>
      </c>
      <c r="V493" s="450">
        <v>904</v>
      </c>
      <c r="W493" s="450">
        <v>288</v>
      </c>
      <c r="X493" s="375">
        <v>0.24</v>
      </c>
    </row>
    <row r="494" spans="1:24" x14ac:dyDescent="0.25">
      <c r="A494" s="4">
        <v>241</v>
      </c>
      <c r="B494" s="4" t="s">
        <v>276</v>
      </c>
      <c r="C494" s="6" t="s">
        <v>1687</v>
      </c>
      <c r="D494" s="6" t="s">
        <v>2792</v>
      </c>
      <c r="E494" s="21">
        <v>43873</v>
      </c>
      <c r="F494" s="4" t="s">
        <v>925</v>
      </c>
      <c r="H494" s="4">
        <v>1039081</v>
      </c>
      <c r="I494" s="4">
        <v>4479</v>
      </c>
      <c r="J494" s="4" t="s">
        <v>1175</v>
      </c>
      <c r="K494" s="6" t="s">
        <v>1144</v>
      </c>
      <c r="L494" s="4">
        <v>20</v>
      </c>
      <c r="M494" s="449">
        <v>657</v>
      </c>
      <c r="N494" s="374">
        <v>-0.08</v>
      </c>
      <c r="O494" s="449">
        <v>713</v>
      </c>
      <c r="P494" s="449">
        <v>843</v>
      </c>
      <c r="Q494" s="449">
        <v>16860</v>
      </c>
      <c r="R494" s="26">
        <v>43873</v>
      </c>
      <c r="S494" s="4" t="s">
        <v>2050</v>
      </c>
      <c r="T494" s="449">
        <v>57820</v>
      </c>
      <c r="U494" t="s">
        <v>2755</v>
      </c>
      <c r="V494" s="450">
        <v>474</v>
      </c>
      <c r="W494" s="450">
        <v>239</v>
      </c>
      <c r="X494" s="375">
        <v>0.34</v>
      </c>
    </row>
    <row r="495" spans="1:24" x14ac:dyDescent="0.25">
      <c r="A495" s="4">
        <v>242</v>
      </c>
      <c r="B495" s="4" t="s">
        <v>1789</v>
      </c>
      <c r="C495" s="6" t="s">
        <v>2248</v>
      </c>
      <c r="D495" s="6" t="s">
        <v>1690</v>
      </c>
      <c r="E495" s="21">
        <v>43873</v>
      </c>
      <c r="F495" s="4" t="s">
        <v>925</v>
      </c>
      <c r="H495" s="4" t="s">
        <v>2528</v>
      </c>
      <c r="I495" s="4">
        <v>4480</v>
      </c>
      <c r="J495" s="4" t="s">
        <v>1175</v>
      </c>
      <c r="K495" s="6" t="s">
        <v>1144</v>
      </c>
      <c r="L495" s="4">
        <v>12</v>
      </c>
      <c r="M495" s="449">
        <v>1130</v>
      </c>
      <c r="N495" s="374">
        <v>0.02</v>
      </c>
      <c r="O495" s="449">
        <v>1111</v>
      </c>
      <c r="P495" s="449">
        <v>1322</v>
      </c>
      <c r="Q495" s="449">
        <v>15864</v>
      </c>
      <c r="R495" s="26">
        <v>43873</v>
      </c>
      <c r="S495" s="4" t="s">
        <v>2050</v>
      </c>
      <c r="T495" s="449">
        <v>174761</v>
      </c>
      <c r="U495" t="s">
        <v>1626</v>
      </c>
      <c r="V495" s="450">
        <v>816</v>
      </c>
      <c r="W495" s="450">
        <v>295</v>
      </c>
      <c r="X495" s="375">
        <v>0.27</v>
      </c>
    </row>
    <row r="496" spans="1:24" x14ac:dyDescent="0.25">
      <c r="A496" s="4">
        <v>242</v>
      </c>
      <c r="B496" s="4" t="s">
        <v>231</v>
      </c>
      <c r="C496" s="6" t="s">
        <v>2245</v>
      </c>
      <c r="D496" s="6" t="s">
        <v>1690</v>
      </c>
      <c r="E496" s="21">
        <v>43873</v>
      </c>
      <c r="F496" s="4" t="s">
        <v>925</v>
      </c>
      <c r="H496" s="4" t="s">
        <v>2528</v>
      </c>
      <c r="I496" s="4">
        <v>4480</v>
      </c>
      <c r="J496" s="4" t="s">
        <v>1175</v>
      </c>
      <c r="K496" s="6" t="s">
        <v>1144</v>
      </c>
      <c r="L496" s="4">
        <v>12</v>
      </c>
      <c r="M496" s="449">
        <v>1130</v>
      </c>
      <c r="N496" s="374">
        <v>0.03</v>
      </c>
      <c r="O496" s="449">
        <v>1101</v>
      </c>
      <c r="P496" s="449">
        <v>1309</v>
      </c>
      <c r="Q496" s="449">
        <v>15708</v>
      </c>
      <c r="R496" s="26">
        <v>43873</v>
      </c>
      <c r="S496" s="4" t="s">
        <v>2050</v>
      </c>
      <c r="T496" s="449">
        <v>174761</v>
      </c>
      <c r="U496" t="s">
        <v>1626</v>
      </c>
      <c r="V496" s="450">
        <v>816</v>
      </c>
      <c r="W496" s="450">
        <v>285</v>
      </c>
      <c r="X496" s="375">
        <v>0.26</v>
      </c>
    </row>
    <row r="497" spans="1:24" x14ac:dyDescent="0.25">
      <c r="A497" s="4">
        <v>242</v>
      </c>
      <c r="B497" s="4" t="s">
        <v>226</v>
      </c>
      <c r="C497" s="6" t="s">
        <v>2244</v>
      </c>
      <c r="D497" s="6" t="s">
        <v>1690</v>
      </c>
      <c r="E497" s="21">
        <v>43873</v>
      </c>
      <c r="F497" s="4" t="s">
        <v>925</v>
      </c>
      <c r="H497" s="4" t="s">
        <v>2528</v>
      </c>
      <c r="I497" s="4">
        <v>4480</v>
      </c>
      <c r="J497" s="4" t="s">
        <v>1175</v>
      </c>
      <c r="K497" s="6" t="s">
        <v>1144</v>
      </c>
      <c r="L497" s="4">
        <v>12</v>
      </c>
      <c r="M497" s="449">
        <v>1130</v>
      </c>
      <c r="N497" s="374">
        <v>0.03</v>
      </c>
      <c r="O497" s="449">
        <v>1101</v>
      </c>
      <c r="P497" s="449">
        <v>1309</v>
      </c>
      <c r="Q497" s="449">
        <v>15708</v>
      </c>
      <c r="R497" s="26">
        <v>43873</v>
      </c>
      <c r="S497" s="4" t="s">
        <v>2050</v>
      </c>
      <c r="T497" s="449">
        <v>174761</v>
      </c>
      <c r="U497" t="s">
        <v>1626</v>
      </c>
      <c r="V497" s="450">
        <v>816</v>
      </c>
      <c r="W497" s="450">
        <v>285</v>
      </c>
      <c r="X497" s="375">
        <v>0.26</v>
      </c>
    </row>
    <row r="498" spans="1:24" x14ac:dyDescent="0.25">
      <c r="A498" s="4">
        <v>242</v>
      </c>
      <c r="B498" s="4" t="s">
        <v>228</v>
      </c>
      <c r="C498" s="6" t="s">
        <v>4523</v>
      </c>
      <c r="D498" s="6" t="s">
        <v>1690</v>
      </c>
      <c r="E498" s="21">
        <v>43873</v>
      </c>
      <c r="F498" s="4" t="s">
        <v>925</v>
      </c>
      <c r="H498" s="4" t="s">
        <v>2528</v>
      </c>
      <c r="I498" s="4">
        <v>4480</v>
      </c>
      <c r="J498" s="4" t="s">
        <v>1175</v>
      </c>
      <c r="K498" s="6" t="s">
        <v>1144</v>
      </c>
      <c r="L498" s="4">
        <v>12</v>
      </c>
      <c r="M498" s="449">
        <v>1130</v>
      </c>
      <c r="N498" s="374">
        <v>0.03</v>
      </c>
      <c r="O498" s="449">
        <v>1101</v>
      </c>
      <c r="P498" s="449">
        <v>1309</v>
      </c>
      <c r="Q498" s="449">
        <v>15708</v>
      </c>
      <c r="R498" s="26">
        <v>43873</v>
      </c>
      <c r="S498" s="4" t="s">
        <v>2050</v>
      </c>
      <c r="T498" s="449">
        <v>174761</v>
      </c>
      <c r="U498" t="s">
        <v>1626</v>
      </c>
      <c r="V498" s="450">
        <v>816</v>
      </c>
      <c r="W498" s="450">
        <v>285</v>
      </c>
      <c r="X498" s="375">
        <v>0.26</v>
      </c>
    </row>
    <row r="499" spans="1:24" x14ac:dyDescent="0.25">
      <c r="A499" s="4">
        <v>242</v>
      </c>
      <c r="B499" s="4" t="s">
        <v>233</v>
      </c>
      <c r="C499" s="6" t="s">
        <v>2247</v>
      </c>
      <c r="D499" s="6" t="s">
        <v>1690</v>
      </c>
      <c r="E499" s="21">
        <v>43873</v>
      </c>
      <c r="F499" s="4" t="s">
        <v>925</v>
      </c>
      <c r="H499" s="4" t="s">
        <v>2528</v>
      </c>
      <c r="I499" s="4">
        <v>4480</v>
      </c>
      <c r="J499" s="4" t="s">
        <v>1175</v>
      </c>
      <c r="K499" s="6" t="s">
        <v>1144</v>
      </c>
      <c r="L499" s="4">
        <v>12</v>
      </c>
      <c r="M499" s="449">
        <v>1130</v>
      </c>
      <c r="N499" s="374">
        <v>0.03</v>
      </c>
      <c r="O499" s="449">
        <v>1101</v>
      </c>
      <c r="P499" s="449">
        <v>1309</v>
      </c>
      <c r="Q499" s="449">
        <v>15708</v>
      </c>
      <c r="R499" s="26">
        <v>43873</v>
      </c>
      <c r="S499" s="4" t="s">
        <v>2050</v>
      </c>
      <c r="T499" s="449">
        <v>174761</v>
      </c>
      <c r="U499" t="s">
        <v>1626</v>
      </c>
      <c r="V499" s="450">
        <v>816</v>
      </c>
      <c r="W499" s="450">
        <v>285</v>
      </c>
      <c r="X499" s="375">
        <v>0.26</v>
      </c>
    </row>
    <row r="500" spans="1:24" x14ac:dyDescent="0.25">
      <c r="A500" s="4">
        <v>242</v>
      </c>
      <c r="B500" s="4" t="s">
        <v>4667</v>
      </c>
      <c r="C500" s="6" t="s">
        <v>5541</v>
      </c>
      <c r="D500" s="6" t="s">
        <v>4668</v>
      </c>
      <c r="E500" s="21">
        <v>43873</v>
      </c>
      <c r="F500" s="4" t="s">
        <v>925</v>
      </c>
      <c r="H500" s="4" t="s">
        <v>2528</v>
      </c>
      <c r="I500" s="4">
        <v>4480</v>
      </c>
      <c r="J500" s="4" t="s">
        <v>1175</v>
      </c>
      <c r="K500" s="6" t="s">
        <v>1144</v>
      </c>
      <c r="L500" s="4">
        <v>12</v>
      </c>
      <c r="M500" s="449">
        <v>1090</v>
      </c>
      <c r="N500" s="374">
        <v>-0.06</v>
      </c>
      <c r="O500" s="449">
        <v>1162</v>
      </c>
      <c r="P500" s="449">
        <v>1378</v>
      </c>
      <c r="Q500" s="449">
        <v>16536</v>
      </c>
      <c r="R500" s="26">
        <v>43873</v>
      </c>
      <c r="S500" s="4" t="s">
        <v>2050</v>
      </c>
      <c r="T500" s="449">
        <v>174761</v>
      </c>
      <c r="U500" t="s">
        <v>4767</v>
      </c>
      <c r="V500" s="450">
        <v>787</v>
      </c>
      <c r="W500" s="450">
        <v>375</v>
      </c>
      <c r="X500" s="375">
        <v>0.32</v>
      </c>
    </row>
    <row r="501" spans="1:24" x14ac:dyDescent="0.25">
      <c r="A501" s="4">
        <v>242</v>
      </c>
      <c r="B501" s="4" t="s">
        <v>4664</v>
      </c>
      <c r="C501" s="6" t="s">
        <v>5016</v>
      </c>
      <c r="D501" s="6" t="s">
        <v>2783</v>
      </c>
      <c r="E501" s="21">
        <v>43873</v>
      </c>
      <c r="F501" s="4" t="s">
        <v>925</v>
      </c>
      <c r="H501" s="4" t="s">
        <v>2528</v>
      </c>
      <c r="I501" s="4">
        <v>4480</v>
      </c>
      <c r="J501" s="4" t="s">
        <v>1175</v>
      </c>
      <c r="K501" s="6" t="s">
        <v>1144</v>
      </c>
      <c r="L501" s="4">
        <v>20</v>
      </c>
      <c r="M501" s="449">
        <v>1518</v>
      </c>
      <c r="N501" s="374">
        <v>0.05</v>
      </c>
      <c r="O501" s="449">
        <v>1446</v>
      </c>
      <c r="P501" s="449">
        <v>1716</v>
      </c>
      <c r="Q501" s="449">
        <v>34320</v>
      </c>
      <c r="R501" s="26">
        <v>43873</v>
      </c>
      <c r="S501" s="4" t="s">
        <v>2050</v>
      </c>
      <c r="T501" s="449">
        <v>174761</v>
      </c>
      <c r="U501" t="s">
        <v>4767</v>
      </c>
      <c r="V501" s="450">
        <v>1096</v>
      </c>
      <c r="W501" s="450">
        <v>350</v>
      </c>
      <c r="X501" s="375">
        <v>0.24</v>
      </c>
    </row>
    <row r="502" spans="1:24" x14ac:dyDescent="0.25">
      <c r="A502" s="4">
        <v>243</v>
      </c>
      <c r="B502" s="4" t="s">
        <v>830</v>
      </c>
      <c r="C502" s="6" t="s">
        <v>2495</v>
      </c>
      <c r="D502" s="6" t="s">
        <v>837</v>
      </c>
      <c r="E502" s="21">
        <v>43873</v>
      </c>
      <c r="F502" s="4" t="s">
        <v>1461</v>
      </c>
      <c r="H502" s="4">
        <v>6527</v>
      </c>
      <c r="I502" s="4">
        <v>4481</v>
      </c>
      <c r="J502" s="4" t="s">
        <v>5154</v>
      </c>
      <c r="K502" s="6" t="s">
        <v>5155</v>
      </c>
      <c r="L502" s="4">
        <v>1</v>
      </c>
      <c r="M502" s="449">
        <v>13866</v>
      </c>
      <c r="N502" s="587" t="s">
        <v>2886</v>
      </c>
      <c r="O502" s="449">
        <v>13866</v>
      </c>
      <c r="P502" s="449">
        <v>16500</v>
      </c>
      <c r="Q502" s="449">
        <v>16500</v>
      </c>
      <c r="R502" s="26">
        <v>43873</v>
      </c>
      <c r="S502" s="4" t="s">
        <v>2050</v>
      </c>
      <c r="T502" s="449">
        <v>16500</v>
      </c>
      <c r="U502" t="s">
        <v>1572</v>
      </c>
      <c r="V502" s="450">
        <v>10390</v>
      </c>
      <c r="W502" s="450">
        <v>3476</v>
      </c>
      <c r="X502" s="375">
        <v>0.25</v>
      </c>
    </row>
    <row r="503" spans="1:24" x14ac:dyDescent="0.25">
      <c r="A503" s="4">
        <v>246</v>
      </c>
      <c r="B503" s="4" t="s">
        <v>838</v>
      </c>
      <c r="C503" s="6" t="s">
        <v>2062</v>
      </c>
      <c r="D503" s="6" t="s">
        <v>840</v>
      </c>
      <c r="E503" s="21">
        <v>43873</v>
      </c>
      <c r="F503" s="4" t="s">
        <v>1461</v>
      </c>
      <c r="H503" s="4">
        <v>6530</v>
      </c>
      <c r="I503" s="4">
        <v>4484</v>
      </c>
      <c r="J503" s="4" t="s">
        <v>1209</v>
      </c>
      <c r="K503" s="6" t="s">
        <v>974</v>
      </c>
      <c r="L503" s="4">
        <v>1</v>
      </c>
      <c r="M503" s="449">
        <v>16555</v>
      </c>
      <c r="N503" s="587" t="s">
        <v>2886</v>
      </c>
      <c r="O503" s="449">
        <v>16555</v>
      </c>
      <c r="P503" s="449">
        <v>19700</v>
      </c>
      <c r="Q503" s="449">
        <v>19700</v>
      </c>
      <c r="R503" s="26">
        <v>43873</v>
      </c>
      <c r="S503" s="4" t="s">
        <v>2050</v>
      </c>
      <c r="T503" s="449">
        <v>35500</v>
      </c>
      <c r="U503" t="s">
        <v>1572</v>
      </c>
      <c r="V503" s="450">
        <v>12429</v>
      </c>
      <c r="W503" s="450">
        <v>4126</v>
      </c>
      <c r="X503" s="375">
        <v>0.25</v>
      </c>
    </row>
    <row r="504" spans="1:24" x14ac:dyDescent="0.25">
      <c r="A504" s="4">
        <v>246</v>
      </c>
      <c r="B504" s="4" t="s">
        <v>855</v>
      </c>
      <c r="C504" s="6" t="s">
        <v>2499</v>
      </c>
      <c r="D504" s="6" t="s">
        <v>857</v>
      </c>
      <c r="E504" s="21">
        <v>43873</v>
      </c>
      <c r="F504" s="4" t="s">
        <v>1461</v>
      </c>
      <c r="H504" s="4">
        <v>6530</v>
      </c>
      <c r="I504" s="4">
        <v>4484</v>
      </c>
      <c r="J504" s="4" t="s">
        <v>1209</v>
      </c>
      <c r="K504" s="6" t="s">
        <v>974</v>
      </c>
      <c r="L504" s="4">
        <v>1</v>
      </c>
      <c r="M504" s="449">
        <v>13277</v>
      </c>
      <c r="N504" s="587" t="s">
        <v>2886</v>
      </c>
      <c r="O504" s="449">
        <v>13277</v>
      </c>
      <c r="P504" s="449">
        <v>15800</v>
      </c>
      <c r="Q504" s="449">
        <v>15800</v>
      </c>
      <c r="R504" s="26">
        <v>43873</v>
      </c>
      <c r="S504" s="4" t="s">
        <v>2050</v>
      </c>
      <c r="T504" s="449">
        <v>35500</v>
      </c>
      <c r="U504" t="s">
        <v>1551</v>
      </c>
      <c r="V504" s="450">
        <v>9975</v>
      </c>
      <c r="W504" s="450">
        <v>3302</v>
      </c>
      <c r="X504" s="375">
        <v>0.25</v>
      </c>
    </row>
    <row r="505" spans="1:24" x14ac:dyDescent="0.25">
      <c r="A505" s="4">
        <v>242</v>
      </c>
      <c r="B505" s="4" t="s">
        <v>4084</v>
      </c>
      <c r="C505" s="6" t="s">
        <v>4095</v>
      </c>
      <c r="D505" s="6" t="s">
        <v>3364</v>
      </c>
      <c r="E505" s="21">
        <v>43873</v>
      </c>
      <c r="F505" s="4" t="s">
        <v>925</v>
      </c>
      <c r="H505" s="4" t="s">
        <v>2528</v>
      </c>
      <c r="I505" s="4">
        <v>4480</v>
      </c>
      <c r="J505" s="4" t="s">
        <v>1175</v>
      </c>
      <c r="K505" s="6" t="s">
        <v>1144</v>
      </c>
      <c r="L505" s="4">
        <v>12</v>
      </c>
      <c r="M505" s="449">
        <v>2080</v>
      </c>
      <c r="N505" s="374">
        <v>0.05</v>
      </c>
      <c r="O505" s="449">
        <v>1981</v>
      </c>
      <c r="P505" s="449">
        <v>2352</v>
      </c>
      <c r="Q505" s="449">
        <v>28224</v>
      </c>
      <c r="R505" s="26">
        <v>43873</v>
      </c>
      <c r="S505" s="4" t="s">
        <v>2050</v>
      </c>
      <c r="T505" s="449">
        <v>174761</v>
      </c>
      <c r="U505" t="s">
        <v>1626</v>
      </c>
      <c r="V505" s="450">
        <v>1502</v>
      </c>
      <c r="W505" s="450">
        <v>479</v>
      </c>
      <c r="X505" s="375">
        <v>0.24</v>
      </c>
    </row>
    <row r="506" spans="1:24" x14ac:dyDescent="0.25">
      <c r="A506" s="4">
        <v>244</v>
      </c>
      <c r="B506" s="4" t="s">
        <v>838</v>
      </c>
      <c r="C506" s="6" t="s">
        <v>2062</v>
      </c>
      <c r="D506" s="6" t="s">
        <v>840</v>
      </c>
      <c r="E506" s="21">
        <v>43873</v>
      </c>
      <c r="F506" s="4" t="s">
        <v>1461</v>
      </c>
      <c r="H506" s="4">
        <v>6528</v>
      </c>
      <c r="I506" s="4">
        <v>4482</v>
      </c>
      <c r="J506" s="4" t="s">
        <v>4953</v>
      </c>
      <c r="K506" s="6" t="s">
        <v>4954</v>
      </c>
      <c r="L506" s="4">
        <v>1</v>
      </c>
      <c r="M506" s="449">
        <v>16555</v>
      </c>
      <c r="N506" s="512" t="s">
        <v>2886</v>
      </c>
      <c r="O506" s="449">
        <v>16555</v>
      </c>
      <c r="P506" s="449">
        <v>19700</v>
      </c>
      <c r="Q506" s="449">
        <v>19700</v>
      </c>
      <c r="R506" s="26">
        <v>43873</v>
      </c>
      <c r="S506" s="4" t="s">
        <v>2050</v>
      </c>
      <c r="T506" s="449">
        <v>19700</v>
      </c>
      <c r="U506" t="s">
        <v>1572</v>
      </c>
      <c r="V506" s="450">
        <v>12429</v>
      </c>
      <c r="W506" s="450">
        <v>4126</v>
      </c>
      <c r="X506" s="375">
        <v>0.25</v>
      </c>
    </row>
    <row r="507" spans="1:24" x14ac:dyDescent="0.25">
      <c r="A507" s="4">
        <v>245</v>
      </c>
      <c r="B507" s="4" t="s">
        <v>2250</v>
      </c>
      <c r="C507" s="6" t="s">
        <v>2249</v>
      </c>
      <c r="D507" s="6" t="s">
        <v>1638</v>
      </c>
      <c r="E507" s="21">
        <v>43873</v>
      </c>
      <c r="F507" s="4" t="s">
        <v>1461</v>
      </c>
      <c r="H507" s="4">
        <v>6529</v>
      </c>
      <c r="I507" s="4">
        <v>4483</v>
      </c>
      <c r="J507" s="4" t="s">
        <v>1368</v>
      </c>
      <c r="K507" s="6" t="s">
        <v>2387</v>
      </c>
      <c r="L507" s="4">
        <v>6</v>
      </c>
      <c r="M507" s="449">
        <v>3193</v>
      </c>
      <c r="N507" s="512" t="s">
        <v>2886</v>
      </c>
      <c r="O507" s="449">
        <v>3193</v>
      </c>
      <c r="P507" s="449">
        <v>3800</v>
      </c>
      <c r="Q507" s="449">
        <v>22800</v>
      </c>
      <c r="R507" s="26">
        <v>43873</v>
      </c>
      <c r="S507" s="4" t="s">
        <v>1501</v>
      </c>
      <c r="T507" s="449">
        <v>22800</v>
      </c>
      <c r="U507" t="s">
        <v>1545</v>
      </c>
      <c r="V507" s="450">
        <v>2100</v>
      </c>
      <c r="W507" s="450">
        <v>1093</v>
      </c>
      <c r="X507" s="375">
        <v>0.34</v>
      </c>
    </row>
    <row r="508" spans="1:24" x14ac:dyDescent="0.25">
      <c r="A508" s="4">
        <v>239</v>
      </c>
      <c r="B508" s="4" t="s">
        <v>5369</v>
      </c>
      <c r="C508" s="6" t="s">
        <v>5370</v>
      </c>
      <c r="D508" s="6" t="s">
        <v>4457</v>
      </c>
      <c r="E508" s="21">
        <v>43873</v>
      </c>
      <c r="F508" s="4" t="s">
        <v>925</v>
      </c>
      <c r="H508" s="4" t="s">
        <v>2528</v>
      </c>
      <c r="I508" s="4">
        <v>4477</v>
      </c>
      <c r="J508" s="4" t="s">
        <v>1179</v>
      </c>
      <c r="K508" s="6" t="s">
        <v>952</v>
      </c>
      <c r="L508" s="4">
        <v>60</v>
      </c>
      <c r="M508" s="451">
        <v>699</v>
      </c>
      <c r="N508" s="374">
        <v>0.08</v>
      </c>
      <c r="O508" s="451">
        <v>647</v>
      </c>
      <c r="P508" s="451">
        <v>765</v>
      </c>
      <c r="Q508" s="451">
        <v>45900</v>
      </c>
      <c r="R508" s="26">
        <v>43873</v>
      </c>
      <c r="S508" s="4" t="s">
        <v>2050</v>
      </c>
      <c r="T508" s="451">
        <v>110551</v>
      </c>
      <c r="U508" t="s">
        <v>1563</v>
      </c>
      <c r="V508" s="452">
        <v>535</v>
      </c>
      <c r="W508" s="452">
        <v>112</v>
      </c>
      <c r="X508" s="375">
        <v>0.17</v>
      </c>
    </row>
    <row r="509" spans="1:24" x14ac:dyDescent="0.25">
      <c r="A509" s="4">
        <v>239</v>
      </c>
      <c r="B509" s="4" t="s">
        <v>226</v>
      </c>
      <c r="C509" s="6" t="s">
        <v>2244</v>
      </c>
      <c r="D509" s="6" t="s">
        <v>1690</v>
      </c>
      <c r="E509" s="21">
        <v>43873</v>
      </c>
      <c r="F509" s="4" t="s">
        <v>925</v>
      </c>
      <c r="H509" s="4" t="s">
        <v>2528</v>
      </c>
      <c r="I509" s="4">
        <v>4477</v>
      </c>
      <c r="J509" s="4" t="s">
        <v>1179</v>
      </c>
      <c r="K509" s="6" t="s">
        <v>952</v>
      </c>
      <c r="L509" s="4">
        <v>12</v>
      </c>
      <c r="M509" s="451">
        <v>1328</v>
      </c>
      <c r="N509" s="374">
        <v>0.1</v>
      </c>
      <c r="O509" s="451">
        <v>1210</v>
      </c>
      <c r="P509" s="451">
        <v>1426</v>
      </c>
      <c r="Q509" s="451">
        <v>17112</v>
      </c>
      <c r="R509" s="26">
        <v>43873</v>
      </c>
      <c r="S509" s="4" t="s">
        <v>2050</v>
      </c>
      <c r="T509" s="451">
        <v>110551</v>
      </c>
      <c r="U509" t="s">
        <v>1626</v>
      </c>
      <c r="V509" s="452">
        <v>816</v>
      </c>
      <c r="W509" s="452">
        <v>394</v>
      </c>
      <c r="X509" s="375">
        <v>0.33</v>
      </c>
    </row>
    <row r="510" spans="1:24" x14ac:dyDescent="0.25">
      <c r="A510" s="4">
        <v>239</v>
      </c>
      <c r="B510" s="4" t="s">
        <v>5751</v>
      </c>
      <c r="C510" s="6" t="s">
        <v>5752</v>
      </c>
      <c r="D510" s="6" t="s">
        <v>5753</v>
      </c>
      <c r="E510" s="21">
        <v>43873</v>
      </c>
      <c r="F510" s="4" t="s">
        <v>925</v>
      </c>
      <c r="H510" s="4" t="s">
        <v>2528</v>
      </c>
      <c r="I510" s="4">
        <v>4477</v>
      </c>
      <c r="J510" s="4" t="s">
        <v>1179</v>
      </c>
      <c r="K510" s="6" t="s">
        <v>952</v>
      </c>
      <c r="L510" s="4">
        <v>48</v>
      </c>
      <c r="M510" s="451">
        <v>882</v>
      </c>
      <c r="N510" s="374">
        <v>0.06</v>
      </c>
      <c r="O510" s="451">
        <v>834</v>
      </c>
      <c r="P510" s="451">
        <v>990</v>
      </c>
      <c r="Q510" s="451">
        <v>47520</v>
      </c>
      <c r="R510" s="26">
        <v>43873</v>
      </c>
      <c r="S510" s="4" t="s">
        <v>2050</v>
      </c>
      <c r="T510" s="451">
        <v>110551</v>
      </c>
      <c r="U510" t="s">
        <v>4767</v>
      </c>
      <c r="V510" s="452">
        <v>637</v>
      </c>
      <c r="W510" s="452">
        <v>197</v>
      </c>
      <c r="X510" s="375">
        <v>0.24</v>
      </c>
    </row>
    <row r="511" spans="1:24" x14ac:dyDescent="0.25">
      <c r="A511" s="4">
        <v>250</v>
      </c>
      <c r="B511" s="4" t="s">
        <v>830</v>
      </c>
      <c r="C511" s="6" t="s">
        <v>2495</v>
      </c>
      <c r="D511" s="6" t="s">
        <v>837</v>
      </c>
      <c r="E511" s="21">
        <v>43873</v>
      </c>
      <c r="F511" s="4" t="s">
        <v>1461</v>
      </c>
      <c r="H511" s="4">
        <v>6532</v>
      </c>
      <c r="I511" s="4">
        <v>4488</v>
      </c>
      <c r="J511" s="4" t="s">
        <v>1250</v>
      </c>
      <c r="K511" s="6" t="s">
        <v>3398</v>
      </c>
      <c r="L511" s="4">
        <v>1</v>
      </c>
      <c r="M511" s="451">
        <v>13866</v>
      </c>
      <c r="N511" s="4" t="s">
        <v>2886</v>
      </c>
      <c r="O511" s="451">
        <v>13866</v>
      </c>
      <c r="P511" s="451">
        <v>16500</v>
      </c>
      <c r="Q511" s="451">
        <v>16500</v>
      </c>
      <c r="R511" s="26">
        <v>43873</v>
      </c>
      <c r="S511" s="4" t="s">
        <v>1501</v>
      </c>
      <c r="T511" s="451">
        <v>16500</v>
      </c>
      <c r="U511" t="s">
        <v>1572</v>
      </c>
      <c r="V511" s="452">
        <v>10390</v>
      </c>
      <c r="W511" s="452">
        <v>3476</v>
      </c>
      <c r="X511" s="375">
        <v>0.25</v>
      </c>
    </row>
    <row r="512" spans="1:24" x14ac:dyDescent="0.25">
      <c r="A512" s="4">
        <v>247</v>
      </c>
      <c r="B512" s="4" t="s">
        <v>1672</v>
      </c>
      <c r="C512" s="6" t="s">
        <v>5112</v>
      </c>
      <c r="D512" s="6" t="s">
        <v>1504</v>
      </c>
      <c r="E512" s="21">
        <v>43873</v>
      </c>
      <c r="F512" s="4" t="s">
        <v>1461</v>
      </c>
      <c r="H512" s="4">
        <v>6531</v>
      </c>
      <c r="I512" s="4">
        <v>4485</v>
      </c>
      <c r="J512" s="4" t="s">
        <v>5207</v>
      </c>
      <c r="K512" s="6" t="s">
        <v>5208</v>
      </c>
      <c r="L512" s="4">
        <v>1</v>
      </c>
      <c r="M512" s="451">
        <v>4118</v>
      </c>
      <c r="N512" s="4" t="s">
        <v>2886</v>
      </c>
      <c r="O512" s="451">
        <v>4118</v>
      </c>
      <c r="P512" s="451">
        <v>4900</v>
      </c>
      <c r="Q512" s="451">
        <v>4900</v>
      </c>
      <c r="R512" s="26">
        <v>43873</v>
      </c>
      <c r="S512" s="4" t="s">
        <v>1501</v>
      </c>
      <c r="T512" s="451">
        <v>39900</v>
      </c>
      <c r="U512" t="s">
        <v>1545</v>
      </c>
      <c r="V512" s="452">
        <v>2250</v>
      </c>
      <c r="W512" s="452">
        <v>1868</v>
      </c>
      <c r="X512" s="375">
        <v>0.45</v>
      </c>
    </row>
    <row r="513" spans="1:24" x14ac:dyDescent="0.25">
      <c r="A513" s="4">
        <v>247</v>
      </c>
      <c r="B513" s="4" t="s">
        <v>1515</v>
      </c>
      <c r="C513" s="6" t="s">
        <v>1652</v>
      </c>
      <c r="D513" s="6" t="s">
        <v>1638</v>
      </c>
      <c r="E513" s="21">
        <v>43873</v>
      </c>
      <c r="F513" s="4" t="s">
        <v>1461</v>
      </c>
      <c r="H513" s="4">
        <v>6531</v>
      </c>
      <c r="I513" s="4">
        <v>4485</v>
      </c>
      <c r="J513" s="4" t="s">
        <v>5207</v>
      </c>
      <c r="K513" s="6" t="s">
        <v>5208</v>
      </c>
      <c r="L513" s="4">
        <v>1</v>
      </c>
      <c r="M513" s="451">
        <v>4874</v>
      </c>
      <c r="N513" s="4" t="s">
        <v>2886</v>
      </c>
      <c r="O513" s="451">
        <v>4874</v>
      </c>
      <c r="P513" s="451">
        <v>5800</v>
      </c>
      <c r="Q513" s="451">
        <v>5800</v>
      </c>
      <c r="R513" s="26">
        <v>43873</v>
      </c>
      <c r="S513" s="4" t="s">
        <v>1501</v>
      </c>
      <c r="T513" s="451">
        <v>39900</v>
      </c>
      <c r="U513" t="s">
        <v>1545</v>
      </c>
      <c r="V513" s="452">
        <v>2400</v>
      </c>
      <c r="W513" s="452">
        <v>2474</v>
      </c>
      <c r="X513" s="375">
        <v>0.51</v>
      </c>
    </row>
    <row r="514" spans="1:24" x14ac:dyDescent="0.25">
      <c r="A514" s="4">
        <v>247</v>
      </c>
      <c r="B514" s="4" t="s">
        <v>2250</v>
      </c>
      <c r="C514" s="6" t="s">
        <v>2249</v>
      </c>
      <c r="D514" s="6" t="s">
        <v>1638</v>
      </c>
      <c r="E514" s="21">
        <v>43873</v>
      </c>
      <c r="F514" s="4" t="s">
        <v>1461</v>
      </c>
      <c r="H514" s="4">
        <v>6531</v>
      </c>
      <c r="I514" s="4">
        <v>4485</v>
      </c>
      <c r="J514" s="4" t="s">
        <v>5207</v>
      </c>
      <c r="K514" s="6" t="s">
        <v>5208</v>
      </c>
      <c r="L514" s="4">
        <v>4</v>
      </c>
      <c r="M514" s="451">
        <v>3193</v>
      </c>
      <c r="N514" s="4" t="s">
        <v>2886</v>
      </c>
      <c r="O514" s="451">
        <v>3193</v>
      </c>
      <c r="P514" s="451">
        <v>3800</v>
      </c>
      <c r="Q514" s="451">
        <v>15200</v>
      </c>
      <c r="R514" s="26">
        <v>43873</v>
      </c>
      <c r="S514" s="4" t="s">
        <v>1501</v>
      </c>
      <c r="T514" s="451">
        <v>39900</v>
      </c>
      <c r="U514" t="s">
        <v>1545</v>
      </c>
      <c r="V514" s="452">
        <v>2100</v>
      </c>
      <c r="W514" s="452">
        <v>1093</v>
      </c>
      <c r="X514" s="375">
        <v>0.34</v>
      </c>
    </row>
    <row r="515" spans="1:24" x14ac:dyDescent="0.25">
      <c r="A515" s="4">
        <v>247</v>
      </c>
      <c r="B515" s="4" t="s">
        <v>1755</v>
      </c>
      <c r="C515" s="6" t="s">
        <v>1925</v>
      </c>
      <c r="D515" s="6" t="s">
        <v>1504</v>
      </c>
      <c r="E515" s="21">
        <v>43873</v>
      </c>
      <c r="F515" s="4" t="s">
        <v>1461</v>
      </c>
      <c r="H515" s="4">
        <v>6531</v>
      </c>
      <c r="I515" s="4">
        <v>4485</v>
      </c>
      <c r="J515" s="4" t="s">
        <v>5207</v>
      </c>
      <c r="K515" s="6" t="s">
        <v>5208</v>
      </c>
      <c r="L515" s="4">
        <v>4</v>
      </c>
      <c r="M515" s="451">
        <v>2941</v>
      </c>
      <c r="N515" s="4" t="s">
        <v>2886</v>
      </c>
      <c r="O515" s="451">
        <v>2941</v>
      </c>
      <c r="P515" s="451">
        <v>3500</v>
      </c>
      <c r="Q515" s="451">
        <v>14000</v>
      </c>
      <c r="R515" s="26">
        <v>43873</v>
      </c>
      <c r="S515" s="4" t="s">
        <v>1501</v>
      </c>
      <c r="T515" s="451">
        <v>39900</v>
      </c>
      <c r="U515" t="s">
        <v>1545</v>
      </c>
      <c r="V515" s="452">
        <v>2119</v>
      </c>
      <c r="W515" s="452">
        <v>822</v>
      </c>
      <c r="X515" s="375">
        <v>0.28000000000000003</v>
      </c>
    </row>
    <row r="516" spans="1:24" x14ac:dyDescent="0.25">
      <c r="A516" s="4">
        <v>248</v>
      </c>
      <c r="B516" s="4" t="s">
        <v>5238</v>
      </c>
      <c r="C516" s="6" t="s">
        <v>5239</v>
      </c>
      <c r="D516" s="6" t="s">
        <v>4705</v>
      </c>
      <c r="E516" s="21">
        <v>43873</v>
      </c>
      <c r="F516" s="4" t="s">
        <v>925</v>
      </c>
      <c r="H516" s="4" t="s">
        <v>2528</v>
      </c>
      <c r="I516" s="4">
        <v>4486</v>
      </c>
      <c r="J516" s="4" t="s">
        <v>3460</v>
      </c>
      <c r="K516" s="6" t="s">
        <v>3461</v>
      </c>
      <c r="L516" s="4">
        <v>2</v>
      </c>
      <c r="M516" s="451">
        <v>13095</v>
      </c>
      <c r="N516" s="374">
        <v>0.13</v>
      </c>
      <c r="O516" s="451">
        <v>11583</v>
      </c>
      <c r="P516" s="451">
        <v>13549</v>
      </c>
      <c r="Q516" s="451">
        <v>27098</v>
      </c>
      <c r="R516" s="26">
        <v>43873</v>
      </c>
      <c r="S516" s="4" t="s">
        <v>1501</v>
      </c>
      <c r="T516" s="451">
        <v>69365</v>
      </c>
      <c r="U516" t="s">
        <v>4774</v>
      </c>
      <c r="V516" s="452">
        <v>9100</v>
      </c>
      <c r="W516" s="452">
        <v>2483</v>
      </c>
      <c r="X516" s="375">
        <v>0.21</v>
      </c>
    </row>
    <row r="517" spans="1:24" x14ac:dyDescent="0.25">
      <c r="A517" s="4">
        <v>248</v>
      </c>
      <c r="B517" s="4" t="s">
        <v>4218</v>
      </c>
      <c r="C517" s="6" t="s">
        <v>4219</v>
      </c>
      <c r="D517" s="6" t="s">
        <v>3950</v>
      </c>
      <c r="E517" s="21">
        <v>43873</v>
      </c>
      <c r="F517" s="4" t="s">
        <v>925</v>
      </c>
      <c r="H517" s="4" t="s">
        <v>2528</v>
      </c>
      <c r="I517" s="4">
        <v>4486</v>
      </c>
      <c r="J517" s="4" t="s">
        <v>3460</v>
      </c>
      <c r="K517" s="6" t="s">
        <v>3461</v>
      </c>
      <c r="L517" s="4">
        <v>4</v>
      </c>
      <c r="M517" s="451">
        <v>8310</v>
      </c>
      <c r="N517" s="512" t="s">
        <v>2886</v>
      </c>
      <c r="O517" s="451">
        <v>8310</v>
      </c>
      <c r="P517" s="451">
        <v>9889</v>
      </c>
      <c r="Q517" s="451">
        <v>39556</v>
      </c>
      <c r="R517" s="26">
        <v>43873</v>
      </c>
      <c r="S517" s="4" t="s">
        <v>1501</v>
      </c>
      <c r="T517" s="451">
        <v>69365</v>
      </c>
      <c r="U517" t="s">
        <v>3934</v>
      </c>
      <c r="V517" s="452">
        <v>6000</v>
      </c>
      <c r="W517" s="452">
        <v>2310</v>
      </c>
      <c r="X517" s="375">
        <v>0.28000000000000003</v>
      </c>
    </row>
    <row r="518" spans="1:24" x14ac:dyDescent="0.25">
      <c r="A518" s="4">
        <v>249</v>
      </c>
      <c r="B518" s="4" t="s">
        <v>4159</v>
      </c>
      <c r="C518" s="6" t="s">
        <v>4164</v>
      </c>
      <c r="D518" s="6" t="s">
        <v>4161</v>
      </c>
      <c r="E518" s="21">
        <v>43873</v>
      </c>
      <c r="F518" s="4" t="s">
        <v>925</v>
      </c>
      <c r="H518" s="4" t="s">
        <v>2528</v>
      </c>
      <c r="I518" s="4">
        <v>4487</v>
      </c>
      <c r="J518" s="4" t="s">
        <v>3460</v>
      </c>
      <c r="K518" s="6" t="s">
        <v>3461</v>
      </c>
      <c r="L518" s="4">
        <v>2</v>
      </c>
      <c r="M518" s="451">
        <v>15475</v>
      </c>
      <c r="N518" s="4" t="s">
        <v>2886</v>
      </c>
      <c r="O518" s="451">
        <v>15475</v>
      </c>
      <c r="P518" s="451">
        <v>18415</v>
      </c>
      <c r="Q518" s="451">
        <v>36830</v>
      </c>
      <c r="R518" s="26">
        <v>43873</v>
      </c>
      <c r="S518" s="4" t="s">
        <v>1501</v>
      </c>
      <c r="T518" s="451">
        <v>46270</v>
      </c>
      <c r="U518" t="s">
        <v>1561</v>
      </c>
      <c r="V518" s="452">
        <v>11173</v>
      </c>
      <c r="W518" s="452">
        <v>4302</v>
      </c>
      <c r="X518" s="375">
        <v>0.28000000000000003</v>
      </c>
    </row>
    <row r="519" spans="1:24" x14ac:dyDescent="0.25">
      <c r="A519" s="4">
        <v>240</v>
      </c>
      <c r="B519" s="4" t="s">
        <v>226</v>
      </c>
      <c r="C519" s="6" t="s">
        <v>2244</v>
      </c>
      <c r="D519" s="6" t="s">
        <v>1690</v>
      </c>
      <c r="E519" s="21">
        <v>43873</v>
      </c>
      <c r="F519" s="4" t="s">
        <v>925</v>
      </c>
      <c r="H519" s="4" t="s">
        <v>2528</v>
      </c>
      <c r="I519" s="4">
        <v>4478</v>
      </c>
      <c r="J519" s="4" t="s">
        <v>1178</v>
      </c>
      <c r="K519" s="6" t="s">
        <v>950</v>
      </c>
      <c r="L519" s="4">
        <v>12</v>
      </c>
      <c r="M519" s="451">
        <v>1219</v>
      </c>
      <c r="N519" s="374">
        <v>0.1</v>
      </c>
      <c r="O519" s="451">
        <v>1111</v>
      </c>
      <c r="P519" s="451">
        <v>1309</v>
      </c>
      <c r="Q519" s="451">
        <v>15708</v>
      </c>
      <c r="R519" s="26">
        <v>43873</v>
      </c>
      <c r="S519" s="4" t="s">
        <v>2050</v>
      </c>
      <c r="T519" s="451">
        <v>36595</v>
      </c>
      <c r="U519" t="s">
        <v>1626</v>
      </c>
      <c r="V519" s="452">
        <v>816</v>
      </c>
      <c r="W519" s="452">
        <v>295</v>
      </c>
      <c r="X519" s="375">
        <v>0.27</v>
      </c>
    </row>
    <row r="520" spans="1:24" x14ac:dyDescent="0.25">
      <c r="A520" s="4">
        <v>240</v>
      </c>
      <c r="B520" s="4" t="s">
        <v>2614</v>
      </c>
      <c r="C520" s="6" t="s">
        <v>2644</v>
      </c>
      <c r="D520" s="6" t="s">
        <v>1469</v>
      </c>
      <c r="E520" s="21">
        <v>43873</v>
      </c>
      <c r="F520" s="4" t="s">
        <v>925</v>
      </c>
      <c r="H520" s="4" t="s">
        <v>2528</v>
      </c>
      <c r="I520" s="4">
        <v>4478</v>
      </c>
      <c r="J520" s="4" t="s">
        <v>1178</v>
      </c>
      <c r="K520" s="6" t="s">
        <v>950</v>
      </c>
      <c r="L520" s="4">
        <v>1</v>
      </c>
      <c r="M520" s="453">
        <v>19446</v>
      </c>
      <c r="N520" s="374">
        <v>0.1</v>
      </c>
      <c r="O520" s="453">
        <v>17718</v>
      </c>
      <c r="P520" s="453">
        <v>20885</v>
      </c>
      <c r="Q520" s="453">
        <v>20885</v>
      </c>
      <c r="R520" s="26">
        <v>43873</v>
      </c>
      <c r="S520" s="4" t="s">
        <v>2050</v>
      </c>
      <c r="T520" s="453">
        <v>36595</v>
      </c>
      <c r="U520" t="s">
        <v>1570</v>
      </c>
      <c r="V520" s="454">
        <v>14040</v>
      </c>
      <c r="W520" s="454">
        <v>3678</v>
      </c>
      <c r="X520" s="375">
        <v>0.21</v>
      </c>
    </row>
    <row r="521" spans="1:24" x14ac:dyDescent="0.25">
      <c r="A521" s="4">
        <v>254</v>
      </c>
      <c r="B521" s="4" t="s">
        <v>2035</v>
      </c>
      <c r="C521" s="6" t="s">
        <v>2206</v>
      </c>
      <c r="D521" s="6" t="s">
        <v>2197</v>
      </c>
      <c r="E521" s="21">
        <v>43874</v>
      </c>
      <c r="F521" s="4" t="s">
        <v>1461</v>
      </c>
      <c r="H521" s="4">
        <v>6536</v>
      </c>
      <c r="I521" s="4">
        <v>4492</v>
      </c>
      <c r="J521" s="4" t="s">
        <v>4031</v>
      </c>
      <c r="K521" s="6" t="s">
        <v>4032</v>
      </c>
      <c r="L521" s="4">
        <v>1</v>
      </c>
      <c r="M521" s="455">
        <v>10504</v>
      </c>
      <c r="N521" s="519" t="s">
        <v>2886</v>
      </c>
      <c r="O521" s="455">
        <v>10504</v>
      </c>
      <c r="P521" s="455">
        <v>12500</v>
      </c>
      <c r="Q521" s="455">
        <v>12500</v>
      </c>
      <c r="R521" s="26">
        <v>43874</v>
      </c>
      <c r="S521" s="4" t="s">
        <v>1501</v>
      </c>
      <c r="T521" s="455">
        <v>12500</v>
      </c>
      <c r="U521" t="s">
        <v>1572</v>
      </c>
      <c r="V521" s="456">
        <v>7409</v>
      </c>
      <c r="W521" s="456">
        <v>3095</v>
      </c>
      <c r="X521" s="375">
        <v>0.28999999999999998</v>
      </c>
    </row>
    <row r="522" spans="1:24" x14ac:dyDescent="0.25">
      <c r="A522" s="4">
        <v>257</v>
      </c>
      <c r="B522" s="4" t="s">
        <v>2035</v>
      </c>
      <c r="C522" s="6" t="s">
        <v>2206</v>
      </c>
      <c r="D522" s="6" t="s">
        <v>2197</v>
      </c>
      <c r="E522" s="21">
        <v>43874</v>
      </c>
      <c r="F522" s="4" t="s">
        <v>1461</v>
      </c>
      <c r="H522" s="4">
        <v>6539</v>
      </c>
      <c r="I522" s="4">
        <v>4495</v>
      </c>
      <c r="J522" s="4" t="s">
        <v>5754</v>
      </c>
      <c r="K522" s="6" t="s">
        <v>5755</v>
      </c>
      <c r="L522" s="4">
        <v>1</v>
      </c>
      <c r="M522" s="455">
        <v>10504</v>
      </c>
      <c r="N522" s="519" t="s">
        <v>2886</v>
      </c>
      <c r="O522" s="455">
        <v>10504</v>
      </c>
      <c r="P522" s="455">
        <v>12500</v>
      </c>
      <c r="Q522" s="455">
        <v>12500</v>
      </c>
      <c r="R522" s="26">
        <v>43874</v>
      </c>
      <c r="S522" s="4" t="s">
        <v>1501</v>
      </c>
      <c r="T522" s="455">
        <v>12500</v>
      </c>
      <c r="U522" t="s">
        <v>1572</v>
      </c>
      <c r="V522" s="456">
        <v>7409</v>
      </c>
      <c r="W522" s="456">
        <v>3095</v>
      </c>
      <c r="X522" s="375">
        <v>0.28999999999999998</v>
      </c>
    </row>
    <row r="523" spans="1:24" x14ac:dyDescent="0.25">
      <c r="A523" s="4">
        <v>252</v>
      </c>
      <c r="B523" s="4" t="s">
        <v>2250</v>
      </c>
      <c r="C523" s="6" t="s">
        <v>2249</v>
      </c>
      <c r="D523" s="6" t="s">
        <v>1638</v>
      </c>
      <c r="E523" s="21">
        <v>43874</v>
      </c>
      <c r="F523" s="4" t="s">
        <v>1461</v>
      </c>
      <c r="H523" s="4">
        <v>6534</v>
      </c>
      <c r="I523" s="4">
        <v>4490</v>
      </c>
      <c r="J523" s="4" t="s">
        <v>1278</v>
      </c>
      <c r="K523" s="6" t="s">
        <v>1942</v>
      </c>
      <c r="L523" s="4">
        <v>3</v>
      </c>
      <c r="M523" s="455">
        <v>3193</v>
      </c>
      <c r="N523" s="519" t="s">
        <v>2886</v>
      </c>
      <c r="O523" s="455">
        <v>3193</v>
      </c>
      <c r="P523" s="455">
        <v>3800</v>
      </c>
      <c r="Q523" s="455">
        <v>11400</v>
      </c>
      <c r="R523" s="26">
        <v>43874</v>
      </c>
      <c r="S523" s="4" t="s">
        <v>1501</v>
      </c>
      <c r="T523" s="455">
        <v>33100</v>
      </c>
      <c r="U523" t="s">
        <v>1545</v>
      </c>
      <c r="V523" s="456">
        <v>2100</v>
      </c>
      <c r="W523" s="456">
        <v>1093</v>
      </c>
      <c r="X523" s="375">
        <v>0.34</v>
      </c>
    </row>
    <row r="524" spans="1:24" x14ac:dyDescent="0.25">
      <c r="A524" s="4">
        <v>252</v>
      </c>
      <c r="B524" s="4" t="s">
        <v>1503</v>
      </c>
      <c r="C524" s="6" t="s">
        <v>1972</v>
      </c>
      <c r="D524" s="6" t="s">
        <v>1638</v>
      </c>
      <c r="E524" s="21">
        <v>43874</v>
      </c>
      <c r="F524" s="4" t="s">
        <v>1461</v>
      </c>
      <c r="H524" s="4">
        <v>6534</v>
      </c>
      <c r="I524" s="4">
        <v>4490</v>
      </c>
      <c r="J524" s="4" t="s">
        <v>1278</v>
      </c>
      <c r="K524" s="6" t="s">
        <v>1942</v>
      </c>
      <c r="L524" s="4">
        <v>2</v>
      </c>
      <c r="M524" s="455">
        <v>3193</v>
      </c>
      <c r="N524" s="4" t="s">
        <v>2886</v>
      </c>
      <c r="O524" s="455">
        <v>3193</v>
      </c>
      <c r="P524" s="455">
        <v>3800</v>
      </c>
      <c r="Q524" s="455">
        <v>7600</v>
      </c>
      <c r="R524" s="26">
        <v>43874</v>
      </c>
      <c r="S524" s="4" t="s">
        <v>1501</v>
      </c>
      <c r="T524" s="455">
        <v>33100</v>
      </c>
      <c r="U524" t="s">
        <v>1545</v>
      </c>
      <c r="V524" s="523">
        <v>2200</v>
      </c>
      <c r="W524" s="456">
        <v>993</v>
      </c>
      <c r="X524" s="375">
        <v>0.31</v>
      </c>
    </row>
    <row r="525" spans="1:24" x14ac:dyDescent="0.25">
      <c r="A525" s="4">
        <v>252</v>
      </c>
      <c r="B525" s="4" t="s">
        <v>1515</v>
      </c>
      <c r="C525" s="6" t="s">
        <v>1652</v>
      </c>
      <c r="D525" s="6" t="s">
        <v>1638</v>
      </c>
      <c r="E525" s="21">
        <v>43874</v>
      </c>
      <c r="F525" s="4" t="s">
        <v>1461</v>
      </c>
      <c r="H525" s="4">
        <v>6534</v>
      </c>
      <c r="I525" s="4">
        <v>4490</v>
      </c>
      <c r="J525" s="4" t="s">
        <v>1278</v>
      </c>
      <c r="K525" s="6" t="s">
        <v>1942</v>
      </c>
      <c r="L525" s="4">
        <v>2</v>
      </c>
      <c r="M525" s="455">
        <v>4874</v>
      </c>
      <c r="N525" s="519" t="s">
        <v>2886</v>
      </c>
      <c r="O525" s="455">
        <v>4874</v>
      </c>
      <c r="P525" s="455">
        <v>5800</v>
      </c>
      <c r="Q525" s="455">
        <v>11600</v>
      </c>
      <c r="R525" s="26">
        <v>43874</v>
      </c>
      <c r="S525" s="4" t="s">
        <v>1501</v>
      </c>
      <c r="T525" s="455">
        <v>33100</v>
      </c>
      <c r="U525" t="s">
        <v>1545</v>
      </c>
      <c r="V525" s="456">
        <v>2400</v>
      </c>
      <c r="W525" s="456">
        <v>2474</v>
      </c>
      <c r="X525" s="375">
        <v>0.51</v>
      </c>
    </row>
    <row r="526" spans="1:24" x14ac:dyDescent="0.25">
      <c r="A526" s="4">
        <v>252</v>
      </c>
      <c r="B526" s="4" t="s">
        <v>1924</v>
      </c>
      <c r="C526" s="6" t="s">
        <v>1897</v>
      </c>
      <c r="D526" s="6" t="s">
        <v>1504</v>
      </c>
      <c r="E526" s="21">
        <v>43874</v>
      </c>
      <c r="F526" s="4" t="s">
        <v>1461</v>
      </c>
      <c r="H526" s="4">
        <v>6534</v>
      </c>
      <c r="I526" s="4">
        <v>4490</v>
      </c>
      <c r="J526" s="4" t="s">
        <v>1278</v>
      </c>
      <c r="K526" s="6" t="s">
        <v>1942</v>
      </c>
      <c r="L526" s="4">
        <v>1</v>
      </c>
      <c r="M526" s="455">
        <v>2101</v>
      </c>
      <c r="N526" s="4" t="s">
        <v>2886</v>
      </c>
      <c r="O526" s="455">
        <v>2101</v>
      </c>
      <c r="P526" s="455">
        <v>2500</v>
      </c>
      <c r="Q526" s="455">
        <v>2500</v>
      </c>
      <c r="R526" s="26">
        <v>43874</v>
      </c>
      <c r="S526" s="4" t="s">
        <v>1501</v>
      </c>
      <c r="T526" s="455">
        <v>33100</v>
      </c>
      <c r="U526" t="s">
        <v>1545</v>
      </c>
      <c r="V526" s="456">
        <v>850</v>
      </c>
      <c r="W526" s="456">
        <v>1251</v>
      </c>
      <c r="X526" s="375">
        <v>0.6</v>
      </c>
    </row>
    <row r="527" spans="1:24" x14ac:dyDescent="0.25">
      <c r="A527" s="4">
        <v>253</v>
      </c>
      <c r="B527" s="4" t="s">
        <v>656</v>
      </c>
      <c r="C527" s="6" t="s">
        <v>1973</v>
      </c>
      <c r="D527" s="6" t="s">
        <v>794</v>
      </c>
      <c r="E527" s="21">
        <v>43874</v>
      </c>
      <c r="F527" s="4" t="s">
        <v>1461</v>
      </c>
      <c r="H527" s="4">
        <v>6535</v>
      </c>
      <c r="I527" s="4">
        <v>4491</v>
      </c>
      <c r="J527" s="4" t="s">
        <v>2437</v>
      </c>
      <c r="K527" s="6" t="s">
        <v>2438</v>
      </c>
      <c r="L527" s="4">
        <v>1</v>
      </c>
      <c r="M527" s="455">
        <v>19328</v>
      </c>
      <c r="N527" s="4" t="s">
        <v>2886</v>
      </c>
      <c r="O527" s="455">
        <v>19328</v>
      </c>
      <c r="P527" s="455">
        <v>23000</v>
      </c>
      <c r="Q527" s="455">
        <v>23000</v>
      </c>
      <c r="R527" s="26">
        <v>43874</v>
      </c>
      <c r="S527" s="4" t="s">
        <v>1501</v>
      </c>
      <c r="T527" s="455">
        <v>23000</v>
      </c>
      <c r="U527" t="s">
        <v>1551</v>
      </c>
      <c r="V527" s="456">
        <v>14604</v>
      </c>
      <c r="W527" s="456">
        <v>4724</v>
      </c>
      <c r="X527" s="375">
        <v>0.24</v>
      </c>
    </row>
    <row r="528" spans="1:24" x14ac:dyDescent="0.25">
      <c r="A528" s="4">
        <v>256</v>
      </c>
      <c r="B528" s="4" t="s">
        <v>1515</v>
      </c>
      <c r="C528" s="6" t="s">
        <v>1652</v>
      </c>
      <c r="D528" s="6" t="s">
        <v>1638</v>
      </c>
      <c r="E528" s="21">
        <v>43874</v>
      </c>
      <c r="F528" s="4" t="s">
        <v>1461</v>
      </c>
      <c r="H528" s="4">
        <v>6538</v>
      </c>
      <c r="I528" s="4">
        <v>4494</v>
      </c>
      <c r="J528" s="4" t="s">
        <v>1250</v>
      </c>
      <c r="K528" s="6" t="s">
        <v>3398</v>
      </c>
      <c r="L528" s="4">
        <v>2</v>
      </c>
      <c r="M528" s="455">
        <v>4874</v>
      </c>
      <c r="N528" s="519" t="s">
        <v>2886</v>
      </c>
      <c r="O528" s="455">
        <v>4874</v>
      </c>
      <c r="P528" s="455">
        <v>5800</v>
      </c>
      <c r="Q528" s="455">
        <v>11600</v>
      </c>
      <c r="R528" s="26">
        <v>43874</v>
      </c>
      <c r="S528" s="4" t="s">
        <v>1501</v>
      </c>
      <c r="T528" s="455">
        <v>11600</v>
      </c>
      <c r="U528" t="s">
        <v>1545</v>
      </c>
      <c r="V528" s="456">
        <v>2400</v>
      </c>
      <c r="W528" s="456">
        <v>2474</v>
      </c>
      <c r="X528" s="375">
        <v>0.51</v>
      </c>
    </row>
    <row r="529" spans="1:24" x14ac:dyDescent="0.25">
      <c r="A529" s="4">
        <v>255</v>
      </c>
      <c r="B529" s="4" t="s">
        <v>855</v>
      </c>
      <c r="C529" s="6" t="s">
        <v>2499</v>
      </c>
      <c r="D529" s="6" t="s">
        <v>857</v>
      </c>
      <c r="E529" s="21">
        <v>43874</v>
      </c>
      <c r="F529" s="4" t="s">
        <v>1461</v>
      </c>
      <c r="H529" s="4">
        <v>6537</v>
      </c>
      <c r="I529" s="4">
        <v>4493</v>
      </c>
      <c r="J529" s="4" t="s">
        <v>4947</v>
      </c>
      <c r="K529" s="6" t="s">
        <v>4948</v>
      </c>
      <c r="L529" s="4">
        <v>1</v>
      </c>
      <c r="M529" s="455">
        <v>13277</v>
      </c>
      <c r="N529" s="519" t="s">
        <v>2886</v>
      </c>
      <c r="O529" s="455">
        <v>13277</v>
      </c>
      <c r="P529" s="455">
        <v>15800</v>
      </c>
      <c r="Q529" s="455">
        <v>15800</v>
      </c>
      <c r="R529" s="26">
        <v>43874</v>
      </c>
      <c r="S529" s="4" t="s">
        <v>1501</v>
      </c>
      <c r="T529" s="455">
        <v>15800</v>
      </c>
      <c r="U529" t="s">
        <v>1551</v>
      </c>
      <c r="V529" s="456">
        <v>9975</v>
      </c>
      <c r="W529" s="456">
        <v>3302</v>
      </c>
      <c r="X529" s="375">
        <v>0.25</v>
      </c>
    </row>
    <row r="530" spans="1:24" x14ac:dyDescent="0.25">
      <c r="A530" s="4">
        <v>251</v>
      </c>
      <c r="B530" s="4" t="s">
        <v>3968</v>
      </c>
      <c r="C530" s="6" t="s">
        <v>4018</v>
      </c>
      <c r="D530" s="6" t="s">
        <v>4019</v>
      </c>
      <c r="E530" s="21">
        <v>43874</v>
      </c>
      <c r="F530" s="4" t="s">
        <v>1461</v>
      </c>
      <c r="H530" s="4">
        <v>6533</v>
      </c>
      <c r="I530" s="4">
        <v>4489</v>
      </c>
      <c r="J530" s="4" t="s">
        <v>4480</v>
      </c>
      <c r="K530" s="6" t="s">
        <v>4481</v>
      </c>
      <c r="L530" s="4">
        <v>1</v>
      </c>
      <c r="M530" s="455">
        <v>19076</v>
      </c>
      <c r="N530" s="519" t="s">
        <v>2886</v>
      </c>
      <c r="O530" s="455">
        <v>19076</v>
      </c>
      <c r="P530" s="455">
        <v>22700</v>
      </c>
      <c r="Q530" s="455">
        <v>22700</v>
      </c>
      <c r="R530" s="26">
        <v>43874</v>
      </c>
      <c r="S530" s="4" t="s">
        <v>1501</v>
      </c>
      <c r="T530" s="455">
        <v>22700</v>
      </c>
      <c r="U530" t="s">
        <v>1551</v>
      </c>
      <c r="V530" s="456">
        <v>14122</v>
      </c>
      <c r="W530" s="456">
        <v>4954</v>
      </c>
      <c r="X530" s="375">
        <v>0.26</v>
      </c>
    </row>
    <row r="531" spans="1:24" x14ac:dyDescent="0.25">
      <c r="A531" s="4">
        <v>262</v>
      </c>
      <c r="B531" s="4" t="s">
        <v>838</v>
      </c>
      <c r="C531" s="6" t="s">
        <v>2062</v>
      </c>
      <c r="D531" s="6" t="s">
        <v>840</v>
      </c>
      <c r="E531" s="21">
        <v>43875</v>
      </c>
      <c r="F531" s="4" t="s">
        <v>1461</v>
      </c>
      <c r="H531" s="4">
        <v>6544</v>
      </c>
      <c r="I531" s="4">
        <v>4499</v>
      </c>
      <c r="J531" s="4" t="s">
        <v>3306</v>
      </c>
      <c r="K531" s="6" t="s">
        <v>3307</v>
      </c>
      <c r="L531" s="4">
        <v>3</v>
      </c>
      <c r="M531" s="455">
        <v>16555</v>
      </c>
      <c r="N531" s="519" t="s">
        <v>2886</v>
      </c>
      <c r="O531" s="455">
        <v>16555</v>
      </c>
      <c r="P531" s="455">
        <v>19700</v>
      </c>
      <c r="Q531" s="455">
        <v>59100</v>
      </c>
      <c r="R531" s="26">
        <v>43875</v>
      </c>
      <c r="S531" s="4" t="s">
        <v>1501</v>
      </c>
      <c r="T531" s="455">
        <v>59100</v>
      </c>
      <c r="U531" t="s">
        <v>1572</v>
      </c>
      <c r="V531" s="456">
        <v>12429</v>
      </c>
      <c r="W531" s="456">
        <v>4126</v>
      </c>
      <c r="X531" s="375">
        <v>0.25</v>
      </c>
    </row>
    <row r="532" spans="1:24" x14ac:dyDescent="0.25">
      <c r="A532" s="4">
        <v>261</v>
      </c>
      <c r="B532" s="4" t="s">
        <v>838</v>
      </c>
      <c r="C532" s="6" t="s">
        <v>2062</v>
      </c>
      <c r="D532" s="6" t="s">
        <v>840</v>
      </c>
      <c r="E532" s="21">
        <v>43875</v>
      </c>
      <c r="F532" s="4" t="s">
        <v>1461</v>
      </c>
      <c r="H532" s="4">
        <v>6543</v>
      </c>
      <c r="I532" s="4">
        <v>4498</v>
      </c>
      <c r="J532" s="4" t="s">
        <v>5258</v>
      </c>
      <c r="K532" s="6" t="s">
        <v>5259</v>
      </c>
      <c r="L532" s="4">
        <v>2</v>
      </c>
      <c r="M532" s="455">
        <v>16555</v>
      </c>
      <c r="N532" s="519" t="s">
        <v>2886</v>
      </c>
      <c r="O532" s="455">
        <v>16555</v>
      </c>
      <c r="P532" s="455">
        <v>19700</v>
      </c>
      <c r="Q532" s="455">
        <v>39400</v>
      </c>
      <c r="R532" s="26">
        <v>43875</v>
      </c>
      <c r="S532" s="4" t="s">
        <v>1501</v>
      </c>
      <c r="T532" s="455">
        <v>39400</v>
      </c>
      <c r="U532" t="s">
        <v>1572</v>
      </c>
      <c r="V532" s="456">
        <v>12429</v>
      </c>
      <c r="W532" s="456">
        <v>4126</v>
      </c>
      <c r="X532" s="375">
        <v>0.25</v>
      </c>
    </row>
    <row r="533" spans="1:24" x14ac:dyDescent="0.25">
      <c r="A533" s="4">
        <v>259</v>
      </c>
      <c r="B533" s="4" t="s">
        <v>2250</v>
      </c>
      <c r="C533" s="6" t="s">
        <v>2249</v>
      </c>
      <c r="D533" s="6" t="s">
        <v>1638</v>
      </c>
      <c r="E533" s="21">
        <v>43875</v>
      </c>
      <c r="F533" s="4" t="s">
        <v>1461</v>
      </c>
      <c r="H533" s="4">
        <v>6542</v>
      </c>
      <c r="I533" s="4">
        <v>4497</v>
      </c>
      <c r="J533" s="4" t="s">
        <v>5443</v>
      </c>
      <c r="K533" s="6" t="s">
        <v>5758</v>
      </c>
      <c r="L533" s="4">
        <v>6</v>
      </c>
      <c r="M533" s="455">
        <v>3193</v>
      </c>
      <c r="N533" s="519" t="s">
        <v>2886</v>
      </c>
      <c r="O533" s="455">
        <v>3193</v>
      </c>
      <c r="P533" s="455">
        <v>3800</v>
      </c>
      <c r="Q533" s="455">
        <v>22800</v>
      </c>
      <c r="R533" s="26">
        <v>43875</v>
      </c>
      <c r="S533" s="4" t="s">
        <v>1501</v>
      </c>
      <c r="T533" s="455">
        <v>45600</v>
      </c>
      <c r="U533" t="s">
        <v>1545</v>
      </c>
      <c r="V533" s="456">
        <v>2100</v>
      </c>
      <c r="W533" s="456">
        <v>1093</v>
      </c>
      <c r="X533" s="375">
        <v>0.34</v>
      </c>
    </row>
    <row r="534" spans="1:24" x14ac:dyDescent="0.25">
      <c r="A534" s="4">
        <v>259</v>
      </c>
      <c r="B534" s="4" t="s">
        <v>1503</v>
      </c>
      <c r="C534" s="6" t="s">
        <v>1972</v>
      </c>
      <c r="D534" s="6" t="s">
        <v>1638</v>
      </c>
      <c r="E534" s="21">
        <v>43875</v>
      </c>
      <c r="F534" s="4" t="s">
        <v>1461</v>
      </c>
      <c r="H534" s="4">
        <v>6542</v>
      </c>
      <c r="I534" s="4">
        <v>4497</v>
      </c>
      <c r="J534" s="4" t="s">
        <v>5443</v>
      </c>
      <c r="K534" s="6" t="s">
        <v>5758</v>
      </c>
      <c r="L534" s="4">
        <v>6</v>
      </c>
      <c r="M534" s="455">
        <v>3193</v>
      </c>
      <c r="N534" s="519" t="s">
        <v>2886</v>
      </c>
      <c r="O534" s="455">
        <v>3193</v>
      </c>
      <c r="P534" s="455">
        <v>3800</v>
      </c>
      <c r="Q534" s="455">
        <v>22800</v>
      </c>
      <c r="R534" s="26">
        <v>43875</v>
      </c>
      <c r="S534" s="4" t="s">
        <v>1501</v>
      </c>
      <c r="T534" s="455">
        <v>45600</v>
      </c>
      <c r="U534" t="s">
        <v>1545</v>
      </c>
      <c r="V534" s="456">
        <v>2200</v>
      </c>
      <c r="W534" s="456">
        <v>993</v>
      </c>
      <c r="X534" s="375">
        <v>0.31</v>
      </c>
    </row>
    <row r="535" spans="1:24" x14ac:dyDescent="0.25">
      <c r="A535" s="4">
        <v>263</v>
      </c>
      <c r="B535" s="4" t="s">
        <v>855</v>
      </c>
      <c r="C535" s="6" t="s">
        <v>2499</v>
      </c>
      <c r="D535" s="6" t="s">
        <v>857</v>
      </c>
      <c r="E535" s="21">
        <v>43875</v>
      </c>
      <c r="F535" s="4" t="s">
        <v>1461</v>
      </c>
      <c r="H535" s="4">
        <v>6545</v>
      </c>
      <c r="I535" s="4">
        <v>4500</v>
      </c>
      <c r="J535" s="4" t="s">
        <v>5419</v>
      </c>
      <c r="K535" s="6" t="s">
        <v>5420</v>
      </c>
      <c r="L535" s="4">
        <v>2</v>
      </c>
      <c r="M535" s="455">
        <v>13277</v>
      </c>
      <c r="N535" s="519" t="s">
        <v>2886</v>
      </c>
      <c r="O535" s="455">
        <v>13277</v>
      </c>
      <c r="P535" s="455">
        <v>15800</v>
      </c>
      <c r="Q535" s="455">
        <v>31600</v>
      </c>
      <c r="R535" s="26">
        <v>43874</v>
      </c>
      <c r="S535" s="4" t="s">
        <v>1501</v>
      </c>
      <c r="T535" s="455">
        <v>31600</v>
      </c>
      <c r="U535" t="s">
        <v>1551</v>
      </c>
      <c r="V535" s="456">
        <v>9975</v>
      </c>
      <c r="W535" s="456">
        <v>3302</v>
      </c>
      <c r="X535" s="375">
        <v>0.25</v>
      </c>
    </row>
    <row r="536" spans="1:24" x14ac:dyDescent="0.25">
      <c r="A536" s="4">
        <v>264</v>
      </c>
      <c r="B536" s="4" t="s">
        <v>2035</v>
      </c>
      <c r="C536" s="6" t="s">
        <v>2206</v>
      </c>
      <c r="D536" s="6" t="s">
        <v>2197</v>
      </c>
      <c r="E536" s="21">
        <v>43875</v>
      </c>
      <c r="F536" s="4" t="s">
        <v>1461</v>
      </c>
      <c r="H536" s="4">
        <v>6546</v>
      </c>
      <c r="I536" s="4">
        <v>4501</v>
      </c>
      <c r="J536" s="4" t="s">
        <v>4919</v>
      </c>
      <c r="K536" s="6" t="s">
        <v>4920</v>
      </c>
      <c r="L536" s="4">
        <v>1</v>
      </c>
      <c r="M536" s="455">
        <v>10504</v>
      </c>
      <c r="N536" s="519" t="s">
        <v>2886</v>
      </c>
      <c r="O536" s="455">
        <v>10504</v>
      </c>
      <c r="P536" s="455">
        <v>12500</v>
      </c>
      <c r="Q536" s="455">
        <v>12500</v>
      </c>
      <c r="R536" s="26">
        <v>43875</v>
      </c>
      <c r="S536" s="4" t="s">
        <v>1501</v>
      </c>
      <c r="T536" s="455">
        <v>12500</v>
      </c>
      <c r="U536" t="s">
        <v>1572</v>
      </c>
      <c r="V536" s="456">
        <v>7409</v>
      </c>
      <c r="W536" s="456">
        <v>3095</v>
      </c>
      <c r="X536" s="375">
        <v>0.28999999999999998</v>
      </c>
    </row>
    <row r="537" spans="1:24" x14ac:dyDescent="0.25">
      <c r="A537" s="4">
        <v>258</v>
      </c>
      <c r="B537" s="4" t="s">
        <v>2614</v>
      </c>
      <c r="C537" s="6" t="s">
        <v>2644</v>
      </c>
      <c r="D537" s="6" t="s">
        <v>1469</v>
      </c>
      <c r="E537" s="21">
        <v>43875</v>
      </c>
      <c r="F537" s="4" t="s">
        <v>1461</v>
      </c>
      <c r="H537" s="4">
        <v>6541</v>
      </c>
      <c r="I537" s="4">
        <v>4496</v>
      </c>
      <c r="J537" s="4" t="s">
        <v>1233</v>
      </c>
      <c r="K537" s="6" t="s">
        <v>1046</v>
      </c>
      <c r="L537" s="4">
        <v>1</v>
      </c>
      <c r="M537" s="455">
        <v>18739</v>
      </c>
      <c r="N537" s="519" t="s">
        <v>2886</v>
      </c>
      <c r="O537" s="455">
        <v>18739</v>
      </c>
      <c r="P537" s="455">
        <v>22300</v>
      </c>
      <c r="Q537" s="455">
        <v>22300</v>
      </c>
      <c r="R537" s="26">
        <v>43875</v>
      </c>
      <c r="S537" s="4" t="s">
        <v>1501</v>
      </c>
      <c r="T537" s="455">
        <v>33100</v>
      </c>
      <c r="U537" t="s">
        <v>1570</v>
      </c>
      <c r="V537" s="456">
        <v>14040</v>
      </c>
      <c r="W537" s="456">
        <v>4699</v>
      </c>
      <c r="X537" s="375">
        <v>0.25</v>
      </c>
    </row>
    <row r="538" spans="1:24" x14ac:dyDescent="0.25">
      <c r="A538" s="4">
        <v>258</v>
      </c>
      <c r="B538" s="4" t="s">
        <v>30</v>
      </c>
      <c r="C538" s="6" t="s">
        <v>5241</v>
      </c>
      <c r="D538" s="6" t="s">
        <v>33</v>
      </c>
      <c r="E538" s="21">
        <v>43875</v>
      </c>
      <c r="F538" s="4" t="s">
        <v>1461</v>
      </c>
      <c r="H538" s="4">
        <v>6541</v>
      </c>
      <c r="I538" s="4">
        <v>4496</v>
      </c>
      <c r="J538" s="4" t="s">
        <v>1233</v>
      </c>
      <c r="K538" s="6" t="s">
        <v>1046</v>
      </c>
      <c r="L538" s="4">
        <v>12</v>
      </c>
      <c r="M538" s="455">
        <v>756</v>
      </c>
      <c r="N538" s="519" t="s">
        <v>2886</v>
      </c>
      <c r="O538" s="455">
        <v>756</v>
      </c>
      <c r="P538" s="455">
        <v>900</v>
      </c>
      <c r="Q538" s="455">
        <v>10800</v>
      </c>
      <c r="R538" s="26">
        <v>43875</v>
      </c>
      <c r="S538" s="4" t="s">
        <v>1501</v>
      </c>
      <c r="T538" s="455">
        <v>33100</v>
      </c>
      <c r="U538" t="s">
        <v>1563</v>
      </c>
      <c r="V538" s="456">
        <v>535</v>
      </c>
      <c r="W538" s="456">
        <v>221</v>
      </c>
      <c r="X538" s="375">
        <v>0.28999999999999998</v>
      </c>
    </row>
    <row r="539" spans="1:24" x14ac:dyDescent="0.25">
      <c r="A539" s="4">
        <v>271</v>
      </c>
      <c r="B539" s="4" t="s">
        <v>5147</v>
      </c>
      <c r="C539" s="6" t="s">
        <v>5148</v>
      </c>
      <c r="D539" s="6" t="s">
        <v>4618</v>
      </c>
      <c r="E539" s="21">
        <v>43878</v>
      </c>
      <c r="F539" s="4" t="s">
        <v>1461</v>
      </c>
      <c r="H539" s="4">
        <v>6603</v>
      </c>
      <c r="I539" s="4">
        <v>4508</v>
      </c>
      <c r="J539" s="4" t="s">
        <v>2226</v>
      </c>
      <c r="K539" s="6" t="s">
        <v>2227</v>
      </c>
      <c r="L539" s="4">
        <v>4</v>
      </c>
      <c r="M539" s="459">
        <v>22689</v>
      </c>
      <c r="N539" s="4" t="s">
        <v>2886</v>
      </c>
      <c r="O539" s="459">
        <v>22689</v>
      </c>
      <c r="P539" s="459">
        <v>27000</v>
      </c>
      <c r="Q539" s="459">
        <v>108000</v>
      </c>
      <c r="R539" s="26">
        <v>43878</v>
      </c>
      <c r="S539" s="4" t="s">
        <v>1501</v>
      </c>
      <c r="T539" s="459">
        <v>108000</v>
      </c>
      <c r="U539" t="s">
        <v>4602</v>
      </c>
      <c r="V539" s="460">
        <v>21183</v>
      </c>
      <c r="W539" s="460">
        <v>1506</v>
      </c>
      <c r="X539" s="375">
        <v>7.0000000000000007E-2</v>
      </c>
    </row>
    <row r="540" spans="1:24" x14ac:dyDescent="0.25">
      <c r="A540" s="4">
        <v>270</v>
      </c>
      <c r="B540" s="4" t="s">
        <v>5147</v>
      </c>
      <c r="C540" s="6" t="s">
        <v>5148</v>
      </c>
      <c r="D540" s="6" t="s">
        <v>4618</v>
      </c>
      <c r="E540" s="21">
        <v>43878</v>
      </c>
      <c r="F540" s="4" t="s">
        <v>1461</v>
      </c>
      <c r="H540" s="4">
        <v>6602</v>
      </c>
      <c r="I540" s="4">
        <v>4507</v>
      </c>
      <c r="J540" s="4" t="s">
        <v>4853</v>
      </c>
      <c r="K540" s="6" t="s">
        <v>4854</v>
      </c>
      <c r="L540" s="4">
        <v>1</v>
      </c>
      <c r="M540" s="459">
        <v>26471</v>
      </c>
      <c r="N540" s="4" t="s">
        <v>2886</v>
      </c>
      <c r="O540" s="459">
        <v>26471</v>
      </c>
      <c r="P540" s="459">
        <v>31500</v>
      </c>
      <c r="Q540" s="459">
        <v>31500</v>
      </c>
      <c r="R540" s="26">
        <v>43878</v>
      </c>
      <c r="S540" s="4" t="s">
        <v>1501</v>
      </c>
      <c r="T540" s="459">
        <v>31500</v>
      </c>
      <c r="U540" t="s">
        <v>4602</v>
      </c>
      <c r="V540" s="460">
        <v>21183</v>
      </c>
      <c r="W540" s="460">
        <v>5288</v>
      </c>
      <c r="X540" s="375">
        <v>0.2</v>
      </c>
    </row>
    <row r="541" spans="1:24" x14ac:dyDescent="0.25">
      <c r="A541" s="4">
        <v>268</v>
      </c>
      <c r="B541" s="4" t="s">
        <v>1473</v>
      </c>
      <c r="C541" s="6" t="s">
        <v>1657</v>
      </c>
      <c r="D541" s="6" t="s">
        <v>1469</v>
      </c>
      <c r="E541" s="21">
        <v>43878</v>
      </c>
      <c r="F541" s="4" t="s">
        <v>1461</v>
      </c>
      <c r="H541" s="4">
        <v>6550</v>
      </c>
      <c r="I541" s="4">
        <v>4505</v>
      </c>
      <c r="J541" s="4" t="s">
        <v>1244</v>
      </c>
      <c r="K541" s="6" t="s">
        <v>971</v>
      </c>
      <c r="L541" s="4">
        <v>1</v>
      </c>
      <c r="M541" s="459">
        <v>13109</v>
      </c>
      <c r="N541" s="4" t="s">
        <v>2886</v>
      </c>
      <c r="O541" s="459">
        <v>13109</v>
      </c>
      <c r="P541" s="459">
        <v>15600</v>
      </c>
      <c r="Q541" s="459">
        <v>15600</v>
      </c>
      <c r="R541" s="26">
        <v>43878</v>
      </c>
      <c r="S541" s="4" t="s">
        <v>1501</v>
      </c>
      <c r="T541" s="459">
        <v>15600</v>
      </c>
      <c r="U541" t="s">
        <v>1570</v>
      </c>
      <c r="V541" s="460">
        <v>9850</v>
      </c>
      <c r="W541" s="460">
        <v>3259</v>
      </c>
      <c r="X541" s="375">
        <v>0.25</v>
      </c>
    </row>
    <row r="542" spans="1:24" x14ac:dyDescent="0.25">
      <c r="A542" s="4">
        <v>266</v>
      </c>
      <c r="B542" s="4" t="s">
        <v>799</v>
      </c>
      <c r="C542" s="6" t="s">
        <v>1926</v>
      </c>
      <c r="D542" s="6" t="s">
        <v>802</v>
      </c>
      <c r="E542" s="21">
        <v>43878</v>
      </c>
      <c r="F542" s="4" t="s">
        <v>1461</v>
      </c>
      <c r="H542" s="4">
        <v>6548</v>
      </c>
      <c r="I542" s="4">
        <v>4503</v>
      </c>
      <c r="J542" s="4" t="s">
        <v>5759</v>
      </c>
      <c r="K542" s="6" t="s">
        <v>5760</v>
      </c>
      <c r="L542" s="4">
        <v>2</v>
      </c>
      <c r="M542" s="459">
        <v>17815</v>
      </c>
      <c r="N542" s="4" t="s">
        <v>2886</v>
      </c>
      <c r="O542" s="459">
        <v>17815</v>
      </c>
      <c r="P542" s="459">
        <v>21200</v>
      </c>
      <c r="Q542" s="459">
        <v>42400</v>
      </c>
      <c r="R542" s="26">
        <v>43878</v>
      </c>
      <c r="S542" s="4" t="s">
        <v>1501</v>
      </c>
      <c r="T542" s="459">
        <v>88800</v>
      </c>
      <c r="U542" t="s">
        <v>1551</v>
      </c>
      <c r="V542" s="523">
        <v>13279</v>
      </c>
      <c r="W542" s="523">
        <v>4536</v>
      </c>
      <c r="X542" s="375">
        <v>0.25</v>
      </c>
    </row>
    <row r="543" spans="1:24" x14ac:dyDescent="0.25">
      <c r="A543" s="4">
        <v>266</v>
      </c>
      <c r="B543" s="4" t="s">
        <v>4617</v>
      </c>
      <c r="C543" s="6" t="s">
        <v>5149</v>
      </c>
      <c r="D543" s="6" t="s">
        <v>4618</v>
      </c>
      <c r="E543" s="21">
        <v>43878</v>
      </c>
      <c r="F543" s="4" t="s">
        <v>1461</v>
      </c>
      <c r="H543" s="4">
        <v>6548</v>
      </c>
      <c r="I543" s="4">
        <v>4503</v>
      </c>
      <c r="J543" s="4" t="s">
        <v>5759</v>
      </c>
      <c r="K543" s="6" t="s">
        <v>5760</v>
      </c>
      <c r="L543" s="4">
        <v>1</v>
      </c>
      <c r="M543" s="459">
        <v>25546</v>
      </c>
      <c r="N543" s="4" t="s">
        <v>2886</v>
      </c>
      <c r="O543" s="459">
        <v>25546</v>
      </c>
      <c r="P543" s="459">
        <v>30400</v>
      </c>
      <c r="Q543" s="459">
        <v>30400</v>
      </c>
      <c r="R543" s="26">
        <v>43878</v>
      </c>
      <c r="S543" s="4" t="s">
        <v>1501</v>
      </c>
      <c r="T543" s="459">
        <v>88800</v>
      </c>
      <c r="U543" t="s">
        <v>4602</v>
      </c>
      <c r="V543" s="523">
        <v>20442</v>
      </c>
      <c r="W543" s="523">
        <v>5104</v>
      </c>
      <c r="X543" s="375">
        <v>0.2</v>
      </c>
    </row>
    <row r="544" spans="1:24" x14ac:dyDescent="0.25">
      <c r="A544" s="4">
        <v>266</v>
      </c>
      <c r="B544" s="4" t="s">
        <v>5340</v>
      </c>
      <c r="C544" s="6" t="s">
        <v>5385</v>
      </c>
      <c r="D544" s="6" t="s">
        <v>5386</v>
      </c>
      <c r="E544" s="21">
        <v>43878</v>
      </c>
      <c r="F544" s="4" t="s">
        <v>1461</v>
      </c>
      <c r="H544" s="4">
        <v>6548</v>
      </c>
      <c r="I544" s="4">
        <v>4503</v>
      </c>
      <c r="J544" s="4" t="s">
        <v>5759</v>
      </c>
      <c r="K544" s="6" t="s">
        <v>5760</v>
      </c>
      <c r="L544" s="4">
        <v>2</v>
      </c>
      <c r="M544" s="459">
        <v>6723</v>
      </c>
      <c r="N544" s="4" t="s">
        <v>2886</v>
      </c>
      <c r="O544" s="459">
        <v>6723</v>
      </c>
      <c r="P544" s="459">
        <v>8000</v>
      </c>
      <c r="Q544" s="459">
        <v>16000</v>
      </c>
      <c r="R544" s="26">
        <v>43878</v>
      </c>
      <c r="S544" s="4" t="s">
        <v>1501</v>
      </c>
      <c r="T544" s="459">
        <v>88800</v>
      </c>
      <c r="U544" t="s">
        <v>4524</v>
      </c>
      <c r="V544" s="460">
        <v>754</v>
      </c>
      <c r="W544" s="460">
        <v>5969</v>
      </c>
      <c r="X544" s="375">
        <v>0.89</v>
      </c>
    </row>
    <row r="545" spans="1:24" x14ac:dyDescent="0.25">
      <c r="A545" s="4">
        <v>269</v>
      </c>
      <c r="B545" s="4" t="s">
        <v>5369</v>
      </c>
      <c r="C545" s="6" t="s">
        <v>5370</v>
      </c>
      <c r="D545" s="6" t="s">
        <v>4457</v>
      </c>
      <c r="E545" s="21">
        <v>43878</v>
      </c>
      <c r="F545" s="4" t="s">
        <v>1461</v>
      </c>
      <c r="H545" s="4">
        <v>6601</v>
      </c>
      <c r="I545" s="4">
        <v>4506</v>
      </c>
      <c r="J545" s="4" t="s">
        <v>2733</v>
      </c>
      <c r="K545" s="6" t="s">
        <v>2734</v>
      </c>
      <c r="L545" s="4">
        <v>12</v>
      </c>
      <c r="M545" s="459">
        <v>756</v>
      </c>
      <c r="N545" s="4" t="s">
        <v>2886</v>
      </c>
      <c r="O545" s="459">
        <v>756</v>
      </c>
      <c r="P545" s="459">
        <v>900</v>
      </c>
      <c r="Q545" s="459">
        <v>10800</v>
      </c>
      <c r="R545" s="26">
        <v>43878</v>
      </c>
      <c r="S545" s="4" t="s">
        <v>1501</v>
      </c>
      <c r="T545" s="459">
        <v>10800</v>
      </c>
      <c r="U545" t="s">
        <v>1563</v>
      </c>
      <c r="V545" s="460">
        <v>535</v>
      </c>
      <c r="W545" s="460">
        <v>221</v>
      </c>
      <c r="X545" s="375">
        <v>0.28999999999999998</v>
      </c>
    </row>
    <row r="546" spans="1:24" x14ac:dyDescent="0.25">
      <c r="A546" s="4">
        <v>265</v>
      </c>
      <c r="B546" s="4" t="s">
        <v>843</v>
      </c>
      <c r="C546" s="6" t="s">
        <v>2058</v>
      </c>
      <c r="D546" s="6" t="s">
        <v>840</v>
      </c>
      <c r="E546" s="21">
        <v>43878</v>
      </c>
      <c r="F546" s="4" t="s">
        <v>1461</v>
      </c>
      <c r="H546" s="4">
        <v>6547</v>
      </c>
      <c r="I546" s="4">
        <v>4502</v>
      </c>
      <c r="J546" s="4" t="s">
        <v>5402</v>
      </c>
      <c r="K546" s="6" t="s">
        <v>5403</v>
      </c>
      <c r="L546" s="4">
        <v>1</v>
      </c>
      <c r="M546" s="459">
        <v>16723</v>
      </c>
      <c r="N546" s="4" t="s">
        <v>2886</v>
      </c>
      <c r="O546" s="459">
        <v>16723</v>
      </c>
      <c r="P546" s="459">
        <v>19900</v>
      </c>
      <c r="Q546" s="459">
        <v>19900</v>
      </c>
      <c r="R546" s="26">
        <v>43878</v>
      </c>
      <c r="S546" s="4" t="s">
        <v>1501</v>
      </c>
      <c r="T546" s="459">
        <v>19900</v>
      </c>
      <c r="U546" t="s">
        <v>1572</v>
      </c>
      <c r="V546" s="460">
        <v>11888</v>
      </c>
      <c r="W546" s="460">
        <v>4835</v>
      </c>
      <c r="X546" s="375">
        <v>0.28999999999999998</v>
      </c>
    </row>
    <row r="547" spans="1:24" x14ac:dyDescent="0.25">
      <c r="A547" s="4">
        <v>267</v>
      </c>
      <c r="B547" s="4" t="s">
        <v>2250</v>
      </c>
      <c r="C547" s="6" t="s">
        <v>2249</v>
      </c>
      <c r="D547" s="6" t="s">
        <v>1638</v>
      </c>
      <c r="E547" s="21">
        <v>43878</v>
      </c>
      <c r="F547" s="4" t="s">
        <v>1461</v>
      </c>
      <c r="H547" s="4">
        <v>6549</v>
      </c>
      <c r="I547" s="4">
        <v>4504</v>
      </c>
      <c r="J547" s="4" t="s">
        <v>5359</v>
      </c>
      <c r="K547" s="6" t="s">
        <v>5360</v>
      </c>
      <c r="L547" s="4">
        <v>3</v>
      </c>
      <c r="M547" s="459">
        <v>3193</v>
      </c>
      <c r="N547" s="4" t="s">
        <v>2886</v>
      </c>
      <c r="O547" s="459">
        <v>3193</v>
      </c>
      <c r="P547" s="459">
        <v>3800</v>
      </c>
      <c r="Q547" s="459">
        <v>11400</v>
      </c>
      <c r="R547" s="26">
        <v>43878</v>
      </c>
      <c r="S547" s="4" t="s">
        <v>1501</v>
      </c>
      <c r="T547" s="459">
        <v>15200</v>
      </c>
      <c r="U547" t="s">
        <v>1545</v>
      </c>
      <c r="V547" s="460">
        <v>2100</v>
      </c>
      <c r="W547" s="460">
        <v>1093</v>
      </c>
      <c r="X547" s="375">
        <v>0.34</v>
      </c>
    </row>
    <row r="548" spans="1:24" x14ac:dyDescent="0.25">
      <c r="A548" s="4">
        <v>267</v>
      </c>
      <c r="B548" s="4" t="s">
        <v>1503</v>
      </c>
      <c r="C548" s="6" t="s">
        <v>1972</v>
      </c>
      <c r="D548" s="6" t="s">
        <v>1638</v>
      </c>
      <c r="E548" s="21">
        <v>43878</v>
      </c>
      <c r="F548" s="4" t="s">
        <v>1461</v>
      </c>
      <c r="H548" s="4">
        <v>6549</v>
      </c>
      <c r="I548" s="4">
        <v>4504</v>
      </c>
      <c r="J548" s="4" t="s">
        <v>5359</v>
      </c>
      <c r="K548" s="6" t="s">
        <v>5360</v>
      </c>
      <c r="L548" s="4">
        <v>1</v>
      </c>
      <c r="M548" s="459">
        <v>3193</v>
      </c>
      <c r="N548" s="4" t="s">
        <v>2886</v>
      </c>
      <c r="O548" s="459">
        <v>3193</v>
      </c>
      <c r="P548" s="459">
        <v>3800</v>
      </c>
      <c r="Q548" s="459">
        <v>3800</v>
      </c>
      <c r="R548" s="26">
        <v>43878</v>
      </c>
      <c r="S548" s="4" t="s">
        <v>1501</v>
      </c>
      <c r="T548" s="459">
        <v>15200</v>
      </c>
      <c r="U548" t="s">
        <v>1545</v>
      </c>
      <c r="V548" s="460">
        <v>2200</v>
      </c>
      <c r="W548" s="460">
        <v>993</v>
      </c>
      <c r="X548" s="375">
        <v>0.31</v>
      </c>
    </row>
    <row r="549" spans="1:24" x14ac:dyDescent="0.25">
      <c r="A549" s="4">
        <v>272</v>
      </c>
      <c r="B549" s="4" t="s">
        <v>3906</v>
      </c>
      <c r="C549" s="6" t="s">
        <v>3813</v>
      </c>
      <c r="D549" s="6" t="s">
        <v>1646</v>
      </c>
      <c r="E549" s="21">
        <v>43878</v>
      </c>
      <c r="F549" s="4" t="s">
        <v>925</v>
      </c>
      <c r="H549" s="4" t="s">
        <v>5600</v>
      </c>
      <c r="I549" s="4">
        <v>4509</v>
      </c>
      <c r="J549" s="4" t="s">
        <v>1192</v>
      </c>
      <c r="K549" s="6" t="s">
        <v>1061</v>
      </c>
      <c r="L549" s="4">
        <v>12</v>
      </c>
      <c r="M549" s="459">
        <v>3335</v>
      </c>
      <c r="N549" s="4" t="s">
        <v>2886</v>
      </c>
      <c r="O549" s="459">
        <v>3335</v>
      </c>
      <c r="P549" s="459">
        <v>3969</v>
      </c>
      <c r="Q549" s="459">
        <v>47628</v>
      </c>
      <c r="R549" s="26">
        <v>43878</v>
      </c>
      <c r="S549" s="4" t="s">
        <v>1501</v>
      </c>
      <c r="T549" s="459">
        <v>135978</v>
      </c>
      <c r="U549" t="s">
        <v>3934</v>
      </c>
      <c r="V549" s="460">
        <v>2408</v>
      </c>
      <c r="W549" s="460">
        <v>927</v>
      </c>
      <c r="X549" s="375">
        <v>0.28000000000000003</v>
      </c>
    </row>
    <row r="550" spans="1:24" x14ac:dyDescent="0.25">
      <c r="A550" s="4">
        <v>272</v>
      </c>
      <c r="B550" s="4" t="s">
        <v>2289</v>
      </c>
      <c r="C550" s="6" t="s">
        <v>2620</v>
      </c>
      <c r="D550" s="6" t="s">
        <v>1539</v>
      </c>
      <c r="E550" s="21">
        <v>43878</v>
      </c>
      <c r="F550" s="4" t="s">
        <v>925</v>
      </c>
      <c r="H550" s="4" t="s">
        <v>5600</v>
      </c>
      <c r="I550" s="4">
        <v>4509</v>
      </c>
      <c r="J550" s="4" t="s">
        <v>1192</v>
      </c>
      <c r="K550" s="6" t="s">
        <v>1061</v>
      </c>
      <c r="L550" s="4">
        <v>2</v>
      </c>
      <c r="M550" s="459">
        <v>20084</v>
      </c>
      <c r="N550" s="4" t="s">
        <v>2886</v>
      </c>
      <c r="O550" s="459">
        <v>20084</v>
      </c>
      <c r="P550" s="459">
        <v>23900</v>
      </c>
      <c r="Q550" s="459">
        <v>47800</v>
      </c>
      <c r="R550" s="26">
        <v>43878</v>
      </c>
      <c r="S550" s="4" t="s">
        <v>1501</v>
      </c>
      <c r="T550" s="459">
        <v>135978</v>
      </c>
      <c r="U550" t="s">
        <v>1524</v>
      </c>
      <c r="V550" s="460">
        <v>16386</v>
      </c>
      <c r="W550" s="460">
        <v>3698</v>
      </c>
      <c r="X550" s="375">
        <v>0.18</v>
      </c>
    </row>
    <row r="551" spans="1:24" x14ac:dyDescent="0.25">
      <c r="A551" s="4">
        <v>272</v>
      </c>
      <c r="B551" s="4" t="s">
        <v>35</v>
      </c>
      <c r="C551" s="6" t="s">
        <v>2855</v>
      </c>
      <c r="D551" s="6" t="s">
        <v>1693</v>
      </c>
      <c r="E551" s="21">
        <v>43878</v>
      </c>
      <c r="F551" s="4" t="s">
        <v>925</v>
      </c>
      <c r="H551" s="4" t="s">
        <v>5600</v>
      </c>
      <c r="I551" s="4">
        <v>4509</v>
      </c>
      <c r="J551" s="4" t="s">
        <v>1192</v>
      </c>
      <c r="K551" s="6" t="s">
        <v>1061</v>
      </c>
      <c r="L551" s="4">
        <v>4</v>
      </c>
      <c r="M551" s="459">
        <v>6151</v>
      </c>
      <c r="N551" s="4" t="s">
        <v>2886</v>
      </c>
      <c r="O551" s="459">
        <v>6151</v>
      </c>
      <c r="P551" s="459">
        <v>7320</v>
      </c>
      <c r="Q551" s="459">
        <v>29280</v>
      </c>
      <c r="R551" s="26">
        <v>43878</v>
      </c>
      <c r="S551" s="4" t="s">
        <v>1501</v>
      </c>
      <c r="T551" s="459">
        <v>135978</v>
      </c>
      <c r="U551" t="s">
        <v>1563</v>
      </c>
      <c r="V551" s="460">
        <v>4922</v>
      </c>
      <c r="W551" s="460">
        <v>1229</v>
      </c>
      <c r="X551" s="375">
        <v>0.2</v>
      </c>
    </row>
    <row r="552" spans="1:24" x14ac:dyDescent="0.25">
      <c r="A552" s="4">
        <v>272</v>
      </c>
      <c r="B552" s="4" t="s">
        <v>3863</v>
      </c>
      <c r="C552" s="6" t="s">
        <v>3771</v>
      </c>
      <c r="D552" s="6" t="s">
        <v>1646</v>
      </c>
      <c r="E552" s="21">
        <v>43878</v>
      </c>
      <c r="F552" s="4" t="s">
        <v>925</v>
      </c>
      <c r="H552" s="4" t="s">
        <v>5600</v>
      </c>
      <c r="I552" s="4">
        <v>4509</v>
      </c>
      <c r="J552" s="4" t="s">
        <v>1192</v>
      </c>
      <c r="K552" s="6" t="s">
        <v>1061</v>
      </c>
      <c r="L552" s="4">
        <v>4</v>
      </c>
      <c r="M552" s="459">
        <v>2368</v>
      </c>
      <c r="N552" s="4" t="s">
        <v>2886</v>
      </c>
      <c r="O552" s="459">
        <v>2368</v>
      </c>
      <c r="P552" s="459">
        <v>2818</v>
      </c>
      <c r="Q552" s="459">
        <v>11272</v>
      </c>
      <c r="R552" s="26">
        <v>43878</v>
      </c>
      <c r="S552" s="4" t="s">
        <v>1501</v>
      </c>
      <c r="T552" s="459">
        <v>135978</v>
      </c>
      <c r="U552" t="s">
        <v>3934</v>
      </c>
      <c r="V552" s="460">
        <v>1787</v>
      </c>
      <c r="W552" s="460">
        <v>581</v>
      </c>
      <c r="X552" s="375">
        <v>0.25</v>
      </c>
    </row>
    <row r="553" spans="1:24" x14ac:dyDescent="0.25">
      <c r="A553" s="4">
        <v>273</v>
      </c>
      <c r="B553" s="4" t="s">
        <v>855</v>
      </c>
      <c r="C553" s="6" t="s">
        <v>2499</v>
      </c>
      <c r="D553" s="6" t="s">
        <v>857</v>
      </c>
      <c r="E553" s="21">
        <v>43879</v>
      </c>
      <c r="F553" s="4" t="s">
        <v>1461</v>
      </c>
      <c r="H553" s="4">
        <v>6604</v>
      </c>
      <c r="I553" s="4">
        <v>4510</v>
      </c>
      <c r="J553" s="4" t="s">
        <v>4041</v>
      </c>
      <c r="K553" s="6" t="s">
        <v>4042</v>
      </c>
      <c r="L553" s="4">
        <v>1</v>
      </c>
      <c r="M553" s="461">
        <v>13277</v>
      </c>
      <c r="N553" s="4" t="s">
        <v>2886</v>
      </c>
      <c r="O553" s="461">
        <v>13277</v>
      </c>
      <c r="P553" s="461">
        <v>15800</v>
      </c>
      <c r="Q553" s="461">
        <v>15800</v>
      </c>
      <c r="R553" s="26">
        <v>43879</v>
      </c>
      <c r="S553" s="4" t="s">
        <v>1501</v>
      </c>
      <c r="T553" s="461">
        <v>15800</v>
      </c>
      <c r="U553" t="s">
        <v>1551</v>
      </c>
      <c r="V553" s="462">
        <v>9975</v>
      </c>
      <c r="W553" s="462">
        <v>3302</v>
      </c>
      <c r="X553" s="375">
        <v>0.25</v>
      </c>
    </row>
    <row r="554" spans="1:24" x14ac:dyDescent="0.25">
      <c r="A554" s="4">
        <v>274</v>
      </c>
      <c r="B554" s="4" t="s">
        <v>838</v>
      </c>
      <c r="C554" s="6" t="s">
        <v>2062</v>
      </c>
      <c r="D554" s="6" t="s">
        <v>840</v>
      </c>
      <c r="E554" s="21">
        <v>43879</v>
      </c>
      <c r="F554" s="4" t="s">
        <v>1461</v>
      </c>
      <c r="H554" s="4">
        <v>6605</v>
      </c>
      <c r="I554" s="4">
        <v>4511</v>
      </c>
      <c r="J554" s="4" t="s">
        <v>5762</v>
      </c>
      <c r="K554" s="6" t="s">
        <v>5763</v>
      </c>
      <c r="L554" s="4">
        <v>1</v>
      </c>
      <c r="M554" s="463">
        <v>16555</v>
      </c>
      <c r="N554" s="4" t="s">
        <v>2886</v>
      </c>
      <c r="O554" s="463">
        <v>16555</v>
      </c>
      <c r="P554" s="463">
        <v>19700</v>
      </c>
      <c r="Q554" s="463">
        <v>19700</v>
      </c>
      <c r="R554" s="26">
        <v>43879</v>
      </c>
      <c r="S554" s="4" t="s">
        <v>1501</v>
      </c>
      <c r="T554" s="463">
        <v>58600</v>
      </c>
      <c r="U554" t="s">
        <v>1572</v>
      </c>
      <c r="V554" s="464">
        <v>12429</v>
      </c>
      <c r="W554" s="464">
        <v>4126</v>
      </c>
      <c r="X554" s="375">
        <v>0.25</v>
      </c>
    </row>
    <row r="555" spans="1:24" x14ac:dyDescent="0.25">
      <c r="A555" s="4">
        <v>274</v>
      </c>
      <c r="B555" s="4" t="s">
        <v>4620</v>
      </c>
      <c r="C555" s="6" t="s">
        <v>4621</v>
      </c>
      <c r="D555" s="6" t="s">
        <v>4622</v>
      </c>
      <c r="E555" s="21">
        <v>43879</v>
      </c>
      <c r="F555" s="4" t="s">
        <v>1461</v>
      </c>
      <c r="H555" s="4">
        <v>6605</v>
      </c>
      <c r="I555" s="4">
        <v>4511</v>
      </c>
      <c r="J555" s="4" t="s">
        <v>5762</v>
      </c>
      <c r="K555" s="6" t="s">
        <v>5763</v>
      </c>
      <c r="L555" s="4">
        <v>1</v>
      </c>
      <c r="M555" s="463">
        <v>32689</v>
      </c>
      <c r="N555" s="4" t="s">
        <v>2886</v>
      </c>
      <c r="O555" s="463">
        <v>32689</v>
      </c>
      <c r="P555" s="463">
        <v>38900</v>
      </c>
      <c r="Q555" s="463">
        <v>38900</v>
      </c>
      <c r="R555" s="26">
        <v>43879</v>
      </c>
      <c r="S555" s="4" t="s">
        <v>1501</v>
      </c>
      <c r="T555" s="463">
        <v>58600</v>
      </c>
      <c r="U555" t="s">
        <v>4602</v>
      </c>
      <c r="V555" s="464">
        <v>26207</v>
      </c>
      <c r="W555" s="464">
        <v>6482</v>
      </c>
      <c r="X555" s="375">
        <v>0.2</v>
      </c>
    </row>
    <row r="556" spans="1:24" x14ac:dyDescent="0.25">
      <c r="A556" s="4">
        <v>277</v>
      </c>
      <c r="B556" s="4" t="s">
        <v>2038</v>
      </c>
      <c r="C556" s="6" t="s">
        <v>2097</v>
      </c>
      <c r="D556" s="6" t="s">
        <v>794</v>
      </c>
      <c r="E556" s="21">
        <v>43879</v>
      </c>
      <c r="F556" s="4" t="s">
        <v>1461</v>
      </c>
      <c r="H556" s="4">
        <v>6608</v>
      </c>
      <c r="I556" s="4">
        <v>4514</v>
      </c>
      <c r="J556" s="4" t="s">
        <v>2729</v>
      </c>
      <c r="K556" s="6" t="s">
        <v>2730</v>
      </c>
      <c r="L556" s="4">
        <v>3</v>
      </c>
      <c r="M556" s="463">
        <v>10504</v>
      </c>
      <c r="N556" s="519" t="s">
        <v>2886</v>
      </c>
      <c r="O556" s="463">
        <v>10504</v>
      </c>
      <c r="P556" s="463">
        <v>12500</v>
      </c>
      <c r="Q556" s="463">
        <v>37500</v>
      </c>
      <c r="R556" s="26">
        <v>43879</v>
      </c>
      <c r="S556" s="4" t="s">
        <v>1501</v>
      </c>
      <c r="T556" s="463">
        <v>37500</v>
      </c>
      <c r="U556" t="s">
        <v>1551</v>
      </c>
      <c r="V556" s="464">
        <v>7956</v>
      </c>
      <c r="W556" s="464">
        <v>2548</v>
      </c>
      <c r="X556" s="375">
        <v>0.24</v>
      </c>
    </row>
    <row r="557" spans="1:24" x14ac:dyDescent="0.25">
      <c r="A557" s="4">
        <v>276</v>
      </c>
      <c r="B557" s="4" t="s">
        <v>656</v>
      </c>
      <c r="C557" s="6" t="s">
        <v>1973</v>
      </c>
      <c r="D557" s="6" t="s">
        <v>794</v>
      </c>
      <c r="E557" s="21">
        <v>43879</v>
      </c>
      <c r="F557" s="4" t="s">
        <v>1461</v>
      </c>
      <c r="H557" s="4">
        <v>6607</v>
      </c>
      <c r="I557" s="4">
        <v>4513</v>
      </c>
      <c r="J557" s="4" t="s">
        <v>1433</v>
      </c>
      <c r="K557" s="6" t="s">
        <v>1148</v>
      </c>
      <c r="L557" s="4">
        <v>1</v>
      </c>
      <c r="M557" s="463">
        <v>19328</v>
      </c>
      <c r="N557" s="519" t="s">
        <v>2886</v>
      </c>
      <c r="O557" s="463">
        <v>19328</v>
      </c>
      <c r="P557" s="463">
        <v>23000</v>
      </c>
      <c r="Q557" s="463">
        <v>23000</v>
      </c>
      <c r="R557" s="26">
        <v>43879</v>
      </c>
      <c r="S557" s="4" t="s">
        <v>1501</v>
      </c>
      <c r="T557" s="463">
        <v>23000</v>
      </c>
      <c r="U557" t="s">
        <v>1551</v>
      </c>
      <c r="V557" s="464">
        <v>14604</v>
      </c>
      <c r="W557" s="464">
        <v>4724</v>
      </c>
      <c r="X557" s="375">
        <v>0.24</v>
      </c>
    </row>
    <row r="558" spans="1:24" x14ac:dyDescent="0.25">
      <c r="A558" s="4">
        <v>275</v>
      </c>
      <c r="B558" s="4" t="s">
        <v>843</v>
      </c>
      <c r="C558" s="6" t="s">
        <v>2058</v>
      </c>
      <c r="D558" s="6" t="s">
        <v>840</v>
      </c>
      <c r="E558" s="21">
        <v>43879</v>
      </c>
      <c r="F558" s="4" t="s">
        <v>1461</v>
      </c>
      <c r="H558" s="4">
        <v>6606</v>
      </c>
      <c r="I558" s="4">
        <v>4512</v>
      </c>
      <c r="J558" s="4" t="s">
        <v>5765</v>
      </c>
      <c r="K558" s="6" t="s">
        <v>5766</v>
      </c>
      <c r="L558" s="4">
        <v>2</v>
      </c>
      <c r="M558" s="463">
        <v>16723</v>
      </c>
      <c r="N558" s="519" t="s">
        <v>2886</v>
      </c>
      <c r="O558" s="463">
        <v>16723</v>
      </c>
      <c r="P558" s="463">
        <v>19900</v>
      </c>
      <c r="Q558" s="463">
        <v>39800</v>
      </c>
      <c r="R558" s="26">
        <v>43879</v>
      </c>
      <c r="S558" s="4" t="s">
        <v>1501</v>
      </c>
      <c r="T558" s="463">
        <v>39800</v>
      </c>
      <c r="U558" t="s">
        <v>1572</v>
      </c>
      <c r="V558" s="464">
        <v>11888</v>
      </c>
      <c r="W558" s="464">
        <v>4835</v>
      </c>
      <c r="X558" s="375">
        <v>0.28999999999999998</v>
      </c>
    </row>
    <row r="559" spans="1:24" x14ac:dyDescent="0.25">
      <c r="A559" s="4">
        <v>280</v>
      </c>
      <c r="B559" s="4" t="s">
        <v>830</v>
      </c>
      <c r="C559" s="6" t="s">
        <v>2495</v>
      </c>
      <c r="D559" s="6" t="s">
        <v>837</v>
      </c>
      <c r="E559" s="21">
        <v>43880</v>
      </c>
      <c r="F559" s="4" t="s">
        <v>1461</v>
      </c>
      <c r="H559" s="4">
        <v>6610</v>
      </c>
      <c r="I559" s="4">
        <v>4517</v>
      </c>
      <c r="J559" s="4" t="s">
        <v>5591</v>
      </c>
      <c r="K559" s="6" t="s">
        <v>5592</v>
      </c>
      <c r="L559" s="4">
        <v>1</v>
      </c>
      <c r="M559" s="465">
        <v>13866</v>
      </c>
      <c r="N559" s="519" t="s">
        <v>2886</v>
      </c>
      <c r="O559" s="465">
        <v>13866</v>
      </c>
      <c r="P559" s="465">
        <v>16500</v>
      </c>
      <c r="Q559" s="465">
        <v>16500</v>
      </c>
      <c r="R559" s="26">
        <v>43880</v>
      </c>
      <c r="S559" s="4" t="s">
        <v>2050</v>
      </c>
      <c r="T559" s="465">
        <v>16500</v>
      </c>
      <c r="U559" t="s">
        <v>1572</v>
      </c>
      <c r="V559" s="466">
        <v>10390</v>
      </c>
      <c r="W559" s="466">
        <v>3476</v>
      </c>
      <c r="X559" s="375">
        <v>0.25</v>
      </c>
    </row>
    <row r="560" spans="1:24" x14ac:dyDescent="0.25">
      <c r="A560" s="4">
        <v>282</v>
      </c>
      <c r="B560" s="4" t="s">
        <v>792</v>
      </c>
      <c r="C560" s="6" t="s">
        <v>1928</v>
      </c>
      <c r="D560" s="6" t="s">
        <v>794</v>
      </c>
      <c r="E560" s="21">
        <v>43880</v>
      </c>
      <c r="F560" s="4" t="s">
        <v>1461</v>
      </c>
      <c r="H560" s="4">
        <v>6609</v>
      </c>
      <c r="I560" s="4">
        <v>4519</v>
      </c>
      <c r="J560" s="4" t="s">
        <v>1216</v>
      </c>
      <c r="K560" s="6" t="s">
        <v>2209</v>
      </c>
      <c r="L560" s="4">
        <v>2</v>
      </c>
      <c r="M560" s="465">
        <v>20084</v>
      </c>
      <c r="N560" s="519" t="s">
        <v>2886</v>
      </c>
      <c r="O560" s="465">
        <v>20084</v>
      </c>
      <c r="P560" s="465">
        <v>23900</v>
      </c>
      <c r="Q560" s="465">
        <v>47800</v>
      </c>
      <c r="R560" s="26">
        <v>43880</v>
      </c>
      <c r="S560" s="4" t="s">
        <v>1501</v>
      </c>
      <c r="T560" s="465">
        <v>47800</v>
      </c>
      <c r="U560" t="s">
        <v>1551</v>
      </c>
      <c r="V560" s="466">
        <v>14604</v>
      </c>
      <c r="W560" s="466">
        <v>5480</v>
      </c>
      <c r="X560" s="375">
        <v>0.27</v>
      </c>
    </row>
    <row r="561" spans="1:24" x14ac:dyDescent="0.25">
      <c r="A561" s="4">
        <v>285</v>
      </c>
      <c r="B561" s="4" t="s">
        <v>656</v>
      </c>
      <c r="C561" s="6" t="s">
        <v>1973</v>
      </c>
      <c r="D561" s="6" t="s">
        <v>794</v>
      </c>
      <c r="E561" s="21">
        <v>43880</v>
      </c>
      <c r="F561" s="4" t="s">
        <v>1461</v>
      </c>
      <c r="H561" s="4">
        <v>6613</v>
      </c>
      <c r="I561" s="4">
        <v>4522</v>
      </c>
      <c r="J561" s="4" t="s">
        <v>1320</v>
      </c>
      <c r="K561" s="6" t="s">
        <v>3394</v>
      </c>
      <c r="L561" s="4">
        <v>1</v>
      </c>
      <c r="M561" s="465">
        <v>19328</v>
      </c>
      <c r="N561" s="519" t="s">
        <v>2886</v>
      </c>
      <c r="O561" s="465">
        <v>19328</v>
      </c>
      <c r="P561" s="465">
        <v>23000</v>
      </c>
      <c r="Q561" s="465">
        <v>23000</v>
      </c>
      <c r="R561" s="26">
        <v>43880</v>
      </c>
      <c r="S561" s="4" t="s">
        <v>2050</v>
      </c>
      <c r="T561" s="465">
        <v>46300</v>
      </c>
      <c r="U561" t="s">
        <v>1551</v>
      </c>
      <c r="V561" s="466">
        <v>14604</v>
      </c>
      <c r="W561" s="466">
        <v>4724</v>
      </c>
      <c r="X561" s="375">
        <v>0.24</v>
      </c>
    </row>
    <row r="562" spans="1:24" x14ac:dyDescent="0.25">
      <c r="A562" s="4">
        <v>285</v>
      </c>
      <c r="B562" s="4" t="s">
        <v>2038</v>
      </c>
      <c r="C562" s="6" t="s">
        <v>2097</v>
      </c>
      <c r="D562" s="6" t="s">
        <v>794</v>
      </c>
      <c r="E562" s="21">
        <v>43880</v>
      </c>
      <c r="F562" s="4" t="s">
        <v>1461</v>
      </c>
      <c r="H562" s="4">
        <v>6613</v>
      </c>
      <c r="I562" s="4">
        <v>4522</v>
      </c>
      <c r="J562" s="4" t="s">
        <v>1320</v>
      </c>
      <c r="K562" s="6" t="s">
        <v>3394</v>
      </c>
      <c r="L562" s="4">
        <v>1</v>
      </c>
      <c r="M562" s="465">
        <v>10504</v>
      </c>
      <c r="N562" s="519" t="s">
        <v>2886</v>
      </c>
      <c r="O562" s="465">
        <v>10504</v>
      </c>
      <c r="P562" s="465">
        <v>12500</v>
      </c>
      <c r="Q562" s="465">
        <v>12500</v>
      </c>
      <c r="R562" s="26">
        <v>43880</v>
      </c>
      <c r="S562" s="4" t="s">
        <v>2050</v>
      </c>
      <c r="T562" s="465">
        <v>46300</v>
      </c>
      <c r="U562" t="s">
        <v>1551</v>
      </c>
      <c r="V562" s="466">
        <v>7956</v>
      </c>
      <c r="W562" s="466">
        <v>2548</v>
      </c>
      <c r="X562" s="375">
        <v>0.24</v>
      </c>
    </row>
    <row r="563" spans="1:24" x14ac:dyDescent="0.25">
      <c r="A563" s="4">
        <v>285</v>
      </c>
      <c r="B563" s="4" t="s">
        <v>30</v>
      </c>
      <c r="C563" s="6" t="s">
        <v>5241</v>
      </c>
      <c r="D563" s="6" t="s">
        <v>33</v>
      </c>
      <c r="E563" s="21">
        <v>43880</v>
      </c>
      <c r="F563" s="4" t="s">
        <v>1461</v>
      </c>
      <c r="H563" s="4">
        <v>6613</v>
      </c>
      <c r="I563" s="4">
        <v>4522</v>
      </c>
      <c r="J563" s="4" t="s">
        <v>1320</v>
      </c>
      <c r="K563" s="6" t="s">
        <v>3394</v>
      </c>
      <c r="L563" s="4">
        <v>12</v>
      </c>
      <c r="M563" s="465">
        <v>756</v>
      </c>
      <c r="N563" s="4" t="s">
        <v>2886</v>
      </c>
      <c r="O563" s="465">
        <v>756</v>
      </c>
      <c r="P563" s="465">
        <v>900</v>
      </c>
      <c r="Q563" s="465">
        <v>10800</v>
      </c>
      <c r="R563" s="26">
        <v>43880</v>
      </c>
      <c r="S563" s="4" t="s">
        <v>2050</v>
      </c>
      <c r="T563" s="465">
        <v>46300</v>
      </c>
      <c r="U563" t="s">
        <v>1563</v>
      </c>
      <c r="V563" s="466">
        <v>535</v>
      </c>
      <c r="W563" s="466">
        <v>221</v>
      </c>
      <c r="X563" s="375">
        <v>0.28999999999999998</v>
      </c>
    </row>
    <row r="564" spans="1:24" x14ac:dyDescent="0.25">
      <c r="A564" s="4">
        <v>288</v>
      </c>
      <c r="B564" s="4" t="s">
        <v>656</v>
      </c>
      <c r="C564" s="6" t="s">
        <v>1973</v>
      </c>
      <c r="D564" s="6" t="s">
        <v>794</v>
      </c>
      <c r="E564" s="21">
        <v>43880</v>
      </c>
      <c r="F564" s="4" t="s">
        <v>1461</v>
      </c>
      <c r="H564" s="4">
        <v>6616</v>
      </c>
      <c r="I564" s="4">
        <v>4525</v>
      </c>
      <c r="J564" s="4" t="s">
        <v>1258</v>
      </c>
      <c r="K564" s="6" t="s">
        <v>1059</v>
      </c>
      <c r="L564" s="4">
        <v>3</v>
      </c>
      <c r="M564" s="469">
        <v>19328</v>
      </c>
      <c r="N564" s="512" t="s">
        <v>2886</v>
      </c>
      <c r="O564" s="469">
        <v>19328</v>
      </c>
      <c r="P564" s="469">
        <v>23000</v>
      </c>
      <c r="Q564" s="469">
        <v>69000</v>
      </c>
      <c r="R564" s="26">
        <v>43880</v>
      </c>
      <c r="S564" s="4" t="s">
        <v>1501</v>
      </c>
      <c r="T564" s="469">
        <v>69000</v>
      </c>
      <c r="U564" t="s">
        <v>1551</v>
      </c>
      <c r="V564" s="470">
        <v>14604</v>
      </c>
      <c r="W564" s="470">
        <v>4724</v>
      </c>
      <c r="X564" s="375">
        <v>0.24</v>
      </c>
    </row>
    <row r="565" spans="1:24" x14ac:dyDescent="0.25">
      <c r="A565" s="4">
        <v>279</v>
      </c>
      <c r="B565" s="4" t="s">
        <v>30</v>
      </c>
      <c r="C565" s="6" t="s">
        <v>5241</v>
      </c>
      <c r="D565" s="6" t="s">
        <v>33</v>
      </c>
      <c r="E565" s="21">
        <v>43880</v>
      </c>
      <c r="F565" s="4" t="s">
        <v>925</v>
      </c>
      <c r="H565" s="4" t="s">
        <v>2528</v>
      </c>
      <c r="I565" s="4">
        <v>4516</v>
      </c>
      <c r="J565" s="4" t="s">
        <v>1179</v>
      </c>
      <c r="K565" s="6" t="s">
        <v>952</v>
      </c>
      <c r="L565" s="4">
        <v>72</v>
      </c>
      <c r="M565" s="469">
        <v>741</v>
      </c>
      <c r="N565" s="4" t="s">
        <v>2886</v>
      </c>
      <c r="O565" s="469">
        <v>741</v>
      </c>
      <c r="P565" s="469">
        <v>882</v>
      </c>
      <c r="Q565" s="469">
        <v>63504</v>
      </c>
      <c r="R565" s="26">
        <v>43880</v>
      </c>
      <c r="S565" s="4" t="s">
        <v>2050</v>
      </c>
      <c r="T565" s="469">
        <v>136135</v>
      </c>
      <c r="U565" t="s">
        <v>1563</v>
      </c>
      <c r="V565" s="470">
        <v>535</v>
      </c>
      <c r="W565" s="470">
        <v>206</v>
      </c>
      <c r="X565" s="375">
        <v>0.28000000000000003</v>
      </c>
    </row>
    <row r="566" spans="1:24" x14ac:dyDescent="0.25">
      <c r="A566" s="4">
        <v>279</v>
      </c>
      <c r="B566" s="4" t="s">
        <v>5771</v>
      </c>
      <c r="C566" s="6" t="s">
        <v>5772</v>
      </c>
      <c r="D566" s="6" t="s">
        <v>5753</v>
      </c>
      <c r="E566" s="21">
        <v>43880</v>
      </c>
      <c r="F566" s="4" t="s">
        <v>925</v>
      </c>
      <c r="H566" s="4" t="s">
        <v>2528</v>
      </c>
      <c r="I566" s="4">
        <v>4516</v>
      </c>
      <c r="J566" s="4" t="s">
        <v>1179</v>
      </c>
      <c r="K566" s="6" t="s">
        <v>952</v>
      </c>
      <c r="L566" s="4">
        <v>48</v>
      </c>
      <c r="M566" s="469">
        <v>882</v>
      </c>
      <c r="N566" s="519" t="s">
        <v>2886</v>
      </c>
      <c r="O566" s="469">
        <v>882</v>
      </c>
      <c r="P566" s="469">
        <v>1050</v>
      </c>
      <c r="Q566" s="469">
        <v>50400</v>
      </c>
      <c r="R566" s="26">
        <v>43880</v>
      </c>
      <c r="S566" s="4" t="s">
        <v>2050</v>
      </c>
      <c r="T566" s="469">
        <v>136135</v>
      </c>
      <c r="U566" t="s">
        <v>4767</v>
      </c>
      <c r="V566" s="470">
        <v>637</v>
      </c>
      <c r="W566" s="470">
        <v>245</v>
      </c>
      <c r="X566" s="375">
        <v>0.28000000000000003</v>
      </c>
    </row>
    <row r="567" spans="1:24" x14ac:dyDescent="0.25">
      <c r="A567" s="4">
        <v>279</v>
      </c>
      <c r="B567" s="4" t="s">
        <v>4051</v>
      </c>
      <c r="C567" s="6" t="s">
        <v>4062</v>
      </c>
      <c r="D567" s="6" t="s">
        <v>4045</v>
      </c>
      <c r="E567" s="21">
        <v>43880</v>
      </c>
      <c r="F567" s="4" t="s">
        <v>925</v>
      </c>
      <c r="H567" s="4" t="s">
        <v>2528</v>
      </c>
      <c r="I567" s="4">
        <v>4516</v>
      </c>
      <c r="J567" s="4" t="s">
        <v>1179</v>
      </c>
      <c r="K567" s="6" t="s">
        <v>952</v>
      </c>
      <c r="L567" s="4">
        <v>12</v>
      </c>
      <c r="M567" s="469">
        <v>1558</v>
      </c>
      <c r="N567" s="519" t="s">
        <v>2886</v>
      </c>
      <c r="O567" s="469">
        <v>1558</v>
      </c>
      <c r="P567" s="469">
        <v>1854</v>
      </c>
      <c r="Q567" s="469">
        <v>22248</v>
      </c>
      <c r="R567" s="26">
        <v>43880</v>
      </c>
      <c r="S567" s="4" t="s">
        <v>2050</v>
      </c>
      <c r="T567" s="469">
        <v>136135</v>
      </c>
      <c r="U567" t="s">
        <v>1739</v>
      </c>
      <c r="V567" s="470">
        <v>1125</v>
      </c>
      <c r="W567" s="470">
        <v>433</v>
      </c>
      <c r="X567" s="375">
        <v>0.28000000000000003</v>
      </c>
    </row>
    <row r="568" spans="1:24" x14ac:dyDescent="0.25">
      <c r="A568" s="4">
        <v>287</v>
      </c>
      <c r="B568" s="4" t="s">
        <v>800</v>
      </c>
      <c r="C568" s="6" t="s">
        <v>1927</v>
      </c>
      <c r="D568" s="6" t="s">
        <v>802</v>
      </c>
      <c r="E568" s="21">
        <v>43880</v>
      </c>
      <c r="F568" s="4" t="s">
        <v>1461</v>
      </c>
      <c r="H568" s="4">
        <v>6615</v>
      </c>
      <c r="I568" s="4">
        <v>4524</v>
      </c>
      <c r="J568" s="4" t="s">
        <v>5775</v>
      </c>
      <c r="K568" s="6" t="s">
        <v>5776</v>
      </c>
      <c r="L568" s="4">
        <v>1</v>
      </c>
      <c r="M568" s="469">
        <v>19748</v>
      </c>
      <c r="N568" s="519" t="s">
        <v>2886</v>
      </c>
      <c r="O568" s="469">
        <v>19748</v>
      </c>
      <c r="P568" s="469">
        <v>23500</v>
      </c>
      <c r="Q568" s="469">
        <v>23500</v>
      </c>
      <c r="R568" s="26">
        <v>43880</v>
      </c>
      <c r="S568" s="4" t="s">
        <v>1501</v>
      </c>
      <c r="T568" s="469">
        <v>43200</v>
      </c>
      <c r="U568" t="s">
        <v>1551</v>
      </c>
      <c r="V568" s="470">
        <v>14894</v>
      </c>
      <c r="W568" s="470">
        <v>4854</v>
      </c>
      <c r="X568" s="375">
        <v>0.25</v>
      </c>
    </row>
    <row r="569" spans="1:24" x14ac:dyDescent="0.25">
      <c r="A569" s="4">
        <v>287</v>
      </c>
      <c r="B569" s="4" t="s">
        <v>838</v>
      </c>
      <c r="C569" s="6" t="s">
        <v>2062</v>
      </c>
      <c r="D569" s="6" t="s">
        <v>840</v>
      </c>
      <c r="E569" s="21">
        <v>43880</v>
      </c>
      <c r="F569" s="4" t="s">
        <v>1461</v>
      </c>
      <c r="H569" s="4">
        <v>6615</v>
      </c>
      <c r="I569" s="4">
        <v>4524</v>
      </c>
      <c r="J569" s="4" t="s">
        <v>5775</v>
      </c>
      <c r="K569" s="6" t="s">
        <v>5776</v>
      </c>
      <c r="L569" s="4">
        <v>1</v>
      </c>
      <c r="M569" s="469">
        <v>16555</v>
      </c>
      <c r="N569" s="519" t="s">
        <v>2886</v>
      </c>
      <c r="O569" s="469">
        <v>16555</v>
      </c>
      <c r="P569" s="469">
        <v>19700</v>
      </c>
      <c r="Q569" s="469">
        <v>19700</v>
      </c>
      <c r="R569" s="26">
        <v>43880</v>
      </c>
      <c r="S569" s="4" t="s">
        <v>1501</v>
      </c>
      <c r="T569" s="469">
        <v>43200</v>
      </c>
      <c r="U569" t="s">
        <v>1572</v>
      </c>
      <c r="V569" s="470">
        <v>12429</v>
      </c>
      <c r="W569" s="470">
        <v>4126</v>
      </c>
      <c r="X569" s="375">
        <v>0.25</v>
      </c>
    </row>
    <row r="570" spans="1:24" x14ac:dyDescent="0.25">
      <c r="A570" s="4">
        <v>286</v>
      </c>
      <c r="B570" s="4" t="s">
        <v>658</v>
      </c>
      <c r="C570" s="6" t="s">
        <v>1974</v>
      </c>
      <c r="D570" s="6" t="s">
        <v>794</v>
      </c>
      <c r="E570" s="21">
        <v>43880</v>
      </c>
      <c r="F570" s="4" t="s">
        <v>1461</v>
      </c>
      <c r="H570" s="4">
        <v>6614</v>
      </c>
      <c r="I570" s="4">
        <v>4523</v>
      </c>
      <c r="J570" s="4" t="s">
        <v>5603</v>
      </c>
      <c r="K570" s="6" t="s">
        <v>5604</v>
      </c>
      <c r="L570" s="4">
        <v>1</v>
      </c>
      <c r="M570" s="469">
        <v>19328</v>
      </c>
      <c r="N570" s="519" t="s">
        <v>2886</v>
      </c>
      <c r="O570" s="469">
        <v>19328</v>
      </c>
      <c r="P570" s="469">
        <v>23000</v>
      </c>
      <c r="Q570" s="469">
        <v>23000</v>
      </c>
      <c r="R570" s="26">
        <v>43880</v>
      </c>
      <c r="S570" s="4" t="s">
        <v>1501</v>
      </c>
      <c r="T570" s="469">
        <v>23000</v>
      </c>
      <c r="U570" t="s">
        <v>1551</v>
      </c>
      <c r="V570" s="470">
        <v>14604</v>
      </c>
      <c r="W570" s="470">
        <v>4724</v>
      </c>
      <c r="X570" s="375">
        <v>0.24</v>
      </c>
    </row>
    <row r="571" spans="1:24" x14ac:dyDescent="0.25">
      <c r="A571" s="4">
        <v>284</v>
      </c>
      <c r="B571" s="4" t="s">
        <v>838</v>
      </c>
      <c r="C571" s="6" t="s">
        <v>2062</v>
      </c>
      <c r="D571" s="6" t="s">
        <v>840</v>
      </c>
      <c r="E571" s="21">
        <v>43880</v>
      </c>
      <c r="F571" s="4" t="s">
        <v>1461</v>
      </c>
      <c r="H571" s="4">
        <v>6612</v>
      </c>
      <c r="I571" s="4">
        <v>4521</v>
      </c>
      <c r="J571" s="4" t="s">
        <v>5128</v>
      </c>
      <c r="K571" s="6" t="s">
        <v>5129</v>
      </c>
      <c r="L571" s="4">
        <v>2</v>
      </c>
      <c r="M571" s="469">
        <v>16555</v>
      </c>
      <c r="N571" s="519" t="s">
        <v>2886</v>
      </c>
      <c r="O571" s="469">
        <v>16555</v>
      </c>
      <c r="P571" s="469">
        <v>19700</v>
      </c>
      <c r="Q571" s="469">
        <v>39400</v>
      </c>
      <c r="R571" s="26">
        <v>43880</v>
      </c>
      <c r="S571" s="4" t="s">
        <v>1501</v>
      </c>
      <c r="T571" s="469">
        <v>39400</v>
      </c>
      <c r="U571" t="s">
        <v>1572</v>
      </c>
      <c r="V571" s="470">
        <v>12429</v>
      </c>
      <c r="W571" s="470">
        <v>4126</v>
      </c>
      <c r="X571" s="375">
        <v>0.25</v>
      </c>
    </row>
    <row r="572" spans="1:24" x14ac:dyDescent="0.25">
      <c r="A572" s="4">
        <v>278</v>
      </c>
      <c r="B572" s="4" t="s">
        <v>5768</v>
      </c>
      <c r="C572" s="6" t="s">
        <v>5769</v>
      </c>
      <c r="D572" s="6" t="s">
        <v>5770</v>
      </c>
      <c r="E572" s="21">
        <v>43880</v>
      </c>
      <c r="F572" s="4" t="s">
        <v>925</v>
      </c>
      <c r="H572" s="4" t="s">
        <v>2528</v>
      </c>
      <c r="I572" s="4">
        <v>4515</v>
      </c>
      <c r="J572" s="4" t="s">
        <v>3460</v>
      </c>
      <c r="K572" s="6" t="s">
        <v>3461</v>
      </c>
      <c r="L572" s="4">
        <v>3</v>
      </c>
      <c r="M572" s="469">
        <v>8296</v>
      </c>
      <c r="N572" s="519" t="s">
        <v>2886</v>
      </c>
      <c r="O572" s="469">
        <v>8296</v>
      </c>
      <c r="P572" s="469">
        <v>9873</v>
      </c>
      <c r="Q572" s="469">
        <v>29619</v>
      </c>
      <c r="R572" s="26">
        <v>43880</v>
      </c>
      <c r="S572" s="4" t="s">
        <v>2050</v>
      </c>
      <c r="T572" s="469">
        <v>29618</v>
      </c>
      <c r="U572" t="s">
        <v>5619</v>
      </c>
      <c r="V572" s="470">
        <v>5990</v>
      </c>
      <c r="W572" s="470">
        <v>2306</v>
      </c>
      <c r="X572" s="375">
        <v>0.28000000000000003</v>
      </c>
    </row>
    <row r="573" spans="1:24" x14ac:dyDescent="0.25">
      <c r="A573" s="4">
        <v>283</v>
      </c>
      <c r="B573" s="4" t="s">
        <v>2035</v>
      </c>
      <c r="C573" s="6" t="s">
        <v>2206</v>
      </c>
      <c r="D573" s="6" t="s">
        <v>2197</v>
      </c>
      <c r="E573" s="21">
        <v>43880</v>
      </c>
      <c r="F573" s="4" t="s">
        <v>1461</v>
      </c>
      <c r="H573" s="4">
        <v>6611</v>
      </c>
      <c r="I573" s="4">
        <v>4520</v>
      </c>
      <c r="J573" s="4" t="s">
        <v>5377</v>
      </c>
      <c r="K573" s="6" t="s">
        <v>5378</v>
      </c>
      <c r="L573" s="4">
        <v>1</v>
      </c>
      <c r="M573" s="469">
        <v>10504</v>
      </c>
      <c r="N573" s="4" t="s">
        <v>2886</v>
      </c>
      <c r="O573" s="469">
        <v>10504</v>
      </c>
      <c r="P573" s="469">
        <v>12500</v>
      </c>
      <c r="Q573" s="469">
        <v>12500</v>
      </c>
      <c r="R573" s="26">
        <v>43880</v>
      </c>
      <c r="S573" s="4" t="s">
        <v>1501</v>
      </c>
      <c r="T573" s="469">
        <v>12500</v>
      </c>
      <c r="U573" t="s">
        <v>1572</v>
      </c>
      <c r="V573" s="470">
        <v>7409</v>
      </c>
      <c r="W573" s="470">
        <v>3095</v>
      </c>
      <c r="X573" s="375">
        <v>0.28999999999999998</v>
      </c>
    </row>
    <row r="574" spans="1:24" x14ac:dyDescent="0.25">
      <c r="A574" s="4">
        <v>281</v>
      </c>
      <c r="B574" s="4" t="s">
        <v>1472</v>
      </c>
      <c r="C574" s="6" t="s">
        <v>1656</v>
      </c>
      <c r="D574" s="6" t="s">
        <v>1469</v>
      </c>
      <c r="E574" s="21">
        <v>43880</v>
      </c>
      <c r="F574" s="4" t="s">
        <v>925</v>
      </c>
      <c r="H574" s="4" t="s">
        <v>2528</v>
      </c>
      <c r="I574" s="4">
        <v>4518</v>
      </c>
      <c r="J574" s="4" t="s">
        <v>1178</v>
      </c>
      <c r="K574" s="6" t="s">
        <v>950</v>
      </c>
      <c r="L574" s="4">
        <v>16</v>
      </c>
      <c r="M574" s="469">
        <v>1676</v>
      </c>
      <c r="N574" s="374">
        <v>0.05</v>
      </c>
      <c r="O574" s="469">
        <v>1596</v>
      </c>
      <c r="P574" s="469">
        <v>1895</v>
      </c>
      <c r="Q574" s="469">
        <v>30320</v>
      </c>
      <c r="R574" s="26">
        <v>43880</v>
      </c>
      <c r="S574" s="4" t="s">
        <v>2050</v>
      </c>
      <c r="T574" s="469">
        <v>30314</v>
      </c>
      <c r="U574" t="s">
        <v>1570</v>
      </c>
      <c r="V574" s="470">
        <v>1210</v>
      </c>
      <c r="W574" s="470">
        <v>386</v>
      </c>
      <c r="X574" s="375">
        <v>0.24</v>
      </c>
    </row>
    <row r="575" spans="1:24" x14ac:dyDescent="0.25">
      <c r="A575" s="4">
        <v>295</v>
      </c>
      <c r="B575" s="4" t="s">
        <v>2098</v>
      </c>
      <c r="C575" s="6" t="s">
        <v>2288</v>
      </c>
      <c r="D575" s="6" t="s">
        <v>1469</v>
      </c>
      <c r="E575" s="21">
        <v>43882</v>
      </c>
      <c r="F575" s="4" t="s">
        <v>1461</v>
      </c>
      <c r="H575" s="4">
        <v>6623</v>
      </c>
      <c r="I575" s="4">
        <v>4532</v>
      </c>
      <c r="J575" s="4" t="s">
        <v>5778</v>
      </c>
      <c r="K575" s="6" t="s">
        <v>5779</v>
      </c>
      <c r="L575" s="4">
        <v>1</v>
      </c>
      <c r="M575" s="469">
        <v>19496</v>
      </c>
      <c r="N575" s="4" t="s">
        <v>2886</v>
      </c>
      <c r="O575" s="469">
        <v>19496</v>
      </c>
      <c r="P575" s="469">
        <v>23200</v>
      </c>
      <c r="Q575" s="469">
        <v>23200</v>
      </c>
      <c r="R575" s="26">
        <v>43882</v>
      </c>
      <c r="S575" s="4" t="s">
        <v>1501</v>
      </c>
      <c r="T575" s="469">
        <v>23200</v>
      </c>
      <c r="U575" t="s">
        <v>1570</v>
      </c>
      <c r="V575" s="470">
        <v>14700</v>
      </c>
      <c r="W575" s="470">
        <v>4796</v>
      </c>
      <c r="X575" s="375">
        <v>0.25</v>
      </c>
    </row>
    <row r="576" spans="1:24" x14ac:dyDescent="0.25">
      <c r="A576" s="4">
        <v>289</v>
      </c>
      <c r="B576" s="4" t="s">
        <v>2035</v>
      </c>
      <c r="C576" s="6" t="s">
        <v>2206</v>
      </c>
      <c r="D576" s="6" t="s">
        <v>2197</v>
      </c>
      <c r="E576" s="21">
        <v>43882</v>
      </c>
      <c r="F576" s="4" t="s">
        <v>1461</v>
      </c>
      <c r="H576" s="4">
        <v>6617</v>
      </c>
      <c r="I576" s="4">
        <v>4526</v>
      </c>
      <c r="J576" s="4" t="s">
        <v>1411</v>
      </c>
      <c r="K576" s="6" t="s">
        <v>1150</v>
      </c>
      <c r="L576" s="4">
        <v>2</v>
      </c>
      <c r="M576" s="469">
        <v>10504</v>
      </c>
      <c r="N576" s="4" t="s">
        <v>2886</v>
      </c>
      <c r="O576" s="469">
        <v>10504</v>
      </c>
      <c r="P576" s="469">
        <v>12500</v>
      </c>
      <c r="Q576" s="469">
        <v>25000</v>
      </c>
      <c r="R576" s="26">
        <v>43882</v>
      </c>
      <c r="S576" s="4" t="s">
        <v>1501</v>
      </c>
      <c r="T576" s="469">
        <v>25000</v>
      </c>
      <c r="U576" t="s">
        <v>1572</v>
      </c>
      <c r="V576" s="470">
        <v>7409</v>
      </c>
      <c r="W576" s="470">
        <v>3095</v>
      </c>
      <c r="X576" s="375">
        <v>0.28999999999999998</v>
      </c>
    </row>
    <row r="577" spans="1:24" x14ac:dyDescent="0.25">
      <c r="A577" s="4">
        <v>303</v>
      </c>
      <c r="B577" s="4" t="s">
        <v>4352</v>
      </c>
      <c r="C577" s="6" t="s">
        <v>4453</v>
      </c>
      <c r="D577" s="6" t="s">
        <v>4454</v>
      </c>
      <c r="E577" s="21">
        <v>43882</v>
      </c>
      <c r="F577" s="4" t="s">
        <v>1461</v>
      </c>
      <c r="H577" s="4">
        <v>6626</v>
      </c>
      <c r="I577" s="4">
        <v>4540</v>
      </c>
      <c r="J577" s="4" t="s">
        <v>1205</v>
      </c>
      <c r="K577" s="6" t="s">
        <v>2171</v>
      </c>
      <c r="L577" s="4">
        <v>1</v>
      </c>
      <c r="M577" s="469">
        <v>4622</v>
      </c>
      <c r="N577" s="4" t="s">
        <v>2886</v>
      </c>
      <c r="O577" s="469">
        <v>4622</v>
      </c>
      <c r="P577" s="469">
        <v>5500</v>
      </c>
      <c r="Q577" s="469">
        <v>5500</v>
      </c>
      <c r="R577" s="26">
        <v>43882</v>
      </c>
      <c r="S577" s="4" t="s">
        <v>1445</v>
      </c>
      <c r="T577" s="469">
        <v>5500</v>
      </c>
      <c r="U577" t="s">
        <v>1551</v>
      </c>
      <c r="V577" s="470">
        <v>2695</v>
      </c>
      <c r="W577" s="470">
        <v>1927</v>
      </c>
      <c r="X577" s="375">
        <v>0.42</v>
      </c>
    </row>
    <row r="578" spans="1:24" x14ac:dyDescent="0.25">
      <c r="A578" s="4">
        <v>302</v>
      </c>
      <c r="B578" s="4" t="s">
        <v>1503</v>
      </c>
      <c r="C578" s="6" t="s">
        <v>1972</v>
      </c>
      <c r="D578" s="6" t="s">
        <v>1638</v>
      </c>
      <c r="E578" s="21">
        <v>43882</v>
      </c>
      <c r="F578" s="4" t="s">
        <v>1461</v>
      </c>
      <c r="H578" s="4">
        <v>6625</v>
      </c>
      <c r="I578" s="4">
        <v>4539</v>
      </c>
      <c r="J578" s="4" t="s">
        <v>5759</v>
      </c>
      <c r="K578" s="6" t="s">
        <v>5760</v>
      </c>
      <c r="L578" s="4">
        <v>20</v>
      </c>
      <c r="M578" s="469">
        <v>3193</v>
      </c>
      <c r="N578" s="4" t="s">
        <v>2886</v>
      </c>
      <c r="O578" s="469">
        <v>3193</v>
      </c>
      <c r="P578" s="469">
        <v>3800</v>
      </c>
      <c r="Q578" s="469">
        <v>76000</v>
      </c>
      <c r="R578" s="26">
        <v>43882</v>
      </c>
      <c r="S578" s="4" t="s">
        <v>1501</v>
      </c>
      <c r="T578" s="469">
        <v>76000</v>
      </c>
      <c r="U578" t="s">
        <v>1545</v>
      </c>
      <c r="V578" s="470">
        <v>2200</v>
      </c>
      <c r="W578" s="470">
        <v>993</v>
      </c>
      <c r="X578" s="375">
        <v>0.31</v>
      </c>
    </row>
    <row r="579" spans="1:24" x14ac:dyDescent="0.25">
      <c r="A579" s="4">
        <v>293</v>
      </c>
      <c r="B579" s="4" t="s">
        <v>845</v>
      </c>
      <c r="C579" s="6" t="s">
        <v>2199</v>
      </c>
      <c r="D579" s="6" t="s">
        <v>2198</v>
      </c>
      <c r="E579" s="21">
        <v>43882</v>
      </c>
      <c r="F579" s="4" t="s">
        <v>1461</v>
      </c>
      <c r="H579" s="4">
        <v>6621</v>
      </c>
      <c r="I579" s="4">
        <v>4530</v>
      </c>
      <c r="J579" s="4" t="s">
        <v>1419</v>
      </c>
      <c r="K579" s="6" t="s">
        <v>1119</v>
      </c>
      <c r="L579" s="4">
        <v>1</v>
      </c>
      <c r="M579" s="469">
        <v>19748</v>
      </c>
      <c r="N579" s="4" t="s">
        <v>2886</v>
      </c>
      <c r="O579" s="469">
        <v>19748</v>
      </c>
      <c r="P579" s="469">
        <v>23500</v>
      </c>
      <c r="Q579" s="469">
        <v>23500</v>
      </c>
      <c r="R579" s="26">
        <v>43882</v>
      </c>
      <c r="S579" s="4" t="s">
        <v>1501</v>
      </c>
      <c r="T579" s="469">
        <v>25500</v>
      </c>
      <c r="U579" t="s">
        <v>1572</v>
      </c>
      <c r="V579" s="470">
        <v>14853</v>
      </c>
      <c r="W579" s="470">
        <v>4895</v>
      </c>
      <c r="X579" s="375">
        <v>0.25</v>
      </c>
    </row>
    <row r="580" spans="1:24" x14ac:dyDescent="0.25">
      <c r="A580" s="4">
        <v>293</v>
      </c>
      <c r="B580" s="4" t="s">
        <v>3082</v>
      </c>
      <c r="C580" s="6" t="s">
        <v>4498</v>
      </c>
      <c r="D580" s="6" t="s">
        <v>3202</v>
      </c>
      <c r="E580" s="21">
        <v>43882</v>
      </c>
      <c r="F580" s="4" t="s">
        <v>1461</v>
      </c>
      <c r="H580" s="4">
        <v>6621</v>
      </c>
      <c r="I580" s="4">
        <v>4530</v>
      </c>
      <c r="J580" s="4" t="s">
        <v>1419</v>
      </c>
      <c r="K580" s="6" t="s">
        <v>1119</v>
      </c>
      <c r="L580" s="4">
        <v>1</v>
      </c>
      <c r="M580" s="469">
        <v>1681</v>
      </c>
      <c r="N580" s="4" t="s">
        <v>2886</v>
      </c>
      <c r="O580" s="469">
        <v>1681</v>
      </c>
      <c r="P580" s="469">
        <v>2000</v>
      </c>
      <c r="Q580" s="469">
        <v>2000</v>
      </c>
      <c r="R580" s="26">
        <v>43882</v>
      </c>
      <c r="S580" s="4" t="s">
        <v>1501</v>
      </c>
      <c r="T580" s="469">
        <v>25500</v>
      </c>
      <c r="U580" t="s">
        <v>1551</v>
      </c>
      <c r="V580" s="470">
        <v>1163</v>
      </c>
      <c r="W580" s="470">
        <v>518</v>
      </c>
      <c r="X580" s="375">
        <v>0.31</v>
      </c>
    </row>
    <row r="581" spans="1:24" x14ac:dyDescent="0.25">
      <c r="A581" s="4">
        <v>290</v>
      </c>
      <c r="B581" s="4" t="s">
        <v>838</v>
      </c>
      <c r="C581" s="6" t="s">
        <v>2062</v>
      </c>
      <c r="D581" s="6" t="s">
        <v>840</v>
      </c>
      <c r="E581" s="21">
        <v>43882</v>
      </c>
      <c r="F581" s="4" t="s">
        <v>1461</v>
      </c>
      <c r="H581" s="4">
        <v>6618</v>
      </c>
      <c r="I581" s="4">
        <v>4527</v>
      </c>
      <c r="J581" s="4" t="s">
        <v>5273</v>
      </c>
      <c r="K581" s="6" t="s">
        <v>5274</v>
      </c>
      <c r="L581" s="4">
        <v>1</v>
      </c>
      <c r="M581" s="469">
        <v>16555</v>
      </c>
      <c r="N581" s="4" t="s">
        <v>2886</v>
      </c>
      <c r="O581" s="469">
        <v>16555</v>
      </c>
      <c r="P581" s="469">
        <v>19700</v>
      </c>
      <c r="Q581" s="469">
        <v>19700</v>
      </c>
      <c r="R581" s="26">
        <v>43882</v>
      </c>
      <c r="S581" s="4" t="s">
        <v>1501</v>
      </c>
      <c r="T581" s="469">
        <v>19700</v>
      </c>
      <c r="U581" t="s">
        <v>1572</v>
      </c>
      <c r="V581" s="470">
        <v>12429</v>
      </c>
      <c r="W581" s="470">
        <v>4126</v>
      </c>
      <c r="X581" s="375">
        <v>0.25</v>
      </c>
    </row>
    <row r="582" spans="1:24" x14ac:dyDescent="0.25">
      <c r="A582" s="4">
        <v>300</v>
      </c>
      <c r="B582" s="4" t="s">
        <v>830</v>
      </c>
      <c r="C582" s="6" t="s">
        <v>2495</v>
      </c>
      <c r="D582" s="6" t="s">
        <v>837</v>
      </c>
      <c r="E582" s="21">
        <v>43882</v>
      </c>
      <c r="F582" s="4" t="s">
        <v>1461</v>
      </c>
      <c r="H582" s="4">
        <v>6624</v>
      </c>
      <c r="I582" s="4">
        <v>4537</v>
      </c>
      <c r="J582" s="4" t="s">
        <v>1200</v>
      </c>
      <c r="K582" s="6" t="s">
        <v>2316</v>
      </c>
      <c r="L582" s="4">
        <v>1</v>
      </c>
      <c r="M582" s="469">
        <v>13866</v>
      </c>
      <c r="N582" s="519" t="s">
        <v>2886</v>
      </c>
      <c r="O582" s="469">
        <v>13866</v>
      </c>
      <c r="P582" s="469">
        <v>16500</v>
      </c>
      <c r="Q582" s="469">
        <v>16500</v>
      </c>
      <c r="R582" s="26">
        <v>43882</v>
      </c>
      <c r="S582" s="4" t="s">
        <v>1445</v>
      </c>
      <c r="T582" s="469">
        <v>16500</v>
      </c>
      <c r="U582" t="s">
        <v>1572</v>
      </c>
      <c r="V582" s="470">
        <v>10390</v>
      </c>
      <c r="W582" s="470">
        <v>3476</v>
      </c>
      <c r="X582" s="375">
        <v>0.25</v>
      </c>
    </row>
    <row r="583" spans="1:24" x14ac:dyDescent="0.25">
      <c r="A583" s="4">
        <v>292</v>
      </c>
      <c r="B583" s="4" t="s">
        <v>838</v>
      </c>
      <c r="C583" s="6" t="s">
        <v>2062</v>
      </c>
      <c r="D583" s="6" t="s">
        <v>840</v>
      </c>
      <c r="E583" s="21">
        <v>43882</v>
      </c>
      <c r="F583" s="4" t="s">
        <v>1461</v>
      </c>
      <c r="H583" s="4">
        <v>6620</v>
      </c>
      <c r="I583" s="4">
        <v>4529</v>
      </c>
      <c r="J583" s="4" t="s">
        <v>1247</v>
      </c>
      <c r="K583" s="6" t="s">
        <v>1943</v>
      </c>
      <c r="L583" s="4">
        <v>1</v>
      </c>
      <c r="M583" s="469">
        <v>16555</v>
      </c>
      <c r="N583" s="4" t="s">
        <v>2886</v>
      </c>
      <c r="O583" s="469">
        <v>16555</v>
      </c>
      <c r="P583" s="469">
        <v>19700</v>
      </c>
      <c r="Q583" s="469">
        <v>19700</v>
      </c>
      <c r="R583" s="26">
        <v>43882</v>
      </c>
      <c r="S583" s="4" t="s">
        <v>1445</v>
      </c>
      <c r="T583" s="469">
        <v>19700</v>
      </c>
      <c r="U583" t="s">
        <v>1572</v>
      </c>
      <c r="V583" s="470">
        <v>12429</v>
      </c>
      <c r="W583" s="470">
        <v>4126</v>
      </c>
      <c r="X583" s="375">
        <v>0.25</v>
      </c>
    </row>
    <row r="584" spans="1:24" x14ac:dyDescent="0.25">
      <c r="A584" s="4">
        <v>299</v>
      </c>
      <c r="B584" s="4" t="s">
        <v>30</v>
      </c>
      <c r="C584" s="6" t="s">
        <v>5241</v>
      </c>
      <c r="D584" s="6" t="s">
        <v>33</v>
      </c>
      <c r="E584" s="21">
        <v>43882</v>
      </c>
      <c r="F584" s="4" t="s">
        <v>925</v>
      </c>
      <c r="H584" s="4" t="s">
        <v>2528</v>
      </c>
      <c r="I584" s="4">
        <v>4536</v>
      </c>
      <c r="J584" s="4" t="s">
        <v>1189</v>
      </c>
      <c r="K584" s="6" t="s">
        <v>940</v>
      </c>
      <c r="L584" s="4">
        <v>24</v>
      </c>
      <c r="M584" s="469">
        <v>741</v>
      </c>
      <c r="N584" s="374">
        <v>0.1</v>
      </c>
      <c r="O584" s="469">
        <v>675</v>
      </c>
      <c r="P584" s="469">
        <v>796</v>
      </c>
      <c r="Q584" s="469">
        <v>19104</v>
      </c>
      <c r="R584" s="26">
        <v>43882</v>
      </c>
      <c r="S584" s="4" t="s">
        <v>1445</v>
      </c>
      <c r="T584" s="469">
        <v>55120</v>
      </c>
      <c r="U584" t="s">
        <v>1563</v>
      </c>
      <c r="V584" s="470">
        <v>535</v>
      </c>
      <c r="W584" s="470">
        <v>140</v>
      </c>
      <c r="X584" s="375">
        <v>0.21</v>
      </c>
    </row>
    <row r="585" spans="1:24" x14ac:dyDescent="0.25">
      <c r="A585" s="4">
        <v>299</v>
      </c>
      <c r="B585" s="4" t="s">
        <v>4661</v>
      </c>
      <c r="C585" s="6" t="s">
        <v>4662</v>
      </c>
      <c r="D585" s="6" t="s">
        <v>4636</v>
      </c>
      <c r="E585" s="21">
        <v>43882</v>
      </c>
      <c r="F585" s="4" t="s">
        <v>925</v>
      </c>
      <c r="H585" s="4" t="s">
        <v>2528</v>
      </c>
      <c r="I585" s="4">
        <v>4536</v>
      </c>
      <c r="J585" s="4" t="s">
        <v>1189</v>
      </c>
      <c r="K585" s="6" t="s">
        <v>940</v>
      </c>
      <c r="L585" s="4">
        <v>10</v>
      </c>
      <c r="M585" s="469">
        <v>698</v>
      </c>
      <c r="N585" s="374">
        <v>7.0000000000000007E-2</v>
      </c>
      <c r="O585" s="469">
        <v>650</v>
      </c>
      <c r="P585" s="469">
        <v>769</v>
      </c>
      <c r="Q585" s="469">
        <v>7690</v>
      </c>
      <c r="R585" s="26">
        <v>43882</v>
      </c>
      <c r="S585" s="4" t="s">
        <v>1445</v>
      </c>
      <c r="T585" s="469">
        <v>55120</v>
      </c>
      <c r="U585" t="s">
        <v>4767</v>
      </c>
      <c r="V585" s="470">
        <v>504</v>
      </c>
      <c r="W585" s="470">
        <v>146</v>
      </c>
      <c r="X585" s="375">
        <v>0.22</v>
      </c>
    </row>
    <row r="586" spans="1:24" x14ac:dyDescent="0.25">
      <c r="A586" s="4">
        <v>299</v>
      </c>
      <c r="B586" s="4" t="s">
        <v>5308</v>
      </c>
      <c r="C586" s="6" t="s">
        <v>5309</v>
      </c>
      <c r="D586" s="6" t="s">
        <v>4636</v>
      </c>
      <c r="E586" s="21">
        <v>43882</v>
      </c>
      <c r="F586" s="4" t="s">
        <v>925</v>
      </c>
      <c r="H586" s="4" t="s">
        <v>2528</v>
      </c>
      <c r="I586" s="4">
        <v>4536</v>
      </c>
      <c r="J586" s="4" t="s">
        <v>1189</v>
      </c>
      <c r="K586" s="6" t="s">
        <v>940</v>
      </c>
      <c r="L586" s="4">
        <v>12</v>
      </c>
      <c r="M586" s="469">
        <v>1031</v>
      </c>
      <c r="N586" s="374">
        <v>0.1</v>
      </c>
      <c r="O586" s="469">
        <v>939</v>
      </c>
      <c r="P586" s="469">
        <v>1107</v>
      </c>
      <c r="Q586" s="469">
        <v>13284</v>
      </c>
      <c r="R586" s="26">
        <v>43882</v>
      </c>
      <c r="S586" s="4" t="s">
        <v>1445</v>
      </c>
      <c r="T586" s="469">
        <v>55120</v>
      </c>
      <c r="U586" t="s">
        <v>4767</v>
      </c>
      <c r="V586" s="470">
        <v>745</v>
      </c>
      <c r="W586" s="470">
        <v>195</v>
      </c>
      <c r="X586" s="375">
        <v>0.21</v>
      </c>
    </row>
    <row r="587" spans="1:24" x14ac:dyDescent="0.25">
      <c r="A587" s="4">
        <v>299</v>
      </c>
      <c r="B587" s="4" t="s">
        <v>263</v>
      </c>
      <c r="C587" s="6" t="s">
        <v>2821</v>
      </c>
      <c r="D587" s="6" t="s">
        <v>2792</v>
      </c>
      <c r="E587" s="21">
        <v>43882</v>
      </c>
      <c r="F587" s="4" t="s">
        <v>925</v>
      </c>
      <c r="H587" s="4" t="s">
        <v>2528</v>
      </c>
      <c r="I587" s="4">
        <v>4536</v>
      </c>
      <c r="J587" s="4" t="s">
        <v>1189</v>
      </c>
      <c r="K587" s="6" t="s">
        <v>940</v>
      </c>
      <c r="L587" s="4">
        <v>24</v>
      </c>
      <c r="M587" s="469">
        <v>287</v>
      </c>
      <c r="N587" s="374">
        <v>0.1</v>
      </c>
      <c r="O587" s="469">
        <v>262</v>
      </c>
      <c r="P587" s="469">
        <v>308</v>
      </c>
      <c r="Q587" s="469">
        <v>7392</v>
      </c>
      <c r="R587" s="26">
        <v>43882</v>
      </c>
      <c r="S587" s="4" t="s">
        <v>1445</v>
      </c>
      <c r="T587" s="469">
        <v>55120</v>
      </c>
      <c r="U587" t="s">
        <v>2755</v>
      </c>
      <c r="V587" s="470">
        <v>207</v>
      </c>
      <c r="W587" s="470">
        <v>55</v>
      </c>
      <c r="X587" s="375">
        <v>0.21</v>
      </c>
    </row>
    <row r="588" spans="1:24" x14ac:dyDescent="0.25">
      <c r="A588" s="4">
        <v>301</v>
      </c>
      <c r="B588" s="4" t="s">
        <v>5175</v>
      </c>
      <c r="C588" s="6" t="s">
        <v>5176</v>
      </c>
      <c r="D588" s="6" t="s">
        <v>5177</v>
      </c>
      <c r="E588" s="21">
        <v>43882</v>
      </c>
      <c r="F588" s="4" t="s">
        <v>925</v>
      </c>
      <c r="H588" s="4" t="s">
        <v>2528</v>
      </c>
      <c r="I588" s="4">
        <v>4538</v>
      </c>
      <c r="J588" s="4" t="s">
        <v>1189</v>
      </c>
      <c r="K588" s="6" t="s">
        <v>940</v>
      </c>
      <c r="L588" s="4">
        <v>24</v>
      </c>
      <c r="M588" s="469">
        <v>1312</v>
      </c>
      <c r="N588" s="374">
        <v>0.1</v>
      </c>
      <c r="O588" s="469">
        <v>1195</v>
      </c>
      <c r="P588" s="469">
        <v>1409</v>
      </c>
      <c r="Q588" s="469">
        <v>33816</v>
      </c>
      <c r="R588" s="26">
        <v>43882</v>
      </c>
      <c r="S588" s="4" t="s">
        <v>1445</v>
      </c>
      <c r="T588" s="469">
        <v>33821</v>
      </c>
      <c r="U588" t="s">
        <v>4934</v>
      </c>
      <c r="V588" s="470">
        <v>900</v>
      </c>
      <c r="W588" s="470">
        <v>295</v>
      </c>
      <c r="X588" s="375">
        <v>0.25</v>
      </c>
    </row>
    <row r="589" spans="1:24" x14ac:dyDescent="0.25">
      <c r="A589" s="4">
        <v>291</v>
      </c>
      <c r="B589" s="4" t="s">
        <v>2098</v>
      </c>
      <c r="C589" s="6" t="s">
        <v>2288</v>
      </c>
      <c r="D589" s="6" t="s">
        <v>1469</v>
      </c>
      <c r="E589" s="21">
        <v>43882</v>
      </c>
      <c r="F589" s="4" t="s">
        <v>1461</v>
      </c>
      <c r="H589" s="4">
        <v>6619</v>
      </c>
      <c r="I589" s="4">
        <v>4528</v>
      </c>
      <c r="J589" s="4" t="s">
        <v>1238</v>
      </c>
      <c r="K589" s="6" t="s">
        <v>1944</v>
      </c>
      <c r="L589" s="4">
        <v>2</v>
      </c>
      <c r="M589" s="469">
        <v>19496</v>
      </c>
      <c r="N589" s="4" t="s">
        <v>2886</v>
      </c>
      <c r="O589" s="469">
        <v>19496</v>
      </c>
      <c r="P589" s="469">
        <v>23200</v>
      </c>
      <c r="Q589" s="469">
        <v>46400</v>
      </c>
      <c r="R589" s="26">
        <v>43882</v>
      </c>
      <c r="S589" s="4" t="s">
        <v>1445</v>
      </c>
      <c r="T589" s="469">
        <v>46400</v>
      </c>
      <c r="U589" t="s">
        <v>1570</v>
      </c>
      <c r="V589" s="470">
        <v>14700</v>
      </c>
      <c r="W589" s="470">
        <v>4796</v>
      </c>
      <c r="X589" s="375">
        <v>0.25</v>
      </c>
    </row>
    <row r="590" spans="1:24" x14ac:dyDescent="0.25">
      <c r="A590" s="4">
        <v>296</v>
      </c>
      <c r="B590" s="4" t="s">
        <v>30</v>
      </c>
      <c r="C590" s="6" t="s">
        <v>5241</v>
      </c>
      <c r="D590" s="6" t="s">
        <v>33</v>
      </c>
      <c r="E590" s="21">
        <v>43882</v>
      </c>
      <c r="F590" s="4" t="s">
        <v>925</v>
      </c>
      <c r="H590" s="4" t="s">
        <v>2528</v>
      </c>
      <c r="I590" s="4">
        <v>4533</v>
      </c>
      <c r="J590" s="4" t="s">
        <v>4907</v>
      </c>
      <c r="K590" s="6" t="s">
        <v>4908</v>
      </c>
      <c r="L590" s="4">
        <v>60</v>
      </c>
      <c r="M590" s="469">
        <v>741</v>
      </c>
      <c r="N590" s="374">
        <v>0.1</v>
      </c>
      <c r="O590" s="469">
        <v>675</v>
      </c>
      <c r="P590" s="469">
        <v>796</v>
      </c>
      <c r="Q590" s="469">
        <v>47760</v>
      </c>
      <c r="R590" s="26">
        <v>43882</v>
      </c>
      <c r="S590" s="4" t="s">
        <v>1445</v>
      </c>
      <c r="T590" s="469">
        <v>64751</v>
      </c>
      <c r="U590" t="s">
        <v>1563</v>
      </c>
      <c r="V590" s="470">
        <v>535</v>
      </c>
      <c r="W590" s="470">
        <v>140</v>
      </c>
      <c r="X590" s="375">
        <v>0.21</v>
      </c>
    </row>
    <row r="591" spans="1:24" x14ac:dyDescent="0.25">
      <c r="A591" s="4">
        <v>296</v>
      </c>
      <c r="B591" s="4" t="s">
        <v>1471</v>
      </c>
      <c r="C591" s="6" t="s">
        <v>1655</v>
      </c>
      <c r="D591" s="6" t="s">
        <v>1469</v>
      </c>
      <c r="E591" s="21">
        <v>43882</v>
      </c>
      <c r="F591" s="4" t="s">
        <v>925</v>
      </c>
      <c r="H591" s="4" t="s">
        <v>2528</v>
      </c>
      <c r="I591" s="4">
        <v>4533</v>
      </c>
      <c r="J591" s="4" t="s">
        <v>4907</v>
      </c>
      <c r="K591" s="6" t="s">
        <v>4908</v>
      </c>
      <c r="L591" s="4">
        <v>18</v>
      </c>
      <c r="M591" s="471">
        <v>880</v>
      </c>
      <c r="N591" s="374">
        <v>0.1</v>
      </c>
      <c r="O591" s="471">
        <v>802</v>
      </c>
      <c r="P591" s="471">
        <v>945</v>
      </c>
      <c r="Q591" s="471">
        <v>17010</v>
      </c>
      <c r="R591" s="26">
        <v>43882</v>
      </c>
      <c r="S591" s="4" t="s">
        <v>1445</v>
      </c>
      <c r="T591" s="471">
        <v>64751</v>
      </c>
      <c r="U591" t="s">
        <v>1570</v>
      </c>
      <c r="V591" s="472">
        <v>635</v>
      </c>
      <c r="W591" s="472">
        <v>167</v>
      </c>
      <c r="X591" s="375">
        <v>0.21</v>
      </c>
    </row>
    <row r="592" spans="1:24" x14ac:dyDescent="0.25">
      <c r="A592" s="4">
        <v>304</v>
      </c>
      <c r="B592" s="4" t="s">
        <v>5147</v>
      </c>
      <c r="C592" s="6" t="s">
        <v>5148</v>
      </c>
      <c r="D592" s="6" t="s">
        <v>4618</v>
      </c>
      <c r="E592" s="21">
        <v>43882</v>
      </c>
      <c r="F592" s="4" t="s">
        <v>1461</v>
      </c>
      <c r="H592" s="4">
        <v>6627</v>
      </c>
      <c r="I592" s="4">
        <v>4541</v>
      </c>
      <c r="J592" s="4" t="s">
        <v>2360</v>
      </c>
      <c r="K592" s="6" t="s">
        <v>4296</v>
      </c>
      <c r="L592" s="4">
        <v>1</v>
      </c>
      <c r="M592" s="471">
        <v>26471</v>
      </c>
      <c r="N592" s="512" t="s">
        <v>2886</v>
      </c>
      <c r="O592" s="471">
        <v>26471</v>
      </c>
      <c r="P592" s="471">
        <v>31500</v>
      </c>
      <c r="Q592" s="471">
        <v>31500</v>
      </c>
      <c r="R592" s="26">
        <v>43882</v>
      </c>
      <c r="S592" s="4" t="s">
        <v>1501</v>
      </c>
      <c r="T592" s="471">
        <v>31500</v>
      </c>
      <c r="U592" t="s">
        <v>4602</v>
      </c>
      <c r="V592" s="472">
        <v>21183</v>
      </c>
      <c r="W592" s="472">
        <v>5288</v>
      </c>
      <c r="X592" s="375">
        <v>0.2</v>
      </c>
    </row>
    <row r="593" spans="1:24" x14ac:dyDescent="0.25">
      <c r="A593" s="4">
        <v>294</v>
      </c>
      <c r="B593" s="4" t="s">
        <v>1503</v>
      </c>
      <c r="C593" s="6" t="s">
        <v>1972</v>
      </c>
      <c r="D593" s="6" t="s">
        <v>1638</v>
      </c>
      <c r="E593" s="21">
        <v>43882</v>
      </c>
      <c r="F593" s="4" t="s">
        <v>1461</v>
      </c>
      <c r="H593" s="4">
        <v>6622</v>
      </c>
      <c r="I593" s="4">
        <v>4531</v>
      </c>
      <c r="J593" s="4" t="s">
        <v>5613</v>
      </c>
      <c r="K593" s="6" t="s">
        <v>5614</v>
      </c>
      <c r="L593" s="4">
        <v>4</v>
      </c>
      <c r="M593" s="471">
        <v>3193</v>
      </c>
      <c r="N593" s="512" t="s">
        <v>2886</v>
      </c>
      <c r="O593" s="471">
        <v>3193</v>
      </c>
      <c r="P593" s="471">
        <v>3800</v>
      </c>
      <c r="Q593" s="471">
        <v>15200</v>
      </c>
      <c r="R593" s="26">
        <v>43882</v>
      </c>
      <c r="S593" s="4" t="s">
        <v>1445</v>
      </c>
      <c r="T593" s="471">
        <v>19000</v>
      </c>
      <c r="U593" t="s">
        <v>1545</v>
      </c>
      <c r="V593" s="472">
        <v>2200</v>
      </c>
      <c r="W593" s="472">
        <v>993</v>
      </c>
      <c r="X593" s="375">
        <v>0.31</v>
      </c>
    </row>
    <row r="594" spans="1:24" x14ac:dyDescent="0.25">
      <c r="A594" s="4">
        <v>294</v>
      </c>
      <c r="B594" s="4" t="s">
        <v>2250</v>
      </c>
      <c r="C594" s="6" t="s">
        <v>2249</v>
      </c>
      <c r="D594" s="6" t="s">
        <v>1638</v>
      </c>
      <c r="E594" s="21">
        <v>43882</v>
      </c>
      <c r="F594" s="4" t="s">
        <v>1461</v>
      </c>
      <c r="H594" s="4">
        <v>6622</v>
      </c>
      <c r="I594" s="4">
        <v>4531</v>
      </c>
      <c r="J594" s="4" t="s">
        <v>5613</v>
      </c>
      <c r="K594" s="6" t="s">
        <v>5614</v>
      </c>
      <c r="L594" s="4">
        <v>1</v>
      </c>
      <c r="M594" s="471">
        <v>3193</v>
      </c>
      <c r="N594" s="512" t="s">
        <v>2886</v>
      </c>
      <c r="O594" s="471">
        <v>3193</v>
      </c>
      <c r="P594" s="471">
        <v>3800</v>
      </c>
      <c r="Q594" s="471">
        <v>3800</v>
      </c>
      <c r="R594" s="26">
        <v>43882</v>
      </c>
      <c r="S594" s="4" t="s">
        <v>1445</v>
      </c>
      <c r="T594" s="471">
        <v>19000</v>
      </c>
      <c r="U594" t="s">
        <v>1545</v>
      </c>
      <c r="V594" s="472">
        <v>2100</v>
      </c>
      <c r="W594" s="472">
        <v>1093</v>
      </c>
      <c r="X594" s="375">
        <v>0.34</v>
      </c>
    </row>
    <row r="595" spans="1:24" x14ac:dyDescent="0.25">
      <c r="A595" s="4">
        <v>298</v>
      </c>
      <c r="B595" s="4" t="s">
        <v>1777</v>
      </c>
      <c r="C595" s="6" t="s">
        <v>5477</v>
      </c>
      <c r="D595" s="6" t="s">
        <v>89</v>
      </c>
      <c r="E595" s="21">
        <v>43882</v>
      </c>
      <c r="F595" s="4" t="s">
        <v>925</v>
      </c>
      <c r="H595" s="4" t="s">
        <v>2528</v>
      </c>
      <c r="I595" s="4">
        <v>4535</v>
      </c>
      <c r="J595" s="4" t="s">
        <v>1275</v>
      </c>
      <c r="K595" s="6" t="s">
        <v>2218</v>
      </c>
      <c r="L595" s="4">
        <v>2</v>
      </c>
      <c r="M595" s="471">
        <v>12185</v>
      </c>
      <c r="N595" s="4" t="s">
        <v>2886</v>
      </c>
      <c r="O595" s="471">
        <v>12185</v>
      </c>
      <c r="P595" s="471">
        <v>14500</v>
      </c>
      <c r="Q595" s="471">
        <v>29000</v>
      </c>
      <c r="R595" s="26">
        <v>43882</v>
      </c>
      <c r="S595" s="4" t="s">
        <v>1445</v>
      </c>
      <c r="T595" s="471">
        <v>29000</v>
      </c>
      <c r="U595" t="s">
        <v>88</v>
      </c>
      <c r="V595" s="472">
        <v>9360</v>
      </c>
      <c r="W595" s="472">
        <v>2825</v>
      </c>
      <c r="X595" s="375">
        <v>0.23</v>
      </c>
    </row>
    <row r="596" spans="1:24" x14ac:dyDescent="0.25">
      <c r="A596" s="4">
        <v>297</v>
      </c>
      <c r="B596" s="4" t="s">
        <v>38</v>
      </c>
      <c r="C596" s="6" t="s">
        <v>2856</v>
      </c>
      <c r="D596" s="6" t="s">
        <v>1693</v>
      </c>
      <c r="E596" s="21">
        <v>43882</v>
      </c>
      <c r="F596" s="4" t="s">
        <v>925</v>
      </c>
      <c r="H596" s="4" t="s">
        <v>2528</v>
      </c>
      <c r="I596" s="4">
        <v>4534</v>
      </c>
      <c r="J596" s="4" t="s">
        <v>1182</v>
      </c>
      <c r="K596" s="6" t="s">
        <v>1044</v>
      </c>
      <c r="L596" s="4">
        <v>6</v>
      </c>
      <c r="M596" s="471">
        <v>3248</v>
      </c>
      <c r="N596" s="374">
        <v>0.1</v>
      </c>
      <c r="O596" s="471">
        <v>2959</v>
      </c>
      <c r="P596" s="471">
        <v>3488</v>
      </c>
      <c r="Q596" s="471">
        <v>20928</v>
      </c>
      <c r="R596" s="26">
        <v>43882</v>
      </c>
      <c r="S596" s="4" t="s">
        <v>1445</v>
      </c>
      <c r="T596" s="471">
        <v>131409</v>
      </c>
      <c r="U596" t="s">
        <v>1563</v>
      </c>
      <c r="V596" s="472">
        <v>2345</v>
      </c>
      <c r="W596" s="472">
        <v>614</v>
      </c>
      <c r="X596" s="375">
        <v>0.21</v>
      </c>
    </row>
    <row r="597" spans="1:24" x14ac:dyDescent="0.25">
      <c r="A597" s="4">
        <v>297</v>
      </c>
      <c r="B597" s="4" t="s">
        <v>1662</v>
      </c>
      <c r="C597" s="6" t="s">
        <v>1660</v>
      </c>
      <c r="D597" s="6" t="s">
        <v>1469</v>
      </c>
      <c r="E597" s="21">
        <v>43882</v>
      </c>
      <c r="F597" s="4" t="s">
        <v>925</v>
      </c>
      <c r="H597" s="4" t="s">
        <v>2528</v>
      </c>
      <c r="I597" s="4">
        <v>4534</v>
      </c>
      <c r="J597" s="4" t="s">
        <v>1182</v>
      </c>
      <c r="K597" s="6" t="s">
        <v>1044</v>
      </c>
      <c r="L597" s="4">
        <v>12</v>
      </c>
      <c r="M597" s="471">
        <v>1787</v>
      </c>
      <c r="N597" s="374">
        <v>0.1</v>
      </c>
      <c r="O597" s="471">
        <v>1628</v>
      </c>
      <c r="P597" s="471">
        <v>1919</v>
      </c>
      <c r="Q597" s="471">
        <v>23028</v>
      </c>
      <c r="R597" s="26">
        <v>43882</v>
      </c>
      <c r="S597" s="4" t="s">
        <v>1445</v>
      </c>
      <c r="T597" s="471">
        <v>131409</v>
      </c>
      <c r="U597" t="s">
        <v>1570</v>
      </c>
      <c r="V597" s="472">
        <v>1290</v>
      </c>
      <c r="W597" s="472">
        <v>338</v>
      </c>
      <c r="X597" s="375">
        <v>0.21</v>
      </c>
    </row>
    <row r="598" spans="1:24" x14ac:dyDescent="0.25">
      <c r="A598" s="4">
        <v>297</v>
      </c>
      <c r="B598" s="4" t="s">
        <v>922</v>
      </c>
      <c r="C598" s="6" t="s">
        <v>1654</v>
      </c>
      <c r="D598" s="6" t="s">
        <v>1469</v>
      </c>
      <c r="E598" s="21">
        <v>43882</v>
      </c>
      <c r="F598" s="4" t="s">
        <v>925</v>
      </c>
      <c r="H598" s="4" t="s">
        <v>2528</v>
      </c>
      <c r="I598" s="4">
        <v>4534</v>
      </c>
      <c r="J598" s="4" t="s">
        <v>1182</v>
      </c>
      <c r="K598" s="6" t="s">
        <v>1044</v>
      </c>
      <c r="L598" s="4">
        <v>12</v>
      </c>
      <c r="M598" s="471">
        <v>2285</v>
      </c>
      <c r="N598" s="374">
        <v>0.1</v>
      </c>
      <c r="O598" s="471">
        <v>2082</v>
      </c>
      <c r="P598" s="471">
        <v>2454</v>
      </c>
      <c r="Q598" s="471">
        <v>29448</v>
      </c>
      <c r="R598" s="26">
        <v>43882</v>
      </c>
      <c r="S598" s="4" t="s">
        <v>1445</v>
      </c>
      <c r="T598" s="471">
        <v>131409</v>
      </c>
      <c r="U598" t="s">
        <v>1570</v>
      </c>
      <c r="V598" s="472">
        <v>1650</v>
      </c>
      <c r="W598" s="472">
        <v>432</v>
      </c>
      <c r="X598" s="375">
        <v>0.21</v>
      </c>
    </row>
    <row r="599" spans="1:24" x14ac:dyDescent="0.25">
      <c r="A599" s="4">
        <v>297</v>
      </c>
      <c r="B599" s="4" t="s">
        <v>1777</v>
      </c>
      <c r="C599" s="6" t="s">
        <v>5477</v>
      </c>
      <c r="D599" s="6" t="s">
        <v>89</v>
      </c>
      <c r="E599" s="21">
        <v>43882</v>
      </c>
      <c r="F599" s="4" t="s">
        <v>925</v>
      </c>
      <c r="H599" s="4" t="s">
        <v>2528</v>
      </c>
      <c r="I599" s="4">
        <v>4534</v>
      </c>
      <c r="J599" s="4" t="s">
        <v>1182</v>
      </c>
      <c r="K599" s="6" t="s">
        <v>1044</v>
      </c>
      <c r="L599" s="4">
        <v>4</v>
      </c>
      <c r="M599" s="513">
        <v>12185</v>
      </c>
      <c r="N599" s="4" t="s">
        <v>2886</v>
      </c>
      <c r="O599" s="513">
        <v>12185</v>
      </c>
      <c r="P599" s="513">
        <v>14500</v>
      </c>
      <c r="Q599" s="513">
        <v>58000</v>
      </c>
      <c r="R599" s="26">
        <v>43882</v>
      </c>
      <c r="S599" s="4" t="s">
        <v>1445</v>
      </c>
      <c r="T599" s="513">
        <v>131409</v>
      </c>
      <c r="U599" t="s">
        <v>88</v>
      </c>
      <c r="V599" s="514">
        <v>9360</v>
      </c>
      <c r="W599" s="514">
        <v>2825</v>
      </c>
      <c r="X599" s="375">
        <v>0.23</v>
      </c>
    </row>
    <row r="600" spans="1:24" x14ac:dyDescent="0.25">
      <c r="A600" s="4">
        <v>306</v>
      </c>
      <c r="B600" s="4" t="s">
        <v>4620</v>
      </c>
      <c r="C600" s="6" t="s">
        <v>4621</v>
      </c>
      <c r="D600" s="6" t="s">
        <v>4622</v>
      </c>
      <c r="E600" s="21">
        <v>43883</v>
      </c>
      <c r="F600" s="4" t="s">
        <v>1461</v>
      </c>
      <c r="H600" s="4">
        <v>6629</v>
      </c>
      <c r="I600" s="4">
        <v>4543</v>
      </c>
      <c r="J600" s="4" t="s">
        <v>4791</v>
      </c>
      <c r="K600" s="6" t="s">
        <v>4792</v>
      </c>
      <c r="L600" s="4">
        <v>2</v>
      </c>
      <c r="M600" s="513">
        <v>32689</v>
      </c>
      <c r="N600" s="4" t="s">
        <v>2886</v>
      </c>
      <c r="O600" s="513">
        <v>32689</v>
      </c>
      <c r="P600" s="513">
        <v>38900</v>
      </c>
      <c r="Q600" s="513">
        <v>77800</v>
      </c>
      <c r="R600" s="26">
        <v>43883</v>
      </c>
      <c r="S600" s="4" t="s">
        <v>1501</v>
      </c>
      <c r="T600" s="513">
        <v>77800</v>
      </c>
      <c r="U600" t="s">
        <v>4602</v>
      </c>
      <c r="V600" s="514">
        <v>26207</v>
      </c>
      <c r="W600" s="514">
        <v>6482</v>
      </c>
      <c r="X600" s="375">
        <v>0.2</v>
      </c>
    </row>
    <row r="601" spans="1:24" x14ac:dyDescent="0.25">
      <c r="A601" s="4">
        <v>305</v>
      </c>
      <c r="B601" s="4" t="s">
        <v>656</v>
      </c>
      <c r="C601" s="6" t="s">
        <v>1973</v>
      </c>
      <c r="D601" s="6" t="s">
        <v>794</v>
      </c>
      <c r="E601" s="21">
        <v>43883</v>
      </c>
      <c r="F601" s="4" t="s">
        <v>1461</v>
      </c>
      <c r="H601" s="4">
        <v>6628</v>
      </c>
      <c r="I601" s="4">
        <v>4542</v>
      </c>
      <c r="J601" s="4" t="s">
        <v>5781</v>
      </c>
      <c r="K601" s="6" t="s">
        <v>5782</v>
      </c>
      <c r="L601" s="4">
        <v>1</v>
      </c>
      <c r="M601" s="471">
        <v>19328</v>
      </c>
      <c r="N601" s="519" t="s">
        <v>2886</v>
      </c>
      <c r="O601" s="471">
        <v>19328</v>
      </c>
      <c r="P601" s="471">
        <v>23000</v>
      </c>
      <c r="Q601" s="471">
        <v>23000</v>
      </c>
      <c r="R601" s="26">
        <v>43883</v>
      </c>
      <c r="S601" s="4" t="s">
        <v>1501</v>
      </c>
      <c r="T601" s="471">
        <v>23000</v>
      </c>
      <c r="U601" t="s">
        <v>1551</v>
      </c>
      <c r="V601" s="472">
        <v>14604</v>
      </c>
      <c r="W601" s="472">
        <v>4724</v>
      </c>
      <c r="X601" s="375">
        <v>0.24</v>
      </c>
    </row>
    <row r="602" spans="1:24" x14ac:dyDescent="0.25">
      <c r="A602" s="4">
        <v>307</v>
      </c>
      <c r="B602" s="4" t="s">
        <v>855</v>
      </c>
      <c r="C602" s="6" t="s">
        <v>2499</v>
      </c>
      <c r="D602" s="6" t="s">
        <v>857</v>
      </c>
      <c r="E602" s="21">
        <v>43883</v>
      </c>
      <c r="F602" s="4" t="s">
        <v>1461</v>
      </c>
      <c r="H602" s="4">
        <v>6630</v>
      </c>
      <c r="I602" s="4">
        <v>4544</v>
      </c>
      <c r="J602" s="4" t="s">
        <v>1399</v>
      </c>
      <c r="K602" s="6" t="s">
        <v>1004</v>
      </c>
      <c r="L602" s="4">
        <v>1</v>
      </c>
      <c r="M602" s="471">
        <v>13277</v>
      </c>
      <c r="N602" s="4" t="s">
        <v>2886</v>
      </c>
      <c r="O602" s="471">
        <v>13277</v>
      </c>
      <c r="P602" s="471">
        <v>15800</v>
      </c>
      <c r="Q602" s="471">
        <v>15800</v>
      </c>
      <c r="R602" s="26">
        <v>43883</v>
      </c>
      <c r="S602" s="4" t="s">
        <v>1501</v>
      </c>
      <c r="T602" s="471">
        <v>15800</v>
      </c>
      <c r="U602" t="s">
        <v>1551</v>
      </c>
      <c r="V602" s="472">
        <v>9975</v>
      </c>
      <c r="W602" s="472">
        <v>3302</v>
      </c>
      <c r="X602" s="375">
        <v>0.25</v>
      </c>
    </row>
    <row r="603" spans="1:24" x14ac:dyDescent="0.25">
      <c r="A603" s="4">
        <v>309</v>
      </c>
      <c r="B603" s="4" t="s">
        <v>855</v>
      </c>
      <c r="C603" s="6" t="s">
        <v>2499</v>
      </c>
      <c r="D603" s="6" t="s">
        <v>857</v>
      </c>
      <c r="E603" s="21">
        <v>43885</v>
      </c>
      <c r="F603" s="4" t="s">
        <v>1461</v>
      </c>
      <c r="H603" s="4">
        <v>6632</v>
      </c>
      <c r="I603" s="4">
        <v>4546</v>
      </c>
      <c r="J603" s="4" t="s">
        <v>3990</v>
      </c>
      <c r="K603" s="6" t="s">
        <v>3993</v>
      </c>
      <c r="L603" s="4">
        <v>1</v>
      </c>
      <c r="M603" s="473">
        <v>13277</v>
      </c>
      <c r="N603" s="4" t="s">
        <v>2886</v>
      </c>
      <c r="O603" s="473">
        <v>13277</v>
      </c>
      <c r="P603" s="473">
        <v>15800</v>
      </c>
      <c r="Q603" s="473">
        <v>15800</v>
      </c>
      <c r="R603" s="26">
        <v>43883</v>
      </c>
      <c r="S603" s="4" t="s">
        <v>1501</v>
      </c>
      <c r="T603" s="473">
        <v>15800</v>
      </c>
      <c r="U603" t="s">
        <v>1551</v>
      </c>
      <c r="V603" s="474">
        <v>9975</v>
      </c>
      <c r="W603" s="474">
        <v>3302</v>
      </c>
      <c r="X603" s="375">
        <v>0.25</v>
      </c>
    </row>
    <row r="604" spans="1:24" x14ac:dyDescent="0.25">
      <c r="A604" s="4">
        <v>311</v>
      </c>
      <c r="B604" s="4" t="s">
        <v>838</v>
      </c>
      <c r="C604" s="6" t="s">
        <v>2062</v>
      </c>
      <c r="D604" s="6" t="s">
        <v>840</v>
      </c>
      <c r="E604" s="21">
        <v>43885</v>
      </c>
      <c r="F604" s="4" t="s">
        <v>1461</v>
      </c>
      <c r="H604" s="4">
        <v>6634</v>
      </c>
      <c r="I604" s="4">
        <v>4548</v>
      </c>
      <c r="J604" s="4" t="s">
        <v>1244</v>
      </c>
      <c r="K604" s="6" t="s">
        <v>971</v>
      </c>
      <c r="L604" s="4">
        <v>1</v>
      </c>
      <c r="M604" s="473">
        <v>16555</v>
      </c>
      <c r="N604" s="4" t="s">
        <v>2886</v>
      </c>
      <c r="O604" s="473">
        <v>16555</v>
      </c>
      <c r="P604" s="473">
        <v>19700</v>
      </c>
      <c r="Q604" s="473">
        <v>19700</v>
      </c>
      <c r="R604" s="26">
        <v>43885</v>
      </c>
      <c r="S604" s="4" t="s">
        <v>1501</v>
      </c>
      <c r="T604" s="473">
        <v>19700</v>
      </c>
      <c r="U604" t="s">
        <v>1572</v>
      </c>
      <c r="V604" s="474">
        <v>12429</v>
      </c>
      <c r="W604" s="474">
        <v>4126</v>
      </c>
      <c r="X604" s="375">
        <v>0.25</v>
      </c>
    </row>
    <row r="605" spans="1:24" x14ac:dyDescent="0.25">
      <c r="A605" s="4">
        <v>310</v>
      </c>
      <c r="B605" s="4" t="s">
        <v>855</v>
      </c>
      <c r="C605" s="6" t="s">
        <v>2499</v>
      </c>
      <c r="D605" s="6" t="s">
        <v>857</v>
      </c>
      <c r="E605" s="21">
        <v>43885</v>
      </c>
      <c r="F605" s="4" t="s">
        <v>1461</v>
      </c>
      <c r="H605" s="4">
        <v>6633</v>
      </c>
      <c r="I605" s="4">
        <v>4547</v>
      </c>
      <c r="J605" s="4" t="s">
        <v>3562</v>
      </c>
      <c r="K605" s="6" t="s">
        <v>3563</v>
      </c>
      <c r="L605" s="4">
        <v>1</v>
      </c>
      <c r="M605" s="473">
        <v>13277</v>
      </c>
      <c r="N605" s="4" t="s">
        <v>2886</v>
      </c>
      <c r="O605" s="473">
        <v>13277</v>
      </c>
      <c r="P605" s="473">
        <v>15800</v>
      </c>
      <c r="Q605" s="473">
        <v>15800</v>
      </c>
      <c r="R605" s="26">
        <v>43885</v>
      </c>
      <c r="S605" s="4" t="s">
        <v>1501</v>
      </c>
      <c r="T605" s="473">
        <v>15800</v>
      </c>
      <c r="U605" t="s">
        <v>1551</v>
      </c>
      <c r="V605" s="474">
        <v>9975</v>
      </c>
      <c r="W605" s="474">
        <v>3302</v>
      </c>
      <c r="X605" s="375">
        <v>0.25</v>
      </c>
    </row>
    <row r="606" spans="1:24" x14ac:dyDescent="0.25">
      <c r="A606" s="4">
        <v>313</v>
      </c>
      <c r="B606" s="4" t="s">
        <v>855</v>
      </c>
      <c r="C606" s="6" t="s">
        <v>2499</v>
      </c>
      <c r="D606" s="6" t="s">
        <v>857</v>
      </c>
      <c r="E606" s="21">
        <v>43885</v>
      </c>
      <c r="F606" s="4" t="s">
        <v>1461</v>
      </c>
      <c r="H606" s="4">
        <v>6636</v>
      </c>
      <c r="I606" s="4">
        <v>4550</v>
      </c>
      <c r="J606" s="4" t="s">
        <v>4028</v>
      </c>
      <c r="K606" s="6" t="s">
        <v>4029</v>
      </c>
      <c r="L606" s="4">
        <v>1</v>
      </c>
      <c r="M606" s="473">
        <v>13277</v>
      </c>
      <c r="N606" s="4" t="s">
        <v>2886</v>
      </c>
      <c r="O606" s="473">
        <v>13277</v>
      </c>
      <c r="P606" s="473">
        <v>15800</v>
      </c>
      <c r="Q606" s="473">
        <v>15800</v>
      </c>
      <c r="R606" s="26">
        <v>43885</v>
      </c>
      <c r="S606" s="4" t="s">
        <v>1501</v>
      </c>
      <c r="T606" s="473">
        <v>15800</v>
      </c>
      <c r="U606" t="s">
        <v>1551</v>
      </c>
      <c r="V606" s="474">
        <v>9975</v>
      </c>
      <c r="W606" s="474">
        <v>3302</v>
      </c>
      <c r="X606" s="375">
        <v>0.25</v>
      </c>
    </row>
    <row r="607" spans="1:24" x14ac:dyDescent="0.25">
      <c r="A607" s="4">
        <v>308</v>
      </c>
      <c r="B607" s="4" t="s">
        <v>3968</v>
      </c>
      <c r="C607" s="6" t="s">
        <v>4018</v>
      </c>
      <c r="D607" s="6" t="s">
        <v>4019</v>
      </c>
      <c r="E607" s="21">
        <v>43885</v>
      </c>
      <c r="F607" s="4" t="s">
        <v>1461</v>
      </c>
      <c r="H607" s="4">
        <v>6631</v>
      </c>
      <c r="I607" s="4">
        <v>4545</v>
      </c>
      <c r="J607" s="4" t="s">
        <v>1235</v>
      </c>
      <c r="K607" s="6" t="s">
        <v>989</v>
      </c>
      <c r="L607" s="4">
        <v>1</v>
      </c>
      <c r="M607" s="473">
        <v>19076</v>
      </c>
      <c r="N607" s="4" t="s">
        <v>2886</v>
      </c>
      <c r="O607" s="473">
        <v>19076</v>
      </c>
      <c r="P607" s="473">
        <v>22700</v>
      </c>
      <c r="Q607" s="473">
        <v>22700</v>
      </c>
      <c r="R607" s="26">
        <v>43883</v>
      </c>
      <c r="S607" s="4" t="s">
        <v>1501</v>
      </c>
      <c r="T607" s="473">
        <v>31700</v>
      </c>
      <c r="U607" t="s">
        <v>1551</v>
      </c>
      <c r="V607" s="474">
        <v>14122</v>
      </c>
      <c r="W607" s="474">
        <v>4954</v>
      </c>
      <c r="X607" s="375">
        <v>0.26</v>
      </c>
    </row>
    <row r="608" spans="1:24" x14ac:dyDescent="0.25">
      <c r="A608" s="4">
        <v>308</v>
      </c>
      <c r="B608" s="4" t="s">
        <v>4943</v>
      </c>
      <c r="C608" s="6" t="s">
        <v>4944</v>
      </c>
      <c r="D608" s="6" t="s">
        <v>4940</v>
      </c>
      <c r="E608" s="21">
        <v>43885</v>
      </c>
      <c r="F608" s="4" t="s">
        <v>1461</v>
      </c>
      <c r="H608" s="4">
        <v>6631</v>
      </c>
      <c r="I608" s="4">
        <v>4545</v>
      </c>
      <c r="J608" s="4" t="s">
        <v>1235</v>
      </c>
      <c r="K608" s="6" t="s">
        <v>989</v>
      </c>
      <c r="L608" s="4">
        <v>1</v>
      </c>
      <c r="M608" s="473">
        <v>7563</v>
      </c>
      <c r="N608" s="4" t="s">
        <v>2886</v>
      </c>
      <c r="O608" s="473">
        <v>7563</v>
      </c>
      <c r="P608" s="473">
        <v>9000</v>
      </c>
      <c r="Q608" s="473">
        <v>9000</v>
      </c>
      <c r="R608" s="26">
        <v>43883</v>
      </c>
      <c r="S608" s="4" t="s">
        <v>1501</v>
      </c>
      <c r="T608" s="473">
        <v>31700</v>
      </c>
      <c r="U608" t="s">
        <v>4934</v>
      </c>
      <c r="V608" s="474">
        <v>5300</v>
      </c>
      <c r="W608" s="474">
        <v>2263</v>
      </c>
      <c r="X608" s="375">
        <v>0.3</v>
      </c>
    </row>
    <row r="609" spans="1:24" x14ac:dyDescent="0.25">
      <c r="A609" s="4">
        <v>312</v>
      </c>
      <c r="B609" s="4" t="s">
        <v>855</v>
      </c>
      <c r="C609" s="6" t="s">
        <v>2499</v>
      </c>
      <c r="D609" s="6" t="s">
        <v>857</v>
      </c>
      <c r="E609" s="21">
        <v>43885</v>
      </c>
      <c r="F609" s="4" t="s">
        <v>1461</v>
      </c>
      <c r="H609" s="4">
        <v>6635</v>
      </c>
      <c r="I609" s="4">
        <v>4549</v>
      </c>
      <c r="J609" s="4" t="s">
        <v>4947</v>
      </c>
      <c r="K609" s="6" t="s">
        <v>4948</v>
      </c>
      <c r="L609" s="4">
        <v>1</v>
      </c>
      <c r="M609" s="473">
        <v>13277</v>
      </c>
      <c r="N609" s="4" t="s">
        <v>2886</v>
      </c>
      <c r="O609" s="473">
        <v>13277</v>
      </c>
      <c r="P609" s="473">
        <v>15800</v>
      </c>
      <c r="Q609" s="473">
        <v>15800</v>
      </c>
      <c r="R609" s="26">
        <v>43885</v>
      </c>
      <c r="S609" s="4" t="s">
        <v>1501</v>
      </c>
      <c r="T609" s="473">
        <v>15800</v>
      </c>
      <c r="U609" t="s">
        <v>1551</v>
      </c>
      <c r="V609" s="474">
        <v>9975</v>
      </c>
      <c r="W609" s="474">
        <v>3302</v>
      </c>
      <c r="X609" s="375">
        <v>0.25</v>
      </c>
    </row>
    <row r="610" spans="1:24" x14ac:dyDescent="0.25">
      <c r="A610" s="4">
        <v>320</v>
      </c>
      <c r="B610" s="4" t="s">
        <v>799</v>
      </c>
      <c r="C610" s="6" t="s">
        <v>1926</v>
      </c>
      <c r="D610" s="6" t="s">
        <v>802</v>
      </c>
      <c r="E610" s="21">
        <v>43886</v>
      </c>
      <c r="F610" s="4" t="s">
        <v>1461</v>
      </c>
      <c r="H610" s="4">
        <v>6637</v>
      </c>
      <c r="I610" s="4">
        <v>4557</v>
      </c>
      <c r="J610" s="4" t="s">
        <v>5228</v>
      </c>
      <c r="K610" s="6" t="s">
        <v>5229</v>
      </c>
      <c r="L610" s="4">
        <v>1</v>
      </c>
      <c r="M610" s="473">
        <v>17815</v>
      </c>
      <c r="N610" s="4" t="s">
        <v>2886</v>
      </c>
      <c r="O610" s="473">
        <v>17815</v>
      </c>
      <c r="P610" s="473">
        <v>21200</v>
      </c>
      <c r="Q610" s="473">
        <v>21200</v>
      </c>
      <c r="R610" s="26">
        <v>43886</v>
      </c>
      <c r="S610" s="4" t="s">
        <v>1501</v>
      </c>
      <c r="T610" s="473">
        <v>21200</v>
      </c>
      <c r="U610" t="s">
        <v>1551</v>
      </c>
      <c r="V610" s="474">
        <v>13279</v>
      </c>
      <c r="W610" s="474">
        <v>4536</v>
      </c>
      <c r="X610" s="375">
        <v>0.25</v>
      </c>
    </row>
    <row r="611" spans="1:24" x14ac:dyDescent="0.25">
      <c r="A611" s="4">
        <v>322</v>
      </c>
      <c r="B611" s="4" t="s">
        <v>658</v>
      </c>
      <c r="C611" s="6" t="s">
        <v>1974</v>
      </c>
      <c r="D611" s="6" t="s">
        <v>794</v>
      </c>
      <c r="E611" s="21">
        <v>43886</v>
      </c>
      <c r="F611" s="4" t="s">
        <v>1461</v>
      </c>
      <c r="H611" s="4">
        <v>6639</v>
      </c>
      <c r="I611" s="4">
        <v>4559</v>
      </c>
      <c r="J611" s="4" t="s">
        <v>5789</v>
      </c>
      <c r="K611" s="6" t="s">
        <v>5790</v>
      </c>
      <c r="L611" s="4">
        <v>1</v>
      </c>
      <c r="M611" s="473">
        <v>19328</v>
      </c>
      <c r="N611" s="512" t="s">
        <v>2886</v>
      </c>
      <c r="O611" s="473">
        <v>19328</v>
      </c>
      <c r="P611" s="473">
        <v>23000</v>
      </c>
      <c r="Q611" s="473">
        <v>23000</v>
      </c>
      <c r="R611" s="26">
        <v>43886</v>
      </c>
      <c r="S611" s="4" t="s">
        <v>1501</v>
      </c>
      <c r="T611" s="473">
        <v>23000</v>
      </c>
      <c r="U611" t="s">
        <v>1551</v>
      </c>
      <c r="V611" s="474">
        <v>14604</v>
      </c>
      <c r="W611" s="474">
        <v>4724</v>
      </c>
      <c r="X611" s="375">
        <v>0.24</v>
      </c>
    </row>
    <row r="612" spans="1:24" x14ac:dyDescent="0.25">
      <c r="A612" s="4">
        <v>325</v>
      </c>
      <c r="B612" s="4" t="s">
        <v>1473</v>
      </c>
      <c r="C612" s="6" t="s">
        <v>1657</v>
      </c>
      <c r="D612" s="6" t="s">
        <v>1469</v>
      </c>
      <c r="E612" s="21">
        <v>43886</v>
      </c>
      <c r="F612" s="4" t="s">
        <v>1461</v>
      </c>
      <c r="H612" s="4">
        <v>6642</v>
      </c>
      <c r="I612" s="4">
        <v>4562</v>
      </c>
      <c r="J612" s="4" t="s">
        <v>4462</v>
      </c>
      <c r="K612" s="6" t="s">
        <v>4463</v>
      </c>
      <c r="L612" s="4">
        <v>1</v>
      </c>
      <c r="M612" s="473">
        <v>13109</v>
      </c>
      <c r="N612" s="512" t="s">
        <v>2886</v>
      </c>
      <c r="O612" s="473">
        <v>13109</v>
      </c>
      <c r="P612" s="473">
        <v>15600</v>
      </c>
      <c r="Q612" s="473">
        <v>15600</v>
      </c>
      <c r="R612" s="26">
        <v>43887</v>
      </c>
      <c r="S612" s="4" t="s">
        <v>1501</v>
      </c>
      <c r="T612" s="473">
        <v>15600</v>
      </c>
      <c r="U612" t="s">
        <v>1570</v>
      </c>
      <c r="V612" s="474">
        <v>9850</v>
      </c>
      <c r="W612" s="474">
        <v>3259</v>
      </c>
      <c r="X612" s="375">
        <v>0.25</v>
      </c>
    </row>
    <row r="613" spans="1:24" x14ac:dyDescent="0.25">
      <c r="A613" s="4">
        <v>314</v>
      </c>
      <c r="B613" s="4" t="s">
        <v>1777</v>
      </c>
      <c r="C613" s="6" t="s">
        <v>5477</v>
      </c>
      <c r="D613" s="6" t="s">
        <v>89</v>
      </c>
      <c r="E613" s="21">
        <v>43886</v>
      </c>
      <c r="F613" s="4" t="s">
        <v>925</v>
      </c>
      <c r="H613" s="4" t="s">
        <v>2528</v>
      </c>
      <c r="I613" s="4">
        <v>4551</v>
      </c>
      <c r="J613" s="4" t="s">
        <v>5784</v>
      </c>
      <c r="K613" s="6" t="s">
        <v>5785</v>
      </c>
      <c r="L613" s="4">
        <v>11</v>
      </c>
      <c r="M613" s="473">
        <v>12964</v>
      </c>
      <c r="N613" s="519" t="s">
        <v>2886</v>
      </c>
      <c r="O613" s="473">
        <v>12964</v>
      </c>
      <c r="P613" s="473">
        <v>15427</v>
      </c>
      <c r="Q613" s="473">
        <v>169697</v>
      </c>
      <c r="R613" s="26">
        <v>43886</v>
      </c>
      <c r="S613" s="4" t="s">
        <v>1849</v>
      </c>
      <c r="T613" s="473">
        <v>169699</v>
      </c>
      <c r="U613" t="s">
        <v>88</v>
      </c>
      <c r="V613" s="474">
        <v>9360</v>
      </c>
      <c r="W613" s="474">
        <v>3604</v>
      </c>
      <c r="X613" s="375">
        <v>0.28000000000000003</v>
      </c>
    </row>
    <row r="614" spans="1:24" x14ac:dyDescent="0.25">
      <c r="A614" s="4">
        <v>315</v>
      </c>
      <c r="B614" s="4" t="s">
        <v>1777</v>
      </c>
      <c r="C614" s="6" t="s">
        <v>5477</v>
      </c>
      <c r="D614" s="6" t="s">
        <v>89</v>
      </c>
      <c r="E614" s="21">
        <v>43886</v>
      </c>
      <c r="F614" s="4" t="s">
        <v>925</v>
      </c>
      <c r="H614" s="4" t="s">
        <v>2528</v>
      </c>
      <c r="I614" s="4">
        <v>4552</v>
      </c>
      <c r="J614" s="4" t="s">
        <v>5784</v>
      </c>
      <c r="K614" s="6" t="s">
        <v>5785</v>
      </c>
      <c r="L614" s="4">
        <v>4</v>
      </c>
      <c r="M614" s="473">
        <v>12964</v>
      </c>
      <c r="N614" s="374">
        <v>0.09</v>
      </c>
      <c r="O614" s="473">
        <v>11854</v>
      </c>
      <c r="P614" s="473">
        <v>13983</v>
      </c>
      <c r="Q614" s="473">
        <v>55932</v>
      </c>
      <c r="R614" s="26">
        <v>43886</v>
      </c>
      <c r="S614" s="4" t="s">
        <v>1849</v>
      </c>
      <c r="T614" s="473">
        <v>55932</v>
      </c>
      <c r="U614" t="s">
        <v>88</v>
      </c>
      <c r="V614" s="474">
        <v>9360</v>
      </c>
      <c r="W614" s="474">
        <v>2494</v>
      </c>
      <c r="X614" s="375">
        <v>0.21</v>
      </c>
    </row>
    <row r="615" spans="1:24" x14ac:dyDescent="0.25">
      <c r="A615" s="4">
        <v>316</v>
      </c>
      <c r="B615" s="4" t="s">
        <v>1777</v>
      </c>
      <c r="C615" s="6" t="s">
        <v>5477</v>
      </c>
      <c r="D615" s="6" t="s">
        <v>89</v>
      </c>
      <c r="E615" s="21">
        <v>43886</v>
      </c>
      <c r="F615" s="4" t="s">
        <v>925</v>
      </c>
      <c r="H615" s="4" t="s">
        <v>2528</v>
      </c>
      <c r="I615" s="4">
        <v>4553</v>
      </c>
      <c r="J615" s="4" t="s">
        <v>5784</v>
      </c>
      <c r="K615" s="6" t="s">
        <v>5785</v>
      </c>
      <c r="L615" s="4">
        <v>6</v>
      </c>
      <c r="M615" s="473">
        <v>12964</v>
      </c>
      <c r="N615" s="374">
        <v>0.09</v>
      </c>
      <c r="O615" s="473">
        <v>11854</v>
      </c>
      <c r="P615" s="473">
        <v>13983</v>
      </c>
      <c r="Q615" s="473">
        <v>83898</v>
      </c>
      <c r="R615" s="26">
        <v>43886</v>
      </c>
      <c r="S615" s="4" t="s">
        <v>1849</v>
      </c>
      <c r="T615" s="473">
        <v>83898</v>
      </c>
      <c r="U615" t="s">
        <v>88</v>
      </c>
      <c r="V615" s="474">
        <v>9360</v>
      </c>
      <c r="W615" s="474">
        <v>2494</v>
      </c>
      <c r="X615" s="375">
        <v>0.21</v>
      </c>
    </row>
    <row r="616" spans="1:24" x14ac:dyDescent="0.25">
      <c r="A616" s="4">
        <v>317</v>
      </c>
      <c r="B616" s="4" t="s">
        <v>1777</v>
      </c>
      <c r="C616" s="6" t="s">
        <v>5477</v>
      </c>
      <c r="D616" s="6" t="s">
        <v>89</v>
      </c>
      <c r="E616" s="21">
        <v>43886</v>
      </c>
      <c r="F616" s="4" t="s">
        <v>925</v>
      </c>
      <c r="H616" s="4" t="s">
        <v>2528</v>
      </c>
      <c r="I616" s="4">
        <v>4554</v>
      </c>
      <c r="J616" s="4" t="s">
        <v>5784</v>
      </c>
      <c r="K616" s="6" t="s">
        <v>5785</v>
      </c>
      <c r="L616" s="4">
        <v>6</v>
      </c>
      <c r="M616" s="477">
        <v>12964</v>
      </c>
      <c r="N616" s="374">
        <v>0.09</v>
      </c>
      <c r="O616" s="477">
        <v>11854</v>
      </c>
      <c r="P616" s="477">
        <v>13983</v>
      </c>
      <c r="Q616" s="477">
        <v>83898</v>
      </c>
      <c r="R616" s="26">
        <v>43886</v>
      </c>
      <c r="S616" s="4" t="s">
        <v>1849</v>
      </c>
      <c r="T616" s="477">
        <v>83898</v>
      </c>
      <c r="U616" t="s">
        <v>88</v>
      </c>
      <c r="V616" s="478">
        <v>9360</v>
      </c>
      <c r="W616" s="478">
        <v>2494</v>
      </c>
      <c r="X616" s="375">
        <v>0.21</v>
      </c>
    </row>
    <row r="617" spans="1:24" x14ac:dyDescent="0.25">
      <c r="A617" s="4">
        <v>318</v>
      </c>
      <c r="B617" s="4" t="s">
        <v>1777</v>
      </c>
      <c r="C617" s="6" t="s">
        <v>5477</v>
      </c>
      <c r="D617" s="6" t="s">
        <v>89</v>
      </c>
      <c r="E617" s="21">
        <v>43886</v>
      </c>
      <c r="F617" s="4" t="s">
        <v>925</v>
      </c>
      <c r="H617" s="4" t="s">
        <v>2528</v>
      </c>
      <c r="I617" s="4">
        <v>4555</v>
      </c>
      <c r="J617" s="4" t="s">
        <v>5784</v>
      </c>
      <c r="K617" s="6" t="s">
        <v>5785</v>
      </c>
      <c r="L617" s="4">
        <v>6</v>
      </c>
      <c r="M617" s="522">
        <v>12964</v>
      </c>
      <c r="N617" s="374">
        <v>0.09</v>
      </c>
      <c r="O617" s="522">
        <v>11854</v>
      </c>
      <c r="P617" s="522">
        <v>13982</v>
      </c>
      <c r="Q617" s="522">
        <v>83892</v>
      </c>
      <c r="R617" s="26">
        <v>43886</v>
      </c>
      <c r="S617" s="4" t="s">
        <v>1849</v>
      </c>
      <c r="T617" s="522">
        <v>83892</v>
      </c>
      <c r="U617" t="s">
        <v>88</v>
      </c>
      <c r="V617" s="523">
        <v>9360</v>
      </c>
      <c r="W617" s="523">
        <v>2494</v>
      </c>
      <c r="X617" s="375">
        <v>0.21</v>
      </c>
    </row>
    <row r="618" spans="1:24" x14ac:dyDescent="0.25">
      <c r="A618" s="4">
        <v>319</v>
      </c>
      <c r="B618" s="4" t="s">
        <v>1777</v>
      </c>
      <c r="C618" s="6" t="s">
        <v>5477</v>
      </c>
      <c r="D618" s="6" t="s">
        <v>89</v>
      </c>
      <c r="E618" s="21">
        <v>43886</v>
      </c>
      <c r="F618" s="4" t="s">
        <v>925</v>
      </c>
      <c r="H618" s="4" t="s">
        <v>2528</v>
      </c>
      <c r="I618" s="4">
        <v>4556</v>
      </c>
      <c r="J618" s="4" t="s">
        <v>5784</v>
      </c>
      <c r="K618" s="6" t="s">
        <v>5785</v>
      </c>
      <c r="L618" s="4">
        <v>4</v>
      </c>
      <c r="M618" s="477">
        <v>12964</v>
      </c>
      <c r="N618" s="374">
        <v>0.09</v>
      </c>
      <c r="O618" s="477">
        <v>11854</v>
      </c>
      <c r="P618" s="477">
        <v>13983</v>
      </c>
      <c r="Q618" s="477">
        <v>55932</v>
      </c>
      <c r="R618" s="26">
        <v>43886</v>
      </c>
      <c r="S618" s="4" t="s">
        <v>1849</v>
      </c>
      <c r="T618" s="477">
        <v>55932</v>
      </c>
      <c r="U618" t="s">
        <v>88</v>
      </c>
      <c r="V618" s="478">
        <v>9360</v>
      </c>
      <c r="W618" s="478">
        <v>2494</v>
      </c>
      <c r="X618" s="375">
        <v>0.21</v>
      </c>
    </row>
    <row r="619" spans="1:24" x14ac:dyDescent="0.25">
      <c r="A619" s="4">
        <v>324</v>
      </c>
      <c r="B619" s="4" t="s">
        <v>855</v>
      </c>
      <c r="C619" s="6" t="s">
        <v>2499</v>
      </c>
      <c r="D619" s="6" t="s">
        <v>857</v>
      </c>
      <c r="E619" s="21">
        <v>43886</v>
      </c>
      <c r="F619" s="4" t="s">
        <v>1461</v>
      </c>
      <c r="H619" s="4">
        <v>6641</v>
      </c>
      <c r="I619" s="4">
        <v>4561</v>
      </c>
      <c r="J619" s="4" t="s">
        <v>2656</v>
      </c>
      <c r="K619" s="6" t="s">
        <v>3362</v>
      </c>
      <c r="L619" s="4">
        <v>1</v>
      </c>
      <c r="M619" s="477">
        <v>13277</v>
      </c>
      <c r="N619" s="4" t="s">
        <v>2886</v>
      </c>
      <c r="O619" s="477">
        <v>13277</v>
      </c>
      <c r="P619" s="477">
        <v>15800</v>
      </c>
      <c r="Q619" s="477">
        <v>15800</v>
      </c>
      <c r="R619" s="26">
        <v>43886</v>
      </c>
      <c r="S619" s="4" t="s">
        <v>1501</v>
      </c>
      <c r="T619" s="477">
        <v>39300</v>
      </c>
      <c r="U619" t="s">
        <v>1551</v>
      </c>
      <c r="V619" s="478">
        <v>9975</v>
      </c>
      <c r="W619" s="478">
        <v>3302</v>
      </c>
      <c r="X619" s="375">
        <v>0.25</v>
      </c>
    </row>
    <row r="620" spans="1:24" x14ac:dyDescent="0.25">
      <c r="A620" s="4">
        <v>324</v>
      </c>
      <c r="B620" s="4" t="s">
        <v>800</v>
      </c>
      <c r="C620" s="6" t="s">
        <v>1927</v>
      </c>
      <c r="D620" s="6" t="s">
        <v>802</v>
      </c>
      <c r="E620" s="21">
        <v>43886</v>
      </c>
      <c r="F620" s="4" t="s">
        <v>1461</v>
      </c>
      <c r="H620" s="4">
        <v>6641</v>
      </c>
      <c r="I620" s="4">
        <v>4561</v>
      </c>
      <c r="J620" s="4" t="s">
        <v>2656</v>
      </c>
      <c r="K620" s="6" t="s">
        <v>3362</v>
      </c>
      <c r="L620" s="4">
        <v>1</v>
      </c>
      <c r="M620" s="477">
        <v>19748</v>
      </c>
      <c r="N620" s="4" t="s">
        <v>2886</v>
      </c>
      <c r="O620" s="477">
        <v>19748</v>
      </c>
      <c r="P620" s="477">
        <v>23500</v>
      </c>
      <c r="Q620" s="477">
        <v>23500</v>
      </c>
      <c r="R620" s="26">
        <v>43886</v>
      </c>
      <c r="S620" s="4" t="s">
        <v>1501</v>
      </c>
      <c r="T620" s="477">
        <v>39300</v>
      </c>
      <c r="U620" t="s">
        <v>1551</v>
      </c>
      <c r="V620" s="478">
        <v>14894</v>
      </c>
      <c r="W620" s="478">
        <v>4854</v>
      </c>
      <c r="X620" s="375">
        <v>0.25</v>
      </c>
    </row>
    <row r="621" spans="1:24" x14ac:dyDescent="0.25">
      <c r="A621" s="4">
        <v>323</v>
      </c>
      <c r="B621" s="4" t="s">
        <v>799</v>
      </c>
      <c r="C621" s="6" t="s">
        <v>1926</v>
      </c>
      <c r="D621" s="6" t="s">
        <v>802</v>
      </c>
      <c r="E621" s="21">
        <v>43886</v>
      </c>
      <c r="F621" s="4" t="s">
        <v>1461</v>
      </c>
      <c r="H621" s="4">
        <v>6640</v>
      </c>
      <c r="I621" s="4">
        <v>4560</v>
      </c>
      <c r="J621" s="4" t="s">
        <v>5535</v>
      </c>
      <c r="K621" s="6" t="s">
        <v>5536</v>
      </c>
      <c r="L621" s="4">
        <v>4</v>
      </c>
      <c r="M621" s="477">
        <v>17815</v>
      </c>
      <c r="N621" s="4" t="s">
        <v>2886</v>
      </c>
      <c r="O621" s="477">
        <v>17815</v>
      </c>
      <c r="P621" s="477">
        <v>21200</v>
      </c>
      <c r="Q621" s="477">
        <v>84800</v>
      </c>
      <c r="R621" s="26">
        <v>43886</v>
      </c>
      <c r="S621" s="4" t="s">
        <v>1501</v>
      </c>
      <c r="T621" s="477">
        <v>84800</v>
      </c>
      <c r="U621" t="s">
        <v>1551</v>
      </c>
      <c r="V621" s="478">
        <v>13279</v>
      </c>
      <c r="W621" s="478">
        <v>4536</v>
      </c>
      <c r="X621" s="375">
        <v>0.25</v>
      </c>
    </row>
    <row r="622" spans="1:24" x14ac:dyDescent="0.25">
      <c r="A622" s="4">
        <v>321</v>
      </c>
      <c r="B622" s="4" t="s">
        <v>855</v>
      </c>
      <c r="C622" s="6" t="s">
        <v>2499</v>
      </c>
      <c r="D622" s="6" t="s">
        <v>857</v>
      </c>
      <c r="E622" s="21">
        <v>43886</v>
      </c>
      <c r="F622" s="4" t="s">
        <v>1461</v>
      </c>
      <c r="H622" s="4">
        <v>6638</v>
      </c>
      <c r="I622" s="4">
        <v>4558</v>
      </c>
      <c r="J622" s="4" t="s">
        <v>2598</v>
      </c>
      <c r="K622" s="6" t="s">
        <v>2599</v>
      </c>
      <c r="L622" s="4">
        <v>1</v>
      </c>
      <c r="M622" s="477">
        <v>13277</v>
      </c>
      <c r="N622" s="519" t="s">
        <v>2886</v>
      </c>
      <c r="O622" s="477">
        <v>13277</v>
      </c>
      <c r="P622" s="477">
        <v>15800</v>
      </c>
      <c r="Q622" s="522">
        <v>15800</v>
      </c>
      <c r="R622" s="26">
        <v>43886</v>
      </c>
      <c r="S622" s="4" t="s">
        <v>1501</v>
      </c>
      <c r="T622" s="477">
        <v>15800</v>
      </c>
      <c r="U622" t="s">
        <v>1551</v>
      </c>
      <c r="V622" s="478">
        <v>9975</v>
      </c>
      <c r="W622" s="478">
        <v>3302</v>
      </c>
      <c r="X622" s="375">
        <v>0.25</v>
      </c>
    </row>
    <row r="623" spans="1:24" x14ac:dyDescent="0.25">
      <c r="A623" s="4">
        <v>334</v>
      </c>
      <c r="B623" s="4" t="s">
        <v>1662</v>
      </c>
      <c r="C623" s="6" t="s">
        <v>1660</v>
      </c>
      <c r="D623" s="6" t="s">
        <v>1469</v>
      </c>
      <c r="E623" s="21">
        <v>43887</v>
      </c>
      <c r="F623" s="4" t="s">
        <v>925</v>
      </c>
      <c r="H623" s="4">
        <v>1039579</v>
      </c>
      <c r="I623" s="4">
        <v>4571</v>
      </c>
      <c r="J623" s="4" t="s">
        <v>1175</v>
      </c>
      <c r="K623" s="6" t="s">
        <v>1144</v>
      </c>
      <c r="L623" s="4">
        <v>12</v>
      </c>
      <c r="M623" s="480">
        <v>1787</v>
      </c>
      <c r="N623" s="374">
        <v>0.08</v>
      </c>
      <c r="O623" s="480">
        <v>1653</v>
      </c>
      <c r="P623" s="480">
        <v>1954</v>
      </c>
      <c r="Q623" s="480">
        <v>23448</v>
      </c>
      <c r="R623" s="26">
        <v>43887</v>
      </c>
      <c r="S623" s="4" t="s">
        <v>2050</v>
      </c>
      <c r="T623" s="480">
        <v>356196</v>
      </c>
      <c r="U623" t="s">
        <v>1570</v>
      </c>
      <c r="V623" s="481">
        <v>1290</v>
      </c>
      <c r="W623" s="481">
        <v>363</v>
      </c>
      <c r="X623" s="375">
        <v>0.22</v>
      </c>
    </row>
    <row r="624" spans="1:24" x14ac:dyDescent="0.25">
      <c r="A624" s="4">
        <v>334</v>
      </c>
      <c r="B624" s="4" t="s">
        <v>1663</v>
      </c>
      <c r="C624" s="6" t="s">
        <v>1661</v>
      </c>
      <c r="D624" s="6" t="s">
        <v>1469</v>
      </c>
      <c r="E624" s="21">
        <v>43887</v>
      </c>
      <c r="F624" s="4" t="s">
        <v>925</v>
      </c>
      <c r="H624" s="4">
        <v>1039579</v>
      </c>
      <c r="I624" s="4">
        <v>4571</v>
      </c>
      <c r="J624" s="4" t="s">
        <v>1175</v>
      </c>
      <c r="K624" s="6" t="s">
        <v>1144</v>
      </c>
      <c r="L624" s="4">
        <v>12</v>
      </c>
      <c r="M624" s="480">
        <v>3428</v>
      </c>
      <c r="N624" s="374">
        <v>0.08</v>
      </c>
      <c r="O624" s="480">
        <v>3178</v>
      </c>
      <c r="P624" s="480">
        <v>3758</v>
      </c>
      <c r="Q624" s="480">
        <v>45096</v>
      </c>
      <c r="R624" s="26">
        <v>43887</v>
      </c>
      <c r="S624" s="4" t="s">
        <v>2050</v>
      </c>
      <c r="T624" s="480">
        <v>356196</v>
      </c>
      <c r="U624" t="s">
        <v>1570</v>
      </c>
      <c r="V624" s="481">
        <v>2475</v>
      </c>
      <c r="W624" s="481">
        <v>703</v>
      </c>
      <c r="X624" s="375">
        <v>0.22</v>
      </c>
    </row>
    <row r="625" spans="1:24" x14ac:dyDescent="0.25">
      <c r="A625" s="4">
        <v>334</v>
      </c>
      <c r="B625" s="4" t="s">
        <v>360</v>
      </c>
      <c r="C625" s="6" t="s">
        <v>3514</v>
      </c>
      <c r="D625" s="6" t="s">
        <v>409</v>
      </c>
      <c r="E625" s="21">
        <v>43887</v>
      </c>
      <c r="F625" s="4" t="s">
        <v>925</v>
      </c>
      <c r="H625" s="4">
        <v>1039579</v>
      </c>
      <c r="I625" s="4">
        <v>4571</v>
      </c>
      <c r="J625" s="4" t="s">
        <v>1175</v>
      </c>
      <c r="K625" s="6" t="s">
        <v>1144</v>
      </c>
      <c r="L625" s="4">
        <v>48</v>
      </c>
      <c r="M625" s="480">
        <v>1093</v>
      </c>
      <c r="N625" s="587" t="s">
        <v>2886</v>
      </c>
      <c r="O625" s="480">
        <v>1090</v>
      </c>
      <c r="P625" s="480">
        <v>1297</v>
      </c>
      <c r="Q625" s="480">
        <v>62256</v>
      </c>
      <c r="R625" s="26">
        <v>43887</v>
      </c>
      <c r="S625" s="4" t="s">
        <v>2050</v>
      </c>
      <c r="T625" s="480">
        <v>356196</v>
      </c>
      <c r="U625" t="s">
        <v>1561</v>
      </c>
      <c r="V625" s="481">
        <v>789</v>
      </c>
      <c r="W625" s="481">
        <v>301</v>
      </c>
      <c r="X625" s="375">
        <v>0.28000000000000003</v>
      </c>
    </row>
    <row r="626" spans="1:24" x14ac:dyDescent="0.25">
      <c r="A626" s="4">
        <v>334</v>
      </c>
      <c r="B626" s="4" t="s">
        <v>363</v>
      </c>
      <c r="C626" s="6" t="s">
        <v>2404</v>
      </c>
      <c r="D626" s="6" t="s">
        <v>409</v>
      </c>
      <c r="E626" s="21">
        <v>43887</v>
      </c>
      <c r="F626" s="4" t="s">
        <v>925</v>
      </c>
      <c r="H626" s="4">
        <v>1039579</v>
      </c>
      <c r="I626" s="4">
        <v>4571</v>
      </c>
      <c r="J626" s="4" t="s">
        <v>1175</v>
      </c>
      <c r="K626" s="6" t="s">
        <v>1144</v>
      </c>
      <c r="L626" s="4">
        <v>48</v>
      </c>
      <c r="M626" s="480">
        <v>1204</v>
      </c>
      <c r="N626" s="374">
        <v>0.09</v>
      </c>
      <c r="O626" s="480">
        <v>1100</v>
      </c>
      <c r="P626" s="480">
        <v>1297</v>
      </c>
      <c r="Q626" s="480">
        <v>62256</v>
      </c>
      <c r="R626" s="26">
        <v>43887</v>
      </c>
      <c r="S626" s="4" t="s">
        <v>2050</v>
      </c>
      <c r="T626" s="480">
        <v>356196</v>
      </c>
      <c r="U626" t="s">
        <v>1561</v>
      </c>
      <c r="V626" s="481">
        <v>869</v>
      </c>
      <c r="W626" s="481">
        <v>231</v>
      </c>
      <c r="X626" s="375">
        <v>0.21</v>
      </c>
    </row>
    <row r="627" spans="1:24" x14ac:dyDescent="0.25">
      <c r="A627" s="4">
        <v>331</v>
      </c>
      <c r="B627" s="4" t="s">
        <v>3455</v>
      </c>
      <c r="C627" s="6" t="s">
        <v>3576</v>
      </c>
      <c r="D627" s="6" t="s">
        <v>3578</v>
      </c>
      <c r="E627" s="21">
        <v>43887</v>
      </c>
      <c r="F627" s="4" t="s">
        <v>925</v>
      </c>
      <c r="H627" s="4">
        <v>1039582</v>
      </c>
      <c r="I627" s="4">
        <v>4568</v>
      </c>
      <c r="J627" s="4" t="s">
        <v>1175</v>
      </c>
      <c r="K627" s="6" t="s">
        <v>1144</v>
      </c>
      <c r="L627" s="4">
        <v>6</v>
      </c>
      <c r="M627" s="480">
        <v>4964</v>
      </c>
      <c r="N627" s="587" t="s">
        <v>2886</v>
      </c>
      <c r="O627" s="480">
        <v>4964</v>
      </c>
      <c r="P627" s="480">
        <v>5907</v>
      </c>
      <c r="Q627" s="480">
        <v>35442</v>
      </c>
      <c r="R627" s="26">
        <v>43887</v>
      </c>
      <c r="S627" s="4" t="s">
        <v>2050</v>
      </c>
      <c r="T627" s="480">
        <v>133154</v>
      </c>
      <c r="U627" t="s">
        <v>3577</v>
      </c>
      <c r="V627" s="481">
        <v>3584</v>
      </c>
      <c r="W627" s="481">
        <v>1380</v>
      </c>
      <c r="X627" s="375">
        <v>0.28000000000000003</v>
      </c>
    </row>
    <row r="628" spans="1:24" x14ac:dyDescent="0.25">
      <c r="A628" s="4">
        <v>333</v>
      </c>
      <c r="B628" s="4" t="s">
        <v>150</v>
      </c>
      <c r="C628" s="6" t="s">
        <v>2812</v>
      </c>
      <c r="D628" s="6" t="s">
        <v>2792</v>
      </c>
      <c r="E628" s="21">
        <v>43887</v>
      </c>
      <c r="F628" s="4" t="s">
        <v>925</v>
      </c>
      <c r="H628" s="4">
        <v>1039580</v>
      </c>
      <c r="I628" s="4">
        <v>4570</v>
      </c>
      <c r="J628" s="4" t="s">
        <v>1175</v>
      </c>
      <c r="K628" s="6" t="s">
        <v>1144</v>
      </c>
      <c r="L628" s="4">
        <v>24</v>
      </c>
      <c r="M628" s="480">
        <v>1345</v>
      </c>
      <c r="N628" s="374">
        <v>-0.03</v>
      </c>
      <c r="O628" s="480">
        <v>1388</v>
      </c>
      <c r="P628" s="480">
        <v>1650</v>
      </c>
      <c r="Q628" s="480">
        <v>39600</v>
      </c>
      <c r="R628" s="26">
        <v>43887</v>
      </c>
      <c r="S628" s="4" t="s">
        <v>2050</v>
      </c>
      <c r="T628" s="480">
        <v>216437</v>
      </c>
      <c r="U628" t="s">
        <v>2755</v>
      </c>
      <c r="V628" s="481">
        <v>971</v>
      </c>
      <c r="W628" s="481">
        <v>417</v>
      </c>
      <c r="X628" s="375">
        <v>0.3</v>
      </c>
    </row>
    <row r="629" spans="1:24" x14ac:dyDescent="0.25">
      <c r="A629" s="4">
        <v>334</v>
      </c>
      <c r="B629" s="4" t="s">
        <v>156</v>
      </c>
      <c r="C629" s="6" t="s">
        <v>2806</v>
      </c>
      <c r="D629" s="6" t="s">
        <v>2792</v>
      </c>
      <c r="E629" s="21">
        <v>43887</v>
      </c>
      <c r="F629" s="4" t="s">
        <v>925</v>
      </c>
      <c r="H629" s="4">
        <v>1039579</v>
      </c>
      <c r="I629" s="4">
        <v>4571</v>
      </c>
      <c r="J629" s="4" t="s">
        <v>1175</v>
      </c>
      <c r="K629" s="6" t="s">
        <v>1144</v>
      </c>
      <c r="L629" s="4">
        <v>24</v>
      </c>
      <c r="M629" s="480">
        <v>1070</v>
      </c>
      <c r="N629" s="374">
        <v>0.18</v>
      </c>
      <c r="O629" s="480">
        <v>904</v>
      </c>
      <c r="P629" s="480">
        <v>1040</v>
      </c>
      <c r="Q629" s="480">
        <v>24960</v>
      </c>
      <c r="R629" s="26">
        <v>43887</v>
      </c>
      <c r="S629" s="4" t="s">
        <v>2050</v>
      </c>
      <c r="T629" s="480">
        <v>356196</v>
      </c>
      <c r="U629" t="s">
        <v>2755</v>
      </c>
      <c r="V629" s="481">
        <v>773</v>
      </c>
      <c r="W629" s="481">
        <v>131</v>
      </c>
      <c r="X629" s="375">
        <v>0.14000000000000001</v>
      </c>
    </row>
    <row r="630" spans="1:24" x14ac:dyDescent="0.25">
      <c r="A630" s="4">
        <v>334</v>
      </c>
      <c r="B630" s="4" t="s">
        <v>2207</v>
      </c>
      <c r="C630" s="6" t="s">
        <v>3697</v>
      </c>
      <c r="D630" s="6" t="s">
        <v>1900</v>
      </c>
      <c r="E630" s="21">
        <v>43887</v>
      </c>
      <c r="F630" s="4" t="s">
        <v>925</v>
      </c>
      <c r="H630" s="4">
        <v>1039579</v>
      </c>
      <c r="I630" s="4">
        <v>4571</v>
      </c>
      <c r="J630" s="4" t="s">
        <v>1175</v>
      </c>
      <c r="K630" s="6" t="s">
        <v>1144</v>
      </c>
      <c r="L630" s="4">
        <v>40</v>
      </c>
      <c r="M630" s="480">
        <v>453</v>
      </c>
      <c r="N630" s="374">
        <v>0.05</v>
      </c>
      <c r="O630" s="480">
        <v>431</v>
      </c>
      <c r="P630" s="480">
        <v>512</v>
      </c>
      <c r="Q630" s="480">
        <v>20480</v>
      </c>
      <c r="R630" s="26">
        <v>43887</v>
      </c>
      <c r="S630" s="4" t="s">
        <v>2050</v>
      </c>
      <c r="T630" s="480">
        <v>356196</v>
      </c>
      <c r="U630" t="s">
        <v>1562</v>
      </c>
      <c r="V630" s="481">
        <v>327</v>
      </c>
      <c r="W630" s="481">
        <v>104</v>
      </c>
      <c r="X630" s="375">
        <v>0.24</v>
      </c>
    </row>
    <row r="631" spans="1:24" x14ac:dyDescent="0.25">
      <c r="A631" s="4">
        <v>333</v>
      </c>
      <c r="B631" s="4" t="s">
        <v>278</v>
      </c>
      <c r="C631" s="6" t="s">
        <v>1688</v>
      </c>
      <c r="D631" s="6" t="s">
        <v>2792</v>
      </c>
      <c r="E631" s="21">
        <v>43887</v>
      </c>
      <c r="F631" s="4" t="s">
        <v>925</v>
      </c>
      <c r="H631" s="4">
        <v>1039580</v>
      </c>
      <c r="I631" s="4">
        <v>4570</v>
      </c>
      <c r="J631" s="4" t="s">
        <v>1175</v>
      </c>
      <c r="K631" s="6" t="s">
        <v>1144</v>
      </c>
      <c r="L631" s="4">
        <v>10</v>
      </c>
      <c r="M631" s="480">
        <v>1233</v>
      </c>
      <c r="N631" s="374">
        <v>-0.11</v>
      </c>
      <c r="O631" s="480">
        <v>1390</v>
      </c>
      <c r="P631" s="480">
        <v>1633</v>
      </c>
      <c r="Q631" s="480">
        <v>16330</v>
      </c>
      <c r="R631" s="26">
        <v>43887</v>
      </c>
      <c r="S631" s="4" t="s">
        <v>2050</v>
      </c>
      <c r="T631" s="480">
        <v>216437</v>
      </c>
      <c r="U631" t="s">
        <v>2755</v>
      </c>
      <c r="V631" s="481">
        <v>890</v>
      </c>
      <c r="W631" s="481">
        <v>500</v>
      </c>
      <c r="X631" s="375">
        <v>0.36</v>
      </c>
    </row>
    <row r="632" spans="1:24" x14ac:dyDescent="0.25">
      <c r="A632" s="4">
        <v>333</v>
      </c>
      <c r="B632" s="4" t="s">
        <v>280</v>
      </c>
      <c r="C632" s="6" t="s">
        <v>1818</v>
      </c>
      <c r="D632" s="6" t="s">
        <v>2792</v>
      </c>
      <c r="E632" s="21">
        <v>43887</v>
      </c>
      <c r="F632" s="4" t="s">
        <v>925</v>
      </c>
      <c r="H632" s="4">
        <v>1039580</v>
      </c>
      <c r="I632" s="4">
        <v>4570</v>
      </c>
      <c r="J632" s="4" t="s">
        <v>1175</v>
      </c>
      <c r="K632" s="6" t="s">
        <v>1144</v>
      </c>
      <c r="L632" s="4">
        <v>40</v>
      </c>
      <c r="M632" s="480">
        <v>360</v>
      </c>
      <c r="N632" s="374">
        <v>-7.0000000000000007E-2</v>
      </c>
      <c r="O632" s="480">
        <v>388</v>
      </c>
      <c r="P632" s="480">
        <v>459</v>
      </c>
      <c r="Q632" s="480">
        <v>18360</v>
      </c>
      <c r="R632" s="26">
        <v>43887</v>
      </c>
      <c r="S632" s="4" t="s">
        <v>2050</v>
      </c>
      <c r="T632" s="480">
        <v>216437</v>
      </c>
      <c r="U632" t="s">
        <v>2755</v>
      </c>
      <c r="V632" s="481">
        <v>260</v>
      </c>
      <c r="W632" s="481">
        <v>128</v>
      </c>
      <c r="X632" s="375">
        <v>0.33</v>
      </c>
    </row>
    <row r="633" spans="1:24" x14ac:dyDescent="0.25">
      <c r="A633" s="4">
        <v>333</v>
      </c>
      <c r="B633" s="4" t="s">
        <v>384</v>
      </c>
      <c r="C633" s="6" t="s">
        <v>2704</v>
      </c>
      <c r="D633" s="6" t="s">
        <v>749</v>
      </c>
      <c r="E633" s="21">
        <v>43887</v>
      </c>
      <c r="F633" s="4" t="s">
        <v>925</v>
      </c>
      <c r="H633" s="4">
        <v>1039580</v>
      </c>
      <c r="I633" s="4">
        <v>4570</v>
      </c>
      <c r="J633" s="4" t="s">
        <v>1175</v>
      </c>
      <c r="K633" s="6" t="s">
        <v>1144</v>
      </c>
      <c r="L633" s="4">
        <v>15</v>
      </c>
      <c r="M633" s="480">
        <v>1416</v>
      </c>
      <c r="N633" s="374">
        <v>-0.17</v>
      </c>
      <c r="O633" s="480">
        <v>1707</v>
      </c>
      <c r="P633" s="480">
        <v>1972</v>
      </c>
      <c r="Q633" s="480">
        <v>29580</v>
      </c>
      <c r="R633" s="26">
        <v>43887</v>
      </c>
      <c r="S633" s="4" t="s">
        <v>2050</v>
      </c>
      <c r="T633" s="480">
        <v>216437</v>
      </c>
      <c r="U633" t="s">
        <v>1561</v>
      </c>
      <c r="V633" s="481">
        <v>1022</v>
      </c>
      <c r="W633" s="481">
        <v>685</v>
      </c>
      <c r="X633" s="375">
        <v>0.4</v>
      </c>
    </row>
    <row r="634" spans="1:24" x14ac:dyDescent="0.25">
      <c r="A634" s="4">
        <v>333</v>
      </c>
      <c r="B634" s="4" t="s">
        <v>388</v>
      </c>
      <c r="C634" s="6" t="s">
        <v>2705</v>
      </c>
      <c r="D634" s="6" t="s">
        <v>749</v>
      </c>
      <c r="E634" s="21">
        <v>43887</v>
      </c>
      <c r="F634" s="4" t="s">
        <v>925</v>
      </c>
      <c r="H634" s="4">
        <v>1039580</v>
      </c>
      <c r="I634" s="4">
        <v>4570</v>
      </c>
      <c r="J634" s="4" t="s">
        <v>1175</v>
      </c>
      <c r="K634" s="6" t="s">
        <v>1144</v>
      </c>
      <c r="L634" s="4">
        <v>15</v>
      </c>
      <c r="M634" s="480">
        <v>1416</v>
      </c>
      <c r="N634" s="374">
        <v>-0.17</v>
      </c>
      <c r="O634" s="480">
        <v>1707</v>
      </c>
      <c r="P634" s="480">
        <v>1972</v>
      </c>
      <c r="Q634" s="480">
        <v>29580</v>
      </c>
      <c r="R634" s="26">
        <v>43887</v>
      </c>
      <c r="S634" s="4" t="s">
        <v>2050</v>
      </c>
      <c r="T634" s="480">
        <v>216437</v>
      </c>
      <c r="U634" t="s">
        <v>1561</v>
      </c>
      <c r="V634" s="481">
        <v>1022</v>
      </c>
      <c r="W634" s="481">
        <v>685</v>
      </c>
      <c r="X634" s="375">
        <v>0.4</v>
      </c>
    </row>
    <row r="635" spans="1:24" x14ac:dyDescent="0.25">
      <c r="A635" s="4">
        <v>333</v>
      </c>
      <c r="B635" s="4" t="s">
        <v>205</v>
      </c>
      <c r="C635" s="6" t="s">
        <v>2826</v>
      </c>
      <c r="D635" s="6" t="s">
        <v>188</v>
      </c>
      <c r="E635" s="21">
        <v>43887</v>
      </c>
      <c r="F635" s="4" t="s">
        <v>925</v>
      </c>
      <c r="H635" s="4">
        <v>1039580</v>
      </c>
      <c r="I635" s="4">
        <v>4570</v>
      </c>
      <c r="J635" s="4" t="s">
        <v>1175</v>
      </c>
      <c r="K635" s="6" t="s">
        <v>1144</v>
      </c>
      <c r="L635" s="4">
        <v>12</v>
      </c>
      <c r="M635" s="480">
        <v>3463</v>
      </c>
      <c r="N635" s="374">
        <v>0.04</v>
      </c>
      <c r="O635" s="480">
        <v>3325</v>
      </c>
      <c r="P635" s="480">
        <v>3950</v>
      </c>
      <c r="Q635" s="480">
        <v>47400</v>
      </c>
      <c r="R635" s="26">
        <v>43887</v>
      </c>
      <c r="S635" s="4" t="s">
        <v>2050</v>
      </c>
      <c r="T635" s="480">
        <v>216437</v>
      </c>
      <c r="U635" t="s">
        <v>2822</v>
      </c>
      <c r="V635" s="481">
        <v>2500</v>
      </c>
      <c r="W635" s="481">
        <v>825</v>
      </c>
      <c r="X635" s="375">
        <v>0.25</v>
      </c>
    </row>
    <row r="636" spans="1:24" x14ac:dyDescent="0.25">
      <c r="A636" s="4">
        <v>334</v>
      </c>
      <c r="B636" s="4" t="s">
        <v>1471</v>
      </c>
      <c r="C636" s="6" t="s">
        <v>1655</v>
      </c>
      <c r="D636" s="6" t="s">
        <v>1469</v>
      </c>
      <c r="E636" s="21">
        <v>43887</v>
      </c>
      <c r="F636" s="4" t="s">
        <v>925</v>
      </c>
      <c r="H636" s="4">
        <v>1039579</v>
      </c>
      <c r="I636" s="4">
        <v>4571</v>
      </c>
      <c r="J636" s="4" t="s">
        <v>1175</v>
      </c>
      <c r="K636" s="6" t="s">
        <v>1144</v>
      </c>
      <c r="L636" s="4">
        <v>36</v>
      </c>
      <c r="M636" s="480">
        <v>880</v>
      </c>
      <c r="N636" s="374">
        <v>0.08</v>
      </c>
      <c r="O636" s="480">
        <v>813</v>
      </c>
      <c r="P636" s="480">
        <v>960</v>
      </c>
      <c r="Q636" s="480">
        <v>34560</v>
      </c>
      <c r="R636" s="26">
        <v>43887</v>
      </c>
      <c r="S636" s="4" t="s">
        <v>2050</v>
      </c>
      <c r="T636" s="480">
        <v>356196</v>
      </c>
      <c r="U636" t="s">
        <v>1570</v>
      </c>
      <c r="V636" s="481">
        <v>635</v>
      </c>
      <c r="W636" s="481">
        <v>178</v>
      </c>
      <c r="X636" s="375">
        <v>0.22</v>
      </c>
    </row>
    <row r="637" spans="1:24" x14ac:dyDescent="0.25">
      <c r="A637" s="4">
        <v>334</v>
      </c>
      <c r="B637" s="4" t="s">
        <v>1472</v>
      </c>
      <c r="C637" s="6" t="s">
        <v>1656</v>
      </c>
      <c r="D637" s="6" t="s">
        <v>1469</v>
      </c>
      <c r="E637" s="21">
        <v>43887</v>
      </c>
      <c r="F637" s="4" t="s">
        <v>925</v>
      </c>
      <c r="H637" s="4">
        <v>1039579</v>
      </c>
      <c r="I637" s="4">
        <v>4571</v>
      </c>
      <c r="J637" s="4" t="s">
        <v>1175</v>
      </c>
      <c r="K637" s="6" t="s">
        <v>1144</v>
      </c>
      <c r="L637" s="4">
        <v>32</v>
      </c>
      <c r="M637" s="480">
        <v>1676</v>
      </c>
      <c r="N637" s="374">
        <v>0.08</v>
      </c>
      <c r="O637" s="480">
        <v>1553</v>
      </c>
      <c r="P637" s="480">
        <v>1837</v>
      </c>
      <c r="Q637" s="480">
        <v>58784</v>
      </c>
      <c r="R637" s="26">
        <v>43887</v>
      </c>
      <c r="S637" s="4" t="s">
        <v>2050</v>
      </c>
      <c r="T637" s="480">
        <v>356196</v>
      </c>
      <c r="U637" t="s">
        <v>1570</v>
      </c>
      <c r="V637" s="481">
        <v>1210</v>
      </c>
      <c r="W637" s="481">
        <v>343</v>
      </c>
      <c r="X637" s="375">
        <v>0.22</v>
      </c>
    </row>
    <row r="638" spans="1:24" x14ac:dyDescent="0.25">
      <c r="A638" s="4">
        <v>334</v>
      </c>
      <c r="B638" s="4" t="s">
        <v>1964</v>
      </c>
      <c r="C638" s="6" t="s">
        <v>2202</v>
      </c>
      <c r="D638" s="6" t="s">
        <v>2198</v>
      </c>
      <c r="E638" s="21">
        <v>43887</v>
      </c>
      <c r="F638" s="4" t="s">
        <v>925</v>
      </c>
      <c r="H638" s="4">
        <v>1039579</v>
      </c>
      <c r="I638" s="4">
        <v>4571</v>
      </c>
      <c r="J638" s="4" t="s">
        <v>1175</v>
      </c>
      <c r="K638" s="6" t="s">
        <v>1144</v>
      </c>
      <c r="L638" s="4">
        <v>20</v>
      </c>
      <c r="M638" s="480">
        <v>1078</v>
      </c>
      <c r="N638" s="374">
        <v>0.05</v>
      </c>
      <c r="O638" s="480">
        <v>1027</v>
      </c>
      <c r="P638" s="480">
        <v>1218</v>
      </c>
      <c r="Q638" s="480">
        <v>24360</v>
      </c>
      <c r="R638" s="26">
        <v>43887</v>
      </c>
      <c r="S638" s="4" t="s">
        <v>2050</v>
      </c>
      <c r="T638" s="480">
        <v>356196</v>
      </c>
      <c r="U638" t="s">
        <v>1572</v>
      </c>
      <c r="V638" s="481">
        <v>778</v>
      </c>
      <c r="W638" s="481">
        <v>249</v>
      </c>
      <c r="X638" s="375">
        <v>0.24</v>
      </c>
    </row>
    <row r="639" spans="1:24" x14ac:dyDescent="0.25">
      <c r="A639" s="4">
        <v>333</v>
      </c>
      <c r="B639" s="4" t="s">
        <v>259</v>
      </c>
      <c r="C639" s="6" t="s">
        <v>2819</v>
      </c>
      <c r="D639" s="6" t="s">
        <v>2792</v>
      </c>
      <c r="E639" s="21">
        <v>43887</v>
      </c>
      <c r="F639" s="4" t="s">
        <v>925</v>
      </c>
      <c r="H639" s="4">
        <v>1039580</v>
      </c>
      <c r="I639" s="4">
        <v>4570</v>
      </c>
      <c r="J639" s="4" t="s">
        <v>1175</v>
      </c>
      <c r="K639" s="6" t="s">
        <v>1144</v>
      </c>
      <c r="L639" s="4">
        <v>24</v>
      </c>
      <c r="M639" s="480">
        <v>273</v>
      </c>
      <c r="N639" s="374">
        <v>-0.06</v>
      </c>
      <c r="O639" s="480">
        <v>291</v>
      </c>
      <c r="P639" s="480">
        <v>345</v>
      </c>
      <c r="Q639" s="480">
        <v>8280</v>
      </c>
      <c r="R639" s="26">
        <v>43887</v>
      </c>
      <c r="S639" s="4" t="s">
        <v>2050</v>
      </c>
      <c r="T639" s="480">
        <v>216437</v>
      </c>
      <c r="U639" t="s">
        <v>2755</v>
      </c>
      <c r="V639" s="481">
        <v>197</v>
      </c>
      <c r="W639" s="481">
        <v>94</v>
      </c>
      <c r="X639" s="375">
        <v>0.32</v>
      </c>
    </row>
    <row r="640" spans="1:24" x14ac:dyDescent="0.25">
      <c r="A640" s="4">
        <v>337</v>
      </c>
      <c r="B640" s="4" t="s">
        <v>838</v>
      </c>
      <c r="C640" s="6" t="s">
        <v>2062</v>
      </c>
      <c r="D640" s="6" t="s">
        <v>840</v>
      </c>
      <c r="E640" s="21">
        <v>43887</v>
      </c>
      <c r="F640" s="4" t="s">
        <v>1461</v>
      </c>
      <c r="H640" s="4">
        <v>6645</v>
      </c>
      <c r="I640" s="4">
        <v>4574</v>
      </c>
      <c r="J640" s="4" t="s">
        <v>1285</v>
      </c>
      <c r="K640" s="6" t="s">
        <v>1071</v>
      </c>
      <c r="L640" s="4">
        <v>1</v>
      </c>
      <c r="M640" s="480">
        <v>16555</v>
      </c>
      <c r="N640" s="587" t="s">
        <v>2886</v>
      </c>
      <c r="O640" s="480">
        <v>16555</v>
      </c>
      <c r="P640" s="480">
        <v>19700</v>
      </c>
      <c r="Q640" s="480">
        <v>19700</v>
      </c>
      <c r="R640" s="26">
        <v>43887</v>
      </c>
      <c r="S640" s="4" t="s">
        <v>1501</v>
      </c>
      <c r="T640" s="480">
        <v>19700</v>
      </c>
      <c r="U640" t="s">
        <v>1572</v>
      </c>
      <c r="V640" s="481">
        <v>12429</v>
      </c>
      <c r="W640" s="481">
        <v>4126</v>
      </c>
      <c r="X640" s="375">
        <v>0.25</v>
      </c>
    </row>
    <row r="641" spans="1:24" x14ac:dyDescent="0.25">
      <c r="A641" s="4">
        <v>333</v>
      </c>
      <c r="B641" s="4" t="s">
        <v>256</v>
      </c>
      <c r="C641" s="6" t="s">
        <v>2590</v>
      </c>
      <c r="D641" s="6" t="s">
        <v>2792</v>
      </c>
      <c r="E641" s="21">
        <v>43887</v>
      </c>
      <c r="F641" s="4" t="s">
        <v>925</v>
      </c>
      <c r="H641" s="4">
        <v>1039580</v>
      </c>
      <c r="I641" s="4">
        <v>4570</v>
      </c>
      <c r="J641" s="4" t="s">
        <v>1175</v>
      </c>
      <c r="K641" s="6" t="s">
        <v>1144</v>
      </c>
      <c r="L641" s="4">
        <v>24</v>
      </c>
      <c r="M641" s="480">
        <v>273</v>
      </c>
      <c r="N641" s="374">
        <v>-0.06</v>
      </c>
      <c r="O641" s="480">
        <v>291</v>
      </c>
      <c r="P641" s="480">
        <v>345</v>
      </c>
      <c r="Q641" s="480">
        <v>8280</v>
      </c>
      <c r="R641" s="26">
        <v>43887</v>
      </c>
      <c r="S641" s="4" t="s">
        <v>2050</v>
      </c>
      <c r="T641" s="480">
        <v>216437</v>
      </c>
      <c r="U641" t="s">
        <v>2755</v>
      </c>
      <c r="V641" s="511">
        <v>197</v>
      </c>
      <c r="W641" s="481">
        <v>94</v>
      </c>
      <c r="X641" s="375">
        <v>0.32</v>
      </c>
    </row>
    <row r="642" spans="1:24" x14ac:dyDescent="0.25">
      <c r="A642" s="4">
        <v>333</v>
      </c>
      <c r="B642" s="4" t="s">
        <v>261</v>
      </c>
      <c r="C642" s="6" t="s">
        <v>2587</v>
      </c>
      <c r="D642" s="6" t="s">
        <v>2792</v>
      </c>
      <c r="E642" s="21">
        <v>43887</v>
      </c>
      <c r="F642" s="4" t="s">
        <v>925</v>
      </c>
      <c r="H642" s="4">
        <v>1039580</v>
      </c>
      <c r="I642" s="4">
        <v>4570</v>
      </c>
      <c r="J642" s="4" t="s">
        <v>1175</v>
      </c>
      <c r="K642" s="6" t="s">
        <v>1144</v>
      </c>
      <c r="L642" s="4">
        <v>24</v>
      </c>
      <c r="M642" s="480">
        <v>314</v>
      </c>
      <c r="N642" s="374">
        <v>-0.06</v>
      </c>
      <c r="O642" s="480">
        <v>334</v>
      </c>
      <c r="P642" s="480">
        <v>397</v>
      </c>
      <c r="Q642" s="480">
        <v>9528</v>
      </c>
      <c r="R642" s="26">
        <v>43887</v>
      </c>
      <c r="S642" s="4" t="s">
        <v>2050</v>
      </c>
      <c r="T642" s="480">
        <v>216437</v>
      </c>
      <c r="U642" t="s">
        <v>2755</v>
      </c>
      <c r="V642" s="481">
        <v>227</v>
      </c>
      <c r="W642" s="481">
        <v>107</v>
      </c>
      <c r="X642" s="375">
        <v>0.32</v>
      </c>
    </row>
    <row r="643" spans="1:24" x14ac:dyDescent="0.25">
      <c r="A643" s="4">
        <v>333</v>
      </c>
      <c r="B643" s="4" t="s">
        <v>258</v>
      </c>
      <c r="C643" s="6" t="s">
        <v>2818</v>
      </c>
      <c r="D643" s="6" t="s">
        <v>2792</v>
      </c>
      <c r="E643" s="21">
        <v>43887</v>
      </c>
      <c r="F643" s="4" t="s">
        <v>925</v>
      </c>
      <c r="H643" s="4">
        <v>1039580</v>
      </c>
      <c r="I643" s="4">
        <v>4570</v>
      </c>
      <c r="J643" s="4" t="s">
        <v>1175</v>
      </c>
      <c r="K643" s="6" t="s">
        <v>1144</v>
      </c>
      <c r="L643" s="4">
        <v>24</v>
      </c>
      <c r="M643" s="480">
        <v>314</v>
      </c>
      <c r="N643" s="374">
        <v>-0.06</v>
      </c>
      <c r="O643" s="480">
        <v>334</v>
      </c>
      <c r="P643" s="480">
        <v>397</v>
      </c>
      <c r="Q643" s="480">
        <v>9528</v>
      </c>
      <c r="R643" s="26">
        <v>43887</v>
      </c>
      <c r="S643" s="4" t="s">
        <v>2050</v>
      </c>
      <c r="T643" s="480">
        <v>216437</v>
      </c>
      <c r="U643" t="s">
        <v>2755</v>
      </c>
      <c r="V643" s="481">
        <v>227</v>
      </c>
      <c r="W643" s="481">
        <v>107</v>
      </c>
      <c r="X643" s="375">
        <v>0.32</v>
      </c>
    </row>
    <row r="644" spans="1:24" x14ac:dyDescent="0.25">
      <c r="A644" s="4">
        <v>332</v>
      </c>
      <c r="B644" s="4" t="s">
        <v>260</v>
      </c>
      <c r="C644" s="6" t="s">
        <v>2820</v>
      </c>
      <c r="D644" s="6" t="s">
        <v>2792</v>
      </c>
      <c r="E644" s="21">
        <v>43887</v>
      </c>
      <c r="F644" s="4" t="s">
        <v>925</v>
      </c>
      <c r="H644" s="4">
        <v>1039581</v>
      </c>
      <c r="I644" s="4">
        <v>4569</v>
      </c>
      <c r="J644" s="4" t="s">
        <v>1175</v>
      </c>
      <c r="K644" s="6" t="s">
        <v>1144</v>
      </c>
      <c r="L644" s="4">
        <v>24</v>
      </c>
      <c r="M644" s="480">
        <v>314</v>
      </c>
      <c r="N644" s="374">
        <v>-0.06</v>
      </c>
      <c r="O644" s="480">
        <v>334</v>
      </c>
      <c r="P644" s="480">
        <v>397</v>
      </c>
      <c r="Q644" s="480">
        <v>9528</v>
      </c>
      <c r="R644" s="26">
        <v>43887</v>
      </c>
      <c r="S644" s="4" t="s">
        <v>2050</v>
      </c>
      <c r="T644" s="480">
        <v>315023</v>
      </c>
      <c r="U644" t="s">
        <v>2755</v>
      </c>
      <c r="V644" s="481">
        <v>227</v>
      </c>
      <c r="W644" s="481">
        <v>107</v>
      </c>
      <c r="X644" s="375">
        <v>0.32</v>
      </c>
    </row>
    <row r="645" spans="1:24" x14ac:dyDescent="0.25">
      <c r="A645" s="4">
        <v>332</v>
      </c>
      <c r="B645" s="4" t="s">
        <v>257</v>
      </c>
      <c r="C645" s="6" t="s">
        <v>2589</v>
      </c>
      <c r="D645" s="6" t="s">
        <v>2792</v>
      </c>
      <c r="E645" s="21">
        <v>43887</v>
      </c>
      <c r="F645" s="4" t="s">
        <v>925</v>
      </c>
      <c r="H645" s="4">
        <v>1039581</v>
      </c>
      <c r="I645" s="4">
        <v>4569</v>
      </c>
      <c r="J645" s="4" t="s">
        <v>1175</v>
      </c>
      <c r="K645" s="6" t="s">
        <v>1144</v>
      </c>
      <c r="L645" s="4">
        <v>24</v>
      </c>
      <c r="M645" s="480">
        <v>314</v>
      </c>
      <c r="N645" s="374">
        <v>-0.06</v>
      </c>
      <c r="O645" s="480">
        <v>334</v>
      </c>
      <c r="P645" s="480">
        <v>397</v>
      </c>
      <c r="Q645" s="480">
        <v>9528</v>
      </c>
      <c r="R645" s="26">
        <v>43887</v>
      </c>
      <c r="S645" s="4" t="s">
        <v>2050</v>
      </c>
      <c r="T645" s="480">
        <v>315023</v>
      </c>
      <c r="U645" t="s">
        <v>2755</v>
      </c>
      <c r="V645" s="481">
        <v>227</v>
      </c>
      <c r="W645" s="481">
        <v>107</v>
      </c>
      <c r="X645" s="375">
        <v>0.32</v>
      </c>
    </row>
    <row r="646" spans="1:24" x14ac:dyDescent="0.25">
      <c r="A646" s="4">
        <v>332</v>
      </c>
      <c r="B646" s="4" t="s">
        <v>179</v>
      </c>
      <c r="C646" s="6" t="s">
        <v>2301</v>
      </c>
      <c r="D646" s="6" t="s">
        <v>188</v>
      </c>
      <c r="E646" s="21">
        <v>43887</v>
      </c>
      <c r="F646" s="4" t="s">
        <v>925</v>
      </c>
      <c r="H646" s="4">
        <v>1039581</v>
      </c>
      <c r="I646" s="4">
        <v>4569</v>
      </c>
      <c r="J646" s="4" t="s">
        <v>1175</v>
      </c>
      <c r="K646" s="6" t="s">
        <v>1144</v>
      </c>
      <c r="L646" s="4">
        <v>24</v>
      </c>
      <c r="M646" s="480">
        <v>3601</v>
      </c>
      <c r="N646" s="374">
        <v>0.03</v>
      </c>
      <c r="O646" s="480">
        <v>3511</v>
      </c>
      <c r="P646" s="480">
        <v>4175</v>
      </c>
      <c r="Q646" s="480">
        <v>100200</v>
      </c>
      <c r="R646" s="26">
        <v>43887</v>
      </c>
      <c r="S646" s="4" t="s">
        <v>2050</v>
      </c>
      <c r="T646" s="480">
        <v>315023</v>
      </c>
      <c r="U646" t="s">
        <v>2822</v>
      </c>
      <c r="V646" s="481">
        <v>2600</v>
      </c>
      <c r="W646" s="481">
        <v>911</v>
      </c>
      <c r="X646" s="375">
        <v>0.26</v>
      </c>
    </row>
    <row r="647" spans="1:24" x14ac:dyDescent="0.25">
      <c r="A647" s="4">
        <v>332</v>
      </c>
      <c r="B647" s="4" t="s">
        <v>30</v>
      </c>
      <c r="C647" s="6" t="s">
        <v>5241</v>
      </c>
      <c r="D647" s="6" t="s">
        <v>33</v>
      </c>
      <c r="E647" s="21">
        <v>43887</v>
      </c>
      <c r="F647" s="4" t="s">
        <v>925</v>
      </c>
      <c r="H647" s="4">
        <v>1039581</v>
      </c>
      <c r="I647" s="4">
        <v>4569</v>
      </c>
      <c r="J647" s="4" t="s">
        <v>1175</v>
      </c>
      <c r="K647" s="6" t="s">
        <v>1144</v>
      </c>
      <c r="L647" s="4">
        <v>120</v>
      </c>
      <c r="M647" s="480">
        <v>741</v>
      </c>
      <c r="N647" s="374">
        <v>0.05</v>
      </c>
      <c r="O647" s="480">
        <v>709</v>
      </c>
      <c r="P647" s="480">
        <v>842</v>
      </c>
      <c r="Q647" s="480">
        <v>101040</v>
      </c>
      <c r="R647" s="26">
        <v>43887</v>
      </c>
      <c r="S647" s="4" t="s">
        <v>2050</v>
      </c>
      <c r="T647" s="480">
        <v>315023</v>
      </c>
      <c r="U647" t="s">
        <v>1563</v>
      </c>
      <c r="V647" s="481">
        <v>535</v>
      </c>
      <c r="W647" s="481">
        <v>174</v>
      </c>
      <c r="X647" s="375">
        <v>0.25</v>
      </c>
    </row>
    <row r="648" spans="1:24" x14ac:dyDescent="0.25">
      <c r="A648" s="4">
        <v>336</v>
      </c>
      <c r="B648" s="4" t="s">
        <v>656</v>
      </c>
      <c r="C648" s="6" t="s">
        <v>1973</v>
      </c>
      <c r="D648" s="6" t="s">
        <v>794</v>
      </c>
      <c r="E648" s="21">
        <v>43887</v>
      </c>
      <c r="F648" s="4" t="s">
        <v>1461</v>
      </c>
      <c r="H648" s="4">
        <v>6644</v>
      </c>
      <c r="I648" s="4">
        <v>4573</v>
      </c>
      <c r="J648" s="4" t="s">
        <v>2437</v>
      </c>
      <c r="K648" s="6" t="s">
        <v>2438</v>
      </c>
      <c r="L648" s="4">
        <v>1</v>
      </c>
      <c r="M648" s="480">
        <v>19328</v>
      </c>
      <c r="N648" s="587" t="s">
        <v>2886</v>
      </c>
      <c r="O648" s="480">
        <v>19328</v>
      </c>
      <c r="P648" s="480">
        <v>23000</v>
      </c>
      <c r="Q648" s="480">
        <v>23000</v>
      </c>
      <c r="R648" s="26">
        <v>43887</v>
      </c>
      <c r="S648" s="4" t="s">
        <v>1501</v>
      </c>
      <c r="T648" s="480">
        <v>23000</v>
      </c>
      <c r="U648" t="s">
        <v>1551</v>
      </c>
      <c r="V648" s="481">
        <v>14604</v>
      </c>
      <c r="W648" s="481">
        <v>4724</v>
      </c>
      <c r="X648" s="375">
        <v>0.24</v>
      </c>
    </row>
    <row r="649" spans="1:24" x14ac:dyDescent="0.25">
      <c r="A649" s="4">
        <v>335</v>
      </c>
      <c r="B649" s="4" t="s">
        <v>830</v>
      </c>
      <c r="C649" s="6" t="s">
        <v>2495</v>
      </c>
      <c r="D649" s="6" t="s">
        <v>837</v>
      </c>
      <c r="E649" s="21">
        <v>43887</v>
      </c>
      <c r="F649" s="4" t="s">
        <v>1461</v>
      </c>
      <c r="H649" s="4">
        <v>6643</v>
      </c>
      <c r="I649" s="4">
        <v>4572</v>
      </c>
      <c r="J649" s="4" t="s">
        <v>4462</v>
      </c>
      <c r="K649" s="6" t="s">
        <v>4463</v>
      </c>
      <c r="L649" s="4">
        <v>1</v>
      </c>
      <c r="M649" s="480">
        <v>13866</v>
      </c>
      <c r="N649" s="587" t="s">
        <v>2886</v>
      </c>
      <c r="O649" s="480">
        <v>13866</v>
      </c>
      <c r="P649" s="480">
        <v>16500</v>
      </c>
      <c r="Q649" s="480">
        <v>16500</v>
      </c>
      <c r="R649" s="26">
        <v>43887</v>
      </c>
      <c r="S649" s="4" t="s">
        <v>1501</v>
      </c>
      <c r="T649" s="480">
        <v>16500</v>
      </c>
      <c r="U649" t="s">
        <v>1572</v>
      </c>
      <c r="V649" s="481">
        <v>10390</v>
      </c>
      <c r="W649" s="481">
        <v>3476</v>
      </c>
      <c r="X649" s="375">
        <v>0.25</v>
      </c>
    </row>
    <row r="650" spans="1:24" x14ac:dyDescent="0.25">
      <c r="A650" s="4">
        <v>329</v>
      </c>
      <c r="B650" s="4" t="s">
        <v>1662</v>
      </c>
      <c r="C650" s="6" t="s">
        <v>1660</v>
      </c>
      <c r="D650" s="6" t="s">
        <v>1469</v>
      </c>
      <c r="E650" s="21">
        <v>43887</v>
      </c>
      <c r="F650" s="4" t="s">
        <v>925</v>
      </c>
      <c r="H650" s="4" t="s">
        <v>2528</v>
      </c>
      <c r="I650" s="4">
        <v>4566</v>
      </c>
      <c r="J650" s="4" t="s">
        <v>1177</v>
      </c>
      <c r="K650" s="6" t="s">
        <v>1060</v>
      </c>
      <c r="L650" s="4">
        <v>24</v>
      </c>
      <c r="M650" s="480">
        <v>1787</v>
      </c>
      <c r="N650" s="587" t="s">
        <v>2886</v>
      </c>
      <c r="O650" s="480">
        <v>1787</v>
      </c>
      <c r="P650" s="480">
        <v>2126</v>
      </c>
      <c r="Q650" s="480">
        <v>51024</v>
      </c>
      <c r="R650" s="26">
        <v>43887</v>
      </c>
      <c r="S650" s="4" t="s">
        <v>2050</v>
      </c>
      <c r="T650" s="480">
        <v>345182</v>
      </c>
      <c r="U650" t="s">
        <v>1570</v>
      </c>
      <c r="V650" s="481">
        <v>1290</v>
      </c>
      <c r="W650" s="481">
        <v>497</v>
      </c>
      <c r="X650" s="375">
        <v>0.28000000000000003</v>
      </c>
    </row>
    <row r="651" spans="1:24" x14ac:dyDescent="0.25">
      <c r="A651" s="4">
        <v>329</v>
      </c>
      <c r="B651" s="4" t="s">
        <v>1663</v>
      </c>
      <c r="C651" s="6" t="s">
        <v>1661</v>
      </c>
      <c r="D651" s="6" t="s">
        <v>1469</v>
      </c>
      <c r="E651" s="21">
        <v>43887</v>
      </c>
      <c r="F651" s="4" t="s">
        <v>925</v>
      </c>
      <c r="H651" s="4" t="s">
        <v>2528</v>
      </c>
      <c r="I651" s="4">
        <v>4566</v>
      </c>
      <c r="J651" s="4" t="s">
        <v>1177</v>
      </c>
      <c r="K651" s="6" t="s">
        <v>1060</v>
      </c>
      <c r="L651" s="4">
        <v>12</v>
      </c>
      <c r="M651" s="480">
        <v>3428</v>
      </c>
      <c r="N651" s="587" t="s">
        <v>2886</v>
      </c>
      <c r="O651" s="480">
        <v>3428</v>
      </c>
      <c r="P651" s="480">
        <v>4079</v>
      </c>
      <c r="Q651" s="480">
        <v>48948</v>
      </c>
      <c r="R651" s="26">
        <v>43887</v>
      </c>
      <c r="S651" s="4" t="s">
        <v>2050</v>
      </c>
      <c r="T651" s="480">
        <v>345182</v>
      </c>
      <c r="U651" t="s">
        <v>1570</v>
      </c>
      <c r="V651" s="481">
        <v>2475</v>
      </c>
      <c r="W651" s="481">
        <v>953</v>
      </c>
      <c r="X651" s="375">
        <v>0.28000000000000003</v>
      </c>
    </row>
    <row r="652" spans="1:24" x14ac:dyDescent="0.25">
      <c r="A652" s="4">
        <v>329</v>
      </c>
      <c r="B652" s="4" t="s">
        <v>1471</v>
      </c>
      <c r="C652" s="6" t="s">
        <v>1655</v>
      </c>
      <c r="D652" s="6" t="s">
        <v>1469</v>
      </c>
      <c r="E652" s="21">
        <v>43887</v>
      </c>
      <c r="F652" s="4" t="s">
        <v>925</v>
      </c>
      <c r="H652" s="4" t="s">
        <v>2528</v>
      </c>
      <c r="I652" s="4">
        <v>4566</v>
      </c>
      <c r="J652" s="4" t="s">
        <v>1177</v>
      </c>
      <c r="K652" s="6" t="s">
        <v>1060</v>
      </c>
      <c r="L652" s="4">
        <v>18</v>
      </c>
      <c r="M652" s="480">
        <v>880</v>
      </c>
      <c r="N652" s="587" t="s">
        <v>2886</v>
      </c>
      <c r="O652" s="480">
        <v>880</v>
      </c>
      <c r="P652" s="480">
        <v>1047</v>
      </c>
      <c r="Q652" s="480">
        <v>18846</v>
      </c>
      <c r="R652" s="26">
        <v>43887</v>
      </c>
      <c r="S652" s="4" t="s">
        <v>2050</v>
      </c>
      <c r="T652" s="480">
        <v>345182</v>
      </c>
      <c r="U652" t="s">
        <v>1570</v>
      </c>
      <c r="V652" s="481">
        <v>635</v>
      </c>
      <c r="W652" s="481">
        <v>245</v>
      </c>
      <c r="X652" s="375">
        <v>0.28000000000000003</v>
      </c>
    </row>
    <row r="653" spans="1:24" x14ac:dyDescent="0.25">
      <c r="A653" s="4">
        <v>329</v>
      </c>
      <c r="B653" s="4" t="s">
        <v>1472</v>
      </c>
      <c r="C653" s="6" t="s">
        <v>1656</v>
      </c>
      <c r="D653" s="6" t="s">
        <v>1469</v>
      </c>
      <c r="E653" s="21">
        <v>43887</v>
      </c>
      <c r="F653" s="4" t="s">
        <v>925</v>
      </c>
      <c r="H653" s="4" t="s">
        <v>2528</v>
      </c>
      <c r="I653" s="4">
        <v>4566</v>
      </c>
      <c r="J653" s="4" t="s">
        <v>1177</v>
      </c>
      <c r="K653" s="6" t="s">
        <v>1060</v>
      </c>
      <c r="L653" s="4">
        <v>16</v>
      </c>
      <c r="M653" s="480">
        <v>1676</v>
      </c>
      <c r="N653" s="587" t="s">
        <v>2886</v>
      </c>
      <c r="O653" s="480">
        <v>1676</v>
      </c>
      <c r="P653" s="480">
        <v>1994</v>
      </c>
      <c r="Q653" s="480">
        <v>31904</v>
      </c>
      <c r="R653" s="26">
        <v>43887</v>
      </c>
      <c r="S653" s="4" t="s">
        <v>2050</v>
      </c>
      <c r="T653" s="480">
        <v>345182</v>
      </c>
      <c r="U653" t="s">
        <v>1570</v>
      </c>
      <c r="V653" s="481">
        <v>1210</v>
      </c>
      <c r="W653" s="481">
        <v>466</v>
      </c>
      <c r="X653" s="375">
        <v>0.28000000000000003</v>
      </c>
    </row>
    <row r="654" spans="1:24" x14ac:dyDescent="0.25">
      <c r="A654" s="4">
        <v>329</v>
      </c>
      <c r="B654" s="4" t="s">
        <v>2034</v>
      </c>
      <c r="C654" s="6" t="s">
        <v>2064</v>
      </c>
      <c r="D654" s="6" t="s">
        <v>840</v>
      </c>
      <c r="E654" s="21">
        <v>43887</v>
      </c>
      <c r="F654" s="4" t="s">
        <v>925</v>
      </c>
      <c r="H654" s="4" t="s">
        <v>2528</v>
      </c>
      <c r="I654" s="4">
        <v>4566</v>
      </c>
      <c r="J654" s="4" t="s">
        <v>1177</v>
      </c>
      <c r="K654" s="6" t="s">
        <v>1060</v>
      </c>
      <c r="L654" s="4">
        <v>14</v>
      </c>
      <c r="M654" s="480">
        <v>1515</v>
      </c>
      <c r="N654" s="587" t="s">
        <v>2886</v>
      </c>
      <c r="O654" s="480">
        <v>1515</v>
      </c>
      <c r="P654" s="480">
        <v>1803</v>
      </c>
      <c r="Q654" s="480">
        <v>25242</v>
      </c>
      <c r="R654" s="26">
        <v>43887</v>
      </c>
      <c r="S654" s="4" t="s">
        <v>2050</v>
      </c>
      <c r="T654" s="480">
        <v>345182</v>
      </c>
      <c r="U654" t="s">
        <v>1572</v>
      </c>
      <c r="V654" t="s">
        <v>5584</v>
      </c>
      <c r="W654" s="481">
        <v>1515</v>
      </c>
      <c r="X654" s="375">
        <v>1</v>
      </c>
    </row>
    <row r="655" spans="1:24" x14ac:dyDescent="0.25">
      <c r="A655" s="4">
        <v>329</v>
      </c>
      <c r="B655" s="4" t="s">
        <v>842</v>
      </c>
      <c r="C655" s="6" t="s">
        <v>2060</v>
      </c>
      <c r="D655" s="6" t="s">
        <v>840</v>
      </c>
      <c r="E655" s="21">
        <v>43887</v>
      </c>
      <c r="F655" s="4" t="s">
        <v>925</v>
      </c>
      <c r="H655" s="4" t="s">
        <v>2528</v>
      </c>
      <c r="I655" s="4">
        <v>4566</v>
      </c>
      <c r="J655" s="4" t="s">
        <v>1177</v>
      </c>
      <c r="K655" s="6" t="s">
        <v>1060</v>
      </c>
      <c r="L655" s="4">
        <v>16</v>
      </c>
      <c r="M655" s="480">
        <v>7540</v>
      </c>
      <c r="N655" s="587" t="s">
        <v>2886</v>
      </c>
      <c r="O655" s="480">
        <v>7540</v>
      </c>
      <c r="P655" s="480">
        <v>8973</v>
      </c>
      <c r="Q655" s="480">
        <v>143568</v>
      </c>
      <c r="R655" s="26">
        <v>43887</v>
      </c>
      <c r="S655" s="4" t="s">
        <v>2050</v>
      </c>
      <c r="T655" s="480">
        <v>345182</v>
      </c>
      <c r="U655" t="s">
        <v>1572</v>
      </c>
      <c r="V655" s="481">
        <v>5444</v>
      </c>
      <c r="W655" s="481">
        <v>2096</v>
      </c>
      <c r="X655" s="375">
        <v>0.28000000000000003</v>
      </c>
    </row>
    <row r="656" spans="1:24" x14ac:dyDescent="0.25">
      <c r="A656" s="4">
        <v>329</v>
      </c>
      <c r="B656" s="4" t="s">
        <v>1964</v>
      </c>
      <c r="C656" s="6" t="s">
        <v>2202</v>
      </c>
      <c r="D656" s="6" t="s">
        <v>2198</v>
      </c>
      <c r="E656" s="21">
        <v>43887</v>
      </c>
      <c r="F656" s="4" t="s">
        <v>925</v>
      </c>
      <c r="H656" s="4" t="s">
        <v>2528</v>
      </c>
      <c r="I656" s="4">
        <v>4566</v>
      </c>
      <c r="J656" s="4" t="s">
        <v>1177</v>
      </c>
      <c r="K656" s="6" t="s">
        <v>1060</v>
      </c>
      <c r="L656" s="4">
        <v>20</v>
      </c>
      <c r="M656" s="480">
        <v>1078</v>
      </c>
      <c r="N656" s="587" t="s">
        <v>2886</v>
      </c>
      <c r="O656" s="480">
        <v>1078</v>
      </c>
      <c r="P656" s="480">
        <v>1282</v>
      </c>
      <c r="Q656" s="480">
        <v>25640</v>
      </c>
      <c r="R656" s="26">
        <v>43887</v>
      </c>
      <c r="S656" s="4" t="s">
        <v>2050</v>
      </c>
      <c r="T656" s="480">
        <v>345182</v>
      </c>
      <c r="U656" t="s">
        <v>1572</v>
      </c>
      <c r="V656" s="481">
        <v>778</v>
      </c>
      <c r="W656" s="481">
        <v>300</v>
      </c>
      <c r="X656" s="375">
        <v>0.28000000000000003</v>
      </c>
    </row>
    <row r="657" spans="1:24" x14ac:dyDescent="0.25">
      <c r="A657" s="4">
        <v>340</v>
      </c>
      <c r="B657" s="4" t="s">
        <v>838</v>
      </c>
      <c r="C657" s="6" t="s">
        <v>2062</v>
      </c>
      <c r="D657" s="6" t="s">
        <v>840</v>
      </c>
      <c r="E657" s="21">
        <v>43887</v>
      </c>
      <c r="F657" s="4" t="s">
        <v>1461</v>
      </c>
      <c r="H657" s="4">
        <v>6647</v>
      </c>
      <c r="I657" s="4">
        <v>4577</v>
      </c>
      <c r="J657" s="4" t="s">
        <v>1224</v>
      </c>
      <c r="K657" s="6" t="s">
        <v>2150</v>
      </c>
      <c r="L657" s="4">
        <v>1</v>
      </c>
      <c r="M657" s="480">
        <v>16555</v>
      </c>
      <c r="N657" s="587" t="s">
        <v>2886</v>
      </c>
      <c r="O657" s="480">
        <v>16555</v>
      </c>
      <c r="P657" s="480">
        <v>19700</v>
      </c>
      <c r="Q657" s="480">
        <v>19700</v>
      </c>
      <c r="R657" s="26">
        <v>43887</v>
      </c>
      <c r="S657" s="4" t="s">
        <v>1501</v>
      </c>
      <c r="T657" s="480">
        <v>43200</v>
      </c>
      <c r="U657" t="s">
        <v>1572</v>
      </c>
      <c r="V657" s="481">
        <v>12429</v>
      </c>
      <c r="W657" s="481">
        <v>4126</v>
      </c>
      <c r="X657" s="375">
        <v>0.25</v>
      </c>
    </row>
    <row r="658" spans="1:24" x14ac:dyDescent="0.25">
      <c r="A658" s="4">
        <v>340</v>
      </c>
      <c r="B658" s="4" t="s">
        <v>845</v>
      </c>
      <c r="C658" s="6" t="s">
        <v>2199</v>
      </c>
      <c r="D658" s="6" t="s">
        <v>2198</v>
      </c>
      <c r="E658" s="21">
        <v>43887</v>
      </c>
      <c r="F658" s="4" t="s">
        <v>1461</v>
      </c>
      <c r="H658" s="4">
        <v>6647</v>
      </c>
      <c r="I658" s="4">
        <v>4577</v>
      </c>
      <c r="J658" s="4" t="s">
        <v>1224</v>
      </c>
      <c r="K658" s="6" t="s">
        <v>2150</v>
      </c>
      <c r="L658" s="4">
        <v>1</v>
      </c>
      <c r="M658" s="480">
        <v>19748</v>
      </c>
      <c r="N658" s="587" t="s">
        <v>2886</v>
      </c>
      <c r="O658" s="480">
        <v>19748</v>
      </c>
      <c r="P658" s="480">
        <v>23500</v>
      </c>
      <c r="Q658" s="480">
        <v>23500</v>
      </c>
      <c r="R658" s="26">
        <v>43887</v>
      </c>
      <c r="S658" s="4" t="s">
        <v>1501</v>
      </c>
      <c r="T658" s="480">
        <v>43200</v>
      </c>
      <c r="U658" t="s">
        <v>1572</v>
      </c>
      <c r="V658" s="481">
        <v>14853</v>
      </c>
      <c r="W658" s="481">
        <v>4895</v>
      </c>
      <c r="X658" s="375">
        <v>0.25</v>
      </c>
    </row>
    <row r="659" spans="1:24" x14ac:dyDescent="0.25">
      <c r="A659" s="4">
        <v>330</v>
      </c>
      <c r="B659" s="4" t="s">
        <v>5805</v>
      </c>
      <c r="C659" s="6" t="s">
        <v>5806</v>
      </c>
      <c r="D659" s="6" t="s">
        <v>5807</v>
      </c>
      <c r="E659" s="21">
        <v>43887</v>
      </c>
      <c r="F659" s="4" t="s">
        <v>925</v>
      </c>
      <c r="H659" s="4" t="s">
        <v>2528</v>
      </c>
      <c r="I659" s="4">
        <v>4567</v>
      </c>
      <c r="J659" s="4" t="s">
        <v>1179</v>
      </c>
      <c r="K659" s="6" t="s">
        <v>952</v>
      </c>
      <c r="L659" s="4">
        <v>144</v>
      </c>
      <c r="M659" s="480">
        <v>1046</v>
      </c>
      <c r="N659" s="374">
        <v>0.15</v>
      </c>
      <c r="O659" s="480">
        <v>910</v>
      </c>
      <c r="P659" s="480">
        <v>1058</v>
      </c>
      <c r="Q659" s="480">
        <v>152352</v>
      </c>
      <c r="R659" s="26">
        <v>43887</v>
      </c>
      <c r="S659" s="4" t="s">
        <v>2050</v>
      </c>
      <c r="T659" s="480">
        <v>201560</v>
      </c>
      <c r="U659" t="s">
        <v>5631</v>
      </c>
      <c r="V659" s="481">
        <v>755</v>
      </c>
      <c r="W659" s="481">
        <v>155</v>
      </c>
      <c r="X659" s="375">
        <v>0.17</v>
      </c>
    </row>
    <row r="660" spans="1:24" x14ac:dyDescent="0.25">
      <c r="A660" s="4">
        <v>330</v>
      </c>
      <c r="B660" s="4" t="s">
        <v>159</v>
      </c>
      <c r="C660" s="6" t="s">
        <v>2807</v>
      </c>
      <c r="D660" s="6" t="s">
        <v>2792</v>
      </c>
      <c r="E660" s="21">
        <v>43887</v>
      </c>
      <c r="F660" s="4" t="s">
        <v>925</v>
      </c>
      <c r="H660" s="4" t="s">
        <v>2528</v>
      </c>
      <c r="I660" s="4">
        <v>4567</v>
      </c>
      <c r="J660" s="4" t="s">
        <v>1179</v>
      </c>
      <c r="K660" s="6" t="s">
        <v>952</v>
      </c>
      <c r="L660" s="4">
        <v>24</v>
      </c>
      <c r="M660" s="480">
        <v>955</v>
      </c>
      <c r="N660" s="374">
        <v>0.1</v>
      </c>
      <c r="O660" s="480">
        <v>870</v>
      </c>
      <c r="P660" s="480">
        <v>1026</v>
      </c>
      <c r="Q660" s="480">
        <v>24624</v>
      </c>
      <c r="R660" s="26">
        <v>43887</v>
      </c>
      <c r="S660" s="4" t="s">
        <v>2050</v>
      </c>
      <c r="T660" s="480">
        <v>201560</v>
      </c>
      <c r="U660" t="s">
        <v>2755</v>
      </c>
      <c r="V660" s="481">
        <v>690</v>
      </c>
      <c r="W660" s="481">
        <v>180</v>
      </c>
      <c r="X660" s="375">
        <v>0.21</v>
      </c>
    </row>
    <row r="661" spans="1:24" x14ac:dyDescent="0.25">
      <c r="A661" s="4">
        <v>330</v>
      </c>
      <c r="B661" s="4" t="s">
        <v>160</v>
      </c>
      <c r="C661" s="6" t="s">
        <v>2808</v>
      </c>
      <c r="D661" s="6" t="s">
        <v>2792</v>
      </c>
      <c r="E661" s="21">
        <v>43887</v>
      </c>
      <c r="F661" s="4" t="s">
        <v>925</v>
      </c>
      <c r="H661" s="4" t="s">
        <v>2528</v>
      </c>
      <c r="I661" s="4">
        <v>4567</v>
      </c>
      <c r="J661" s="4" t="s">
        <v>1179</v>
      </c>
      <c r="K661" s="6" t="s">
        <v>952</v>
      </c>
      <c r="L661" s="4">
        <v>24</v>
      </c>
      <c r="M661" s="480">
        <v>955</v>
      </c>
      <c r="N661" s="374">
        <v>0.1</v>
      </c>
      <c r="O661" s="480">
        <v>870</v>
      </c>
      <c r="P661" s="480">
        <v>1026</v>
      </c>
      <c r="Q661" s="480">
        <v>24624</v>
      </c>
      <c r="R661" s="26">
        <v>43887</v>
      </c>
      <c r="S661" s="4" t="s">
        <v>2050</v>
      </c>
      <c r="T661" s="480">
        <v>201560</v>
      </c>
      <c r="U661" t="s">
        <v>2755</v>
      </c>
      <c r="V661" s="481">
        <v>690</v>
      </c>
      <c r="W661" s="481">
        <v>180</v>
      </c>
      <c r="X661" s="375">
        <v>0.21</v>
      </c>
    </row>
    <row r="662" spans="1:24" x14ac:dyDescent="0.25">
      <c r="A662" s="4">
        <v>341</v>
      </c>
      <c r="B662" s="4" t="s">
        <v>4159</v>
      </c>
      <c r="C662" s="6" t="s">
        <v>4164</v>
      </c>
      <c r="D662" s="6" t="s">
        <v>4161</v>
      </c>
      <c r="E662" s="21">
        <v>43887</v>
      </c>
      <c r="F662" s="4" t="s">
        <v>925</v>
      </c>
      <c r="H662" s="4" t="s">
        <v>2528</v>
      </c>
      <c r="I662" s="4">
        <v>4578</v>
      </c>
      <c r="J662" s="4" t="s">
        <v>3460</v>
      </c>
      <c r="K662" s="6" t="s">
        <v>3461</v>
      </c>
      <c r="L662" s="4">
        <v>2</v>
      </c>
      <c r="M662" s="480">
        <v>18615</v>
      </c>
      <c r="N662" s="374">
        <v>0.1</v>
      </c>
      <c r="O662" s="480">
        <v>16961</v>
      </c>
      <c r="P662" s="480">
        <v>19992</v>
      </c>
      <c r="Q662" s="480">
        <v>39984</v>
      </c>
      <c r="R662" s="26">
        <v>43887</v>
      </c>
      <c r="S662" s="4" t="s">
        <v>2050</v>
      </c>
      <c r="T662" s="480">
        <v>91268</v>
      </c>
      <c r="U662" t="s">
        <v>1561</v>
      </c>
      <c r="V662" s="481">
        <v>13440</v>
      </c>
      <c r="W662" s="481">
        <v>3521</v>
      </c>
      <c r="X662" s="375">
        <v>0.21</v>
      </c>
    </row>
    <row r="663" spans="1:24" x14ac:dyDescent="0.25">
      <c r="A663" s="4">
        <v>341</v>
      </c>
      <c r="B663" s="4" t="s">
        <v>4218</v>
      </c>
      <c r="C663" s="6" t="s">
        <v>4219</v>
      </c>
      <c r="D663" s="6" t="s">
        <v>3950</v>
      </c>
      <c r="E663" s="21">
        <v>43887</v>
      </c>
      <c r="F663" s="4" t="s">
        <v>925</v>
      </c>
      <c r="H663" s="4" t="s">
        <v>2528</v>
      </c>
      <c r="I663" s="4">
        <v>4578</v>
      </c>
      <c r="J663" s="4" t="s">
        <v>3460</v>
      </c>
      <c r="K663" s="6" t="s">
        <v>3461</v>
      </c>
      <c r="L663" s="4">
        <v>4</v>
      </c>
      <c r="M663" s="480">
        <v>8310</v>
      </c>
      <c r="N663" s="512" t="s">
        <v>2886</v>
      </c>
      <c r="O663" s="480">
        <v>8310</v>
      </c>
      <c r="P663" s="480">
        <v>9889</v>
      </c>
      <c r="Q663" s="480">
        <v>39556</v>
      </c>
      <c r="R663" s="26">
        <v>43887</v>
      </c>
      <c r="S663" s="4" t="s">
        <v>2050</v>
      </c>
      <c r="T663" s="480">
        <v>91268</v>
      </c>
      <c r="U663" t="s">
        <v>3934</v>
      </c>
      <c r="V663" s="481">
        <v>6000</v>
      </c>
      <c r="W663" s="481">
        <v>2310</v>
      </c>
      <c r="X663" s="375">
        <v>0.28000000000000003</v>
      </c>
    </row>
    <row r="664" spans="1:24" x14ac:dyDescent="0.25">
      <c r="A664" s="4">
        <v>339</v>
      </c>
      <c r="B664" s="4" t="s">
        <v>3968</v>
      </c>
      <c r="C664" s="6" t="s">
        <v>4018</v>
      </c>
      <c r="D664" s="6" t="s">
        <v>4019</v>
      </c>
      <c r="E664" s="21">
        <v>43887</v>
      </c>
      <c r="F664" s="4" t="s">
        <v>1461</v>
      </c>
      <c r="H664" s="4">
        <v>6646</v>
      </c>
      <c r="I664" s="4">
        <v>4576</v>
      </c>
      <c r="J664" s="4" t="s">
        <v>5808</v>
      </c>
      <c r="K664" s="6" t="s">
        <v>5809</v>
      </c>
      <c r="L664" s="4">
        <v>1</v>
      </c>
      <c r="M664" s="480">
        <v>19076</v>
      </c>
      <c r="N664" s="512" t="s">
        <v>2886</v>
      </c>
      <c r="O664" s="480">
        <v>19076</v>
      </c>
      <c r="P664" s="480">
        <v>22700</v>
      </c>
      <c r="Q664" s="480">
        <v>22700</v>
      </c>
      <c r="R664" s="26">
        <v>43887</v>
      </c>
      <c r="S664" s="4" t="s">
        <v>1501</v>
      </c>
      <c r="T664" s="480">
        <v>22700</v>
      </c>
      <c r="U664" t="s">
        <v>1551</v>
      </c>
      <c r="V664" s="481">
        <v>14122</v>
      </c>
      <c r="W664" s="481">
        <v>4954</v>
      </c>
      <c r="X664" s="375">
        <v>0.26</v>
      </c>
    </row>
    <row r="665" spans="1:24" x14ac:dyDescent="0.25">
      <c r="A665" s="4">
        <v>338</v>
      </c>
      <c r="B665" s="4" t="s">
        <v>4393</v>
      </c>
      <c r="C665" s="6" t="s">
        <v>4527</v>
      </c>
      <c r="D665" s="6" t="s">
        <v>2461</v>
      </c>
      <c r="E665" s="21">
        <v>43887</v>
      </c>
      <c r="F665" s="4" t="s">
        <v>925</v>
      </c>
      <c r="H665" s="4" t="s">
        <v>4845</v>
      </c>
      <c r="I665" s="4">
        <v>4575</v>
      </c>
      <c r="J665" s="4" t="s">
        <v>1192</v>
      </c>
      <c r="K665" s="6" t="s">
        <v>1061</v>
      </c>
      <c r="L665" s="4">
        <v>1</v>
      </c>
      <c r="M665" s="480">
        <v>14244</v>
      </c>
      <c r="N665" s="512" t="s">
        <v>2886</v>
      </c>
      <c r="O665" s="480">
        <v>14244</v>
      </c>
      <c r="P665" s="480">
        <v>16950</v>
      </c>
      <c r="Q665" s="480">
        <v>16950</v>
      </c>
      <c r="R665" s="26">
        <v>43887</v>
      </c>
      <c r="S665" s="4" t="s">
        <v>1501</v>
      </c>
      <c r="T665" s="480">
        <v>306121</v>
      </c>
      <c r="U665" t="s">
        <v>4528</v>
      </c>
      <c r="V665" s="589">
        <v>930</v>
      </c>
      <c r="W665" s="481">
        <v>13314</v>
      </c>
      <c r="X665" s="375">
        <v>0.93</v>
      </c>
    </row>
    <row r="666" spans="1:24" x14ac:dyDescent="0.25">
      <c r="A666" s="4">
        <v>338</v>
      </c>
      <c r="B666" s="4" t="s">
        <v>3906</v>
      </c>
      <c r="C666" s="6" t="s">
        <v>3813</v>
      </c>
      <c r="D666" s="6" t="s">
        <v>1646</v>
      </c>
      <c r="E666" s="21">
        <v>43887</v>
      </c>
      <c r="F666" s="4" t="s">
        <v>925</v>
      </c>
      <c r="H666" s="4" t="s">
        <v>4845</v>
      </c>
      <c r="I666" s="4">
        <v>4575</v>
      </c>
      <c r="J666" s="4" t="s">
        <v>1192</v>
      </c>
      <c r="K666" s="6" t="s">
        <v>1061</v>
      </c>
      <c r="L666" s="4">
        <v>10</v>
      </c>
      <c r="M666" s="480">
        <v>3335</v>
      </c>
      <c r="N666" s="512" t="s">
        <v>2886</v>
      </c>
      <c r="O666" s="480">
        <v>3335</v>
      </c>
      <c r="P666" s="480">
        <v>3969</v>
      </c>
      <c r="Q666" s="480">
        <v>39690</v>
      </c>
      <c r="R666" s="26">
        <v>43887</v>
      </c>
      <c r="S666" s="4" t="s">
        <v>1501</v>
      </c>
      <c r="T666" s="480">
        <v>306121</v>
      </c>
      <c r="U666" t="s">
        <v>3934</v>
      </c>
      <c r="V666" s="481">
        <v>2408</v>
      </c>
      <c r="W666" s="481">
        <v>927</v>
      </c>
      <c r="X666" s="375">
        <v>0.28000000000000003</v>
      </c>
    </row>
    <row r="667" spans="1:24" x14ac:dyDescent="0.25">
      <c r="A667" s="4">
        <v>338</v>
      </c>
      <c r="B667" s="4" t="s">
        <v>2289</v>
      </c>
      <c r="C667" s="6" t="s">
        <v>2620</v>
      </c>
      <c r="D667" s="6" t="s">
        <v>1539</v>
      </c>
      <c r="E667" s="21">
        <v>43887</v>
      </c>
      <c r="F667" s="4" t="s">
        <v>925</v>
      </c>
      <c r="H667" s="4" t="s">
        <v>4845</v>
      </c>
      <c r="I667" s="4">
        <v>4575</v>
      </c>
      <c r="J667" s="4" t="s">
        <v>1192</v>
      </c>
      <c r="K667" s="6" t="s">
        <v>1061</v>
      </c>
      <c r="L667" s="4">
        <v>2</v>
      </c>
      <c r="M667" s="480">
        <v>20084</v>
      </c>
      <c r="N667" s="512" t="s">
        <v>2886</v>
      </c>
      <c r="O667" s="480">
        <v>20084</v>
      </c>
      <c r="P667" s="480">
        <v>23900</v>
      </c>
      <c r="Q667" s="480">
        <v>47800</v>
      </c>
      <c r="R667" s="26">
        <v>43887</v>
      </c>
      <c r="S667" s="4" t="s">
        <v>1501</v>
      </c>
      <c r="T667" s="480">
        <v>306121</v>
      </c>
      <c r="U667" t="s">
        <v>1524</v>
      </c>
      <c r="V667" s="481">
        <v>16386</v>
      </c>
      <c r="W667" s="481">
        <v>3698</v>
      </c>
      <c r="X667" s="375">
        <v>0.18</v>
      </c>
    </row>
    <row r="668" spans="1:24" x14ac:dyDescent="0.25">
      <c r="A668" s="4">
        <v>338</v>
      </c>
      <c r="B668" s="4" t="s">
        <v>35</v>
      </c>
      <c r="C668" s="6" t="s">
        <v>2855</v>
      </c>
      <c r="D668" s="6" t="s">
        <v>1693</v>
      </c>
      <c r="E668" s="21">
        <v>43887</v>
      </c>
      <c r="F668" s="4" t="s">
        <v>925</v>
      </c>
      <c r="H668" s="4" t="s">
        <v>4845</v>
      </c>
      <c r="I668" s="4">
        <v>4575</v>
      </c>
      <c r="J668" s="4" t="s">
        <v>1192</v>
      </c>
      <c r="K668" s="6" t="s">
        <v>1061</v>
      </c>
      <c r="L668" s="4">
        <v>4</v>
      </c>
      <c r="M668" s="480">
        <v>6151</v>
      </c>
      <c r="N668" s="512" t="s">
        <v>2886</v>
      </c>
      <c r="O668" s="480">
        <v>6151</v>
      </c>
      <c r="P668" s="480">
        <v>7320</v>
      </c>
      <c r="Q668" s="480">
        <v>29280</v>
      </c>
      <c r="R668" s="26">
        <v>43887</v>
      </c>
      <c r="S668" s="4" t="s">
        <v>1501</v>
      </c>
      <c r="T668" s="480">
        <v>306121</v>
      </c>
      <c r="U668" t="s">
        <v>1563</v>
      </c>
      <c r="V668" s="481">
        <v>4922</v>
      </c>
      <c r="W668" s="481">
        <v>1229</v>
      </c>
      <c r="X668" s="375">
        <v>0.2</v>
      </c>
    </row>
    <row r="669" spans="1:24" x14ac:dyDescent="0.25">
      <c r="A669" s="4">
        <v>338</v>
      </c>
      <c r="B669" s="4" t="s">
        <v>3907</v>
      </c>
      <c r="C669" s="6" t="s">
        <v>3814</v>
      </c>
      <c r="D669" s="6" t="s">
        <v>1646</v>
      </c>
      <c r="E669" s="21">
        <v>43887</v>
      </c>
      <c r="F669" s="4" t="s">
        <v>925</v>
      </c>
      <c r="H669" s="4" t="s">
        <v>4845</v>
      </c>
      <c r="I669" s="4">
        <v>4575</v>
      </c>
      <c r="J669" s="4" t="s">
        <v>1192</v>
      </c>
      <c r="K669" s="6" t="s">
        <v>1061</v>
      </c>
      <c r="L669" s="4">
        <v>3</v>
      </c>
      <c r="M669" s="480">
        <v>17642</v>
      </c>
      <c r="N669" s="512" t="s">
        <v>2886</v>
      </c>
      <c r="O669" s="480">
        <v>17642</v>
      </c>
      <c r="P669" s="480">
        <v>20994</v>
      </c>
      <c r="Q669" s="480">
        <v>62982</v>
      </c>
      <c r="R669" s="26">
        <v>43887</v>
      </c>
      <c r="S669" s="4" t="s">
        <v>1501</v>
      </c>
      <c r="T669" s="480">
        <v>306121</v>
      </c>
      <c r="U669" t="s">
        <v>3934</v>
      </c>
      <c r="V669" s="481">
        <v>13408</v>
      </c>
      <c r="W669" s="481">
        <v>4234</v>
      </c>
      <c r="X669" s="375">
        <v>0.24</v>
      </c>
    </row>
    <row r="670" spans="1:24" x14ac:dyDescent="0.25">
      <c r="A670" s="4">
        <v>338</v>
      </c>
      <c r="B670" s="4" t="s">
        <v>4218</v>
      </c>
      <c r="C670" s="6" t="s">
        <v>4219</v>
      </c>
      <c r="D670" s="6" t="s">
        <v>3950</v>
      </c>
      <c r="E670" s="21">
        <v>43887</v>
      </c>
      <c r="F670" s="4" t="s">
        <v>925</v>
      </c>
      <c r="H670" s="4" t="s">
        <v>4845</v>
      </c>
      <c r="I670" s="4">
        <v>4575</v>
      </c>
      <c r="J670" s="4" t="s">
        <v>1192</v>
      </c>
      <c r="K670" s="6" t="s">
        <v>1061</v>
      </c>
      <c r="L670" s="4">
        <v>10</v>
      </c>
      <c r="M670" s="480">
        <v>7895</v>
      </c>
      <c r="N670" s="587" t="s">
        <v>2886</v>
      </c>
      <c r="O670" s="480">
        <v>7895</v>
      </c>
      <c r="P670" s="480">
        <v>9395</v>
      </c>
      <c r="Q670" s="480">
        <v>93950</v>
      </c>
      <c r="R670" s="26">
        <v>43887</v>
      </c>
      <c r="S670" s="4" t="s">
        <v>1501</v>
      </c>
      <c r="T670" s="480">
        <v>306121</v>
      </c>
      <c r="U670" t="s">
        <v>3934</v>
      </c>
      <c r="V670" s="481">
        <v>6000</v>
      </c>
      <c r="W670" s="481">
        <v>1895</v>
      </c>
      <c r="X670" s="375">
        <v>0.24</v>
      </c>
    </row>
    <row r="671" spans="1:24" x14ac:dyDescent="0.25">
      <c r="A671" s="4">
        <v>338</v>
      </c>
      <c r="B671" s="4" t="s">
        <v>3863</v>
      </c>
      <c r="C671" s="6" t="s">
        <v>3771</v>
      </c>
      <c r="D671" s="6" t="s">
        <v>1646</v>
      </c>
      <c r="E671" s="21">
        <v>43887</v>
      </c>
      <c r="F671" s="4" t="s">
        <v>925</v>
      </c>
      <c r="H671" s="4" t="s">
        <v>4845</v>
      </c>
      <c r="I671" s="4">
        <v>4575</v>
      </c>
      <c r="J671" s="4" t="s">
        <v>1192</v>
      </c>
      <c r="K671" s="6" t="s">
        <v>1061</v>
      </c>
      <c r="L671" s="4">
        <v>4</v>
      </c>
      <c r="M671" s="480">
        <v>2368</v>
      </c>
      <c r="N671" s="587" t="s">
        <v>2886</v>
      </c>
      <c r="O671" s="480">
        <v>2368</v>
      </c>
      <c r="P671" s="480">
        <v>2818</v>
      </c>
      <c r="Q671" s="480">
        <v>11272</v>
      </c>
      <c r="R671" s="26">
        <v>43887</v>
      </c>
      <c r="S671" s="4" t="s">
        <v>1501</v>
      </c>
      <c r="T671" s="480">
        <v>306121</v>
      </c>
      <c r="U671" t="s">
        <v>3934</v>
      </c>
      <c r="V671" s="481">
        <v>1787</v>
      </c>
      <c r="W671" s="481">
        <v>581</v>
      </c>
      <c r="X671" s="375">
        <v>0.25</v>
      </c>
    </row>
    <row r="672" spans="1:24" x14ac:dyDescent="0.25">
      <c r="A672" s="4">
        <v>326</v>
      </c>
      <c r="B672" s="4" t="s">
        <v>5117</v>
      </c>
      <c r="C672" s="6" t="s">
        <v>5118</v>
      </c>
      <c r="D672" s="6" t="s">
        <v>5116</v>
      </c>
      <c r="E672" s="21">
        <v>43887</v>
      </c>
      <c r="F672" s="4" t="s">
        <v>925</v>
      </c>
      <c r="H672" s="4" t="s">
        <v>2528</v>
      </c>
      <c r="I672" s="4">
        <v>4563</v>
      </c>
      <c r="J672" s="4" t="s">
        <v>1259</v>
      </c>
      <c r="K672" s="6" t="s">
        <v>2778</v>
      </c>
      <c r="L672" s="4">
        <v>20</v>
      </c>
      <c r="M672" s="480">
        <v>3061</v>
      </c>
      <c r="N672" s="374">
        <v>0.1</v>
      </c>
      <c r="O672" s="480">
        <v>2789</v>
      </c>
      <c r="P672" s="480">
        <v>3287</v>
      </c>
      <c r="Q672" s="480">
        <v>65740</v>
      </c>
      <c r="R672" s="26">
        <v>43887</v>
      </c>
      <c r="S672" s="4" t="s">
        <v>2050</v>
      </c>
      <c r="T672" s="480">
        <v>335029</v>
      </c>
      <c r="U672" t="s">
        <v>1576</v>
      </c>
      <c r="V672" s="481">
        <v>2210</v>
      </c>
      <c r="W672" s="481">
        <v>579</v>
      </c>
      <c r="X672" s="375">
        <v>0.21</v>
      </c>
    </row>
    <row r="673" spans="1:24" x14ac:dyDescent="0.25">
      <c r="A673" s="4">
        <v>326</v>
      </c>
      <c r="B673" s="4" t="s">
        <v>5175</v>
      </c>
      <c r="C673" s="6" t="s">
        <v>5176</v>
      </c>
      <c r="D673" s="6" t="s">
        <v>5177</v>
      </c>
      <c r="E673" s="21">
        <v>43887</v>
      </c>
      <c r="F673" s="4" t="s">
        <v>925</v>
      </c>
      <c r="H673" s="4" t="s">
        <v>2528</v>
      </c>
      <c r="I673" s="4">
        <v>4563</v>
      </c>
      <c r="J673" s="4" t="s">
        <v>1259</v>
      </c>
      <c r="K673" s="6" t="s">
        <v>2778</v>
      </c>
      <c r="L673" s="4">
        <v>30</v>
      </c>
      <c r="M673" s="480">
        <v>1312</v>
      </c>
      <c r="N673" s="374">
        <v>0.13</v>
      </c>
      <c r="O673" s="480">
        <v>1161</v>
      </c>
      <c r="P673" s="480">
        <v>1359</v>
      </c>
      <c r="Q673" s="480">
        <v>40770</v>
      </c>
      <c r="R673" s="26">
        <v>43887</v>
      </c>
      <c r="S673" s="4" t="s">
        <v>2050</v>
      </c>
      <c r="T673" s="480">
        <v>335029</v>
      </c>
      <c r="U673" t="s">
        <v>4934</v>
      </c>
      <c r="V673" s="481">
        <v>900</v>
      </c>
      <c r="W673" s="481">
        <v>261</v>
      </c>
      <c r="X673" s="375">
        <v>0.22</v>
      </c>
    </row>
    <row r="674" spans="1:24" x14ac:dyDescent="0.25">
      <c r="A674" s="4">
        <v>326</v>
      </c>
      <c r="B674" s="4" t="s">
        <v>5799</v>
      </c>
      <c r="C674" s="6" t="s">
        <v>5800</v>
      </c>
      <c r="D674" s="6" t="s">
        <v>5794</v>
      </c>
      <c r="E674" s="21">
        <v>43887</v>
      </c>
      <c r="F674" s="4" t="s">
        <v>925</v>
      </c>
      <c r="H674" s="4" t="s">
        <v>2528</v>
      </c>
      <c r="I674" s="4">
        <v>4563</v>
      </c>
      <c r="J674" s="4" t="s">
        <v>1259</v>
      </c>
      <c r="K674" s="6" t="s">
        <v>2778</v>
      </c>
      <c r="L674" s="4">
        <v>12</v>
      </c>
      <c r="M674" s="480">
        <v>1939</v>
      </c>
      <c r="N674" s="374">
        <v>0.1</v>
      </c>
      <c r="O674" s="480">
        <v>1767</v>
      </c>
      <c r="P674" s="480">
        <v>2083</v>
      </c>
      <c r="Q674" s="480">
        <v>24996</v>
      </c>
      <c r="R674" s="26">
        <v>43887</v>
      </c>
      <c r="S674" s="4" t="s">
        <v>2050</v>
      </c>
      <c r="T674" s="480">
        <v>335029</v>
      </c>
      <c r="U674" t="s">
        <v>5619</v>
      </c>
      <c r="V674" s="481">
        <v>1400</v>
      </c>
      <c r="W674" s="481">
        <v>367</v>
      </c>
      <c r="X674" s="375">
        <v>0.21</v>
      </c>
    </row>
    <row r="675" spans="1:24" x14ac:dyDescent="0.25">
      <c r="A675" s="4">
        <v>326</v>
      </c>
      <c r="B675" s="4" t="s">
        <v>67</v>
      </c>
      <c r="C675" s="6" t="s">
        <v>4089</v>
      </c>
      <c r="D675" s="6" t="s">
        <v>117</v>
      </c>
      <c r="E675" s="21">
        <v>43887</v>
      </c>
      <c r="F675" s="4" t="s">
        <v>925</v>
      </c>
      <c r="H675" s="4" t="s">
        <v>2528</v>
      </c>
      <c r="I675" s="4">
        <v>4563</v>
      </c>
      <c r="J675" s="4" t="s">
        <v>1259</v>
      </c>
      <c r="K675" s="6" t="s">
        <v>2778</v>
      </c>
      <c r="L675" s="4">
        <v>12</v>
      </c>
      <c r="M675" s="480">
        <v>2270</v>
      </c>
      <c r="N675" s="374">
        <v>0.1</v>
      </c>
      <c r="O675" s="480">
        <v>2068</v>
      </c>
      <c r="P675" s="480">
        <v>2438</v>
      </c>
      <c r="Q675" s="480">
        <v>29256</v>
      </c>
      <c r="R675" s="26">
        <v>43887</v>
      </c>
      <c r="S675" s="4" t="s">
        <v>2050</v>
      </c>
      <c r="T675" s="480">
        <v>335029</v>
      </c>
      <c r="U675" t="s">
        <v>1626</v>
      </c>
      <c r="V675" s="481">
        <v>1639</v>
      </c>
      <c r="W675" s="481">
        <v>429</v>
      </c>
      <c r="X675" s="375">
        <v>0.21</v>
      </c>
    </row>
    <row r="676" spans="1:24" x14ac:dyDescent="0.25">
      <c r="A676" s="4">
        <v>326</v>
      </c>
      <c r="B676" s="4" t="s">
        <v>1780</v>
      </c>
      <c r="C676" s="6" t="s">
        <v>5483</v>
      </c>
      <c r="D676" s="6" t="s">
        <v>94</v>
      </c>
      <c r="E676" s="21">
        <v>43887</v>
      </c>
      <c r="F676" s="4" t="s">
        <v>925</v>
      </c>
      <c r="H676" s="4" t="s">
        <v>2528</v>
      </c>
      <c r="I676" s="4">
        <v>4563</v>
      </c>
      <c r="J676" s="4" t="s">
        <v>1259</v>
      </c>
      <c r="K676" s="6" t="s">
        <v>2778</v>
      </c>
      <c r="L676" s="4">
        <v>12</v>
      </c>
      <c r="M676" s="480">
        <v>2909</v>
      </c>
      <c r="N676" s="374">
        <v>0.1</v>
      </c>
      <c r="O676" s="480">
        <v>2651</v>
      </c>
      <c r="P676" s="480">
        <v>3124</v>
      </c>
      <c r="Q676" s="480">
        <v>37488</v>
      </c>
      <c r="R676" s="26">
        <v>43887</v>
      </c>
      <c r="S676" s="4" t="s">
        <v>2050</v>
      </c>
      <c r="T676" s="480">
        <v>335029</v>
      </c>
      <c r="U676" t="s">
        <v>1569</v>
      </c>
      <c r="V676" s="481">
        <v>2100</v>
      </c>
      <c r="W676" s="481">
        <v>551</v>
      </c>
      <c r="X676" s="375">
        <v>0.21</v>
      </c>
    </row>
    <row r="677" spans="1:24" x14ac:dyDescent="0.25">
      <c r="A677" s="4">
        <v>326</v>
      </c>
      <c r="B677" s="4" t="s">
        <v>276</v>
      </c>
      <c r="C677" s="6" t="s">
        <v>1687</v>
      </c>
      <c r="D677" s="6" t="s">
        <v>2792</v>
      </c>
      <c r="E677" s="21">
        <v>43887</v>
      </c>
      <c r="F677" s="4" t="s">
        <v>925</v>
      </c>
      <c r="H677" s="4" t="s">
        <v>2528</v>
      </c>
      <c r="I677" s="4">
        <v>4563</v>
      </c>
      <c r="J677" s="4" t="s">
        <v>1259</v>
      </c>
      <c r="K677" s="6" t="s">
        <v>2778</v>
      </c>
      <c r="L677" s="4">
        <v>10</v>
      </c>
      <c r="M677" s="480">
        <v>657</v>
      </c>
      <c r="N677" s="374">
        <v>0.05</v>
      </c>
      <c r="O677" s="480">
        <v>626</v>
      </c>
      <c r="P677" s="480">
        <v>742</v>
      </c>
      <c r="Q677" s="480">
        <v>7420</v>
      </c>
      <c r="R677" s="26">
        <v>43887</v>
      </c>
      <c r="S677" s="4" t="s">
        <v>2050</v>
      </c>
      <c r="T677" s="480">
        <v>335029</v>
      </c>
      <c r="U677" t="s">
        <v>2755</v>
      </c>
      <c r="V677" s="481">
        <v>474</v>
      </c>
      <c r="W677" s="481">
        <v>152</v>
      </c>
      <c r="X677" s="375">
        <v>0.24</v>
      </c>
    </row>
    <row r="678" spans="1:24" x14ac:dyDescent="0.25">
      <c r="A678" s="4">
        <v>326</v>
      </c>
      <c r="B678" s="4" t="s">
        <v>483</v>
      </c>
      <c r="C678" s="6" t="s">
        <v>3453</v>
      </c>
      <c r="D678" s="6" t="s">
        <v>782</v>
      </c>
      <c r="E678" s="21">
        <v>43887</v>
      </c>
      <c r="F678" s="4" t="s">
        <v>925</v>
      </c>
      <c r="H678" s="4" t="s">
        <v>2528</v>
      </c>
      <c r="I678" s="4">
        <v>4563</v>
      </c>
      <c r="J678" s="4" t="s">
        <v>1259</v>
      </c>
      <c r="K678" s="6" t="s">
        <v>2778</v>
      </c>
      <c r="L678" s="4">
        <v>12</v>
      </c>
      <c r="M678" s="480">
        <v>1706</v>
      </c>
      <c r="N678" s="374">
        <v>0.1</v>
      </c>
      <c r="O678" s="480">
        <v>1554</v>
      </c>
      <c r="P678" s="480">
        <v>1833</v>
      </c>
      <c r="Q678" s="480">
        <v>21996</v>
      </c>
      <c r="R678" s="26">
        <v>43887</v>
      </c>
      <c r="S678" s="4" t="s">
        <v>2050</v>
      </c>
      <c r="T678" s="480">
        <v>335029</v>
      </c>
      <c r="U678" t="s">
        <v>1561</v>
      </c>
      <c r="V678" s="481">
        <v>1232</v>
      </c>
      <c r="W678" s="481">
        <v>322</v>
      </c>
      <c r="X678" s="375">
        <v>0.21</v>
      </c>
    </row>
    <row r="679" spans="1:24" x14ac:dyDescent="0.25">
      <c r="A679" s="4">
        <v>326</v>
      </c>
      <c r="B679" s="4" t="s">
        <v>2776</v>
      </c>
      <c r="C679" s="6" t="s">
        <v>2785</v>
      </c>
      <c r="D679" s="6" t="s">
        <v>2786</v>
      </c>
      <c r="E679" s="21">
        <v>43887</v>
      </c>
      <c r="F679" s="4" t="s">
        <v>925</v>
      </c>
      <c r="H679" s="4" t="s">
        <v>2528</v>
      </c>
      <c r="I679" s="4">
        <v>4563</v>
      </c>
      <c r="J679" s="4" t="s">
        <v>1259</v>
      </c>
      <c r="K679" s="6" t="s">
        <v>2778</v>
      </c>
      <c r="L679" s="4">
        <v>12</v>
      </c>
      <c r="M679" s="480">
        <v>1687</v>
      </c>
      <c r="N679" s="374">
        <v>0.1</v>
      </c>
      <c r="O679" s="480">
        <v>1537</v>
      </c>
      <c r="P679" s="480">
        <v>1812</v>
      </c>
      <c r="Q679" s="480">
        <v>21744</v>
      </c>
      <c r="R679" s="26">
        <v>43887</v>
      </c>
      <c r="S679" s="4" t="s">
        <v>2050</v>
      </c>
      <c r="T679" s="480">
        <v>335029</v>
      </c>
      <c r="U679" t="s">
        <v>1561</v>
      </c>
      <c r="V679" s="481">
        <v>1218</v>
      </c>
      <c r="W679" s="481">
        <v>319</v>
      </c>
      <c r="X679" s="375">
        <v>0.21</v>
      </c>
    </row>
    <row r="680" spans="1:24" x14ac:dyDescent="0.25">
      <c r="A680" s="4">
        <v>326</v>
      </c>
      <c r="B680" s="4" t="s">
        <v>175</v>
      </c>
      <c r="C680" s="6" t="s">
        <v>3363</v>
      </c>
      <c r="D680" s="6" t="s">
        <v>3364</v>
      </c>
      <c r="E680" s="21">
        <v>43887</v>
      </c>
      <c r="F680" s="4" t="s">
        <v>925</v>
      </c>
      <c r="H680" s="4" t="s">
        <v>2528</v>
      </c>
      <c r="I680" s="4">
        <v>4563</v>
      </c>
      <c r="J680" s="4" t="s">
        <v>1259</v>
      </c>
      <c r="K680" s="6" t="s">
        <v>2778</v>
      </c>
      <c r="L680" s="4">
        <v>12</v>
      </c>
      <c r="M680" s="480">
        <v>2094</v>
      </c>
      <c r="N680" s="374">
        <v>0.1</v>
      </c>
      <c r="O680" s="480">
        <v>1908</v>
      </c>
      <c r="P680" s="480">
        <v>2249</v>
      </c>
      <c r="Q680" s="480">
        <v>26988</v>
      </c>
      <c r="R680" s="26">
        <v>43887</v>
      </c>
      <c r="S680" s="4" t="s">
        <v>2050</v>
      </c>
      <c r="T680" s="480">
        <v>335029</v>
      </c>
      <c r="U680" t="s">
        <v>1626</v>
      </c>
      <c r="V680" s="481">
        <v>1512</v>
      </c>
      <c r="W680" s="481">
        <v>396</v>
      </c>
      <c r="X680" s="375">
        <v>0.21</v>
      </c>
    </row>
    <row r="681" spans="1:24" x14ac:dyDescent="0.25">
      <c r="A681" s="4">
        <v>326</v>
      </c>
      <c r="B681" s="4" t="s">
        <v>5802</v>
      </c>
      <c r="C681" s="6" t="s">
        <v>5803</v>
      </c>
      <c r="D681" s="6" t="s">
        <v>5804</v>
      </c>
      <c r="E681" s="21">
        <v>43887</v>
      </c>
      <c r="F681" s="4" t="s">
        <v>925</v>
      </c>
      <c r="H681" s="4" t="s">
        <v>2528</v>
      </c>
      <c r="I681" s="4">
        <v>4563</v>
      </c>
      <c r="J681" s="4" t="s">
        <v>1259</v>
      </c>
      <c r="K681" s="6" t="s">
        <v>2778</v>
      </c>
      <c r="L681" s="4">
        <v>12</v>
      </c>
      <c r="M681" s="480">
        <v>4550</v>
      </c>
      <c r="N681" s="374">
        <v>0.1</v>
      </c>
      <c r="O681" s="480">
        <v>4146</v>
      </c>
      <c r="P681" s="480">
        <v>4886</v>
      </c>
      <c r="Q681" s="480">
        <v>58632</v>
      </c>
      <c r="R681" s="26">
        <v>43887</v>
      </c>
      <c r="S681" s="4" t="s">
        <v>2050</v>
      </c>
      <c r="T681" s="480">
        <v>335029</v>
      </c>
      <c r="U681" t="s">
        <v>1576</v>
      </c>
      <c r="V681" s="481">
        <v>3285</v>
      </c>
      <c r="W681" s="481">
        <v>861</v>
      </c>
      <c r="X681" s="375">
        <v>0.21</v>
      </c>
    </row>
    <row r="682" spans="1:24" x14ac:dyDescent="0.25">
      <c r="A682" s="4">
        <v>327</v>
      </c>
      <c r="B682" s="4" t="s">
        <v>1810</v>
      </c>
      <c r="C682" s="6" t="s">
        <v>5801</v>
      </c>
      <c r="D682" s="6" t="s">
        <v>1731</v>
      </c>
      <c r="E682" s="21">
        <v>43887</v>
      </c>
      <c r="F682" s="4" t="s">
        <v>925</v>
      </c>
      <c r="H682" s="4" t="s">
        <v>2528</v>
      </c>
      <c r="I682" s="4">
        <v>4564</v>
      </c>
      <c r="J682" s="4" t="s">
        <v>1259</v>
      </c>
      <c r="K682" s="6" t="s">
        <v>2778</v>
      </c>
      <c r="L682" s="4">
        <v>15</v>
      </c>
      <c r="M682" s="480">
        <v>3129</v>
      </c>
      <c r="N682" s="374">
        <v>0.1</v>
      </c>
      <c r="O682" s="480">
        <v>2851</v>
      </c>
      <c r="P682" s="480">
        <v>3360</v>
      </c>
      <c r="Q682" s="480">
        <v>50400</v>
      </c>
      <c r="R682" s="26">
        <v>43887</v>
      </c>
      <c r="S682" s="4" t="s">
        <v>2050</v>
      </c>
      <c r="T682" s="480">
        <v>127010</v>
      </c>
      <c r="U682" t="s">
        <v>1576</v>
      </c>
      <c r="V682" s="481">
        <v>2259</v>
      </c>
      <c r="W682" s="481">
        <v>592</v>
      </c>
      <c r="X682" s="375">
        <v>0.21</v>
      </c>
    </row>
    <row r="683" spans="1:24" x14ac:dyDescent="0.25">
      <c r="A683" s="4">
        <v>327</v>
      </c>
      <c r="B683" s="4" t="s">
        <v>5795</v>
      </c>
      <c r="C683" s="6" t="s">
        <v>5796</v>
      </c>
      <c r="D683" s="6" t="s">
        <v>5794</v>
      </c>
      <c r="E683" s="21">
        <v>43887</v>
      </c>
      <c r="F683" s="4" t="s">
        <v>925</v>
      </c>
      <c r="H683" s="4" t="s">
        <v>2528</v>
      </c>
      <c r="I683" s="4">
        <v>4564</v>
      </c>
      <c r="J683" s="4" t="s">
        <v>1259</v>
      </c>
      <c r="K683" s="6" t="s">
        <v>2778</v>
      </c>
      <c r="L683" s="4">
        <v>5</v>
      </c>
      <c r="M683" s="480">
        <v>7282</v>
      </c>
      <c r="N683" s="374">
        <v>0.1</v>
      </c>
      <c r="O683" s="480">
        <v>6635</v>
      </c>
      <c r="P683" s="480">
        <v>7821</v>
      </c>
      <c r="Q683" s="480">
        <v>39105</v>
      </c>
      <c r="R683" s="26">
        <v>43887</v>
      </c>
      <c r="S683" s="4" t="s">
        <v>2050</v>
      </c>
      <c r="T683" s="480">
        <v>127010</v>
      </c>
      <c r="U683" t="s">
        <v>5619</v>
      </c>
      <c r="V683" s="481">
        <v>4995</v>
      </c>
      <c r="W683" s="481">
        <v>1640</v>
      </c>
      <c r="X683" s="375">
        <v>0.25</v>
      </c>
    </row>
    <row r="684" spans="1:24" x14ac:dyDescent="0.25">
      <c r="A684" s="4">
        <v>327</v>
      </c>
      <c r="B684" s="4" t="s">
        <v>5792</v>
      </c>
      <c r="C684" s="6" t="s">
        <v>5793</v>
      </c>
      <c r="D684" s="6" t="s">
        <v>5794</v>
      </c>
      <c r="E684" s="21">
        <v>43887</v>
      </c>
      <c r="F684" s="4" t="s">
        <v>925</v>
      </c>
      <c r="H684" s="4" t="s">
        <v>2528</v>
      </c>
      <c r="I684" s="4">
        <v>4564</v>
      </c>
      <c r="J684" s="4" t="s">
        <v>1259</v>
      </c>
      <c r="K684" s="6" t="s">
        <v>2778</v>
      </c>
      <c r="L684" s="4">
        <v>5</v>
      </c>
      <c r="M684" s="480">
        <v>6984</v>
      </c>
      <c r="N684" s="374">
        <v>0.1</v>
      </c>
      <c r="O684" s="480">
        <v>6364</v>
      </c>
      <c r="P684" s="480">
        <v>7500</v>
      </c>
      <c r="Q684" s="480">
        <v>37500</v>
      </c>
      <c r="R684" s="26">
        <v>43887</v>
      </c>
      <c r="S684" s="4" t="s">
        <v>2050</v>
      </c>
      <c r="T684" s="480">
        <v>127010</v>
      </c>
      <c r="U684" t="s">
        <v>5619</v>
      </c>
      <c r="V684" s="481">
        <v>4790</v>
      </c>
      <c r="W684" s="481">
        <v>1574</v>
      </c>
      <c r="X684" s="375">
        <v>0.25</v>
      </c>
    </row>
    <row r="685" spans="1:24" x14ac:dyDescent="0.25">
      <c r="A685" s="4">
        <v>328</v>
      </c>
      <c r="B685" s="4" t="s">
        <v>5797</v>
      </c>
      <c r="C685" s="6" t="s">
        <v>5798</v>
      </c>
      <c r="D685" s="6" t="s">
        <v>2792</v>
      </c>
      <c r="E685" s="21">
        <v>43887</v>
      </c>
      <c r="F685" s="4" t="s">
        <v>925</v>
      </c>
      <c r="H685" s="4" t="s">
        <v>2528</v>
      </c>
      <c r="I685" s="4">
        <v>4565</v>
      </c>
      <c r="J685" s="4" t="s">
        <v>1259</v>
      </c>
      <c r="K685" s="6" t="s">
        <v>2778</v>
      </c>
      <c r="L685" s="4">
        <v>48</v>
      </c>
      <c r="M685" s="480">
        <v>355</v>
      </c>
      <c r="N685" s="374">
        <v>0.1</v>
      </c>
      <c r="O685" s="480">
        <v>323</v>
      </c>
      <c r="P685" s="480">
        <v>381</v>
      </c>
      <c r="Q685" s="480">
        <v>18288</v>
      </c>
      <c r="R685" s="26">
        <v>43887</v>
      </c>
      <c r="S685" s="4" t="s">
        <v>2050</v>
      </c>
      <c r="T685" s="480">
        <v>18278</v>
      </c>
      <c r="U685" t="s">
        <v>1552</v>
      </c>
      <c r="V685" s="481">
        <v>256</v>
      </c>
      <c r="W685" s="481">
        <v>67</v>
      </c>
      <c r="X685" s="375">
        <v>0.21</v>
      </c>
    </row>
    <row r="686" spans="1:24" x14ac:dyDescent="0.25">
      <c r="A686" s="4">
        <v>332</v>
      </c>
      <c r="B686" s="4" t="s">
        <v>183</v>
      </c>
      <c r="C686" s="6" t="s">
        <v>4773</v>
      </c>
      <c r="D686" s="6" t="s">
        <v>2792</v>
      </c>
      <c r="E686" s="21">
        <v>43887</v>
      </c>
      <c r="F686" s="4" t="s">
        <v>925</v>
      </c>
      <c r="H686" s="4">
        <v>1039581</v>
      </c>
      <c r="I686" s="4">
        <v>4569</v>
      </c>
      <c r="J686" s="4" t="s">
        <v>1175</v>
      </c>
      <c r="K686" s="6" t="s">
        <v>1144</v>
      </c>
      <c r="L686" s="4">
        <v>24</v>
      </c>
      <c r="M686" s="480">
        <v>463</v>
      </c>
      <c r="N686" s="374">
        <v>0.05</v>
      </c>
      <c r="O686" s="480">
        <v>441</v>
      </c>
      <c r="P686" s="480">
        <v>523</v>
      </c>
      <c r="Q686" s="480">
        <v>12552</v>
      </c>
      <c r="R686" s="26">
        <v>43887</v>
      </c>
      <c r="S686" s="4" t="s">
        <v>2050</v>
      </c>
      <c r="T686" s="480">
        <v>315023</v>
      </c>
      <c r="U686" t="s">
        <v>2755</v>
      </c>
      <c r="V686" s="481">
        <v>334</v>
      </c>
      <c r="W686" s="481">
        <v>107</v>
      </c>
      <c r="X686" s="375">
        <v>0.24</v>
      </c>
    </row>
    <row r="687" spans="1:24" x14ac:dyDescent="0.25">
      <c r="A687" s="4">
        <v>332</v>
      </c>
      <c r="B687" s="4" t="s">
        <v>4320</v>
      </c>
      <c r="C687" s="6" t="s">
        <v>4843</v>
      </c>
      <c r="D687" s="6" t="s">
        <v>119</v>
      </c>
      <c r="E687" s="21">
        <v>43887</v>
      </c>
      <c r="F687" s="4" t="s">
        <v>925</v>
      </c>
      <c r="H687" s="4">
        <v>1039581</v>
      </c>
      <c r="I687" s="4">
        <v>4569</v>
      </c>
      <c r="J687" s="4" t="s">
        <v>1175</v>
      </c>
      <c r="K687" s="6" t="s">
        <v>1144</v>
      </c>
      <c r="L687" s="4">
        <v>12</v>
      </c>
      <c r="M687" s="480">
        <v>2265</v>
      </c>
      <c r="N687" s="374">
        <v>0.01</v>
      </c>
      <c r="O687" s="480">
        <v>2249</v>
      </c>
      <c r="P687" s="480">
        <v>2675</v>
      </c>
      <c r="Q687" s="480">
        <v>32100</v>
      </c>
      <c r="R687" s="26">
        <v>43887</v>
      </c>
      <c r="S687" s="4" t="s">
        <v>2050</v>
      </c>
      <c r="T687" s="480">
        <v>315023</v>
      </c>
      <c r="U687" t="s">
        <v>1626</v>
      </c>
      <c r="V687" s="481">
        <v>1635</v>
      </c>
      <c r="W687" s="481">
        <v>614</v>
      </c>
      <c r="X687" s="375">
        <v>0.27</v>
      </c>
    </row>
    <row r="688" spans="1:24" x14ac:dyDescent="0.25">
      <c r="A688" s="4">
        <v>332</v>
      </c>
      <c r="B688" s="4" t="s">
        <v>2408</v>
      </c>
      <c r="C688" s="6" t="s">
        <v>2415</v>
      </c>
      <c r="D688" s="6" t="s">
        <v>426</v>
      </c>
      <c r="E688" s="21">
        <v>43887</v>
      </c>
      <c r="F688" s="4" t="s">
        <v>925</v>
      </c>
      <c r="H688" s="4">
        <v>1039581</v>
      </c>
      <c r="I688" s="4">
        <v>4569</v>
      </c>
      <c r="J688" s="4" t="s">
        <v>1175</v>
      </c>
      <c r="K688" s="6" t="s">
        <v>1144</v>
      </c>
      <c r="L688" s="4">
        <v>12</v>
      </c>
      <c r="M688" s="480">
        <v>1654</v>
      </c>
      <c r="N688" s="374">
        <v>-0.2</v>
      </c>
      <c r="O688" s="480">
        <v>2076</v>
      </c>
      <c r="P688" s="480">
        <v>2368</v>
      </c>
      <c r="Q688" s="480">
        <v>28416</v>
      </c>
      <c r="R688" s="26">
        <v>43887</v>
      </c>
      <c r="S688" s="4" t="s">
        <v>2050</v>
      </c>
      <c r="T688" s="480">
        <v>315023</v>
      </c>
      <c r="U688" t="s">
        <v>1561</v>
      </c>
      <c r="V688" s="481">
        <v>1194</v>
      </c>
      <c r="W688" s="481">
        <v>882</v>
      </c>
      <c r="X688" s="375">
        <v>0.42</v>
      </c>
    </row>
    <row r="689" spans="1:24" x14ac:dyDescent="0.25">
      <c r="A689" s="4">
        <v>332</v>
      </c>
      <c r="B689" s="4" t="s">
        <v>5000</v>
      </c>
      <c r="C689" s="6" t="s">
        <v>5341</v>
      </c>
      <c r="D689" s="6" t="s">
        <v>4980</v>
      </c>
      <c r="E689" s="21">
        <v>43887</v>
      </c>
      <c r="F689" s="4" t="s">
        <v>925</v>
      </c>
      <c r="H689" s="4">
        <v>1039581</v>
      </c>
      <c r="I689" s="4">
        <v>4569</v>
      </c>
      <c r="J689" s="4" t="s">
        <v>1175</v>
      </c>
      <c r="K689" s="6" t="s">
        <v>1144</v>
      </c>
      <c r="L689" s="4">
        <v>12</v>
      </c>
      <c r="M689" s="480">
        <v>987</v>
      </c>
      <c r="N689" s="374">
        <v>0.13</v>
      </c>
      <c r="O689" s="480">
        <v>875</v>
      </c>
      <c r="P689" s="480">
        <v>1024</v>
      </c>
      <c r="Q689" s="480">
        <v>12288</v>
      </c>
      <c r="R689" s="26">
        <v>43887</v>
      </c>
      <c r="S689" s="4" t="s">
        <v>2050</v>
      </c>
      <c r="T689" s="480">
        <v>315023</v>
      </c>
      <c r="U689" t="s">
        <v>4977</v>
      </c>
      <c r="V689" s="481">
        <v>682</v>
      </c>
      <c r="W689" s="481">
        <v>193</v>
      </c>
      <c r="X689" s="375">
        <v>0.22</v>
      </c>
    </row>
    <row r="690" spans="1:24" x14ac:dyDescent="0.25">
      <c r="A690" s="4">
        <v>332</v>
      </c>
      <c r="B690" s="4" t="s">
        <v>5009</v>
      </c>
      <c r="C690" s="6" t="s">
        <v>5010</v>
      </c>
      <c r="D690" s="6" t="s">
        <v>4980</v>
      </c>
      <c r="E690" s="21">
        <v>43887</v>
      </c>
      <c r="F690" s="4" t="s">
        <v>925</v>
      </c>
      <c r="H690" s="4">
        <v>1039581</v>
      </c>
      <c r="I690" s="4">
        <v>4569</v>
      </c>
      <c r="J690" s="4" t="s">
        <v>1175</v>
      </c>
      <c r="K690" s="6" t="s">
        <v>1144</v>
      </c>
      <c r="L690" s="4">
        <v>12</v>
      </c>
      <c r="M690" s="480">
        <v>741</v>
      </c>
      <c r="N690" s="374">
        <v>0.11</v>
      </c>
      <c r="O690" s="480">
        <v>666</v>
      </c>
      <c r="P690" s="480">
        <v>782</v>
      </c>
      <c r="Q690" s="480">
        <v>9384</v>
      </c>
      <c r="R690" s="26">
        <v>43887</v>
      </c>
      <c r="S690" s="4" t="s">
        <v>2050</v>
      </c>
      <c r="T690" s="480">
        <v>315023</v>
      </c>
      <c r="U690" t="s">
        <v>4977</v>
      </c>
      <c r="V690" s="481">
        <v>512</v>
      </c>
      <c r="W690" s="481">
        <v>154</v>
      </c>
      <c r="X690" s="375">
        <v>0.23</v>
      </c>
    </row>
    <row r="691" spans="1:24" x14ac:dyDescent="0.25">
      <c r="A691" s="4">
        <v>331</v>
      </c>
      <c r="B691" s="4" t="s">
        <v>5005</v>
      </c>
      <c r="C691" s="6" t="s">
        <v>5006</v>
      </c>
      <c r="D691" s="6" t="s">
        <v>4980</v>
      </c>
      <c r="E691" s="21">
        <v>43887</v>
      </c>
      <c r="F691" s="4" t="s">
        <v>925</v>
      </c>
      <c r="H691" s="4">
        <v>1039582</v>
      </c>
      <c r="I691" s="4">
        <v>4568</v>
      </c>
      <c r="J691" s="4" t="s">
        <v>1175</v>
      </c>
      <c r="K691" s="6" t="s">
        <v>1144</v>
      </c>
      <c r="L691" s="4">
        <v>24</v>
      </c>
      <c r="M691" s="480">
        <v>385</v>
      </c>
      <c r="N691" s="374">
        <v>-0.01</v>
      </c>
      <c r="O691" s="480">
        <v>389</v>
      </c>
      <c r="P691" s="480">
        <v>463</v>
      </c>
      <c r="Q691" s="480">
        <v>11112</v>
      </c>
      <c r="R691" s="26">
        <v>43887</v>
      </c>
      <c r="S691" s="4" t="s">
        <v>2050</v>
      </c>
      <c r="T691" s="480">
        <v>133154</v>
      </c>
      <c r="U691" t="s">
        <v>4977</v>
      </c>
      <c r="V691" s="481">
        <v>266</v>
      </c>
      <c r="W691" s="481">
        <v>123</v>
      </c>
      <c r="X691" s="375">
        <v>0.32</v>
      </c>
    </row>
    <row r="692" spans="1:24" x14ac:dyDescent="0.25">
      <c r="A692" s="4">
        <v>331</v>
      </c>
      <c r="B692" s="4" t="s">
        <v>4568</v>
      </c>
      <c r="C692" s="6" t="s">
        <v>4569</v>
      </c>
      <c r="D692" s="6" t="s">
        <v>4570</v>
      </c>
      <c r="E692" s="21">
        <v>43887</v>
      </c>
      <c r="F692" s="4" t="s">
        <v>925</v>
      </c>
      <c r="H692" s="4">
        <v>1039582</v>
      </c>
      <c r="I692" s="4">
        <v>4568</v>
      </c>
      <c r="J692" s="4" t="s">
        <v>1175</v>
      </c>
      <c r="K692" s="6" t="s">
        <v>1144</v>
      </c>
      <c r="L692" s="4">
        <v>15</v>
      </c>
      <c r="M692" s="480">
        <v>817</v>
      </c>
      <c r="N692" s="374">
        <v>-0.01</v>
      </c>
      <c r="O692" s="480">
        <v>828</v>
      </c>
      <c r="P692" s="480">
        <v>985</v>
      </c>
      <c r="Q692" s="480">
        <v>14775</v>
      </c>
      <c r="R692" s="26">
        <v>43887</v>
      </c>
      <c r="S692" s="4" t="s">
        <v>2050</v>
      </c>
      <c r="T692" s="480">
        <v>133154</v>
      </c>
      <c r="U692" t="s">
        <v>1563</v>
      </c>
      <c r="V692" s="481">
        <v>590</v>
      </c>
      <c r="W692" s="481">
        <v>238</v>
      </c>
      <c r="X692" s="375">
        <v>0.28999999999999998</v>
      </c>
    </row>
    <row r="693" spans="1:24" x14ac:dyDescent="0.25">
      <c r="A693" s="4">
        <v>331</v>
      </c>
      <c r="B693" s="4" t="s">
        <v>38</v>
      </c>
      <c r="C693" s="6" t="s">
        <v>2856</v>
      </c>
      <c r="D693" s="6" t="s">
        <v>1693</v>
      </c>
      <c r="E693" s="21">
        <v>43887</v>
      </c>
      <c r="F693" s="4" t="s">
        <v>925</v>
      </c>
      <c r="H693" s="4">
        <v>1039582</v>
      </c>
      <c r="I693" s="4">
        <v>4568</v>
      </c>
      <c r="J693" s="4" t="s">
        <v>1175</v>
      </c>
      <c r="K693" s="6" t="s">
        <v>1144</v>
      </c>
      <c r="L693" s="4">
        <v>10</v>
      </c>
      <c r="M693" s="480">
        <v>3248</v>
      </c>
      <c r="N693" s="374">
        <v>0.04</v>
      </c>
      <c r="O693" s="480">
        <v>3110</v>
      </c>
      <c r="P693" s="480">
        <v>3693</v>
      </c>
      <c r="Q693" s="480">
        <v>36930</v>
      </c>
      <c r="R693" s="26">
        <v>43887</v>
      </c>
      <c r="S693" s="4" t="s">
        <v>2050</v>
      </c>
      <c r="T693" s="480">
        <v>133154</v>
      </c>
      <c r="U693" t="s">
        <v>1563</v>
      </c>
      <c r="V693" s="481">
        <v>2345</v>
      </c>
      <c r="W693" s="481">
        <v>765</v>
      </c>
      <c r="X693" s="375">
        <v>0.25</v>
      </c>
    </row>
    <row r="694" spans="1:24" x14ac:dyDescent="0.25">
      <c r="A694" s="4">
        <v>331</v>
      </c>
      <c r="B694" s="4" t="s">
        <v>4988</v>
      </c>
      <c r="C694" s="6" t="s">
        <v>4989</v>
      </c>
      <c r="D694" s="6" t="s">
        <v>4990</v>
      </c>
      <c r="E694" s="21">
        <v>43887</v>
      </c>
      <c r="F694" s="4" t="s">
        <v>925</v>
      </c>
      <c r="H694" s="4">
        <v>1039582</v>
      </c>
      <c r="I694" s="4">
        <v>4568</v>
      </c>
      <c r="J694" s="4" t="s">
        <v>1175</v>
      </c>
      <c r="K694" s="6" t="s">
        <v>1144</v>
      </c>
      <c r="L694" s="4">
        <v>24</v>
      </c>
      <c r="M694" s="480">
        <v>418</v>
      </c>
      <c r="N694" s="374">
        <v>0.13</v>
      </c>
      <c r="O694" s="480">
        <v>371</v>
      </c>
      <c r="P694" s="480">
        <v>434</v>
      </c>
      <c r="Q694" s="480">
        <v>10416</v>
      </c>
      <c r="R694" s="26">
        <v>43887</v>
      </c>
      <c r="S694" s="4" t="s">
        <v>2050</v>
      </c>
      <c r="T694" s="480">
        <v>133154</v>
      </c>
      <c r="U694" t="s">
        <v>4977</v>
      </c>
      <c r="V694" s="481">
        <v>289</v>
      </c>
      <c r="W694" s="481">
        <v>82</v>
      </c>
      <c r="X694" s="375">
        <v>0.22</v>
      </c>
    </row>
    <row r="695" spans="1:24" x14ac:dyDescent="0.25">
      <c r="A695" s="4">
        <v>331</v>
      </c>
      <c r="B695" s="4" t="s">
        <v>4981</v>
      </c>
      <c r="C695" s="6" t="s">
        <v>4982</v>
      </c>
      <c r="D695" s="6" t="s">
        <v>4980</v>
      </c>
      <c r="E695" s="21">
        <v>43887</v>
      </c>
      <c r="F695" s="4" t="s">
        <v>925</v>
      </c>
      <c r="H695" s="4">
        <v>1039582</v>
      </c>
      <c r="I695" s="4">
        <v>4568</v>
      </c>
      <c r="J695" s="4" t="s">
        <v>1175</v>
      </c>
      <c r="K695" s="6" t="s">
        <v>1144</v>
      </c>
      <c r="L695" s="4">
        <v>12</v>
      </c>
      <c r="M695" s="480">
        <v>637</v>
      </c>
      <c r="N695" s="374">
        <v>0.12</v>
      </c>
      <c r="O695" s="480">
        <v>566</v>
      </c>
      <c r="P695" s="480">
        <v>663</v>
      </c>
      <c r="Q695" s="480">
        <v>7956</v>
      </c>
      <c r="R695" s="26">
        <v>43887</v>
      </c>
      <c r="S695" s="4" t="s">
        <v>2050</v>
      </c>
      <c r="T695" s="480">
        <v>133154</v>
      </c>
      <c r="U695" t="s">
        <v>4977</v>
      </c>
      <c r="V695" s="481">
        <v>440</v>
      </c>
      <c r="W695" s="481">
        <v>126</v>
      </c>
      <c r="X695" s="375">
        <v>0.22</v>
      </c>
    </row>
    <row r="696" spans="1:24" x14ac:dyDescent="0.25">
      <c r="A696" s="4">
        <v>331</v>
      </c>
      <c r="B696" s="4" t="s">
        <v>4986</v>
      </c>
      <c r="C696" s="6" t="s">
        <v>4987</v>
      </c>
      <c r="D696" s="6" t="s">
        <v>4980</v>
      </c>
      <c r="E696" s="21">
        <v>43887</v>
      </c>
      <c r="F696" s="4" t="s">
        <v>925</v>
      </c>
      <c r="H696" s="4">
        <v>1039582</v>
      </c>
      <c r="I696" s="4">
        <v>4568</v>
      </c>
      <c r="J696" s="4" t="s">
        <v>1175</v>
      </c>
      <c r="K696" s="6" t="s">
        <v>1144</v>
      </c>
      <c r="L696" s="4">
        <v>24</v>
      </c>
      <c r="M696" s="480">
        <v>418</v>
      </c>
      <c r="N696" s="374">
        <v>0.13</v>
      </c>
      <c r="O696" s="480">
        <v>371</v>
      </c>
      <c r="P696" s="480">
        <v>434</v>
      </c>
      <c r="Q696" s="480">
        <v>10416</v>
      </c>
      <c r="R696" s="26">
        <v>43887</v>
      </c>
      <c r="S696" s="4" t="s">
        <v>2050</v>
      </c>
      <c r="T696" s="480">
        <v>133154</v>
      </c>
      <c r="U696" t="s">
        <v>4977</v>
      </c>
      <c r="V696" s="481">
        <v>252</v>
      </c>
      <c r="W696" s="481">
        <v>119</v>
      </c>
      <c r="X696" s="375">
        <v>0.32</v>
      </c>
    </row>
    <row r="697" spans="1:24" x14ac:dyDescent="0.25">
      <c r="A697" s="4">
        <v>349</v>
      </c>
      <c r="B697" s="4" t="s">
        <v>5175</v>
      </c>
      <c r="C697" s="6" t="s">
        <v>5176</v>
      </c>
      <c r="D697" s="6" t="s">
        <v>5177</v>
      </c>
      <c r="E697" s="21">
        <v>43889</v>
      </c>
      <c r="F697" s="4" t="s">
        <v>925</v>
      </c>
      <c r="H697" s="4">
        <v>1039734</v>
      </c>
      <c r="I697" s="4">
        <v>4586</v>
      </c>
      <c r="J697" s="4" t="s">
        <v>1175</v>
      </c>
      <c r="K697" s="6" t="s">
        <v>1144</v>
      </c>
      <c r="L697" s="4">
        <v>300</v>
      </c>
      <c r="M697" s="485">
        <v>1312</v>
      </c>
      <c r="N697" s="374">
        <v>-0.02</v>
      </c>
      <c r="O697" s="485">
        <v>1336</v>
      </c>
      <c r="P697" s="485">
        <v>1590</v>
      </c>
      <c r="Q697" s="485">
        <v>477000</v>
      </c>
      <c r="R697" s="26">
        <v>43891</v>
      </c>
      <c r="S697" s="4" t="s">
        <v>2050</v>
      </c>
      <c r="T697" s="485">
        <v>477000</v>
      </c>
      <c r="U697" t="s">
        <v>4934</v>
      </c>
      <c r="V697" s="486">
        <v>900</v>
      </c>
      <c r="W697" s="486">
        <v>436</v>
      </c>
      <c r="X697" s="375">
        <v>0.33</v>
      </c>
    </row>
    <row r="698" spans="1:24" x14ac:dyDescent="0.25">
      <c r="A698" s="4">
        <v>345</v>
      </c>
      <c r="B698" s="4" t="s">
        <v>2250</v>
      </c>
      <c r="C698" s="6" t="s">
        <v>2249</v>
      </c>
      <c r="D698" s="6" t="s">
        <v>1638</v>
      </c>
      <c r="E698" s="21">
        <v>43889</v>
      </c>
      <c r="F698" s="4" t="s">
        <v>1461</v>
      </c>
      <c r="H698" s="4">
        <v>6551</v>
      </c>
      <c r="I698" s="4">
        <v>4582</v>
      </c>
      <c r="J698" s="4" t="s">
        <v>1204</v>
      </c>
      <c r="K698" s="6" t="s">
        <v>1052</v>
      </c>
      <c r="L698" s="4">
        <v>4</v>
      </c>
      <c r="M698" s="485">
        <v>3193</v>
      </c>
      <c r="N698" s="519" t="s">
        <v>2886</v>
      </c>
      <c r="O698" s="485">
        <v>3193</v>
      </c>
      <c r="P698" s="485">
        <v>3800</v>
      </c>
      <c r="Q698" s="485">
        <v>15200</v>
      </c>
      <c r="R698" s="26">
        <v>43889</v>
      </c>
      <c r="S698" s="4" t="s">
        <v>1501</v>
      </c>
      <c r="T698" s="485">
        <v>36500</v>
      </c>
      <c r="U698" t="s">
        <v>1545</v>
      </c>
      <c r="V698" s="486">
        <v>2100</v>
      </c>
      <c r="W698" s="486">
        <v>1093</v>
      </c>
      <c r="X698" s="375">
        <v>0.34</v>
      </c>
    </row>
    <row r="699" spans="1:24" x14ac:dyDescent="0.25">
      <c r="A699" s="4">
        <v>345</v>
      </c>
      <c r="B699" s="4" t="s">
        <v>1971</v>
      </c>
      <c r="C699" s="6" t="s">
        <v>5111</v>
      </c>
      <c r="D699" s="6" t="s">
        <v>1504</v>
      </c>
      <c r="E699" s="21">
        <v>43889</v>
      </c>
      <c r="F699" s="4" t="s">
        <v>1461</v>
      </c>
      <c r="H699" s="4">
        <v>6551</v>
      </c>
      <c r="I699" s="4">
        <v>4582</v>
      </c>
      <c r="J699" s="4" t="s">
        <v>1204</v>
      </c>
      <c r="K699" s="6" t="s">
        <v>1052</v>
      </c>
      <c r="L699" s="4">
        <v>1</v>
      </c>
      <c r="M699" s="485">
        <v>4958</v>
      </c>
      <c r="N699" s="519" t="s">
        <v>2886</v>
      </c>
      <c r="O699" s="485">
        <v>4958</v>
      </c>
      <c r="P699" s="485">
        <v>5900</v>
      </c>
      <c r="Q699" s="485">
        <v>5900</v>
      </c>
      <c r="R699" s="26">
        <v>43889</v>
      </c>
      <c r="S699" s="4" t="s">
        <v>1501</v>
      </c>
      <c r="T699" s="485">
        <v>36500</v>
      </c>
      <c r="U699" t="s">
        <v>1545</v>
      </c>
      <c r="V699" s="486">
        <v>3624</v>
      </c>
      <c r="W699" s="486">
        <v>1334</v>
      </c>
      <c r="X699" s="375">
        <v>0.27</v>
      </c>
    </row>
    <row r="700" spans="1:24" x14ac:dyDescent="0.25">
      <c r="A700" s="4">
        <v>345</v>
      </c>
      <c r="B700" s="4" t="s">
        <v>1515</v>
      </c>
      <c r="C700" s="6" t="s">
        <v>1652</v>
      </c>
      <c r="D700" s="6" t="s">
        <v>1638</v>
      </c>
      <c r="E700" s="21">
        <v>43889</v>
      </c>
      <c r="F700" s="4" t="s">
        <v>1461</v>
      </c>
      <c r="H700" s="4">
        <v>6551</v>
      </c>
      <c r="I700" s="4">
        <v>4582</v>
      </c>
      <c r="J700" s="4" t="s">
        <v>1204</v>
      </c>
      <c r="K700" s="6" t="s">
        <v>1052</v>
      </c>
      <c r="L700" s="4">
        <v>2</v>
      </c>
      <c r="M700" s="485">
        <v>4874</v>
      </c>
      <c r="N700" s="519" t="s">
        <v>2886</v>
      </c>
      <c r="O700" s="485">
        <v>4874</v>
      </c>
      <c r="P700" s="485">
        <v>5800</v>
      </c>
      <c r="Q700" s="485">
        <v>11600</v>
      </c>
      <c r="R700" s="26">
        <v>43889</v>
      </c>
      <c r="S700" s="4" t="s">
        <v>1501</v>
      </c>
      <c r="T700" s="485">
        <v>36500</v>
      </c>
      <c r="U700" t="s">
        <v>1545</v>
      </c>
      <c r="V700" s="486">
        <v>2400</v>
      </c>
      <c r="W700" s="486">
        <v>2474</v>
      </c>
      <c r="X700" s="375">
        <v>0.51</v>
      </c>
    </row>
    <row r="701" spans="1:24" x14ac:dyDescent="0.25">
      <c r="A701" s="4">
        <v>345</v>
      </c>
      <c r="B701" s="4" t="s">
        <v>1503</v>
      </c>
      <c r="C701" s="6" t="s">
        <v>1972</v>
      </c>
      <c r="D701" s="6" t="s">
        <v>1638</v>
      </c>
      <c r="E701" s="21">
        <v>43889</v>
      </c>
      <c r="F701" s="4" t="s">
        <v>1461</v>
      </c>
      <c r="H701" s="4">
        <v>6551</v>
      </c>
      <c r="I701" s="4">
        <v>4582</v>
      </c>
      <c r="J701" s="4" t="s">
        <v>1204</v>
      </c>
      <c r="K701" s="6" t="s">
        <v>1052</v>
      </c>
      <c r="L701" s="4">
        <v>1</v>
      </c>
      <c r="M701" s="485">
        <v>3193</v>
      </c>
      <c r="N701" s="519" t="s">
        <v>2886</v>
      </c>
      <c r="O701" s="485">
        <v>3193</v>
      </c>
      <c r="P701" s="485">
        <v>3800</v>
      </c>
      <c r="Q701" s="485">
        <v>3800</v>
      </c>
      <c r="R701" s="26">
        <v>43889</v>
      </c>
      <c r="S701" s="4" t="s">
        <v>1501</v>
      </c>
      <c r="T701" s="485">
        <v>36500</v>
      </c>
      <c r="U701" t="s">
        <v>1545</v>
      </c>
      <c r="V701" s="486">
        <v>2200</v>
      </c>
      <c r="W701" s="486">
        <v>993</v>
      </c>
      <c r="X701" s="375">
        <v>0.31</v>
      </c>
    </row>
    <row r="702" spans="1:24" x14ac:dyDescent="0.25">
      <c r="A702" s="4">
        <v>347</v>
      </c>
      <c r="B702" s="4" t="s">
        <v>838</v>
      </c>
      <c r="C702" s="6" t="s">
        <v>2062</v>
      </c>
      <c r="D702" s="6" t="s">
        <v>840</v>
      </c>
      <c r="E702" s="21">
        <v>43889</v>
      </c>
      <c r="F702" s="4" t="s">
        <v>1461</v>
      </c>
      <c r="H702" s="4">
        <v>6650</v>
      </c>
      <c r="I702" s="4">
        <v>4584</v>
      </c>
      <c r="J702" s="4" t="s">
        <v>4953</v>
      </c>
      <c r="K702" s="6" t="s">
        <v>4954</v>
      </c>
      <c r="L702" s="4">
        <v>1</v>
      </c>
      <c r="M702" s="485">
        <v>16555</v>
      </c>
      <c r="N702" s="519" t="s">
        <v>2886</v>
      </c>
      <c r="O702" s="485">
        <v>16555</v>
      </c>
      <c r="P702" s="485">
        <v>19700</v>
      </c>
      <c r="Q702" s="485">
        <v>19700</v>
      </c>
      <c r="R702" s="26">
        <v>43889</v>
      </c>
      <c r="S702" s="4" t="s">
        <v>1501</v>
      </c>
      <c r="T702" s="485">
        <v>19700</v>
      </c>
      <c r="U702" t="s">
        <v>1572</v>
      </c>
      <c r="V702" s="486">
        <v>12429</v>
      </c>
      <c r="W702" s="486">
        <v>4126</v>
      </c>
      <c r="X702" s="375">
        <v>0.25</v>
      </c>
    </row>
    <row r="703" spans="1:24" x14ac:dyDescent="0.25">
      <c r="A703" s="4">
        <v>342</v>
      </c>
      <c r="B703" s="4" t="s">
        <v>5817</v>
      </c>
      <c r="C703" s="6" t="s">
        <v>5818</v>
      </c>
      <c r="D703" s="6" t="s">
        <v>23</v>
      </c>
      <c r="E703" s="21">
        <v>43889</v>
      </c>
      <c r="F703" s="4" t="s">
        <v>925</v>
      </c>
      <c r="H703" s="4" t="s">
        <v>2528</v>
      </c>
      <c r="I703" s="4">
        <v>4579</v>
      </c>
      <c r="J703" s="4" t="s">
        <v>1180</v>
      </c>
      <c r="K703" s="6" t="s">
        <v>1048</v>
      </c>
      <c r="L703" s="4">
        <v>40</v>
      </c>
      <c r="M703" s="485">
        <v>2409</v>
      </c>
      <c r="N703" s="374">
        <v>0.1</v>
      </c>
      <c r="O703" s="485">
        <v>2195</v>
      </c>
      <c r="P703" s="485">
        <v>2587</v>
      </c>
      <c r="Q703" s="485">
        <v>103480</v>
      </c>
      <c r="R703" s="26">
        <v>43889</v>
      </c>
      <c r="S703" s="4" t="s">
        <v>1445</v>
      </c>
      <c r="T703" s="485">
        <v>168921</v>
      </c>
      <c r="U703" t="s">
        <v>2668</v>
      </c>
      <c r="V703" s="486">
        <v>1739</v>
      </c>
      <c r="W703" s="486">
        <v>456</v>
      </c>
      <c r="X703" s="375">
        <v>0.21</v>
      </c>
    </row>
    <row r="704" spans="1:24" x14ac:dyDescent="0.25">
      <c r="A704" s="4">
        <v>342</v>
      </c>
      <c r="B704" s="4" t="s">
        <v>1503</v>
      </c>
      <c r="C704" s="6" t="s">
        <v>1972</v>
      </c>
      <c r="D704" s="6" t="s">
        <v>1638</v>
      </c>
      <c r="E704" s="21">
        <v>43889</v>
      </c>
      <c r="F704" s="4" t="s">
        <v>925</v>
      </c>
      <c r="H704" s="4" t="s">
        <v>2528</v>
      </c>
      <c r="I704" s="4">
        <v>4579</v>
      </c>
      <c r="J704" s="4" t="s">
        <v>1180</v>
      </c>
      <c r="K704" s="6" t="s">
        <v>1048</v>
      </c>
      <c r="L704" s="4">
        <v>20</v>
      </c>
      <c r="M704" s="485">
        <v>3047</v>
      </c>
      <c r="N704" s="374">
        <v>0.1</v>
      </c>
      <c r="O704" s="485">
        <v>2776</v>
      </c>
      <c r="P704" s="485">
        <v>3273</v>
      </c>
      <c r="Q704" s="485">
        <v>65460</v>
      </c>
      <c r="R704" s="26">
        <v>43889</v>
      </c>
      <c r="S704" s="4" t="s">
        <v>1445</v>
      </c>
      <c r="T704" s="485">
        <v>168921</v>
      </c>
      <c r="U704" t="s">
        <v>1545</v>
      </c>
      <c r="V704" s="486">
        <v>2200</v>
      </c>
      <c r="W704" s="486">
        <v>576</v>
      </c>
      <c r="X704" s="375">
        <v>0.21</v>
      </c>
    </row>
    <row r="705" spans="1:24" x14ac:dyDescent="0.25">
      <c r="A705" s="4">
        <v>348</v>
      </c>
      <c r="B705" s="4" t="s">
        <v>656</v>
      </c>
      <c r="C705" s="6" t="s">
        <v>1973</v>
      </c>
      <c r="D705" s="6" t="s">
        <v>794</v>
      </c>
      <c r="E705" s="21">
        <v>43889</v>
      </c>
      <c r="F705" s="4" t="s">
        <v>1461</v>
      </c>
      <c r="H705" s="4">
        <v>6651</v>
      </c>
      <c r="I705" s="4">
        <v>4585</v>
      </c>
      <c r="J705" s="4" t="s">
        <v>5564</v>
      </c>
      <c r="K705" s="6" t="s">
        <v>5565</v>
      </c>
      <c r="L705" s="4">
        <v>1</v>
      </c>
      <c r="M705" s="485">
        <v>19328</v>
      </c>
      <c r="N705" s="519" t="s">
        <v>2886</v>
      </c>
      <c r="O705" s="485">
        <v>19328</v>
      </c>
      <c r="P705" s="485">
        <v>23000</v>
      </c>
      <c r="Q705" s="485">
        <v>23000</v>
      </c>
      <c r="R705" s="26">
        <v>43889</v>
      </c>
      <c r="S705" s="4" t="s">
        <v>1501</v>
      </c>
      <c r="T705" s="485">
        <v>23000</v>
      </c>
      <c r="U705" t="s">
        <v>1551</v>
      </c>
      <c r="V705" s="486">
        <v>14604</v>
      </c>
      <c r="W705" s="486">
        <v>4724</v>
      </c>
      <c r="X705" s="375">
        <v>0.24</v>
      </c>
    </row>
    <row r="706" spans="1:24" x14ac:dyDescent="0.25">
      <c r="A706" s="4">
        <v>346</v>
      </c>
      <c r="B706" s="4" t="s">
        <v>830</v>
      </c>
      <c r="C706" s="6" t="s">
        <v>2495</v>
      </c>
      <c r="D706" s="6" t="s">
        <v>837</v>
      </c>
      <c r="E706" s="21">
        <v>43889</v>
      </c>
      <c r="F706" s="4" t="s">
        <v>1461</v>
      </c>
      <c r="H706" s="4">
        <v>6649</v>
      </c>
      <c r="I706" s="4">
        <v>4583</v>
      </c>
      <c r="J706" s="4" t="s">
        <v>4542</v>
      </c>
      <c r="K706" s="6" t="s">
        <v>4543</v>
      </c>
      <c r="L706" s="4">
        <v>3</v>
      </c>
      <c r="M706" s="485">
        <v>13866</v>
      </c>
      <c r="N706" s="519" t="s">
        <v>2886</v>
      </c>
      <c r="O706" s="485">
        <v>13866</v>
      </c>
      <c r="P706" s="485">
        <v>16500</v>
      </c>
      <c r="Q706" s="485">
        <v>49500</v>
      </c>
      <c r="R706" s="26">
        <v>43889</v>
      </c>
      <c r="S706" s="4" t="s">
        <v>1501</v>
      </c>
      <c r="T706" s="485">
        <v>49500</v>
      </c>
      <c r="U706" t="s">
        <v>1572</v>
      </c>
      <c r="V706" s="486">
        <v>10390</v>
      </c>
      <c r="W706" s="486">
        <v>3476</v>
      </c>
      <c r="X706" s="375">
        <v>0.25</v>
      </c>
    </row>
    <row r="707" spans="1:24" x14ac:dyDescent="0.25">
      <c r="A707" s="4">
        <v>343</v>
      </c>
      <c r="B707" s="4" t="s">
        <v>5175</v>
      </c>
      <c r="C707" s="6" t="s">
        <v>5176</v>
      </c>
      <c r="D707" s="6" t="s">
        <v>5177</v>
      </c>
      <c r="E707" s="21">
        <v>43889</v>
      </c>
      <c r="F707" s="4" t="s">
        <v>925</v>
      </c>
      <c r="H707" s="4" t="s">
        <v>2528</v>
      </c>
      <c r="I707" s="4">
        <v>4580</v>
      </c>
      <c r="J707" s="4" t="s">
        <v>4907</v>
      </c>
      <c r="K707" s="6" t="s">
        <v>4908</v>
      </c>
      <c r="L707" s="4">
        <v>60</v>
      </c>
      <c r="M707" s="485">
        <v>1312</v>
      </c>
      <c r="N707" s="374">
        <v>0.13</v>
      </c>
      <c r="O707" s="485">
        <v>1161</v>
      </c>
      <c r="P707" s="485">
        <v>1359</v>
      </c>
      <c r="Q707" s="485">
        <v>81540</v>
      </c>
      <c r="R707" s="26">
        <v>43889</v>
      </c>
      <c r="S707" s="4" t="s">
        <v>1445</v>
      </c>
      <c r="T707" s="485">
        <v>81540</v>
      </c>
      <c r="U707" t="s">
        <v>4934</v>
      </c>
      <c r="V707" s="486">
        <v>900</v>
      </c>
      <c r="W707" s="486">
        <v>261</v>
      </c>
      <c r="X707" s="375">
        <v>0.22</v>
      </c>
    </row>
    <row r="708" spans="1:24" x14ac:dyDescent="0.25">
      <c r="A708" s="4">
        <v>344</v>
      </c>
      <c r="B708" s="4" t="s">
        <v>5814</v>
      </c>
      <c r="C708" s="6" t="s">
        <v>5815</v>
      </c>
      <c r="D708" s="6" t="s">
        <v>5816</v>
      </c>
      <c r="E708" s="21">
        <v>43889</v>
      </c>
      <c r="F708" s="4" t="s">
        <v>925</v>
      </c>
      <c r="H708" s="4" t="s">
        <v>2528</v>
      </c>
      <c r="I708" s="4">
        <v>4581</v>
      </c>
      <c r="J708" s="4" t="s">
        <v>3460</v>
      </c>
      <c r="K708" s="6" t="s">
        <v>3461</v>
      </c>
      <c r="L708" s="4">
        <v>3</v>
      </c>
      <c r="M708" s="489">
        <v>10249</v>
      </c>
      <c r="N708" s="374">
        <v>0.1</v>
      </c>
      <c r="O708" s="489">
        <v>9338</v>
      </c>
      <c r="P708" s="489">
        <v>11008</v>
      </c>
      <c r="Q708" s="489">
        <v>33024</v>
      </c>
      <c r="R708" s="26">
        <v>43889</v>
      </c>
      <c r="S708" s="4" t="s">
        <v>1501</v>
      </c>
      <c r="T708" s="489">
        <v>32692</v>
      </c>
      <c r="U708" t="s">
        <v>5811</v>
      </c>
      <c r="V708" s="490">
        <v>7400</v>
      </c>
      <c r="W708" s="490">
        <v>1938</v>
      </c>
      <c r="X708" s="375">
        <v>0.21</v>
      </c>
    </row>
    <row r="709" spans="1:24" x14ac:dyDescent="0.25">
      <c r="A709" s="4">
        <v>351</v>
      </c>
      <c r="B709" s="4" t="s">
        <v>830</v>
      </c>
      <c r="C709" s="6" t="s">
        <v>2495</v>
      </c>
      <c r="D709" s="6" t="s">
        <v>837</v>
      </c>
      <c r="E709" s="21">
        <v>43890</v>
      </c>
      <c r="F709" s="4" t="s">
        <v>1461</v>
      </c>
      <c r="H709" s="4">
        <v>6652</v>
      </c>
      <c r="I709" s="4">
        <v>4588</v>
      </c>
      <c r="J709" s="4" t="s">
        <v>5154</v>
      </c>
      <c r="K709" s="6" t="s">
        <v>5155</v>
      </c>
      <c r="L709" s="4">
        <v>1</v>
      </c>
      <c r="M709" s="489">
        <v>13866</v>
      </c>
      <c r="N709" s="519" t="s">
        <v>2886</v>
      </c>
      <c r="O709" s="489">
        <v>13866</v>
      </c>
      <c r="P709" s="489">
        <v>16500</v>
      </c>
      <c r="Q709" s="489">
        <v>16500</v>
      </c>
      <c r="R709" s="26">
        <v>43890</v>
      </c>
      <c r="S709" s="4" t="s">
        <v>1501</v>
      </c>
      <c r="T709" s="489">
        <v>16500</v>
      </c>
      <c r="U709" t="s">
        <v>1572</v>
      </c>
      <c r="V709" s="490">
        <v>10390</v>
      </c>
      <c r="W709" s="490">
        <v>3476</v>
      </c>
      <c r="X709" s="375">
        <v>0.25</v>
      </c>
    </row>
    <row r="710" spans="1:24" x14ac:dyDescent="0.25">
      <c r="A710" s="4">
        <v>352</v>
      </c>
      <c r="B710" s="4" t="s">
        <v>830</v>
      </c>
      <c r="C710" s="6" t="s">
        <v>2495</v>
      </c>
      <c r="D710" s="6" t="s">
        <v>837</v>
      </c>
      <c r="E710" s="21">
        <v>43890</v>
      </c>
      <c r="F710" s="4" t="s">
        <v>1461</v>
      </c>
      <c r="H710" s="4">
        <v>6653</v>
      </c>
      <c r="I710" s="4">
        <v>4589</v>
      </c>
      <c r="J710" s="4" t="s">
        <v>1210</v>
      </c>
      <c r="K710" s="6" t="s">
        <v>1045</v>
      </c>
      <c r="L710" s="4">
        <v>1</v>
      </c>
      <c r="M710" s="489">
        <v>13866</v>
      </c>
      <c r="N710" s="519" t="s">
        <v>2886</v>
      </c>
      <c r="O710" s="489">
        <v>13866</v>
      </c>
      <c r="P710" s="489">
        <v>16500</v>
      </c>
      <c r="Q710" s="489">
        <v>16500</v>
      </c>
      <c r="R710" s="26">
        <v>43890</v>
      </c>
      <c r="S710" s="4" t="s">
        <v>1501</v>
      </c>
      <c r="T710" s="489">
        <v>32100</v>
      </c>
      <c r="U710" t="s">
        <v>1572</v>
      </c>
      <c r="V710" s="490">
        <v>10390</v>
      </c>
      <c r="W710" s="490">
        <v>3476</v>
      </c>
      <c r="X710" s="375">
        <v>0.25</v>
      </c>
    </row>
    <row r="711" spans="1:24" x14ac:dyDescent="0.25">
      <c r="A711" s="4">
        <v>352</v>
      </c>
      <c r="B711" s="4" t="s">
        <v>1473</v>
      </c>
      <c r="C711" s="6" t="s">
        <v>1657</v>
      </c>
      <c r="D711" s="6" t="s">
        <v>1469</v>
      </c>
      <c r="E711" s="21">
        <v>43890</v>
      </c>
      <c r="F711" s="4" t="s">
        <v>1461</v>
      </c>
      <c r="H711" s="4">
        <v>6653</v>
      </c>
      <c r="I711" s="4">
        <v>4589</v>
      </c>
      <c r="J711" s="4" t="s">
        <v>1210</v>
      </c>
      <c r="K711" s="6" t="s">
        <v>1045</v>
      </c>
      <c r="L711" s="4">
        <v>1</v>
      </c>
      <c r="M711" s="489">
        <v>13109</v>
      </c>
      <c r="N711" s="519" t="s">
        <v>2886</v>
      </c>
      <c r="O711" s="489">
        <v>13109</v>
      </c>
      <c r="P711" s="489">
        <v>15600</v>
      </c>
      <c r="Q711" s="489">
        <v>15600</v>
      </c>
      <c r="R711" s="26">
        <v>43890</v>
      </c>
      <c r="S711" s="4" t="s">
        <v>1501</v>
      </c>
      <c r="T711" s="489">
        <v>32100</v>
      </c>
      <c r="U711" t="s">
        <v>1570</v>
      </c>
      <c r="V711" s="490">
        <v>9850</v>
      </c>
      <c r="W711" s="490">
        <v>3259</v>
      </c>
      <c r="X711" s="375">
        <v>0.25</v>
      </c>
    </row>
    <row r="712" spans="1:24" x14ac:dyDescent="0.25">
      <c r="A712" s="4">
        <v>354</v>
      </c>
      <c r="B712" s="4" t="s">
        <v>855</v>
      </c>
      <c r="C712" s="6" t="s">
        <v>2499</v>
      </c>
      <c r="D712" s="6" t="s">
        <v>857</v>
      </c>
      <c r="E712" s="21">
        <v>43890</v>
      </c>
      <c r="F712" s="4" t="s">
        <v>1461</v>
      </c>
      <c r="H712" s="4">
        <v>6655</v>
      </c>
      <c r="I712" s="4">
        <v>4591</v>
      </c>
      <c r="J712" s="4" t="s">
        <v>3236</v>
      </c>
      <c r="K712" s="6" t="s">
        <v>3237</v>
      </c>
      <c r="L712" s="4">
        <v>1</v>
      </c>
      <c r="M712" s="489">
        <v>13277</v>
      </c>
      <c r="N712" s="519" t="s">
        <v>2886</v>
      </c>
      <c r="O712" s="489">
        <v>13277</v>
      </c>
      <c r="P712" s="489">
        <v>15800</v>
      </c>
      <c r="Q712" s="489">
        <v>15800</v>
      </c>
      <c r="R712" s="26">
        <v>43890</v>
      </c>
      <c r="S712" s="4" t="s">
        <v>1501</v>
      </c>
      <c r="T712" s="489">
        <v>15800</v>
      </c>
      <c r="U712" t="s">
        <v>1551</v>
      </c>
      <c r="V712" s="490">
        <v>9975</v>
      </c>
      <c r="W712" s="490">
        <v>3302</v>
      </c>
      <c r="X712" s="375">
        <v>0.25</v>
      </c>
    </row>
    <row r="713" spans="1:24" x14ac:dyDescent="0.25">
      <c r="A713" s="4">
        <v>353</v>
      </c>
      <c r="B713" s="4" t="s">
        <v>855</v>
      </c>
      <c r="C713" s="6" t="s">
        <v>2499</v>
      </c>
      <c r="D713" s="6" t="s">
        <v>857</v>
      </c>
      <c r="E713" s="21">
        <v>43890</v>
      </c>
      <c r="F713" s="4" t="s">
        <v>1461</v>
      </c>
      <c r="H713" s="4">
        <v>6654</v>
      </c>
      <c r="I713" s="4">
        <v>4590</v>
      </c>
      <c r="J713" s="4" t="s">
        <v>5558</v>
      </c>
      <c r="K713" s="6" t="s">
        <v>5559</v>
      </c>
      <c r="L713" s="4">
        <v>1</v>
      </c>
      <c r="M713" s="489">
        <v>13277</v>
      </c>
      <c r="N713" s="519" t="s">
        <v>2886</v>
      </c>
      <c r="O713" s="489">
        <v>13277</v>
      </c>
      <c r="P713" s="489">
        <v>15800</v>
      </c>
      <c r="Q713" s="489">
        <v>15800</v>
      </c>
      <c r="R713" s="26">
        <v>43890</v>
      </c>
      <c r="S713" s="4" t="s">
        <v>1501</v>
      </c>
      <c r="T713" s="489">
        <v>26000</v>
      </c>
      <c r="U713" t="s">
        <v>1551</v>
      </c>
      <c r="V713" s="490">
        <v>9975</v>
      </c>
      <c r="W713" s="490">
        <v>3302</v>
      </c>
      <c r="X713" s="375">
        <v>0.25</v>
      </c>
    </row>
    <row r="714" spans="1:24" x14ac:dyDescent="0.25">
      <c r="A714" s="4">
        <v>353</v>
      </c>
      <c r="B714" s="4" t="s">
        <v>847</v>
      </c>
      <c r="C714" s="6" t="s">
        <v>2201</v>
      </c>
      <c r="D714" s="6" t="s">
        <v>2198</v>
      </c>
      <c r="E714" s="21">
        <v>43890</v>
      </c>
      <c r="F714" s="4" t="s">
        <v>1461</v>
      </c>
      <c r="H714" s="4">
        <v>6654</v>
      </c>
      <c r="I714" s="4">
        <v>4590</v>
      </c>
      <c r="J714" s="4" t="s">
        <v>5558</v>
      </c>
      <c r="K714" s="6" t="s">
        <v>5559</v>
      </c>
      <c r="L714" s="4">
        <v>1</v>
      </c>
      <c r="M714" s="489">
        <v>8571</v>
      </c>
      <c r="N714" s="519" t="s">
        <v>2886</v>
      </c>
      <c r="O714" s="489">
        <v>8571</v>
      </c>
      <c r="P714" s="489">
        <v>10200</v>
      </c>
      <c r="Q714" s="489">
        <v>10200</v>
      </c>
      <c r="R714" s="26">
        <v>43890</v>
      </c>
      <c r="S714" s="4" t="s">
        <v>1501</v>
      </c>
      <c r="T714" s="489">
        <v>26000</v>
      </c>
      <c r="U714" t="s">
        <v>1572</v>
      </c>
      <c r="V714" s="490">
        <v>6436</v>
      </c>
      <c r="W714" s="490">
        <v>2135</v>
      </c>
      <c r="X714" s="375">
        <v>0.25</v>
      </c>
    </row>
    <row r="715" spans="1:24" x14ac:dyDescent="0.25">
      <c r="A715" s="4">
        <v>357</v>
      </c>
      <c r="B715" s="4" t="s">
        <v>838</v>
      </c>
      <c r="C715" s="6" t="s">
        <v>2062</v>
      </c>
      <c r="D715" s="6" t="s">
        <v>840</v>
      </c>
      <c r="E715" s="21">
        <v>43890</v>
      </c>
      <c r="F715" s="4" t="s">
        <v>1461</v>
      </c>
      <c r="H715" s="4">
        <v>6657</v>
      </c>
      <c r="I715" s="4">
        <v>4594</v>
      </c>
      <c r="J715" s="4" t="s">
        <v>5273</v>
      </c>
      <c r="K715" s="6" t="s">
        <v>5274</v>
      </c>
      <c r="L715" s="4">
        <v>1</v>
      </c>
      <c r="M715" s="489">
        <v>16555</v>
      </c>
      <c r="N715" s="519" t="s">
        <v>2886</v>
      </c>
      <c r="O715" s="489">
        <v>16555</v>
      </c>
      <c r="P715" s="489">
        <v>19700</v>
      </c>
      <c r="Q715" s="489">
        <v>19700</v>
      </c>
      <c r="R715" s="26">
        <v>43890</v>
      </c>
      <c r="S715" s="4" t="s">
        <v>1501</v>
      </c>
      <c r="T715" s="489">
        <v>19700</v>
      </c>
      <c r="U715" t="s">
        <v>1572</v>
      </c>
      <c r="V715" s="490">
        <v>12429</v>
      </c>
      <c r="W715" s="490">
        <v>4126</v>
      </c>
      <c r="X715" s="375">
        <v>0.25</v>
      </c>
    </row>
    <row r="716" spans="1:24" x14ac:dyDescent="0.25">
      <c r="A716" s="4">
        <v>350</v>
      </c>
      <c r="B716" s="4" t="s">
        <v>4943</v>
      </c>
      <c r="C716" s="6" t="s">
        <v>4944</v>
      </c>
      <c r="D716" s="6" t="s">
        <v>4940</v>
      </c>
      <c r="E716" s="21">
        <v>43890</v>
      </c>
      <c r="F716" s="4" t="s">
        <v>925</v>
      </c>
      <c r="H716" s="4">
        <v>6648</v>
      </c>
      <c r="I716" s="4">
        <v>4587</v>
      </c>
      <c r="J716" s="4" t="s">
        <v>1420</v>
      </c>
      <c r="K716" s="6" t="s">
        <v>1099</v>
      </c>
      <c r="L716" s="4">
        <v>1</v>
      </c>
      <c r="M716" s="489">
        <v>7563</v>
      </c>
      <c r="N716" s="519" t="s">
        <v>2886</v>
      </c>
      <c r="O716" s="489">
        <v>7563</v>
      </c>
      <c r="P716" s="489">
        <v>9000</v>
      </c>
      <c r="Q716" s="489">
        <v>9000</v>
      </c>
      <c r="R716" s="26">
        <v>43889</v>
      </c>
      <c r="S716" s="4" t="s">
        <v>1501</v>
      </c>
      <c r="T716" s="489">
        <v>19500</v>
      </c>
      <c r="U716" t="s">
        <v>4934</v>
      </c>
      <c r="V716" s="490">
        <v>4800</v>
      </c>
      <c r="W716" s="490">
        <v>2763</v>
      </c>
      <c r="X716" s="375">
        <v>0.37</v>
      </c>
    </row>
    <row r="717" spans="1:24" x14ac:dyDescent="0.25">
      <c r="A717" s="4">
        <v>350</v>
      </c>
      <c r="B717" s="4" t="s">
        <v>4945</v>
      </c>
      <c r="C717" s="6" t="s">
        <v>4946</v>
      </c>
      <c r="D717" s="6" t="s">
        <v>4940</v>
      </c>
      <c r="E717" s="21">
        <v>43890</v>
      </c>
      <c r="F717" s="4" t="s">
        <v>925</v>
      </c>
      <c r="H717" s="4">
        <v>6648</v>
      </c>
      <c r="I717" s="4">
        <v>4587</v>
      </c>
      <c r="J717" s="4" t="s">
        <v>1420</v>
      </c>
      <c r="K717" s="6" t="s">
        <v>1099</v>
      </c>
      <c r="L717" s="4">
        <v>1</v>
      </c>
      <c r="M717" s="489">
        <v>8824</v>
      </c>
      <c r="N717" s="4" t="s">
        <v>2886</v>
      </c>
      <c r="O717" s="489">
        <v>8824</v>
      </c>
      <c r="P717" s="489">
        <v>10500</v>
      </c>
      <c r="Q717" s="489">
        <v>10500</v>
      </c>
      <c r="R717" s="26">
        <v>43889</v>
      </c>
      <c r="S717" s="4" t="s">
        <v>1501</v>
      </c>
      <c r="T717" s="489">
        <v>19500</v>
      </c>
      <c r="U717" t="s">
        <v>4934</v>
      </c>
      <c r="V717" s="490">
        <v>6000</v>
      </c>
      <c r="W717" s="490">
        <v>2824</v>
      </c>
      <c r="X717" s="375">
        <v>0.32</v>
      </c>
    </row>
    <row r="718" spans="1:24" x14ac:dyDescent="0.25">
      <c r="A718" s="4">
        <v>363</v>
      </c>
      <c r="B718" s="4" t="s">
        <v>830</v>
      </c>
      <c r="C718" s="6" t="s">
        <v>2495</v>
      </c>
      <c r="D718" s="6" t="s">
        <v>837</v>
      </c>
      <c r="E718" s="21">
        <v>43892</v>
      </c>
      <c r="F718" s="4" t="s">
        <v>1461</v>
      </c>
      <c r="H718" s="4">
        <v>6665</v>
      </c>
      <c r="I718" s="4">
        <v>4600</v>
      </c>
      <c r="J718" s="4" t="s">
        <v>5747</v>
      </c>
      <c r="K718" s="6" t="s">
        <v>5748</v>
      </c>
      <c r="L718" s="4">
        <v>2</v>
      </c>
      <c r="M718" s="510">
        <v>13866</v>
      </c>
      <c r="N718" s="4" t="s">
        <v>2886</v>
      </c>
      <c r="O718" s="510">
        <v>13866</v>
      </c>
      <c r="P718" s="510">
        <v>16500</v>
      </c>
      <c r="Q718" s="510">
        <v>33000</v>
      </c>
      <c r="R718" s="26">
        <v>43892</v>
      </c>
      <c r="S718" s="4" t="s">
        <v>1501</v>
      </c>
      <c r="T718" s="510">
        <v>33000</v>
      </c>
      <c r="U718" t="s">
        <v>1572</v>
      </c>
      <c r="V718" s="511">
        <v>10390</v>
      </c>
      <c r="W718" s="511">
        <v>3476</v>
      </c>
      <c r="X718" s="375">
        <v>0.25</v>
      </c>
    </row>
    <row r="719" spans="1:24" x14ac:dyDescent="0.25">
      <c r="A719" s="4">
        <v>360</v>
      </c>
      <c r="B719" s="4" t="s">
        <v>2035</v>
      </c>
      <c r="C719" s="6" t="s">
        <v>2206</v>
      </c>
      <c r="D719" s="6" t="s">
        <v>2197</v>
      </c>
      <c r="E719" s="21">
        <v>43892</v>
      </c>
      <c r="F719" s="4" t="s">
        <v>1461</v>
      </c>
      <c r="H719" s="4">
        <v>6660</v>
      </c>
      <c r="I719" s="4">
        <v>4597</v>
      </c>
      <c r="J719" s="4" t="s">
        <v>5348</v>
      </c>
      <c r="K719" s="6" t="s">
        <v>5349</v>
      </c>
      <c r="L719" s="4">
        <v>1</v>
      </c>
      <c r="M719" s="493">
        <v>10504</v>
      </c>
      <c r="N719" s="4" t="s">
        <v>2886</v>
      </c>
      <c r="O719" s="493">
        <v>10504</v>
      </c>
      <c r="P719" s="493">
        <v>12500</v>
      </c>
      <c r="Q719" s="493">
        <v>12500</v>
      </c>
      <c r="R719" s="26">
        <v>43892</v>
      </c>
      <c r="S719" s="4" t="s">
        <v>1501</v>
      </c>
      <c r="T719" s="493">
        <v>12500</v>
      </c>
      <c r="U719" t="s">
        <v>1572</v>
      </c>
      <c r="V719" s="494">
        <v>7409</v>
      </c>
      <c r="W719" s="494">
        <v>3095</v>
      </c>
      <c r="X719" s="375">
        <v>0.28999999999999998</v>
      </c>
    </row>
    <row r="720" spans="1:24" x14ac:dyDescent="0.25">
      <c r="A720" s="4">
        <v>358</v>
      </c>
      <c r="B720" s="4" t="s">
        <v>1672</v>
      </c>
      <c r="C720" s="6" t="s">
        <v>5845</v>
      </c>
      <c r="D720" s="6" t="s">
        <v>1504</v>
      </c>
      <c r="E720" s="21">
        <v>43892</v>
      </c>
      <c r="F720" s="4" t="s">
        <v>1461</v>
      </c>
      <c r="H720" s="4">
        <v>6661</v>
      </c>
      <c r="I720" s="4">
        <v>4595</v>
      </c>
      <c r="J720" s="4" t="s">
        <v>2011</v>
      </c>
      <c r="K720" s="6" t="s">
        <v>2162</v>
      </c>
      <c r="L720" s="4">
        <v>1</v>
      </c>
      <c r="M720" s="493">
        <v>4118</v>
      </c>
      <c r="N720" s="4" t="s">
        <v>2886</v>
      </c>
      <c r="O720" s="493">
        <v>4118</v>
      </c>
      <c r="P720" s="493">
        <v>4900</v>
      </c>
      <c r="Q720" s="493">
        <v>4900</v>
      </c>
      <c r="R720" s="26">
        <v>43892</v>
      </c>
      <c r="S720" s="4" t="s">
        <v>1501</v>
      </c>
      <c r="T720" s="493">
        <v>14200</v>
      </c>
      <c r="U720" t="s">
        <v>1545</v>
      </c>
      <c r="V720" s="494">
        <v>2250</v>
      </c>
      <c r="W720" s="494">
        <v>1868</v>
      </c>
      <c r="X720" s="375">
        <v>0.45</v>
      </c>
    </row>
    <row r="721" spans="1:24" x14ac:dyDescent="0.25">
      <c r="A721" s="4">
        <v>358</v>
      </c>
      <c r="B721" s="4" t="s">
        <v>1515</v>
      </c>
      <c r="C721" s="6" t="s">
        <v>5844</v>
      </c>
      <c r="D721" s="6" t="s">
        <v>1638</v>
      </c>
      <c r="E721" s="21">
        <v>43892</v>
      </c>
      <c r="F721" s="4" t="s">
        <v>1461</v>
      </c>
      <c r="H721" s="4">
        <v>6661</v>
      </c>
      <c r="I721" s="4">
        <v>4595</v>
      </c>
      <c r="J721" s="4" t="s">
        <v>2011</v>
      </c>
      <c r="K721" s="6" t="s">
        <v>2162</v>
      </c>
      <c r="L721" s="4">
        <v>1</v>
      </c>
      <c r="M721" s="493">
        <v>4874</v>
      </c>
      <c r="N721" s="4" t="s">
        <v>2886</v>
      </c>
      <c r="O721" s="493">
        <v>4874</v>
      </c>
      <c r="P721" s="493">
        <v>5800</v>
      </c>
      <c r="Q721" s="493">
        <v>5800</v>
      </c>
      <c r="R721" s="26">
        <v>43892</v>
      </c>
      <c r="S721" s="4" t="s">
        <v>1501</v>
      </c>
      <c r="T721" s="493">
        <v>14200</v>
      </c>
      <c r="U721" t="s">
        <v>1545</v>
      </c>
      <c r="V721" s="494">
        <v>2400</v>
      </c>
      <c r="W721" s="494">
        <v>2474</v>
      </c>
      <c r="X721" s="375">
        <v>0.51</v>
      </c>
    </row>
    <row r="722" spans="1:24" x14ac:dyDescent="0.25">
      <c r="A722" s="4">
        <v>358</v>
      </c>
      <c r="B722" s="4" t="s">
        <v>1755</v>
      </c>
      <c r="C722" s="6" t="s">
        <v>1925</v>
      </c>
      <c r="D722" s="6" t="s">
        <v>1504</v>
      </c>
      <c r="E722" s="21">
        <v>43892</v>
      </c>
      <c r="F722" s="4" t="s">
        <v>1461</v>
      </c>
      <c r="H722" s="4">
        <v>6661</v>
      </c>
      <c r="I722" s="4">
        <v>4595</v>
      </c>
      <c r="J722" s="4" t="s">
        <v>2011</v>
      </c>
      <c r="K722" s="6" t="s">
        <v>2162</v>
      </c>
      <c r="L722" s="4">
        <v>1</v>
      </c>
      <c r="M722" s="493">
        <v>2941</v>
      </c>
      <c r="N722" s="519" t="s">
        <v>2886</v>
      </c>
      <c r="O722" s="493">
        <v>2941</v>
      </c>
      <c r="P722" s="493">
        <v>3500</v>
      </c>
      <c r="Q722" s="493">
        <v>3500</v>
      </c>
      <c r="R722" s="26">
        <v>43892</v>
      </c>
      <c r="S722" s="4" t="s">
        <v>1501</v>
      </c>
      <c r="T722" s="493">
        <v>14200</v>
      </c>
      <c r="U722" t="s">
        <v>1545</v>
      </c>
      <c r="V722" s="494">
        <v>2119</v>
      </c>
      <c r="W722" s="494">
        <v>822</v>
      </c>
      <c r="X722" s="375">
        <v>0.28000000000000003</v>
      </c>
    </row>
    <row r="723" spans="1:24" x14ac:dyDescent="0.25">
      <c r="A723" s="4">
        <v>359</v>
      </c>
      <c r="B723" s="4" t="s">
        <v>1515</v>
      </c>
      <c r="C723" s="6" t="s">
        <v>5844</v>
      </c>
      <c r="D723" s="6" t="s">
        <v>1638</v>
      </c>
      <c r="E723" s="21">
        <v>43892</v>
      </c>
      <c r="F723" s="4" t="s">
        <v>1461</v>
      </c>
      <c r="H723" s="4">
        <v>6666</v>
      </c>
      <c r="I723" s="4">
        <v>4596</v>
      </c>
      <c r="J723" s="4" t="s">
        <v>5443</v>
      </c>
      <c r="K723" s="6" t="s">
        <v>5758</v>
      </c>
      <c r="L723" s="4">
        <v>1</v>
      </c>
      <c r="M723" s="493">
        <v>4874</v>
      </c>
      <c r="N723" s="519" t="s">
        <v>2886</v>
      </c>
      <c r="O723" s="493">
        <v>4874</v>
      </c>
      <c r="P723" s="493">
        <v>5800</v>
      </c>
      <c r="Q723" s="493">
        <v>5800</v>
      </c>
      <c r="R723" s="26">
        <v>43892</v>
      </c>
      <c r="S723" s="4" t="s">
        <v>1501</v>
      </c>
      <c r="T723" s="493">
        <v>8300</v>
      </c>
      <c r="U723" t="s">
        <v>1545</v>
      </c>
      <c r="V723" s="494">
        <v>2400</v>
      </c>
      <c r="W723" s="494">
        <v>2474</v>
      </c>
      <c r="X723" s="375">
        <v>0.51</v>
      </c>
    </row>
    <row r="724" spans="1:24" x14ac:dyDescent="0.25">
      <c r="A724" s="4">
        <v>359</v>
      </c>
      <c r="B724" s="4" t="s">
        <v>1924</v>
      </c>
      <c r="C724" s="6" t="s">
        <v>5847</v>
      </c>
      <c r="D724" s="6" t="s">
        <v>1504</v>
      </c>
      <c r="E724" s="21">
        <v>43892</v>
      </c>
      <c r="F724" s="4" t="s">
        <v>1461</v>
      </c>
      <c r="H724" s="4">
        <v>6666</v>
      </c>
      <c r="I724" s="4">
        <v>4596</v>
      </c>
      <c r="J724" s="4" t="s">
        <v>5443</v>
      </c>
      <c r="K724" s="6" t="s">
        <v>5758</v>
      </c>
      <c r="L724" s="4">
        <v>1</v>
      </c>
      <c r="M724" s="493">
        <v>2101</v>
      </c>
      <c r="N724" s="519" t="s">
        <v>2886</v>
      </c>
      <c r="O724" s="493">
        <v>2101</v>
      </c>
      <c r="P724" s="493">
        <v>2500</v>
      </c>
      <c r="Q724" s="493">
        <v>2500</v>
      </c>
      <c r="R724" s="26">
        <v>43892</v>
      </c>
      <c r="S724" s="4" t="s">
        <v>1501</v>
      </c>
      <c r="T724" s="493">
        <v>8300</v>
      </c>
      <c r="U724" t="s">
        <v>1545</v>
      </c>
      <c r="V724" s="494">
        <v>850</v>
      </c>
      <c r="W724" s="494">
        <v>1251</v>
      </c>
      <c r="X724" s="375">
        <v>0.6</v>
      </c>
    </row>
    <row r="725" spans="1:24" x14ac:dyDescent="0.25">
      <c r="A725" s="4">
        <v>365</v>
      </c>
      <c r="B725" s="4" t="s">
        <v>843</v>
      </c>
      <c r="C725" s="6" t="s">
        <v>2058</v>
      </c>
      <c r="D725" s="6" t="s">
        <v>840</v>
      </c>
      <c r="E725" s="21">
        <v>43892</v>
      </c>
      <c r="F725" s="4" t="s">
        <v>1461</v>
      </c>
      <c r="H725" s="4">
        <v>6658</v>
      </c>
      <c r="I725" s="4">
        <v>4602</v>
      </c>
      <c r="J725" s="4" t="s">
        <v>5402</v>
      </c>
      <c r="K725" s="6" t="s">
        <v>5403</v>
      </c>
      <c r="L725" s="4">
        <v>1</v>
      </c>
      <c r="M725" s="493">
        <v>16723</v>
      </c>
      <c r="N725" s="4" t="s">
        <v>2886</v>
      </c>
      <c r="O725" s="493">
        <v>16723</v>
      </c>
      <c r="P725" s="493">
        <v>19900</v>
      </c>
      <c r="Q725" s="493">
        <v>19900</v>
      </c>
      <c r="R725" s="26">
        <v>43892</v>
      </c>
      <c r="S725" s="4" t="s">
        <v>1501</v>
      </c>
      <c r="T725" s="493">
        <v>19900</v>
      </c>
      <c r="U725" t="s">
        <v>1572</v>
      </c>
      <c r="V725" s="494">
        <v>11888</v>
      </c>
      <c r="W725" s="494">
        <v>4835</v>
      </c>
      <c r="X725" s="375">
        <v>0.28999999999999998</v>
      </c>
    </row>
    <row r="726" spans="1:24" x14ac:dyDescent="0.25">
      <c r="A726" s="4">
        <v>361</v>
      </c>
      <c r="B726" s="4" t="s">
        <v>2035</v>
      </c>
      <c r="C726" s="6" t="s">
        <v>2206</v>
      </c>
      <c r="D726" s="6" t="s">
        <v>2197</v>
      </c>
      <c r="E726" s="21">
        <v>43892</v>
      </c>
      <c r="F726" s="4" t="s">
        <v>1461</v>
      </c>
      <c r="H726" s="4">
        <v>6659</v>
      </c>
      <c r="I726" s="4">
        <v>4598</v>
      </c>
      <c r="J726" s="4" t="s">
        <v>4898</v>
      </c>
      <c r="K726" s="6" t="s">
        <v>4899</v>
      </c>
      <c r="L726" s="4">
        <v>1</v>
      </c>
      <c r="M726" s="493">
        <v>10504</v>
      </c>
      <c r="N726" s="519" t="s">
        <v>2886</v>
      </c>
      <c r="O726" s="493">
        <v>10504</v>
      </c>
      <c r="P726" s="493">
        <v>12500</v>
      </c>
      <c r="Q726" s="493">
        <v>12500</v>
      </c>
      <c r="R726" s="26">
        <v>43892</v>
      </c>
      <c r="S726" s="4" t="s">
        <v>1501</v>
      </c>
      <c r="T726" s="493">
        <v>12500</v>
      </c>
      <c r="U726" t="s">
        <v>1572</v>
      </c>
      <c r="V726" s="494">
        <v>7409</v>
      </c>
      <c r="W726" s="494">
        <v>3095</v>
      </c>
      <c r="X726" s="375">
        <v>0.28999999999999998</v>
      </c>
    </row>
    <row r="727" spans="1:24" x14ac:dyDescent="0.25">
      <c r="A727" s="4">
        <v>364</v>
      </c>
      <c r="B727" s="4" t="s">
        <v>830</v>
      </c>
      <c r="C727" s="6" t="s">
        <v>2495</v>
      </c>
      <c r="D727" s="6" t="s">
        <v>837</v>
      </c>
      <c r="E727" s="21">
        <v>43892</v>
      </c>
      <c r="F727" s="4" t="s">
        <v>1461</v>
      </c>
      <c r="H727" s="4">
        <v>6663</v>
      </c>
      <c r="I727" s="4">
        <v>4601</v>
      </c>
      <c r="J727" s="4" t="s">
        <v>1347</v>
      </c>
      <c r="K727" s="6" t="s">
        <v>1069</v>
      </c>
      <c r="L727" s="4">
        <v>1</v>
      </c>
      <c r="M727" s="493">
        <v>13866</v>
      </c>
      <c r="N727" s="519" t="s">
        <v>2886</v>
      </c>
      <c r="O727" s="493">
        <v>13866</v>
      </c>
      <c r="P727" s="493">
        <v>16500</v>
      </c>
      <c r="Q727" s="493">
        <v>16500</v>
      </c>
      <c r="R727" s="26">
        <v>43892</v>
      </c>
      <c r="S727" s="4" t="s">
        <v>1501</v>
      </c>
      <c r="T727" s="493">
        <v>16500</v>
      </c>
      <c r="U727" t="s">
        <v>1572</v>
      </c>
      <c r="V727" s="494">
        <v>10390</v>
      </c>
      <c r="W727" s="494">
        <v>3476</v>
      </c>
      <c r="X727" s="375">
        <v>0.25</v>
      </c>
    </row>
    <row r="728" spans="1:24" x14ac:dyDescent="0.25">
      <c r="A728" s="4">
        <v>358</v>
      </c>
      <c r="B728" s="4" t="s">
        <v>4943</v>
      </c>
      <c r="C728" s="6" t="s">
        <v>4944</v>
      </c>
      <c r="D728" s="6" t="s">
        <v>4940</v>
      </c>
      <c r="E728" s="21">
        <v>43892</v>
      </c>
      <c r="F728" s="4" t="s">
        <v>925</v>
      </c>
      <c r="H728" s="4">
        <v>6662</v>
      </c>
      <c r="I728" s="4">
        <v>4595</v>
      </c>
      <c r="J728" s="4" t="s">
        <v>1420</v>
      </c>
      <c r="K728" s="6" t="s">
        <v>1099</v>
      </c>
      <c r="L728" s="4">
        <v>20</v>
      </c>
      <c r="M728" s="519">
        <v>7563</v>
      </c>
      <c r="N728" s="519" t="s">
        <v>2886</v>
      </c>
      <c r="O728" s="519">
        <v>7563</v>
      </c>
      <c r="P728" s="519">
        <v>9000</v>
      </c>
      <c r="Q728" s="519">
        <v>180000</v>
      </c>
      <c r="R728" s="26">
        <v>43892</v>
      </c>
      <c r="S728" s="4" t="s">
        <v>1501</v>
      </c>
      <c r="T728" s="519">
        <v>180000</v>
      </c>
      <c r="U728" t="s">
        <v>4934</v>
      </c>
      <c r="V728">
        <v>5300</v>
      </c>
      <c r="W728">
        <v>2263</v>
      </c>
      <c r="X728">
        <v>0.3</v>
      </c>
    </row>
    <row r="729" spans="1:24" x14ac:dyDescent="0.25">
      <c r="A729" s="4">
        <v>366</v>
      </c>
      <c r="B729" s="4" t="s">
        <v>3906</v>
      </c>
      <c r="C729" s="6" t="s">
        <v>3813</v>
      </c>
      <c r="D729" s="6" t="s">
        <v>1646</v>
      </c>
      <c r="E729" s="21">
        <v>43892</v>
      </c>
      <c r="F729" s="4" t="s">
        <v>925</v>
      </c>
      <c r="H729" s="4" t="s">
        <v>4786</v>
      </c>
      <c r="I729" s="4">
        <v>4603</v>
      </c>
      <c r="J729" s="4" t="s">
        <v>1192</v>
      </c>
      <c r="K729" s="6" t="s">
        <v>1061</v>
      </c>
      <c r="L729" s="4">
        <v>12</v>
      </c>
      <c r="M729" s="493">
        <v>3335</v>
      </c>
      <c r="N729" s="519" t="s">
        <v>2886</v>
      </c>
      <c r="O729" s="493">
        <v>3335</v>
      </c>
      <c r="P729" s="493">
        <v>3969</v>
      </c>
      <c r="Q729" s="493">
        <v>47628</v>
      </c>
      <c r="R729" s="26">
        <v>43892</v>
      </c>
      <c r="S729" s="4" t="s">
        <v>1501</v>
      </c>
      <c r="T729" s="493">
        <v>141614</v>
      </c>
      <c r="U729" t="s">
        <v>3934</v>
      </c>
      <c r="V729" s="494">
        <v>2408</v>
      </c>
      <c r="W729" s="494">
        <v>927</v>
      </c>
      <c r="X729" s="375">
        <v>0.28000000000000003</v>
      </c>
    </row>
    <row r="730" spans="1:24" x14ac:dyDescent="0.25">
      <c r="A730" s="4">
        <v>366</v>
      </c>
      <c r="B730" s="4" t="s">
        <v>3863</v>
      </c>
      <c r="C730" s="6" t="s">
        <v>3771</v>
      </c>
      <c r="D730" s="6" t="s">
        <v>1646</v>
      </c>
      <c r="E730" s="21">
        <v>43892</v>
      </c>
      <c r="F730" s="4" t="s">
        <v>925</v>
      </c>
      <c r="H730" s="4" t="s">
        <v>4786</v>
      </c>
      <c r="I730" s="4">
        <v>4603</v>
      </c>
      <c r="J730" s="4" t="s">
        <v>1192</v>
      </c>
      <c r="K730" s="6" t="s">
        <v>1061</v>
      </c>
      <c r="L730" s="4">
        <v>6</v>
      </c>
      <c r="M730" s="493">
        <v>2368</v>
      </c>
      <c r="N730" s="519" t="s">
        <v>2886</v>
      </c>
      <c r="O730" s="493">
        <v>2368</v>
      </c>
      <c r="P730" s="493">
        <v>2818</v>
      </c>
      <c r="Q730" s="493">
        <v>16908</v>
      </c>
      <c r="R730" s="26">
        <v>43892</v>
      </c>
      <c r="S730" s="4" t="s">
        <v>1501</v>
      </c>
      <c r="T730" s="493">
        <v>141614</v>
      </c>
      <c r="U730" t="s">
        <v>3934</v>
      </c>
      <c r="V730" s="494">
        <v>1787</v>
      </c>
      <c r="W730" s="494">
        <v>581</v>
      </c>
      <c r="X730" s="375">
        <v>0.25</v>
      </c>
    </row>
    <row r="731" spans="1:24" x14ac:dyDescent="0.25">
      <c r="A731" s="4">
        <v>366</v>
      </c>
      <c r="B731" s="4" t="s">
        <v>35</v>
      </c>
      <c r="C731" s="6" t="s">
        <v>5841</v>
      </c>
      <c r="D731" s="6" t="s">
        <v>1504</v>
      </c>
      <c r="E731" s="21">
        <v>43892</v>
      </c>
      <c r="F731" s="4" t="s">
        <v>925</v>
      </c>
      <c r="H731" s="4" t="s">
        <v>4786</v>
      </c>
      <c r="I731" s="4">
        <v>4603</v>
      </c>
      <c r="J731" s="4" t="s">
        <v>1192</v>
      </c>
      <c r="K731" s="6" t="s">
        <v>1061</v>
      </c>
      <c r="L731" s="4">
        <v>4</v>
      </c>
      <c r="M731" s="493">
        <v>6151</v>
      </c>
      <c r="N731" s="4" t="s">
        <v>2886</v>
      </c>
      <c r="O731" s="493">
        <v>6151</v>
      </c>
      <c r="P731" s="493">
        <v>7320</v>
      </c>
      <c r="Q731" s="493">
        <v>29280</v>
      </c>
      <c r="R731" s="26">
        <v>43892</v>
      </c>
      <c r="S731" s="4" t="s">
        <v>1501</v>
      </c>
      <c r="T731" s="493">
        <v>141614</v>
      </c>
      <c r="U731" t="s">
        <v>1563</v>
      </c>
      <c r="V731" s="494">
        <v>4922</v>
      </c>
      <c r="W731" s="494">
        <v>1229</v>
      </c>
      <c r="X731" s="375">
        <v>0.2</v>
      </c>
    </row>
    <row r="732" spans="1:24" x14ac:dyDescent="0.25">
      <c r="A732" s="4">
        <v>366</v>
      </c>
      <c r="B732" s="4" t="s">
        <v>2289</v>
      </c>
      <c r="C732" s="6" t="s">
        <v>2620</v>
      </c>
      <c r="D732" s="6" t="s">
        <v>1539</v>
      </c>
      <c r="E732" s="21">
        <v>43892</v>
      </c>
      <c r="F732" s="4" t="s">
        <v>925</v>
      </c>
      <c r="H732" s="4" t="s">
        <v>4786</v>
      </c>
      <c r="I732" s="4">
        <v>4603</v>
      </c>
      <c r="J732" s="4" t="s">
        <v>1192</v>
      </c>
      <c r="K732" s="6" t="s">
        <v>1061</v>
      </c>
      <c r="L732" s="4">
        <v>2</v>
      </c>
      <c r="M732" s="493">
        <v>20084</v>
      </c>
      <c r="N732" s="4" t="s">
        <v>2886</v>
      </c>
      <c r="O732" s="493">
        <v>20084</v>
      </c>
      <c r="P732" s="493">
        <v>23900</v>
      </c>
      <c r="Q732" s="493">
        <v>47800</v>
      </c>
      <c r="R732" s="26">
        <v>43892</v>
      </c>
      <c r="S732" s="4" t="s">
        <v>1501</v>
      </c>
      <c r="T732" s="493">
        <v>141614</v>
      </c>
      <c r="U732" t="s">
        <v>1524</v>
      </c>
      <c r="V732" s="494">
        <v>16386</v>
      </c>
      <c r="W732" s="494">
        <v>3698</v>
      </c>
      <c r="X732" s="375">
        <v>0.18</v>
      </c>
    </row>
    <row r="733" spans="1:24" x14ac:dyDescent="0.25">
      <c r="A733" s="4">
        <v>362</v>
      </c>
      <c r="B733" s="4" t="s">
        <v>855</v>
      </c>
      <c r="C733" s="6" t="s">
        <v>2499</v>
      </c>
      <c r="D733" s="6" t="s">
        <v>857</v>
      </c>
      <c r="E733" s="21">
        <v>43892</v>
      </c>
      <c r="F733" s="4" t="s">
        <v>1461</v>
      </c>
      <c r="H733" s="4">
        <v>6664</v>
      </c>
      <c r="I733" s="4">
        <v>4599</v>
      </c>
      <c r="J733" s="4" t="s">
        <v>4403</v>
      </c>
      <c r="K733" s="6" t="s">
        <v>4405</v>
      </c>
      <c r="L733" s="4">
        <v>3</v>
      </c>
      <c r="M733" s="493">
        <v>13277</v>
      </c>
      <c r="N733" s="519" t="s">
        <v>2886</v>
      </c>
      <c r="O733" s="493">
        <v>13277</v>
      </c>
      <c r="P733" s="493">
        <v>15800</v>
      </c>
      <c r="Q733" s="493">
        <v>47400</v>
      </c>
      <c r="R733" s="26">
        <v>43892</v>
      </c>
      <c r="S733" s="4" t="s">
        <v>1501</v>
      </c>
      <c r="T733" s="493">
        <v>47400</v>
      </c>
      <c r="U733" t="s">
        <v>1551</v>
      </c>
      <c r="V733" s="523">
        <v>9975</v>
      </c>
      <c r="W733" s="523">
        <v>3302</v>
      </c>
      <c r="X733" s="375">
        <v>0.25</v>
      </c>
    </row>
    <row r="734" spans="1:24" x14ac:dyDescent="0.25">
      <c r="A734" s="4">
        <v>370</v>
      </c>
      <c r="B734" s="4" t="s">
        <v>838</v>
      </c>
      <c r="C734" s="6" t="s">
        <v>2062</v>
      </c>
      <c r="D734" s="6" t="s">
        <v>840</v>
      </c>
      <c r="E734" s="21">
        <v>43893</v>
      </c>
      <c r="F734" s="4" t="s">
        <v>1461</v>
      </c>
      <c r="H734" s="4">
        <v>6670</v>
      </c>
      <c r="I734" s="4">
        <v>4607</v>
      </c>
      <c r="J734" s="4" t="s">
        <v>1209</v>
      </c>
      <c r="K734" s="6" t="s">
        <v>974</v>
      </c>
      <c r="L734" s="4">
        <v>1</v>
      </c>
      <c r="M734" s="493">
        <v>16555</v>
      </c>
      <c r="N734" s="519" t="s">
        <v>2886</v>
      </c>
      <c r="O734" s="493">
        <v>16555</v>
      </c>
      <c r="P734" s="493">
        <v>19700</v>
      </c>
      <c r="Q734" s="493">
        <v>19700</v>
      </c>
      <c r="R734" s="26">
        <v>43894</v>
      </c>
      <c r="S734" s="4" t="s">
        <v>2050</v>
      </c>
      <c r="T734" s="493">
        <v>45700</v>
      </c>
      <c r="U734" t="s">
        <v>1572</v>
      </c>
      <c r="V734" s="511">
        <v>12429</v>
      </c>
      <c r="W734" s="511">
        <v>4126</v>
      </c>
      <c r="X734" s="375">
        <v>0.25</v>
      </c>
    </row>
    <row r="735" spans="1:24" x14ac:dyDescent="0.25">
      <c r="A735" s="4">
        <v>370</v>
      </c>
      <c r="B735" s="4" t="s">
        <v>855</v>
      </c>
      <c r="C735" s="6" t="s">
        <v>2499</v>
      </c>
      <c r="D735" s="6" t="s">
        <v>857</v>
      </c>
      <c r="E735" s="21">
        <v>43893</v>
      </c>
      <c r="F735" s="4" t="s">
        <v>1461</v>
      </c>
      <c r="H735" s="4">
        <v>6670</v>
      </c>
      <c r="I735" s="4">
        <v>4607</v>
      </c>
      <c r="J735" s="4" t="s">
        <v>1209</v>
      </c>
      <c r="K735" s="6" t="s">
        <v>974</v>
      </c>
      <c r="L735" s="4">
        <v>1</v>
      </c>
      <c r="M735" s="493">
        <v>13277</v>
      </c>
      <c r="N735" s="4" t="s">
        <v>2886</v>
      </c>
      <c r="O735" s="493">
        <v>13277</v>
      </c>
      <c r="P735" s="493">
        <v>15800</v>
      </c>
      <c r="Q735" s="493">
        <v>15800</v>
      </c>
      <c r="R735" s="26">
        <v>43894</v>
      </c>
      <c r="S735" s="4" t="s">
        <v>2050</v>
      </c>
      <c r="T735" s="493">
        <v>45700</v>
      </c>
      <c r="U735" t="s">
        <v>1551</v>
      </c>
      <c r="V735" s="511">
        <v>9975</v>
      </c>
      <c r="W735" s="511">
        <v>3302</v>
      </c>
      <c r="X735" s="375">
        <v>0.25</v>
      </c>
    </row>
    <row r="736" spans="1:24" x14ac:dyDescent="0.25">
      <c r="A736" s="4">
        <v>370</v>
      </c>
      <c r="B736" s="4" t="s">
        <v>847</v>
      </c>
      <c r="C736" s="6" t="s">
        <v>2201</v>
      </c>
      <c r="D736" s="6" t="s">
        <v>2198</v>
      </c>
      <c r="E736" s="21">
        <v>43893</v>
      </c>
      <c r="F736" s="4" t="s">
        <v>1461</v>
      </c>
      <c r="H736" s="4">
        <v>6670</v>
      </c>
      <c r="I736" s="4">
        <v>4607</v>
      </c>
      <c r="J736" s="4" t="s">
        <v>1209</v>
      </c>
      <c r="K736" s="6" t="s">
        <v>974</v>
      </c>
      <c r="L736" s="4">
        <v>1</v>
      </c>
      <c r="M736" s="493">
        <v>8571</v>
      </c>
      <c r="N736" s="519" t="s">
        <v>2886</v>
      </c>
      <c r="O736" s="493">
        <v>8571</v>
      </c>
      <c r="P736" s="493">
        <v>10200</v>
      </c>
      <c r="Q736" s="493">
        <v>10200</v>
      </c>
      <c r="R736" s="26">
        <v>43894</v>
      </c>
      <c r="S736" s="4" t="s">
        <v>2050</v>
      </c>
      <c r="T736" s="493">
        <v>45700</v>
      </c>
      <c r="U736" t="s">
        <v>1572</v>
      </c>
      <c r="V736" s="511">
        <v>6436</v>
      </c>
      <c r="W736" s="511">
        <v>2135</v>
      </c>
      <c r="X736" s="375">
        <v>0.25</v>
      </c>
    </row>
    <row r="737" spans="1:24" x14ac:dyDescent="0.25">
      <c r="A737" s="4">
        <v>371</v>
      </c>
      <c r="B737" s="4" t="s">
        <v>838</v>
      </c>
      <c r="C737" s="6" t="s">
        <v>2062</v>
      </c>
      <c r="D737" s="6" t="s">
        <v>840</v>
      </c>
      <c r="E737" s="21">
        <v>43893</v>
      </c>
      <c r="F737" s="4" t="s">
        <v>1461</v>
      </c>
      <c r="H737" s="4">
        <v>6671</v>
      </c>
      <c r="I737" s="4">
        <v>4608</v>
      </c>
      <c r="J737" s="4" t="s">
        <v>1214</v>
      </c>
      <c r="K737" s="6" t="s">
        <v>2143</v>
      </c>
      <c r="L737" s="4">
        <v>1</v>
      </c>
      <c r="M737" s="493">
        <v>16555</v>
      </c>
      <c r="N737" s="519" t="s">
        <v>2886</v>
      </c>
      <c r="O737" s="493">
        <v>16555</v>
      </c>
      <c r="P737" s="493">
        <v>19700</v>
      </c>
      <c r="Q737" s="493">
        <v>19700</v>
      </c>
      <c r="R737" s="26">
        <v>43894</v>
      </c>
      <c r="S737" s="4" t="s">
        <v>2050</v>
      </c>
      <c r="T737" s="493">
        <v>19700</v>
      </c>
      <c r="U737" t="s">
        <v>1572</v>
      </c>
      <c r="V737" s="511">
        <v>12429</v>
      </c>
      <c r="W737" s="511">
        <v>4126</v>
      </c>
      <c r="X737" s="375">
        <v>0.25</v>
      </c>
    </row>
    <row r="738" spans="1:24" x14ac:dyDescent="0.25">
      <c r="A738" s="4">
        <v>368</v>
      </c>
      <c r="B738" s="4" t="s">
        <v>658</v>
      </c>
      <c r="C738" s="6" t="s">
        <v>1974</v>
      </c>
      <c r="D738" s="6" t="s">
        <v>794</v>
      </c>
      <c r="E738" s="21">
        <v>43893</v>
      </c>
      <c r="F738" s="4" t="s">
        <v>1461</v>
      </c>
      <c r="H738" s="4">
        <v>6668</v>
      </c>
      <c r="I738" s="4">
        <v>4605</v>
      </c>
      <c r="J738" s="4" t="s">
        <v>4040</v>
      </c>
      <c r="K738" s="6" t="s">
        <v>4038</v>
      </c>
      <c r="L738" s="4">
        <v>1</v>
      </c>
      <c r="M738" s="493">
        <v>19328</v>
      </c>
      <c r="N738" s="519" t="s">
        <v>2886</v>
      </c>
      <c r="O738" s="493">
        <v>19328</v>
      </c>
      <c r="P738" s="493">
        <v>23000</v>
      </c>
      <c r="Q738" s="493">
        <v>23000</v>
      </c>
      <c r="R738" s="26">
        <v>43893</v>
      </c>
      <c r="S738" s="4" t="s">
        <v>1501</v>
      </c>
      <c r="T738" s="493">
        <v>23000</v>
      </c>
      <c r="U738" t="s">
        <v>1551</v>
      </c>
      <c r="V738" s="495">
        <v>14604</v>
      </c>
      <c r="W738" s="495">
        <v>4724</v>
      </c>
      <c r="X738" s="375">
        <v>0.24</v>
      </c>
    </row>
    <row r="739" spans="1:24" x14ac:dyDescent="0.25">
      <c r="A739" s="4">
        <v>372</v>
      </c>
      <c r="B739" s="4" t="s">
        <v>830</v>
      </c>
      <c r="C739" s="6" t="s">
        <v>2495</v>
      </c>
      <c r="D739" s="6" t="s">
        <v>837</v>
      </c>
      <c r="E739" s="21">
        <v>43893</v>
      </c>
      <c r="F739" s="4" t="s">
        <v>1461</v>
      </c>
      <c r="H739" s="4">
        <v>6672</v>
      </c>
      <c r="I739" s="4">
        <v>4609</v>
      </c>
      <c r="J739" s="4" t="s">
        <v>5399</v>
      </c>
      <c r="K739" s="6" t="s">
        <v>5400</v>
      </c>
      <c r="L739" s="4">
        <v>2</v>
      </c>
      <c r="M739" s="493">
        <v>13866</v>
      </c>
      <c r="N739" s="519" t="s">
        <v>2886</v>
      </c>
      <c r="O739" s="493">
        <v>13866</v>
      </c>
      <c r="P739" s="493">
        <v>16500</v>
      </c>
      <c r="Q739" s="493">
        <v>33000</v>
      </c>
      <c r="R739" s="26">
        <v>43894</v>
      </c>
      <c r="S739" s="4" t="s">
        <v>2050</v>
      </c>
      <c r="T739" s="493">
        <v>33000</v>
      </c>
      <c r="U739" t="s">
        <v>1572</v>
      </c>
      <c r="V739" s="494">
        <v>10390</v>
      </c>
      <c r="W739" s="494">
        <v>3476</v>
      </c>
      <c r="X739" s="375">
        <v>0.25</v>
      </c>
    </row>
    <row r="740" spans="1:24" x14ac:dyDescent="0.25">
      <c r="A740" s="4">
        <v>367</v>
      </c>
      <c r="B740" s="4" t="s">
        <v>656</v>
      </c>
      <c r="C740" s="6" t="s">
        <v>1973</v>
      </c>
      <c r="D740" s="6" t="s">
        <v>794</v>
      </c>
      <c r="E740" s="21">
        <v>43893</v>
      </c>
      <c r="F740" s="4" t="s">
        <v>1461</v>
      </c>
      <c r="H740" s="4">
        <v>6667</v>
      </c>
      <c r="I740" s="4">
        <v>4604</v>
      </c>
      <c r="J740" s="4" t="s">
        <v>1237</v>
      </c>
      <c r="K740" s="6" t="s">
        <v>2147</v>
      </c>
      <c r="L740" s="4">
        <v>1</v>
      </c>
      <c r="M740" s="493">
        <v>19328</v>
      </c>
      <c r="N740" s="519" t="s">
        <v>2886</v>
      </c>
      <c r="O740" s="493">
        <v>19328</v>
      </c>
      <c r="P740" s="493">
        <v>23000</v>
      </c>
      <c r="Q740" s="493">
        <v>23000</v>
      </c>
      <c r="R740" s="26">
        <v>43893</v>
      </c>
      <c r="S740" s="4" t="s">
        <v>1501</v>
      </c>
      <c r="T740" s="493">
        <v>47500</v>
      </c>
      <c r="U740" t="s">
        <v>1551</v>
      </c>
      <c r="V740" s="495">
        <v>14604</v>
      </c>
      <c r="W740" s="495">
        <v>4724</v>
      </c>
      <c r="X740" s="375">
        <v>0.24</v>
      </c>
    </row>
    <row r="741" spans="1:24" x14ac:dyDescent="0.25">
      <c r="A741" s="4">
        <v>367</v>
      </c>
      <c r="B741" s="4" t="s">
        <v>2289</v>
      </c>
      <c r="C741" s="6" t="s">
        <v>2620</v>
      </c>
      <c r="D741" s="6" t="s">
        <v>1539</v>
      </c>
      <c r="E741" s="21">
        <v>43893</v>
      </c>
      <c r="F741" s="4" t="s">
        <v>1461</v>
      </c>
      <c r="H741" s="4">
        <v>6667</v>
      </c>
      <c r="I741" s="4">
        <v>4604</v>
      </c>
      <c r="J741" s="4" t="s">
        <v>1237</v>
      </c>
      <c r="K741" s="6" t="s">
        <v>2147</v>
      </c>
      <c r="L741" s="4">
        <v>1</v>
      </c>
      <c r="M741" s="493">
        <v>20588</v>
      </c>
      <c r="N741" s="4" t="s">
        <v>2886</v>
      </c>
      <c r="O741" s="493">
        <v>20588</v>
      </c>
      <c r="P741" s="493">
        <v>24500</v>
      </c>
      <c r="Q741" s="493">
        <v>24500</v>
      </c>
      <c r="R741" s="26">
        <v>43893</v>
      </c>
      <c r="S741" s="4" t="s">
        <v>1501</v>
      </c>
      <c r="T741" s="493">
        <v>47500</v>
      </c>
      <c r="U741" t="s">
        <v>1524</v>
      </c>
      <c r="V741" s="495">
        <v>16386</v>
      </c>
      <c r="W741" s="495">
        <v>4202</v>
      </c>
      <c r="X741" s="375">
        <v>0.2</v>
      </c>
    </row>
    <row r="742" spans="1:24" x14ac:dyDescent="0.25">
      <c r="A742" s="4">
        <v>369</v>
      </c>
      <c r="B742" s="4" t="s">
        <v>799</v>
      </c>
      <c r="C742" s="6" t="s">
        <v>1926</v>
      </c>
      <c r="D742" s="6" t="s">
        <v>802</v>
      </c>
      <c r="E742" s="21">
        <v>43893</v>
      </c>
      <c r="F742" s="4" t="s">
        <v>1461</v>
      </c>
      <c r="H742" s="4">
        <v>6669</v>
      </c>
      <c r="I742" s="4">
        <v>4606</v>
      </c>
      <c r="J742" s="4" t="s">
        <v>3987</v>
      </c>
      <c r="K742" s="6" t="s">
        <v>3988</v>
      </c>
      <c r="L742" s="4">
        <v>1</v>
      </c>
      <c r="M742" s="493">
        <v>17815</v>
      </c>
      <c r="N742" s="374">
        <v>0.06</v>
      </c>
      <c r="O742" s="493">
        <v>16786</v>
      </c>
      <c r="P742" s="493">
        <v>19900</v>
      </c>
      <c r="Q742" s="493">
        <v>19900</v>
      </c>
      <c r="R742" s="26">
        <v>43893</v>
      </c>
      <c r="S742" s="4" t="s">
        <v>1501</v>
      </c>
      <c r="T742" s="493">
        <v>19900</v>
      </c>
      <c r="U742" t="s">
        <v>1551</v>
      </c>
      <c r="V742" s="495">
        <v>13279</v>
      </c>
      <c r="W742" s="495">
        <v>3507</v>
      </c>
      <c r="X742" s="375">
        <v>0.21</v>
      </c>
    </row>
    <row r="743" spans="1:24" x14ac:dyDescent="0.25">
      <c r="A743" s="4">
        <v>376</v>
      </c>
      <c r="B743" s="4" t="s">
        <v>830</v>
      </c>
      <c r="C743" s="6" t="s">
        <v>2495</v>
      </c>
      <c r="D743" s="6" t="s">
        <v>837</v>
      </c>
      <c r="E743" s="21">
        <v>43894</v>
      </c>
      <c r="F743" s="4" t="s">
        <v>1461</v>
      </c>
      <c r="H743" s="4">
        <v>6676</v>
      </c>
      <c r="I743" s="4">
        <v>4613</v>
      </c>
      <c r="J743" s="4" t="s">
        <v>1234</v>
      </c>
      <c r="K743" s="6" t="s">
        <v>970</v>
      </c>
      <c r="L743" s="4">
        <v>1</v>
      </c>
      <c r="M743" s="493">
        <v>13866</v>
      </c>
      <c r="N743" s="4" t="s">
        <v>2886</v>
      </c>
      <c r="O743" s="493">
        <v>13866</v>
      </c>
      <c r="P743" s="493">
        <v>16500</v>
      </c>
      <c r="Q743" s="493">
        <v>16500</v>
      </c>
      <c r="R743" s="26">
        <v>43894</v>
      </c>
      <c r="S743" s="4" t="s">
        <v>1501</v>
      </c>
      <c r="T743" s="493">
        <v>26700</v>
      </c>
      <c r="U743" t="s">
        <v>1572</v>
      </c>
      <c r="V743" s="494">
        <v>10390</v>
      </c>
      <c r="W743" s="494">
        <v>3476</v>
      </c>
      <c r="X743" s="375">
        <v>0.25</v>
      </c>
    </row>
    <row r="744" spans="1:24" x14ac:dyDescent="0.25">
      <c r="A744" s="4">
        <v>376</v>
      </c>
      <c r="B744" s="4" t="s">
        <v>847</v>
      </c>
      <c r="C744" s="6" t="s">
        <v>2201</v>
      </c>
      <c r="D744" s="6" t="s">
        <v>2198</v>
      </c>
      <c r="E744" s="21">
        <v>43894</v>
      </c>
      <c r="F744" s="4" t="s">
        <v>1461</v>
      </c>
      <c r="H744" s="4">
        <v>6676</v>
      </c>
      <c r="I744" s="4">
        <v>4613</v>
      </c>
      <c r="J744" s="4" t="s">
        <v>1234</v>
      </c>
      <c r="K744" s="6" t="s">
        <v>970</v>
      </c>
      <c r="L744" s="4">
        <v>1</v>
      </c>
      <c r="M744" s="493">
        <v>8571</v>
      </c>
      <c r="N744" s="4" t="s">
        <v>2886</v>
      </c>
      <c r="O744" s="493">
        <v>8571</v>
      </c>
      <c r="P744" s="493">
        <v>10200</v>
      </c>
      <c r="Q744" s="493">
        <v>10200</v>
      </c>
      <c r="R744" s="26">
        <v>43894</v>
      </c>
      <c r="S744" s="4" t="s">
        <v>1501</v>
      </c>
      <c r="T744" s="493">
        <v>26700</v>
      </c>
      <c r="U744" t="s">
        <v>1572</v>
      </c>
      <c r="V744" s="494">
        <v>6436</v>
      </c>
      <c r="W744" s="494">
        <v>2135</v>
      </c>
      <c r="X744" s="375">
        <v>0.25</v>
      </c>
    </row>
    <row r="745" spans="1:24" x14ac:dyDescent="0.25">
      <c r="A745" s="4">
        <v>379</v>
      </c>
      <c r="B745" s="4" t="s">
        <v>5514</v>
      </c>
      <c r="C745" s="6" t="s">
        <v>5872</v>
      </c>
      <c r="D745" s="6" t="s">
        <v>5214</v>
      </c>
      <c r="E745" s="21">
        <v>43894</v>
      </c>
      <c r="F745" s="4" t="s">
        <v>925</v>
      </c>
      <c r="H745" s="4" t="s">
        <v>2528</v>
      </c>
      <c r="I745" s="4">
        <v>4616</v>
      </c>
      <c r="J745" s="4" t="s">
        <v>4713</v>
      </c>
      <c r="K745" s="6" t="s">
        <v>4714</v>
      </c>
      <c r="L745" s="4">
        <v>120</v>
      </c>
      <c r="M745" s="493">
        <v>3623</v>
      </c>
      <c r="N745" s="374">
        <v>0.11</v>
      </c>
      <c r="O745" s="493">
        <v>3273</v>
      </c>
      <c r="P745" s="493">
        <v>3851</v>
      </c>
      <c r="Q745" s="493">
        <v>462120</v>
      </c>
      <c r="R745" s="26">
        <v>43908</v>
      </c>
      <c r="S745" s="4" t="s">
        <v>2050</v>
      </c>
      <c r="T745" s="493">
        <v>737196</v>
      </c>
      <c r="U745" t="s">
        <v>5170</v>
      </c>
      <c r="V745" s="494">
        <v>2616</v>
      </c>
      <c r="W745" s="494">
        <v>657</v>
      </c>
      <c r="X745" s="375">
        <v>0.2</v>
      </c>
    </row>
    <row r="746" spans="1:24" x14ac:dyDescent="0.25">
      <c r="A746" s="4">
        <v>379</v>
      </c>
      <c r="B746" s="4" t="s">
        <v>5220</v>
      </c>
      <c r="C746" s="6" t="s">
        <v>5871</v>
      </c>
      <c r="D746" s="6" t="s">
        <v>5214</v>
      </c>
      <c r="E746" s="21">
        <v>43894</v>
      </c>
      <c r="F746" s="4" t="s">
        <v>925</v>
      </c>
      <c r="H746" s="4" t="s">
        <v>2528</v>
      </c>
      <c r="I746" s="4">
        <v>4616</v>
      </c>
      <c r="J746" s="4" t="s">
        <v>4713</v>
      </c>
      <c r="K746" s="6" t="s">
        <v>4714</v>
      </c>
      <c r="L746" s="4">
        <v>36</v>
      </c>
      <c r="M746" s="493">
        <v>4321</v>
      </c>
      <c r="N746" s="374">
        <v>0.1</v>
      </c>
      <c r="O746" s="493">
        <v>3937</v>
      </c>
      <c r="P746" s="493">
        <v>4641</v>
      </c>
      <c r="Q746" s="493">
        <v>167076</v>
      </c>
      <c r="R746" s="26">
        <v>43908</v>
      </c>
      <c r="S746" s="4" t="s">
        <v>2050</v>
      </c>
      <c r="T746" s="493">
        <v>737196</v>
      </c>
      <c r="U746" t="s">
        <v>5170</v>
      </c>
      <c r="V746" s="494">
        <v>3120</v>
      </c>
      <c r="W746" s="494">
        <v>817</v>
      </c>
      <c r="X746" s="375">
        <v>0.21</v>
      </c>
    </row>
    <row r="747" spans="1:24" x14ac:dyDescent="0.25">
      <c r="A747" s="4">
        <v>379</v>
      </c>
      <c r="B747" s="4" t="s">
        <v>736</v>
      </c>
      <c r="C747" s="6" t="s">
        <v>2406</v>
      </c>
      <c r="D747" s="6" t="s">
        <v>661</v>
      </c>
      <c r="E747" s="21">
        <v>43894</v>
      </c>
      <c r="F747" s="4" t="s">
        <v>925</v>
      </c>
      <c r="H747" s="4" t="s">
        <v>2528</v>
      </c>
      <c r="I747" s="4">
        <v>4616</v>
      </c>
      <c r="J747" s="4" t="s">
        <v>4713</v>
      </c>
      <c r="K747" s="6" t="s">
        <v>4714</v>
      </c>
      <c r="L747" s="4">
        <v>30</v>
      </c>
      <c r="M747" s="493">
        <v>3726</v>
      </c>
      <c r="N747" s="374">
        <v>0.19</v>
      </c>
      <c r="O747" s="493">
        <v>3136</v>
      </c>
      <c r="P747" s="493">
        <v>3600</v>
      </c>
      <c r="Q747" s="493">
        <v>108000</v>
      </c>
      <c r="R747" s="26">
        <v>43908</v>
      </c>
      <c r="S747" s="4" t="s">
        <v>2050</v>
      </c>
      <c r="T747" s="493">
        <v>737196</v>
      </c>
      <c r="U747" t="s">
        <v>1739</v>
      </c>
      <c r="V747" s="494">
        <v>2690</v>
      </c>
      <c r="W747" s="494">
        <v>446</v>
      </c>
      <c r="X747" s="375">
        <v>0.14000000000000001</v>
      </c>
    </row>
    <row r="748" spans="1:24" x14ac:dyDescent="0.25">
      <c r="A748" s="4">
        <v>374</v>
      </c>
      <c r="B748" s="4" t="s">
        <v>830</v>
      </c>
      <c r="C748" s="6" t="s">
        <v>2495</v>
      </c>
      <c r="D748" s="6" t="s">
        <v>837</v>
      </c>
      <c r="E748" s="21">
        <v>43894</v>
      </c>
      <c r="F748" s="4" t="s">
        <v>1461</v>
      </c>
      <c r="H748" s="4">
        <v>6674</v>
      </c>
      <c r="I748" s="4">
        <v>4611</v>
      </c>
      <c r="J748" s="4" t="s">
        <v>5743</v>
      </c>
      <c r="K748" s="6" t="s">
        <v>5744</v>
      </c>
      <c r="L748" s="4">
        <v>1</v>
      </c>
      <c r="M748" s="493">
        <v>13866</v>
      </c>
      <c r="N748" s="4" t="s">
        <v>2886</v>
      </c>
      <c r="O748" s="493">
        <v>13866</v>
      </c>
      <c r="P748" s="493">
        <v>16500</v>
      </c>
      <c r="Q748" s="493">
        <v>16500</v>
      </c>
      <c r="R748" s="26">
        <v>43894</v>
      </c>
      <c r="S748" s="4" t="s">
        <v>1501</v>
      </c>
      <c r="T748" s="493">
        <v>16500</v>
      </c>
      <c r="U748" t="s">
        <v>1572</v>
      </c>
      <c r="V748" s="494">
        <v>10390</v>
      </c>
      <c r="W748" s="494">
        <v>3476</v>
      </c>
      <c r="X748" s="375">
        <v>0.25</v>
      </c>
    </row>
    <row r="749" spans="1:24" x14ac:dyDescent="0.25">
      <c r="A749" s="4">
        <v>377</v>
      </c>
      <c r="B749" s="4" t="s">
        <v>2250</v>
      </c>
      <c r="C749" s="6" t="s">
        <v>5846</v>
      </c>
      <c r="D749" s="6" t="s">
        <v>1638</v>
      </c>
      <c r="E749" s="21">
        <v>43894</v>
      </c>
      <c r="F749" s="4" t="s">
        <v>1461</v>
      </c>
      <c r="H749" s="4">
        <v>6677</v>
      </c>
      <c r="I749" s="4">
        <v>4614</v>
      </c>
      <c r="J749" s="4" t="s">
        <v>1257</v>
      </c>
      <c r="K749" s="6" t="s">
        <v>2145</v>
      </c>
      <c r="L749" s="4">
        <v>3</v>
      </c>
      <c r="M749" s="493">
        <v>3193</v>
      </c>
      <c r="N749" s="4" t="s">
        <v>2886</v>
      </c>
      <c r="O749" s="493">
        <v>3193</v>
      </c>
      <c r="P749" s="493">
        <v>3800</v>
      </c>
      <c r="Q749" s="493">
        <v>11400</v>
      </c>
      <c r="R749" s="26">
        <v>43894</v>
      </c>
      <c r="S749" s="4" t="s">
        <v>1501</v>
      </c>
      <c r="T749" s="493">
        <v>18400</v>
      </c>
      <c r="U749" t="s">
        <v>1545</v>
      </c>
      <c r="V749" s="494">
        <v>2100</v>
      </c>
      <c r="W749" s="494">
        <v>1093</v>
      </c>
      <c r="X749" s="375">
        <v>0.34</v>
      </c>
    </row>
    <row r="750" spans="1:24" x14ac:dyDescent="0.25">
      <c r="A750" s="4">
        <v>377</v>
      </c>
      <c r="B750" s="4" t="s">
        <v>1755</v>
      </c>
      <c r="C750" s="6" t="s">
        <v>1925</v>
      </c>
      <c r="D750" s="6" t="s">
        <v>1504</v>
      </c>
      <c r="E750" s="21">
        <v>43894</v>
      </c>
      <c r="F750" s="4" t="s">
        <v>1461</v>
      </c>
      <c r="H750" s="4">
        <v>6677</v>
      </c>
      <c r="I750" s="4">
        <v>4614</v>
      </c>
      <c r="J750" s="4" t="s">
        <v>1257</v>
      </c>
      <c r="K750" s="6" t="s">
        <v>2145</v>
      </c>
      <c r="L750" s="4">
        <v>2</v>
      </c>
      <c r="M750" s="493">
        <v>2941</v>
      </c>
      <c r="N750" s="4" t="s">
        <v>2886</v>
      </c>
      <c r="O750" s="493">
        <v>2941</v>
      </c>
      <c r="P750" s="493">
        <v>3500</v>
      </c>
      <c r="Q750" s="493">
        <v>7000</v>
      </c>
      <c r="R750" s="26">
        <v>43894</v>
      </c>
      <c r="S750" s="4" t="s">
        <v>1501</v>
      </c>
      <c r="T750" s="493">
        <v>18400</v>
      </c>
      <c r="U750" t="s">
        <v>1545</v>
      </c>
      <c r="V750" s="494">
        <v>2119</v>
      </c>
      <c r="W750" s="494">
        <v>822</v>
      </c>
      <c r="X750" s="375">
        <v>0.28000000000000003</v>
      </c>
    </row>
    <row r="751" spans="1:24" x14ac:dyDescent="0.25">
      <c r="A751" s="4">
        <v>378</v>
      </c>
      <c r="B751" s="4" t="s">
        <v>4620</v>
      </c>
      <c r="C751" s="6" t="s">
        <v>4621</v>
      </c>
      <c r="D751" s="6" t="s">
        <v>4622</v>
      </c>
      <c r="E751" s="21">
        <v>43894</v>
      </c>
      <c r="F751" s="4" t="s">
        <v>1461</v>
      </c>
      <c r="H751" s="4">
        <v>6678</v>
      </c>
      <c r="I751" s="4">
        <v>4615</v>
      </c>
      <c r="J751" s="4" t="s">
        <v>4807</v>
      </c>
      <c r="K751" s="6" t="s">
        <v>4808</v>
      </c>
      <c r="L751" s="4">
        <v>1</v>
      </c>
      <c r="M751" s="493">
        <v>32689</v>
      </c>
      <c r="N751" s="4" t="s">
        <v>2886</v>
      </c>
      <c r="O751" s="493">
        <v>32689</v>
      </c>
      <c r="P751" s="493">
        <v>38900</v>
      </c>
      <c r="Q751" s="493">
        <v>38900</v>
      </c>
      <c r="R751" s="26">
        <v>43894</v>
      </c>
      <c r="S751" s="4" t="s">
        <v>1501</v>
      </c>
      <c r="T751" s="493">
        <v>38900</v>
      </c>
      <c r="U751" t="s">
        <v>4602</v>
      </c>
      <c r="V751" s="494">
        <v>26207</v>
      </c>
      <c r="W751" s="494">
        <v>6482</v>
      </c>
      <c r="X751" s="375">
        <v>0.2</v>
      </c>
    </row>
    <row r="752" spans="1:24" x14ac:dyDescent="0.25">
      <c r="A752" s="4">
        <v>373</v>
      </c>
      <c r="B752" s="4" t="s">
        <v>838</v>
      </c>
      <c r="C752" s="6" t="s">
        <v>2062</v>
      </c>
      <c r="D752" s="6" t="s">
        <v>840</v>
      </c>
      <c r="E752" s="21">
        <v>43894</v>
      </c>
      <c r="F752" s="4" t="s">
        <v>1461</v>
      </c>
      <c r="H752" s="4">
        <v>6673</v>
      </c>
      <c r="I752" s="4">
        <v>4610</v>
      </c>
      <c r="J752" s="4" t="s">
        <v>2619</v>
      </c>
      <c r="K752" s="6" t="s">
        <v>3361</v>
      </c>
      <c r="L752" s="4">
        <v>1</v>
      </c>
      <c r="M752" s="510">
        <v>16555</v>
      </c>
      <c r="N752" s="512" t="s">
        <v>2886</v>
      </c>
      <c r="O752" s="510">
        <v>16555</v>
      </c>
      <c r="P752" s="510">
        <v>19700</v>
      </c>
      <c r="Q752" s="510">
        <v>19700</v>
      </c>
      <c r="R752" s="26">
        <v>43894</v>
      </c>
      <c r="S752" s="4" t="s">
        <v>1501</v>
      </c>
      <c r="T752" s="510">
        <v>29900</v>
      </c>
      <c r="U752" t="s">
        <v>1572</v>
      </c>
      <c r="V752" s="511">
        <v>12429</v>
      </c>
      <c r="W752" s="511">
        <v>4126</v>
      </c>
      <c r="X752" s="375">
        <v>0.25</v>
      </c>
    </row>
    <row r="753" spans="1:24" x14ac:dyDescent="0.25">
      <c r="A753" s="4">
        <v>373</v>
      </c>
      <c r="B753" s="4" t="s">
        <v>847</v>
      </c>
      <c r="C753" s="6" t="s">
        <v>2201</v>
      </c>
      <c r="D753" s="6" t="s">
        <v>2198</v>
      </c>
      <c r="E753" s="21">
        <v>43894</v>
      </c>
      <c r="F753" s="4" t="s">
        <v>1461</v>
      </c>
      <c r="H753" s="4">
        <v>6673</v>
      </c>
      <c r="I753" s="4">
        <v>4610</v>
      </c>
      <c r="J753" s="4" t="s">
        <v>2619</v>
      </c>
      <c r="K753" s="6" t="s">
        <v>3361</v>
      </c>
      <c r="L753" s="4">
        <v>1</v>
      </c>
      <c r="M753" s="510">
        <v>8571</v>
      </c>
      <c r="N753" s="519" t="s">
        <v>2886</v>
      </c>
      <c r="O753" s="510">
        <v>8571</v>
      </c>
      <c r="P753" s="510">
        <v>10200</v>
      </c>
      <c r="Q753" s="510">
        <v>10200</v>
      </c>
      <c r="R753" s="26">
        <v>43894</v>
      </c>
      <c r="S753" s="4" t="s">
        <v>1501</v>
      </c>
      <c r="T753" s="510">
        <v>29900</v>
      </c>
      <c r="U753" t="s">
        <v>1572</v>
      </c>
      <c r="V753" s="511">
        <v>6436</v>
      </c>
      <c r="W753" s="511">
        <v>2135</v>
      </c>
      <c r="X753" s="375">
        <v>0.25</v>
      </c>
    </row>
    <row r="754" spans="1:24" x14ac:dyDescent="0.25">
      <c r="A754" s="4">
        <v>375</v>
      </c>
      <c r="B754" s="4" t="s">
        <v>5316</v>
      </c>
      <c r="C754" s="6" t="s">
        <v>5317</v>
      </c>
      <c r="D754" s="6" t="s">
        <v>5318</v>
      </c>
      <c r="E754" s="21">
        <v>43894</v>
      </c>
      <c r="F754" s="4" t="s">
        <v>1461</v>
      </c>
      <c r="H754" s="4">
        <v>6675</v>
      </c>
      <c r="I754" s="4">
        <v>4612</v>
      </c>
      <c r="J754" s="4" t="s">
        <v>2273</v>
      </c>
      <c r="K754" s="6" t="s">
        <v>2274</v>
      </c>
      <c r="L754" s="4">
        <v>1</v>
      </c>
      <c r="M754" s="510">
        <v>40756</v>
      </c>
      <c r="N754" s="512" t="s">
        <v>2886</v>
      </c>
      <c r="O754" s="510">
        <v>40756</v>
      </c>
      <c r="P754" s="510">
        <v>48500</v>
      </c>
      <c r="Q754" s="510">
        <v>48500</v>
      </c>
      <c r="R754" s="26">
        <v>43897</v>
      </c>
      <c r="S754" s="4" t="s">
        <v>1501</v>
      </c>
      <c r="T754" s="510">
        <v>48500</v>
      </c>
      <c r="U754" t="s">
        <v>1551</v>
      </c>
      <c r="V754" s="511">
        <v>3690</v>
      </c>
      <c r="W754" s="511">
        <v>37066</v>
      </c>
      <c r="X754" s="375">
        <v>0.91</v>
      </c>
    </row>
    <row r="755" spans="1:24" x14ac:dyDescent="0.25">
      <c r="A755" s="4">
        <v>381</v>
      </c>
      <c r="B755" s="4" t="s">
        <v>656</v>
      </c>
      <c r="C755" s="6" t="s">
        <v>1973</v>
      </c>
      <c r="D755" s="6" t="s">
        <v>794</v>
      </c>
      <c r="E755" s="21">
        <v>43895</v>
      </c>
      <c r="F755" s="4" t="s">
        <v>1461</v>
      </c>
      <c r="H755" s="4">
        <v>6680</v>
      </c>
      <c r="I755" s="4">
        <v>4618</v>
      </c>
      <c r="J755" s="4" t="s">
        <v>2437</v>
      </c>
      <c r="K755" s="6" t="s">
        <v>2438</v>
      </c>
      <c r="L755" s="4">
        <v>1</v>
      </c>
      <c r="M755" s="510">
        <v>19328</v>
      </c>
      <c r="N755" s="4" t="s">
        <v>2886</v>
      </c>
      <c r="O755" s="510">
        <v>19328</v>
      </c>
      <c r="P755" s="510">
        <v>23000</v>
      </c>
      <c r="Q755" s="510">
        <v>23000</v>
      </c>
      <c r="R755" s="26">
        <v>43895</v>
      </c>
      <c r="S755" s="4" t="s">
        <v>1501</v>
      </c>
      <c r="T755" s="510">
        <v>47600</v>
      </c>
      <c r="U755" t="s">
        <v>1551</v>
      </c>
      <c r="V755" s="511">
        <v>14604</v>
      </c>
      <c r="W755" s="511">
        <v>4724</v>
      </c>
      <c r="X755" s="375">
        <v>0.24</v>
      </c>
    </row>
    <row r="756" spans="1:24" x14ac:dyDescent="0.25">
      <c r="A756" s="4">
        <v>381</v>
      </c>
      <c r="B756" s="4" t="s">
        <v>1924</v>
      </c>
      <c r="C756" s="6" t="s">
        <v>5847</v>
      </c>
      <c r="D756" s="6" t="s">
        <v>1504</v>
      </c>
      <c r="E756" s="21">
        <v>43895</v>
      </c>
      <c r="F756" s="4" t="s">
        <v>1461</v>
      </c>
      <c r="H756" s="4">
        <v>6680</v>
      </c>
      <c r="I756" s="4">
        <v>4618</v>
      </c>
      <c r="J756" s="4" t="s">
        <v>2437</v>
      </c>
      <c r="K756" s="6" t="s">
        <v>2438</v>
      </c>
      <c r="L756" s="4">
        <v>4</v>
      </c>
      <c r="M756" s="510">
        <v>2101</v>
      </c>
      <c r="N756" s="4" t="s">
        <v>2886</v>
      </c>
      <c r="O756" s="510">
        <v>2101</v>
      </c>
      <c r="P756" s="510">
        <v>2500</v>
      </c>
      <c r="Q756" s="510">
        <v>10000</v>
      </c>
      <c r="R756" s="26">
        <v>43895</v>
      </c>
      <c r="S756" s="4" t="s">
        <v>1501</v>
      </c>
      <c r="T756" s="510">
        <v>47600</v>
      </c>
      <c r="U756" t="s">
        <v>1545</v>
      </c>
      <c r="V756" s="511">
        <v>850</v>
      </c>
      <c r="W756" s="511">
        <v>1251</v>
      </c>
      <c r="X756" s="375">
        <v>0.6</v>
      </c>
    </row>
    <row r="757" spans="1:24" x14ac:dyDescent="0.25">
      <c r="A757" s="4">
        <v>381</v>
      </c>
      <c r="B757" s="4" t="s">
        <v>2250</v>
      </c>
      <c r="C757" s="6" t="s">
        <v>5846</v>
      </c>
      <c r="D757" s="6" t="s">
        <v>1638</v>
      </c>
      <c r="E757" s="21">
        <v>43895</v>
      </c>
      <c r="F757" s="4" t="s">
        <v>1461</v>
      </c>
      <c r="H757" s="4">
        <v>6680</v>
      </c>
      <c r="I757" s="4">
        <v>4618</v>
      </c>
      <c r="J757" s="4" t="s">
        <v>2437</v>
      </c>
      <c r="K757" s="6" t="s">
        <v>2438</v>
      </c>
      <c r="L757" s="4">
        <v>2</v>
      </c>
      <c r="M757" s="510">
        <v>3193</v>
      </c>
      <c r="N757" s="4" t="s">
        <v>2886</v>
      </c>
      <c r="O757" s="510">
        <v>3193</v>
      </c>
      <c r="P757" s="510">
        <v>3800</v>
      </c>
      <c r="Q757" s="510">
        <v>7600</v>
      </c>
      <c r="R757" s="26">
        <v>43895</v>
      </c>
      <c r="S757" s="4" t="s">
        <v>1501</v>
      </c>
      <c r="T757" s="510">
        <v>47600</v>
      </c>
      <c r="U757" t="s">
        <v>1545</v>
      </c>
      <c r="V757" s="511">
        <v>2100</v>
      </c>
      <c r="W757" s="511">
        <v>1093</v>
      </c>
      <c r="X757" s="375">
        <v>0.34</v>
      </c>
    </row>
    <row r="758" spans="1:24" x14ac:dyDescent="0.25">
      <c r="A758" s="4">
        <v>381</v>
      </c>
      <c r="B758" s="4" t="s">
        <v>1755</v>
      </c>
      <c r="C758" s="6" t="s">
        <v>1925</v>
      </c>
      <c r="D758" s="6" t="s">
        <v>1504</v>
      </c>
      <c r="E758" s="21">
        <v>43895</v>
      </c>
      <c r="F758" s="4" t="s">
        <v>1461</v>
      </c>
      <c r="H758" s="4">
        <v>6680</v>
      </c>
      <c r="I758" s="4">
        <v>4618</v>
      </c>
      <c r="J758" s="4" t="s">
        <v>2437</v>
      </c>
      <c r="K758" s="6" t="s">
        <v>2438</v>
      </c>
      <c r="L758" s="4">
        <v>2</v>
      </c>
      <c r="M758" s="510">
        <v>2941</v>
      </c>
      <c r="N758" s="4" t="s">
        <v>2886</v>
      </c>
      <c r="O758" s="510">
        <v>2941</v>
      </c>
      <c r="P758" s="510">
        <v>3500</v>
      </c>
      <c r="Q758" s="510">
        <v>7000</v>
      </c>
      <c r="R758" s="26">
        <v>43895</v>
      </c>
      <c r="S758" s="4" t="s">
        <v>1501</v>
      </c>
      <c r="T758" s="510">
        <v>47600</v>
      </c>
      <c r="U758" t="s">
        <v>1545</v>
      </c>
      <c r="V758" s="511">
        <v>2119</v>
      </c>
      <c r="W758" s="511">
        <v>822</v>
      </c>
      <c r="X758" s="375">
        <v>0.28000000000000003</v>
      </c>
    </row>
    <row r="759" spans="1:24" x14ac:dyDescent="0.25">
      <c r="A759" s="4">
        <v>385</v>
      </c>
      <c r="B759" s="4" t="s">
        <v>4608</v>
      </c>
      <c r="C759" s="6" t="s">
        <v>5648</v>
      </c>
      <c r="D759" s="6" t="s">
        <v>4604</v>
      </c>
      <c r="E759" s="21">
        <v>43895</v>
      </c>
      <c r="F759" s="4" t="s">
        <v>1461</v>
      </c>
      <c r="H759" s="4">
        <v>6683</v>
      </c>
      <c r="I759" s="4">
        <v>4622</v>
      </c>
      <c r="J759" s="4" t="s">
        <v>4962</v>
      </c>
      <c r="K759" s="6" t="s">
        <v>4963</v>
      </c>
      <c r="L759" s="4">
        <v>1</v>
      </c>
      <c r="M759" s="510">
        <v>42101</v>
      </c>
      <c r="N759" s="374">
        <v>0.03</v>
      </c>
      <c r="O759" s="510">
        <v>40798</v>
      </c>
      <c r="P759" s="510">
        <v>48500</v>
      </c>
      <c r="Q759" s="510">
        <v>48500</v>
      </c>
      <c r="R759" s="26">
        <v>43896</v>
      </c>
      <c r="S759" s="4" t="s">
        <v>1501</v>
      </c>
      <c r="T759" s="510">
        <v>97000</v>
      </c>
      <c r="U759" t="s">
        <v>4602</v>
      </c>
      <c r="V759" s="511">
        <v>33701</v>
      </c>
      <c r="W759" s="511">
        <v>7097</v>
      </c>
      <c r="X759" s="375">
        <v>0.17</v>
      </c>
    </row>
    <row r="760" spans="1:24" x14ac:dyDescent="0.25">
      <c r="A760" s="4">
        <v>385</v>
      </c>
      <c r="B760" s="4" t="s">
        <v>4609</v>
      </c>
      <c r="C760" s="6" t="s">
        <v>5649</v>
      </c>
      <c r="D760" s="6" t="s">
        <v>4604</v>
      </c>
      <c r="E760" s="21">
        <v>43895</v>
      </c>
      <c r="F760" s="4" t="s">
        <v>1461</v>
      </c>
      <c r="H760" s="4">
        <v>6683</v>
      </c>
      <c r="I760" s="4">
        <v>4622</v>
      </c>
      <c r="J760" s="4" t="s">
        <v>4962</v>
      </c>
      <c r="K760" s="6" t="s">
        <v>4963</v>
      </c>
      <c r="L760" s="4">
        <v>1</v>
      </c>
      <c r="M760" s="510">
        <v>42101</v>
      </c>
      <c r="N760" s="374">
        <v>0.03</v>
      </c>
      <c r="O760" s="510">
        <v>40798</v>
      </c>
      <c r="P760" s="510">
        <v>48500</v>
      </c>
      <c r="Q760" s="510">
        <v>48500</v>
      </c>
      <c r="R760" s="26">
        <v>43896</v>
      </c>
      <c r="S760" s="4" t="s">
        <v>1501</v>
      </c>
      <c r="T760" s="510">
        <v>97000</v>
      </c>
      <c r="U760" t="s">
        <v>4602</v>
      </c>
      <c r="V760" s="511">
        <v>33701</v>
      </c>
      <c r="W760" s="511">
        <v>7097</v>
      </c>
      <c r="X760" s="375">
        <v>0.17</v>
      </c>
    </row>
    <row r="761" spans="1:24" x14ac:dyDescent="0.25">
      <c r="A761" s="4">
        <v>382</v>
      </c>
      <c r="B761" s="4" t="s">
        <v>830</v>
      </c>
      <c r="C761" s="6" t="s">
        <v>2495</v>
      </c>
      <c r="D761" s="6" t="s">
        <v>837</v>
      </c>
      <c r="E761" s="21">
        <v>43895</v>
      </c>
      <c r="F761" s="4" t="s">
        <v>1461</v>
      </c>
      <c r="H761" s="4">
        <v>6681</v>
      </c>
      <c r="I761" s="4">
        <v>4619</v>
      </c>
      <c r="J761" s="4" t="s">
        <v>2344</v>
      </c>
      <c r="K761" s="6" t="s">
        <v>2345</v>
      </c>
      <c r="L761" s="4">
        <v>1</v>
      </c>
      <c r="M761" s="510">
        <v>13866</v>
      </c>
      <c r="N761" s="4" t="s">
        <v>2886</v>
      </c>
      <c r="O761" s="510">
        <v>13866</v>
      </c>
      <c r="P761" s="510">
        <v>16500</v>
      </c>
      <c r="Q761" s="510">
        <v>16500</v>
      </c>
      <c r="R761" s="26">
        <v>43895</v>
      </c>
      <c r="S761" s="4" t="s">
        <v>1501</v>
      </c>
      <c r="T761" s="510">
        <v>16500</v>
      </c>
      <c r="U761" t="s">
        <v>1572</v>
      </c>
      <c r="V761" s="523">
        <v>10390</v>
      </c>
      <c r="W761" s="511">
        <v>3476</v>
      </c>
      <c r="X761" s="375">
        <v>0.25</v>
      </c>
    </row>
    <row r="762" spans="1:24" x14ac:dyDescent="0.25">
      <c r="A762" s="4">
        <v>380</v>
      </c>
      <c r="B762" s="4" t="s">
        <v>830</v>
      </c>
      <c r="C762" s="6" t="s">
        <v>2495</v>
      </c>
      <c r="D762" s="6" t="s">
        <v>837</v>
      </c>
      <c r="E762" s="21">
        <v>43895</v>
      </c>
      <c r="F762" s="4" t="s">
        <v>1461</v>
      </c>
      <c r="H762" s="4">
        <v>6679</v>
      </c>
      <c r="I762" s="4">
        <v>4617</v>
      </c>
      <c r="J762" s="4" t="s">
        <v>1250</v>
      </c>
      <c r="K762" s="6" t="s">
        <v>3398</v>
      </c>
      <c r="L762" s="4">
        <v>1</v>
      </c>
      <c r="M762" s="510">
        <v>13866</v>
      </c>
      <c r="N762" s="4" t="s">
        <v>2886</v>
      </c>
      <c r="O762" s="510">
        <v>13866</v>
      </c>
      <c r="P762" s="510">
        <v>16500</v>
      </c>
      <c r="Q762" s="510">
        <v>16500</v>
      </c>
      <c r="R762" s="26">
        <v>43895</v>
      </c>
      <c r="S762" s="4" t="s">
        <v>1501</v>
      </c>
      <c r="T762" s="510">
        <v>16500</v>
      </c>
      <c r="U762" t="s">
        <v>1572</v>
      </c>
      <c r="V762" s="511">
        <v>10390</v>
      </c>
      <c r="W762" s="511">
        <v>3476</v>
      </c>
      <c r="X762" s="375">
        <v>0.25</v>
      </c>
    </row>
    <row r="763" spans="1:24" x14ac:dyDescent="0.25">
      <c r="A763" s="4">
        <v>384</v>
      </c>
      <c r="B763" s="4" t="s">
        <v>855</v>
      </c>
      <c r="C763" s="6" t="s">
        <v>2499</v>
      </c>
      <c r="D763" s="6" t="s">
        <v>857</v>
      </c>
      <c r="E763" s="21">
        <v>43895</v>
      </c>
      <c r="F763" s="4" t="s">
        <v>1461</v>
      </c>
      <c r="H763" s="4">
        <v>6682</v>
      </c>
      <c r="I763" s="4">
        <v>4621</v>
      </c>
      <c r="J763" s="4" t="s">
        <v>5419</v>
      </c>
      <c r="K763" s="6" t="s">
        <v>5420</v>
      </c>
      <c r="L763" s="4">
        <v>2</v>
      </c>
      <c r="M763" s="510">
        <v>13277</v>
      </c>
      <c r="N763" s="4" t="s">
        <v>2886</v>
      </c>
      <c r="O763" s="510">
        <v>13277</v>
      </c>
      <c r="P763" s="510">
        <v>15800</v>
      </c>
      <c r="Q763" s="510">
        <v>31600</v>
      </c>
      <c r="R763" s="26">
        <v>43895</v>
      </c>
      <c r="S763" s="4" t="s">
        <v>1501</v>
      </c>
      <c r="T763" s="510">
        <v>55500</v>
      </c>
      <c r="U763" t="s">
        <v>1551</v>
      </c>
      <c r="V763" s="511">
        <v>9975</v>
      </c>
      <c r="W763" s="511">
        <v>3302</v>
      </c>
      <c r="X763" s="375">
        <v>0.25</v>
      </c>
    </row>
    <row r="764" spans="1:24" x14ac:dyDescent="0.25">
      <c r="A764" s="4">
        <v>384</v>
      </c>
      <c r="B764" s="4" t="s">
        <v>792</v>
      </c>
      <c r="C764" s="6" t="s">
        <v>1928</v>
      </c>
      <c r="D764" s="6" t="s">
        <v>794</v>
      </c>
      <c r="E764" s="21">
        <v>43895</v>
      </c>
      <c r="F764" s="4" t="s">
        <v>1461</v>
      </c>
      <c r="H764" s="4">
        <v>6682</v>
      </c>
      <c r="I764" s="4">
        <v>4621</v>
      </c>
      <c r="J764" s="4" t="s">
        <v>5419</v>
      </c>
      <c r="K764" s="6" t="s">
        <v>5420</v>
      </c>
      <c r="L764" s="4">
        <v>1</v>
      </c>
      <c r="M764" s="510">
        <v>20084</v>
      </c>
      <c r="N764" s="512" t="s">
        <v>2886</v>
      </c>
      <c r="O764" s="510">
        <v>20084</v>
      </c>
      <c r="P764" s="510">
        <v>23900</v>
      </c>
      <c r="Q764" s="510">
        <v>23900</v>
      </c>
      <c r="R764" s="26">
        <v>43895</v>
      </c>
      <c r="S764" s="4" t="s">
        <v>1501</v>
      </c>
      <c r="T764" s="510">
        <v>55500</v>
      </c>
      <c r="U764" t="s">
        <v>1551</v>
      </c>
      <c r="V764" s="511">
        <v>14604</v>
      </c>
      <c r="W764" s="511">
        <v>5480</v>
      </c>
      <c r="X764" s="375">
        <v>0.27</v>
      </c>
    </row>
    <row r="765" spans="1:24" x14ac:dyDescent="0.25">
      <c r="A765" s="4">
        <v>383</v>
      </c>
      <c r="B765" s="4" t="s">
        <v>3907</v>
      </c>
      <c r="C765" s="6" t="s">
        <v>3814</v>
      </c>
      <c r="D765" s="6" t="s">
        <v>1646</v>
      </c>
      <c r="E765" s="21">
        <v>43895</v>
      </c>
      <c r="F765" s="4" t="s">
        <v>925</v>
      </c>
      <c r="H765" s="4" t="s">
        <v>4844</v>
      </c>
      <c r="I765" s="4">
        <v>4620</v>
      </c>
      <c r="J765" s="4" t="s">
        <v>1192</v>
      </c>
      <c r="K765" s="6" t="s">
        <v>1061</v>
      </c>
      <c r="L765" s="4">
        <v>6</v>
      </c>
      <c r="M765" s="510">
        <v>17642</v>
      </c>
      <c r="N765" s="512" t="s">
        <v>2886</v>
      </c>
      <c r="O765" s="510">
        <v>17642</v>
      </c>
      <c r="P765" s="510">
        <v>20994</v>
      </c>
      <c r="Q765" s="510">
        <v>125964</v>
      </c>
      <c r="R765" s="26">
        <v>43895</v>
      </c>
      <c r="S765" s="4" t="s">
        <v>1501</v>
      </c>
      <c r="T765" s="510">
        <v>136461</v>
      </c>
      <c r="U765" t="s">
        <v>3934</v>
      </c>
      <c r="V765" s="511">
        <v>13408</v>
      </c>
      <c r="W765" s="511">
        <v>4234</v>
      </c>
      <c r="X765" s="375">
        <v>0.24</v>
      </c>
    </row>
    <row r="766" spans="1:24" x14ac:dyDescent="0.25">
      <c r="A766" s="4">
        <v>386</v>
      </c>
      <c r="B766" s="4" t="s">
        <v>855</v>
      </c>
      <c r="C766" s="6" t="s">
        <v>2499</v>
      </c>
      <c r="D766" s="6" t="s">
        <v>857</v>
      </c>
      <c r="E766" s="21">
        <v>43896</v>
      </c>
      <c r="F766" s="4" t="s">
        <v>925</v>
      </c>
      <c r="H766" s="4" t="s">
        <v>2528</v>
      </c>
      <c r="I766" s="4">
        <v>4623</v>
      </c>
      <c r="J766" s="4" t="s">
        <v>1193</v>
      </c>
      <c r="K766" s="6" t="s">
        <v>1017</v>
      </c>
      <c r="L766" s="4">
        <v>2</v>
      </c>
      <c r="M766" s="513">
        <v>13816</v>
      </c>
      <c r="N766" s="374">
        <v>0.05</v>
      </c>
      <c r="O766" s="513">
        <v>13158</v>
      </c>
      <c r="P766" s="513">
        <v>15619</v>
      </c>
      <c r="Q766" s="513">
        <v>31238</v>
      </c>
      <c r="R766" s="26">
        <v>43896</v>
      </c>
      <c r="S766" s="4" t="s">
        <v>1445</v>
      </c>
      <c r="T766" s="513">
        <v>55219</v>
      </c>
      <c r="U766" t="s">
        <v>1551</v>
      </c>
      <c r="V766" s="514">
        <v>9975</v>
      </c>
      <c r="W766" s="514">
        <v>3183</v>
      </c>
      <c r="X766" s="375">
        <v>0.24</v>
      </c>
    </row>
    <row r="767" spans="1:24" x14ac:dyDescent="0.25">
      <c r="A767" s="4">
        <v>386</v>
      </c>
      <c r="B767" s="4" t="s">
        <v>2034</v>
      </c>
      <c r="C767" s="6" t="s">
        <v>2064</v>
      </c>
      <c r="D767" s="6" t="s">
        <v>840</v>
      </c>
      <c r="E767" s="21">
        <v>43896</v>
      </c>
      <c r="F767" s="4" t="s">
        <v>925</v>
      </c>
      <c r="H767" s="4" t="s">
        <v>2528</v>
      </c>
      <c r="I767" s="4">
        <v>4623</v>
      </c>
      <c r="J767" s="4" t="s">
        <v>1193</v>
      </c>
      <c r="K767" s="6" t="s">
        <v>1017</v>
      </c>
      <c r="L767" s="4">
        <v>14</v>
      </c>
      <c r="M767" s="513">
        <v>1515</v>
      </c>
      <c r="N767" s="374">
        <v>0.05</v>
      </c>
      <c r="O767" s="513">
        <v>1443</v>
      </c>
      <c r="P767" s="513">
        <v>1713</v>
      </c>
      <c r="Q767" s="513">
        <v>23982</v>
      </c>
      <c r="R767" s="26">
        <v>43896</v>
      </c>
      <c r="S767" s="4" t="s">
        <v>1445</v>
      </c>
      <c r="T767" s="513">
        <v>55219</v>
      </c>
      <c r="U767" t="s">
        <v>1572</v>
      </c>
      <c r="V767" s="514">
        <v>1094</v>
      </c>
      <c r="W767" s="514">
        <v>349</v>
      </c>
      <c r="X767" s="375">
        <v>0.24</v>
      </c>
    </row>
    <row r="768" spans="1:24" x14ac:dyDescent="0.25">
      <c r="A768" s="4">
        <v>387</v>
      </c>
      <c r="B768" s="4" t="s">
        <v>38</v>
      </c>
      <c r="C768" s="6" t="s">
        <v>5843</v>
      </c>
      <c r="D768" s="6" t="s">
        <v>1504</v>
      </c>
      <c r="E768" s="21">
        <v>43896</v>
      </c>
      <c r="F768" s="4" t="s">
        <v>925</v>
      </c>
      <c r="H768" s="4" t="s">
        <v>4444</v>
      </c>
      <c r="I768" s="4">
        <v>4624</v>
      </c>
      <c r="J768" s="4" t="s">
        <v>1207</v>
      </c>
      <c r="K768" s="6" t="s">
        <v>963</v>
      </c>
      <c r="L768" s="4">
        <v>6</v>
      </c>
      <c r="M768" s="513">
        <v>3248</v>
      </c>
      <c r="N768" s="4" t="s">
        <v>2886</v>
      </c>
      <c r="O768" s="513">
        <v>3248</v>
      </c>
      <c r="P768" s="513">
        <v>3865</v>
      </c>
      <c r="Q768" s="513">
        <v>23190</v>
      </c>
      <c r="R768" s="26">
        <v>43896</v>
      </c>
      <c r="S768" s="4" t="s">
        <v>1445</v>
      </c>
      <c r="T768" s="513">
        <v>47540</v>
      </c>
      <c r="U768" t="s">
        <v>1563</v>
      </c>
      <c r="V768" s="514">
        <v>2345</v>
      </c>
      <c r="W768" s="514">
        <v>903</v>
      </c>
      <c r="X768" s="375">
        <v>0.28000000000000003</v>
      </c>
    </row>
    <row r="769" spans="1:24" x14ac:dyDescent="0.25">
      <c r="A769" s="4">
        <v>387</v>
      </c>
      <c r="B769" s="4" t="s">
        <v>2876</v>
      </c>
      <c r="C769" s="6" t="s">
        <v>3380</v>
      </c>
      <c r="D769" s="6" t="s">
        <v>2872</v>
      </c>
      <c r="E769" s="21">
        <v>43896</v>
      </c>
      <c r="F769" s="4" t="s">
        <v>925</v>
      </c>
      <c r="H769" s="4" t="s">
        <v>4444</v>
      </c>
      <c r="I769" s="4">
        <v>4624</v>
      </c>
      <c r="J769" s="4" t="s">
        <v>1207</v>
      </c>
      <c r="K769" s="6" t="s">
        <v>963</v>
      </c>
      <c r="L769" s="4">
        <v>5</v>
      </c>
      <c r="M769" s="513">
        <v>4092</v>
      </c>
      <c r="N769" s="4" t="s">
        <v>2886</v>
      </c>
      <c r="O769" s="513">
        <v>4092</v>
      </c>
      <c r="P769" s="513">
        <v>4870</v>
      </c>
      <c r="Q769" s="513">
        <v>24350</v>
      </c>
      <c r="R769" s="26">
        <v>43896</v>
      </c>
      <c r="S769" s="4" t="s">
        <v>1445</v>
      </c>
      <c r="T769" s="513">
        <v>47540</v>
      </c>
      <c r="U769" t="s">
        <v>2926</v>
      </c>
      <c r="V769" s="514">
        <v>2800</v>
      </c>
      <c r="W769" s="514">
        <v>1292</v>
      </c>
      <c r="X769" s="375">
        <v>0.32</v>
      </c>
    </row>
    <row r="770" spans="1:24" x14ac:dyDescent="0.25">
      <c r="A770" s="4">
        <v>388</v>
      </c>
      <c r="B770" s="4" t="s">
        <v>1777</v>
      </c>
      <c r="C770" s="6" t="s">
        <v>5477</v>
      </c>
      <c r="D770" s="6" t="s">
        <v>89</v>
      </c>
      <c r="E770" s="21">
        <v>43896</v>
      </c>
      <c r="F770" s="4" t="s">
        <v>925</v>
      </c>
      <c r="H770" s="4" t="s">
        <v>2528</v>
      </c>
      <c r="I770" s="4">
        <v>4625</v>
      </c>
      <c r="J770" s="4" t="s">
        <v>1182</v>
      </c>
      <c r="K770" s="6" t="s">
        <v>1044</v>
      </c>
      <c r="L770" s="4">
        <v>4</v>
      </c>
      <c r="M770" s="513">
        <v>12185</v>
      </c>
      <c r="N770" s="4" t="s">
        <v>2886</v>
      </c>
      <c r="O770" s="513">
        <v>12185</v>
      </c>
      <c r="P770" s="513">
        <v>14500</v>
      </c>
      <c r="Q770" s="513">
        <v>58000</v>
      </c>
      <c r="R770" s="26">
        <v>43896</v>
      </c>
      <c r="S770" s="4" t="s">
        <v>1445</v>
      </c>
      <c r="T770" s="513">
        <v>105128</v>
      </c>
      <c r="U770" t="s">
        <v>1569</v>
      </c>
      <c r="V770" s="514">
        <v>9360</v>
      </c>
      <c r="W770" s="514">
        <v>2825</v>
      </c>
      <c r="X770" s="375">
        <v>0.23</v>
      </c>
    </row>
    <row r="771" spans="1:24" x14ac:dyDescent="0.25">
      <c r="A771" s="4">
        <v>388</v>
      </c>
      <c r="B771" s="4" t="s">
        <v>1964</v>
      </c>
      <c r="C771" s="6" t="s">
        <v>2202</v>
      </c>
      <c r="D771" s="6" t="s">
        <v>2198</v>
      </c>
      <c r="E771" s="21">
        <v>43896</v>
      </c>
      <c r="F771" s="4" t="s">
        <v>925</v>
      </c>
      <c r="H771" s="4" t="s">
        <v>2528</v>
      </c>
      <c r="I771" s="4">
        <v>4625</v>
      </c>
      <c r="J771" s="4" t="s">
        <v>1182</v>
      </c>
      <c r="K771" s="6" t="s">
        <v>1044</v>
      </c>
      <c r="L771" s="4">
        <v>20</v>
      </c>
      <c r="M771" s="513">
        <v>1078</v>
      </c>
      <c r="N771" s="374">
        <v>0.1</v>
      </c>
      <c r="O771" s="513">
        <v>982</v>
      </c>
      <c r="P771" s="513">
        <v>1157</v>
      </c>
      <c r="Q771" s="513">
        <v>23140</v>
      </c>
      <c r="R771" s="26">
        <v>43896</v>
      </c>
      <c r="S771" s="4" t="s">
        <v>1445</v>
      </c>
      <c r="T771" s="513">
        <v>105128</v>
      </c>
      <c r="U771" t="s">
        <v>1572</v>
      </c>
      <c r="V771" s="514">
        <v>778</v>
      </c>
      <c r="W771" s="514">
        <v>204</v>
      </c>
      <c r="X771" s="375">
        <v>0.21</v>
      </c>
    </row>
    <row r="772" spans="1:24" x14ac:dyDescent="0.25">
      <c r="A772" s="4">
        <v>388</v>
      </c>
      <c r="B772" s="4" t="s">
        <v>2034</v>
      </c>
      <c r="C772" s="6" t="s">
        <v>2064</v>
      </c>
      <c r="D772" s="6" t="s">
        <v>840</v>
      </c>
      <c r="E772" s="21">
        <v>43896</v>
      </c>
      <c r="F772" s="4" t="s">
        <v>925</v>
      </c>
      <c r="H772" s="4" t="s">
        <v>2528</v>
      </c>
      <c r="I772" s="4">
        <v>4625</v>
      </c>
      <c r="J772" s="4" t="s">
        <v>1182</v>
      </c>
      <c r="K772" s="6" t="s">
        <v>1044</v>
      </c>
      <c r="L772" s="4">
        <v>14</v>
      </c>
      <c r="M772" s="513">
        <v>1515</v>
      </c>
      <c r="N772" s="374">
        <v>0.05</v>
      </c>
      <c r="O772" s="513">
        <v>1443</v>
      </c>
      <c r="P772" s="513">
        <v>1713</v>
      </c>
      <c r="Q772" s="513">
        <v>23982</v>
      </c>
      <c r="R772" s="26">
        <v>43896</v>
      </c>
      <c r="S772" s="4" t="s">
        <v>1445</v>
      </c>
      <c r="T772" s="513">
        <v>105128</v>
      </c>
      <c r="U772" t="s">
        <v>1572</v>
      </c>
      <c r="V772" s="514">
        <v>1094</v>
      </c>
      <c r="W772" s="514">
        <v>349</v>
      </c>
      <c r="X772" s="375">
        <v>0.24</v>
      </c>
    </row>
    <row r="773" spans="1:24" x14ac:dyDescent="0.25">
      <c r="A773" s="4">
        <v>389</v>
      </c>
      <c r="B773" s="4" t="s">
        <v>3968</v>
      </c>
      <c r="C773" s="6" t="s">
        <v>4018</v>
      </c>
      <c r="D773" s="6" t="s">
        <v>4019</v>
      </c>
      <c r="E773" s="21">
        <v>43896</v>
      </c>
      <c r="F773" s="4" t="s">
        <v>1461</v>
      </c>
      <c r="H773" s="4">
        <v>6684</v>
      </c>
      <c r="I773" s="4">
        <v>4626</v>
      </c>
      <c r="J773" s="4" t="s">
        <v>2632</v>
      </c>
      <c r="K773" s="6" t="s">
        <v>2633</v>
      </c>
      <c r="L773" s="4">
        <v>2</v>
      </c>
      <c r="M773" s="513">
        <v>19076</v>
      </c>
      <c r="N773" s="4" t="s">
        <v>2886</v>
      </c>
      <c r="O773" s="513">
        <v>19076</v>
      </c>
      <c r="P773" s="513">
        <v>22700</v>
      </c>
      <c r="Q773" s="513">
        <v>45400</v>
      </c>
      <c r="R773" s="26">
        <v>43896</v>
      </c>
      <c r="S773" s="4" t="s">
        <v>1445</v>
      </c>
      <c r="T773" s="513">
        <v>45400</v>
      </c>
      <c r="U773" t="s">
        <v>1551</v>
      </c>
      <c r="V773" s="514">
        <v>14122</v>
      </c>
      <c r="W773" s="514">
        <v>4954</v>
      </c>
      <c r="X773" s="375">
        <v>0.26</v>
      </c>
    </row>
    <row r="774" spans="1:24" x14ac:dyDescent="0.25">
      <c r="A774" s="4">
        <v>390</v>
      </c>
      <c r="B774" s="4" t="s">
        <v>849</v>
      </c>
      <c r="C774" s="6" t="s">
        <v>2492</v>
      </c>
      <c r="D774" s="6" t="s">
        <v>851</v>
      </c>
      <c r="E774" s="21">
        <v>43896</v>
      </c>
      <c r="F774" s="4" t="s">
        <v>1461</v>
      </c>
      <c r="H774" s="4">
        <v>6685</v>
      </c>
      <c r="I774" s="4">
        <v>4627</v>
      </c>
      <c r="J774" s="4" t="s">
        <v>1228</v>
      </c>
      <c r="K774" s="6" t="s">
        <v>948</v>
      </c>
      <c r="L774" s="4">
        <v>2</v>
      </c>
      <c r="M774" s="513">
        <v>13025</v>
      </c>
      <c r="N774" s="4" t="s">
        <v>2886</v>
      </c>
      <c r="O774" s="513">
        <v>13025</v>
      </c>
      <c r="P774" s="513">
        <v>15500</v>
      </c>
      <c r="Q774" s="513">
        <v>31000</v>
      </c>
      <c r="R774" s="26">
        <v>43896</v>
      </c>
      <c r="S774" s="4" t="s">
        <v>1445</v>
      </c>
      <c r="T774" s="513">
        <v>31000</v>
      </c>
      <c r="U774" t="s">
        <v>1572</v>
      </c>
      <c r="V774" s="514">
        <v>9641</v>
      </c>
      <c r="W774" s="514">
        <v>3384</v>
      </c>
      <c r="X774" s="375">
        <v>0.26</v>
      </c>
    </row>
    <row r="775" spans="1:24" x14ac:dyDescent="0.25">
      <c r="A775" s="4">
        <v>391</v>
      </c>
      <c r="B775" s="4" t="s">
        <v>830</v>
      </c>
      <c r="C775" s="6" t="s">
        <v>2495</v>
      </c>
      <c r="D775" s="6" t="s">
        <v>837</v>
      </c>
      <c r="E775" s="21">
        <v>43896</v>
      </c>
      <c r="F775" s="4" t="s">
        <v>1461</v>
      </c>
      <c r="H775" s="4">
        <v>6686</v>
      </c>
      <c r="I775" s="4">
        <v>4628</v>
      </c>
      <c r="J775" s="4" t="s">
        <v>1200</v>
      </c>
      <c r="K775" s="6" t="s">
        <v>2316</v>
      </c>
      <c r="L775" s="4">
        <v>1</v>
      </c>
      <c r="M775" s="513">
        <v>13866</v>
      </c>
      <c r="N775" s="4" t="s">
        <v>2886</v>
      </c>
      <c r="O775" s="513">
        <v>13866</v>
      </c>
      <c r="P775" s="513">
        <v>16500</v>
      </c>
      <c r="Q775" s="513">
        <v>16500</v>
      </c>
      <c r="R775" s="26">
        <v>43896</v>
      </c>
      <c r="S775" s="4" t="s">
        <v>1445</v>
      </c>
      <c r="T775" s="513">
        <v>41000</v>
      </c>
      <c r="U775" t="s">
        <v>1572</v>
      </c>
      <c r="V775" s="514">
        <v>10390</v>
      </c>
      <c r="W775" s="514">
        <v>3476</v>
      </c>
      <c r="X775" s="375">
        <v>0.25</v>
      </c>
    </row>
    <row r="776" spans="1:24" x14ac:dyDescent="0.25">
      <c r="A776" s="4">
        <v>391</v>
      </c>
      <c r="B776" s="4" t="s">
        <v>2289</v>
      </c>
      <c r="C776" s="6" t="s">
        <v>2620</v>
      </c>
      <c r="D776" s="6" t="s">
        <v>1539</v>
      </c>
      <c r="E776" s="21">
        <v>43896</v>
      </c>
      <c r="F776" s="4" t="s">
        <v>1461</v>
      </c>
      <c r="H776" s="4">
        <v>6686</v>
      </c>
      <c r="I776" s="4">
        <v>4628</v>
      </c>
      <c r="J776" s="4" t="s">
        <v>1200</v>
      </c>
      <c r="K776" s="6" t="s">
        <v>2316</v>
      </c>
      <c r="L776" s="4">
        <v>1</v>
      </c>
      <c r="M776" s="513">
        <v>20588</v>
      </c>
      <c r="N776" s="4" t="s">
        <v>2886</v>
      </c>
      <c r="O776" s="513">
        <v>20588</v>
      </c>
      <c r="P776" s="513">
        <v>24500</v>
      </c>
      <c r="Q776" s="513">
        <v>24500</v>
      </c>
      <c r="R776" s="26">
        <v>43896</v>
      </c>
      <c r="S776" s="4" t="s">
        <v>1445</v>
      </c>
      <c r="T776" s="513">
        <v>41000</v>
      </c>
      <c r="U776" t="s">
        <v>1524</v>
      </c>
      <c r="V776" s="514">
        <v>16386</v>
      </c>
      <c r="W776" s="514">
        <v>4202</v>
      </c>
      <c r="X776" s="375">
        <v>0.2</v>
      </c>
    </row>
    <row r="777" spans="1:24" x14ac:dyDescent="0.25">
      <c r="A777" s="4">
        <v>392</v>
      </c>
      <c r="B777" s="4" t="s">
        <v>3968</v>
      </c>
      <c r="C777" s="6" t="s">
        <v>4018</v>
      </c>
      <c r="D777" s="6" t="s">
        <v>4019</v>
      </c>
      <c r="E777" s="21">
        <v>43896</v>
      </c>
      <c r="F777" s="4" t="s">
        <v>1461</v>
      </c>
      <c r="H777" s="4">
        <v>6687</v>
      </c>
      <c r="I777" s="4">
        <v>4629</v>
      </c>
      <c r="J777" s="4" t="s">
        <v>4804</v>
      </c>
      <c r="K777" s="6" t="s">
        <v>4805</v>
      </c>
      <c r="L777" s="4">
        <v>1</v>
      </c>
      <c r="M777" s="513">
        <v>19076</v>
      </c>
      <c r="N777" s="4" t="s">
        <v>2886</v>
      </c>
      <c r="O777" s="513">
        <v>19076</v>
      </c>
      <c r="P777" s="513">
        <v>22700</v>
      </c>
      <c r="Q777" s="513">
        <v>22700</v>
      </c>
      <c r="R777" s="26">
        <v>43896</v>
      </c>
      <c r="S777" s="4" t="s">
        <v>1501</v>
      </c>
      <c r="T777" s="513">
        <v>22700</v>
      </c>
      <c r="U777" t="s">
        <v>1551</v>
      </c>
      <c r="V777" s="514">
        <v>14122</v>
      </c>
      <c r="W777" s="514">
        <v>4954</v>
      </c>
      <c r="X777" s="375">
        <v>0.26</v>
      </c>
    </row>
    <row r="778" spans="1:24" x14ac:dyDescent="0.25">
      <c r="A778" s="4">
        <v>393</v>
      </c>
      <c r="B778" s="4" t="s">
        <v>3968</v>
      </c>
      <c r="C778" s="6" t="s">
        <v>4018</v>
      </c>
      <c r="D778" s="6" t="s">
        <v>4019</v>
      </c>
      <c r="E778" s="21">
        <v>43896</v>
      </c>
      <c r="F778" s="4" t="s">
        <v>1461</v>
      </c>
      <c r="H778" s="4">
        <v>6688</v>
      </c>
      <c r="I778" s="4">
        <v>4630</v>
      </c>
      <c r="J778" s="4" t="s">
        <v>4794</v>
      </c>
      <c r="K778" s="6" t="s">
        <v>4795</v>
      </c>
      <c r="L778" s="4">
        <v>2</v>
      </c>
      <c r="M778" s="513">
        <v>19076</v>
      </c>
      <c r="N778" s="4" t="s">
        <v>2886</v>
      </c>
      <c r="O778" s="513">
        <v>19076</v>
      </c>
      <c r="P778" s="513">
        <v>22700</v>
      </c>
      <c r="Q778" s="513">
        <v>45400</v>
      </c>
      <c r="R778" s="26">
        <v>43896</v>
      </c>
      <c r="S778" s="4" t="s">
        <v>1501</v>
      </c>
      <c r="T778" s="513">
        <v>45400</v>
      </c>
      <c r="U778" t="s">
        <v>1551</v>
      </c>
      <c r="V778" s="514">
        <v>14122</v>
      </c>
      <c r="W778" s="514">
        <v>4954</v>
      </c>
      <c r="X778" s="375">
        <v>0.26</v>
      </c>
    </row>
    <row r="779" spans="1:24" x14ac:dyDescent="0.25">
      <c r="A779" s="4">
        <v>394</v>
      </c>
      <c r="B779" s="4" t="s">
        <v>847</v>
      </c>
      <c r="C779" s="6" t="s">
        <v>2201</v>
      </c>
      <c r="D779" s="6" t="s">
        <v>2198</v>
      </c>
      <c r="E779" s="21">
        <v>43896</v>
      </c>
      <c r="F779" s="4" t="s">
        <v>1461</v>
      </c>
      <c r="H779" s="4">
        <v>6689</v>
      </c>
      <c r="I779" s="4">
        <v>4631</v>
      </c>
      <c r="J779" s="4" t="s">
        <v>1399</v>
      </c>
      <c r="K779" s="6" t="s">
        <v>1004</v>
      </c>
      <c r="L779" s="4">
        <v>1</v>
      </c>
      <c r="M779" s="513">
        <v>8571</v>
      </c>
      <c r="N779" s="4" t="s">
        <v>2886</v>
      </c>
      <c r="O779" s="513">
        <v>8571</v>
      </c>
      <c r="P779" s="513">
        <v>10200</v>
      </c>
      <c r="Q779" s="513">
        <v>10200</v>
      </c>
      <c r="R779" s="26">
        <v>43896</v>
      </c>
      <c r="S779" s="4" t="s">
        <v>1501</v>
      </c>
      <c r="T779" s="513">
        <v>10200</v>
      </c>
      <c r="U779" t="s">
        <v>1572</v>
      </c>
      <c r="V779" s="514">
        <v>6436</v>
      </c>
      <c r="W779" s="514">
        <v>2135</v>
      </c>
      <c r="X779" s="375">
        <v>0.25</v>
      </c>
    </row>
    <row r="780" spans="1:24" x14ac:dyDescent="0.25">
      <c r="A780" s="4">
        <v>395</v>
      </c>
      <c r="B780" s="4" t="s">
        <v>855</v>
      </c>
      <c r="C780" s="6" t="s">
        <v>2499</v>
      </c>
      <c r="D780" s="6" t="s">
        <v>857</v>
      </c>
      <c r="E780" s="21">
        <v>43897</v>
      </c>
      <c r="F780" s="4" t="s">
        <v>1461</v>
      </c>
      <c r="H780" s="4">
        <v>6690</v>
      </c>
      <c r="I780" s="4">
        <v>4632</v>
      </c>
      <c r="J780" s="4" t="s">
        <v>4545</v>
      </c>
      <c r="K780" s="6" t="s">
        <v>4546</v>
      </c>
      <c r="L780" s="4">
        <v>4</v>
      </c>
      <c r="M780" s="513">
        <v>13277</v>
      </c>
      <c r="N780" s="4" t="s">
        <v>2886</v>
      </c>
      <c r="O780" s="513">
        <v>13277</v>
      </c>
      <c r="P780" s="513">
        <v>15800</v>
      </c>
      <c r="Q780" s="513">
        <v>63200</v>
      </c>
      <c r="R780" s="26">
        <v>43897</v>
      </c>
      <c r="S780" s="4" t="s">
        <v>1501</v>
      </c>
      <c r="T780" s="513">
        <v>70800</v>
      </c>
      <c r="U780" t="s">
        <v>1551</v>
      </c>
      <c r="V780" s="514">
        <v>9975</v>
      </c>
      <c r="W780" s="514">
        <v>3302</v>
      </c>
      <c r="X780" s="375">
        <v>0.25</v>
      </c>
    </row>
    <row r="781" spans="1:24" x14ac:dyDescent="0.25">
      <c r="A781" s="4">
        <v>395</v>
      </c>
      <c r="B781" s="4" t="s">
        <v>1503</v>
      </c>
      <c r="C781" s="6" t="s">
        <v>1972</v>
      </c>
      <c r="D781" s="6" t="s">
        <v>1638</v>
      </c>
      <c r="E781" s="21">
        <v>43897</v>
      </c>
      <c r="F781" s="4" t="s">
        <v>1461</v>
      </c>
      <c r="H781" s="4">
        <v>6690</v>
      </c>
      <c r="I781" s="4">
        <v>4632</v>
      </c>
      <c r="J781" s="4" t="s">
        <v>4545</v>
      </c>
      <c r="K781" s="6" t="s">
        <v>4546</v>
      </c>
      <c r="L781" s="4">
        <v>2</v>
      </c>
      <c r="M781" s="513">
        <v>3193</v>
      </c>
      <c r="N781" s="4" t="s">
        <v>2886</v>
      </c>
      <c r="O781" s="513">
        <v>3193</v>
      </c>
      <c r="P781" s="513">
        <v>3800</v>
      </c>
      <c r="Q781" s="513">
        <v>7600</v>
      </c>
      <c r="R781" s="26">
        <v>43897</v>
      </c>
      <c r="S781" s="4" t="s">
        <v>1501</v>
      </c>
      <c r="T781" s="513">
        <v>70800</v>
      </c>
      <c r="U781" t="s">
        <v>1545</v>
      </c>
      <c r="V781" s="514">
        <v>2200</v>
      </c>
      <c r="W781" s="514">
        <v>993</v>
      </c>
      <c r="X781" s="375">
        <v>0.31</v>
      </c>
    </row>
    <row r="782" spans="1:24" x14ac:dyDescent="0.25">
      <c r="A782" s="4">
        <v>396</v>
      </c>
      <c r="B782" s="4" t="s">
        <v>4605</v>
      </c>
      <c r="C782" s="6" t="s">
        <v>5654</v>
      </c>
      <c r="D782" s="6" t="s">
        <v>5655</v>
      </c>
      <c r="E782" s="21">
        <v>43897</v>
      </c>
      <c r="F782" s="4" t="s">
        <v>1461</v>
      </c>
      <c r="H782" s="4">
        <v>6691</v>
      </c>
      <c r="I782" s="4">
        <v>4633</v>
      </c>
      <c r="J782" s="4" t="s">
        <v>4580</v>
      </c>
      <c r="K782" s="6" t="s">
        <v>4581</v>
      </c>
      <c r="L782" s="4">
        <v>2</v>
      </c>
      <c r="M782" s="513">
        <v>23361</v>
      </c>
      <c r="N782" s="374">
        <v>0.02</v>
      </c>
      <c r="O782" s="513">
        <v>22948</v>
      </c>
      <c r="P782" s="513">
        <v>27300</v>
      </c>
      <c r="Q782" s="513">
        <v>54600</v>
      </c>
      <c r="R782" s="26">
        <v>43897</v>
      </c>
      <c r="S782" s="4" t="s">
        <v>1501</v>
      </c>
      <c r="T782" s="513">
        <v>93500</v>
      </c>
      <c r="U782" t="s">
        <v>4602</v>
      </c>
      <c r="V782" s="514">
        <v>18726</v>
      </c>
      <c r="W782" s="514">
        <v>4222</v>
      </c>
      <c r="X782" s="375">
        <v>0.18</v>
      </c>
    </row>
    <row r="783" spans="1:24" x14ac:dyDescent="0.25">
      <c r="A783" s="4">
        <v>396</v>
      </c>
      <c r="B783" s="4" t="s">
        <v>4620</v>
      </c>
      <c r="C783" s="6" t="s">
        <v>4621</v>
      </c>
      <c r="D783" s="6" t="s">
        <v>4622</v>
      </c>
      <c r="E783" s="21">
        <v>43897</v>
      </c>
      <c r="F783" s="4" t="s">
        <v>1461</v>
      </c>
      <c r="H783" s="4">
        <v>6691</v>
      </c>
      <c r="I783" s="4">
        <v>4633</v>
      </c>
      <c r="J783" s="4" t="s">
        <v>4580</v>
      </c>
      <c r="K783" s="6" t="s">
        <v>4581</v>
      </c>
      <c r="L783" s="4">
        <v>1</v>
      </c>
      <c r="M783" s="513">
        <v>32689</v>
      </c>
      <c r="N783" s="4" t="s">
        <v>2886</v>
      </c>
      <c r="O783" s="513">
        <v>32689</v>
      </c>
      <c r="P783" s="513">
        <v>38900</v>
      </c>
      <c r="Q783" s="513">
        <v>38900</v>
      </c>
      <c r="R783" s="26">
        <v>43897</v>
      </c>
      <c r="S783" s="4" t="s">
        <v>1501</v>
      </c>
      <c r="T783" s="513">
        <v>93500</v>
      </c>
      <c r="U783" t="s">
        <v>4602</v>
      </c>
      <c r="V783" s="514">
        <v>26207</v>
      </c>
      <c r="W783" s="514">
        <v>6482</v>
      </c>
      <c r="X783" s="375">
        <v>0.2</v>
      </c>
    </row>
    <row r="784" spans="1:24" x14ac:dyDescent="0.25">
      <c r="A784" s="4">
        <v>397</v>
      </c>
      <c r="B784" s="4" t="s">
        <v>855</v>
      </c>
      <c r="C784" s="6" t="s">
        <v>2499</v>
      </c>
      <c r="D784" s="6" t="s">
        <v>857</v>
      </c>
      <c r="E784" s="21">
        <v>43897</v>
      </c>
      <c r="F784" s="4" t="s">
        <v>1461</v>
      </c>
      <c r="H784" s="4">
        <v>6692</v>
      </c>
      <c r="I784" s="4">
        <v>4634</v>
      </c>
      <c r="J784" s="4" t="s">
        <v>4947</v>
      </c>
      <c r="K784" s="6" t="s">
        <v>4948</v>
      </c>
      <c r="L784" s="4">
        <v>1</v>
      </c>
      <c r="M784" s="513">
        <v>13277</v>
      </c>
      <c r="N784" s="4" t="s">
        <v>2886</v>
      </c>
      <c r="O784" s="513">
        <v>13277</v>
      </c>
      <c r="P784" s="513">
        <v>15800</v>
      </c>
      <c r="Q784" s="513">
        <v>15800</v>
      </c>
      <c r="R784" s="26">
        <v>43897</v>
      </c>
      <c r="S784" s="4" t="s">
        <v>1501</v>
      </c>
      <c r="T784" s="513">
        <v>39300</v>
      </c>
      <c r="U784" t="s">
        <v>1551</v>
      </c>
      <c r="V784" s="514">
        <v>9975</v>
      </c>
      <c r="W784" s="514">
        <v>3302</v>
      </c>
      <c r="X784" s="375">
        <v>0.25</v>
      </c>
    </row>
    <row r="785" spans="1:24" x14ac:dyDescent="0.25">
      <c r="A785" s="4">
        <v>397</v>
      </c>
      <c r="B785" s="4" t="s">
        <v>845</v>
      </c>
      <c r="C785" s="6" t="s">
        <v>2199</v>
      </c>
      <c r="D785" s="6" t="s">
        <v>2198</v>
      </c>
      <c r="E785" s="21">
        <v>43897</v>
      </c>
      <c r="F785" s="4" t="s">
        <v>1461</v>
      </c>
      <c r="H785" s="4">
        <v>6692</v>
      </c>
      <c r="I785" s="4">
        <v>4634</v>
      </c>
      <c r="J785" s="4" t="s">
        <v>4947</v>
      </c>
      <c r="K785" s="6" t="s">
        <v>4948</v>
      </c>
      <c r="L785" s="4">
        <v>1</v>
      </c>
      <c r="M785" s="513">
        <v>19748</v>
      </c>
      <c r="N785" s="4" t="s">
        <v>2886</v>
      </c>
      <c r="O785" s="513">
        <v>19748</v>
      </c>
      <c r="P785" s="513">
        <v>23500</v>
      </c>
      <c r="Q785" s="513">
        <v>23500</v>
      </c>
      <c r="R785" s="26">
        <v>43897</v>
      </c>
      <c r="S785" s="4" t="s">
        <v>1501</v>
      </c>
      <c r="T785" s="513">
        <v>39300</v>
      </c>
      <c r="U785" t="s">
        <v>1572</v>
      </c>
      <c r="V785" s="514">
        <v>14853</v>
      </c>
      <c r="W785" s="514">
        <v>4895</v>
      </c>
      <c r="X785" s="375">
        <v>0.25</v>
      </c>
    </row>
    <row r="786" spans="1:24" x14ac:dyDescent="0.25">
      <c r="A786" s="4">
        <v>398</v>
      </c>
      <c r="B786" s="4" t="s">
        <v>5147</v>
      </c>
      <c r="C786" s="6" t="s">
        <v>5148</v>
      </c>
      <c r="D786" s="6" t="s">
        <v>4618</v>
      </c>
      <c r="E786" s="21">
        <v>43897</v>
      </c>
      <c r="F786" s="4" t="s">
        <v>1461</v>
      </c>
      <c r="H786" s="4">
        <v>6693</v>
      </c>
      <c r="I786" s="4">
        <v>4635</v>
      </c>
      <c r="J786" s="4" t="s">
        <v>2226</v>
      </c>
      <c r="K786" s="6" t="s">
        <v>2227</v>
      </c>
      <c r="L786" s="4">
        <v>4</v>
      </c>
      <c r="M786" s="513">
        <v>26471</v>
      </c>
      <c r="N786" s="374">
        <v>0.14000000000000001</v>
      </c>
      <c r="O786" s="513">
        <v>23162</v>
      </c>
      <c r="P786" s="513">
        <v>27000</v>
      </c>
      <c r="Q786" s="513">
        <v>108000</v>
      </c>
      <c r="R786" s="26">
        <v>43897</v>
      </c>
      <c r="S786" s="4" t="s">
        <v>1501</v>
      </c>
      <c r="T786" s="513">
        <v>108000</v>
      </c>
      <c r="U786" t="s">
        <v>4602</v>
      </c>
      <c r="V786" s="514">
        <v>21183</v>
      </c>
      <c r="W786" s="514">
        <v>1979</v>
      </c>
      <c r="X786" s="375">
        <v>0.09</v>
      </c>
    </row>
    <row r="787" spans="1:24" x14ac:dyDescent="0.25">
      <c r="A787" s="4">
        <v>399</v>
      </c>
      <c r="B787" s="4" t="s">
        <v>5175</v>
      </c>
      <c r="C787" s="6" t="s">
        <v>5176</v>
      </c>
      <c r="D787" s="6" t="s">
        <v>5177</v>
      </c>
      <c r="E787" s="21">
        <v>43899</v>
      </c>
      <c r="F787" s="4" t="s">
        <v>925</v>
      </c>
      <c r="H787" s="4" t="s">
        <v>2528</v>
      </c>
      <c r="I787" s="4">
        <v>4636</v>
      </c>
      <c r="J787" s="4" t="s">
        <v>5185</v>
      </c>
      <c r="K787" s="6" t="s">
        <v>5186</v>
      </c>
      <c r="L787" s="4">
        <v>60</v>
      </c>
      <c r="M787" s="513">
        <v>1312</v>
      </c>
      <c r="N787" s="374">
        <v>0.1</v>
      </c>
      <c r="O787" s="513">
        <v>1195</v>
      </c>
      <c r="P787" s="513">
        <v>1409</v>
      </c>
      <c r="Q787" s="513">
        <v>84540</v>
      </c>
      <c r="R787" s="26">
        <v>43899</v>
      </c>
      <c r="S787" s="4" t="s">
        <v>1501</v>
      </c>
      <c r="T787" s="513">
        <v>84553</v>
      </c>
      <c r="U787" t="s">
        <v>4934</v>
      </c>
      <c r="V787" s="514">
        <v>900</v>
      </c>
      <c r="W787" s="514">
        <v>295</v>
      </c>
      <c r="X787" s="375">
        <v>0.25</v>
      </c>
    </row>
    <row r="788" spans="1:24" x14ac:dyDescent="0.25">
      <c r="A788" s="4">
        <v>400</v>
      </c>
      <c r="B788" s="4" t="s">
        <v>838</v>
      </c>
      <c r="C788" s="6" t="s">
        <v>2062</v>
      </c>
      <c r="D788" s="6" t="s">
        <v>840</v>
      </c>
      <c r="E788" s="21">
        <v>43899</v>
      </c>
      <c r="F788" s="4" t="s">
        <v>1461</v>
      </c>
      <c r="H788" s="4">
        <v>6694</v>
      </c>
      <c r="I788" s="4">
        <v>4637</v>
      </c>
      <c r="J788" s="4" t="s">
        <v>5538</v>
      </c>
      <c r="K788" s="6" t="s">
        <v>5539</v>
      </c>
      <c r="L788" s="4">
        <v>1</v>
      </c>
      <c r="M788" s="513">
        <v>16555</v>
      </c>
      <c r="N788" s="4" t="s">
        <v>2886</v>
      </c>
      <c r="O788" s="513">
        <v>16555</v>
      </c>
      <c r="P788" s="513">
        <v>19700</v>
      </c>
      <c r="Q788" s="513">
        <v>19700</v>
      </c>
      <c r="R788" s="26">
        <v>43899</v>
      </c>
      <c r="S788" s="4" t="s">
        <v>1501</v>
      </c>
      <c r="T788" s="513">
        <v>19700</v>
      </c>
      <c r="U788" t="s">
        <v>1572</v>
      </c>
      <c r="V788" s="514">
        <v>12429</v>
      </c>
      <c r="W788" s="514">
        <v>4126</v>
      </c>
      <c r="X788" s="375">
        <v>0.25</v>
      </c>
    </row>
    <row r="789" spans="1:24" x14ac:dyDescent="0.25">
      <c r="A789" s="4">
        <v>401</v>
      </c>
      <c r="B789" s="4" t="s">
        <v>2098</v>
      </c>
      <c r="C789" s="6" t="s">
        <v>2288</v>
      </c>
      <c r="D789" s="6" t="s">
        <v>1469</v>
      </c>
      <c r="E789" s="21">
        <v>43899</v>
      </c>
      <c r="F789" s="4" t="s">
        <v>1461</v>
      </c>
      <c r="H789" s="4">
        <v>6695</v>
      </c>
      <c r="I789" s="4">
        <v>4638</v>
      </c>
      <c r="J789" s="4" t="s">
        <v>1402</v>
      </c>
      <c r="K789" s="6" t="s">
        <v>3588</v>
      </c>
      <c r="L789" s="4">
        <v>1</v>
      </c>
      <c r="M789" s="513">
        <v>19496</v>
      </c>
      <c r="N789" s="4" t="s">
        <v>2886</v>
      </c>
      <c r="O789" s="513">
        <v>19496</v>
      </c>
      <c r="P789" s="513">
        <v>23200</v>
      </c>
      <c r="Q789" s="513">
        <v>23200</v>
      </c>
      <c r="R789" s="26">
        <v>43899</v>
      </c>
      <c r="S789" s="4" t="s">
        <v>1501</v>
      </c>
      <c r="T789" s="513">
        <v>23200</v>
      </c>
      <c r="U789" t="s">
        <v>1570</v>
      </c>
      <c r="V789" s="514">
        <v>14700</v>
      </c>
      <c r="W789" s="514">
        <v>4796</v>
      </c>
      <c r="X789" s="375">
        <v>0.25</v>
      </c>
    </row>
    <row r="790" spans="1:24" x14ac:dyDescent="0.25">
      <c r="A790" s="4">
        <v>402</v>
      </c>
      <c r="B790" s="4" t="s">
        <v>855</v>
      </c>
      <c r="C790" s="6" t="s">
        <v>2499</v>
      </c>
      <c r="D790" s="6" t="s">
        <v>857</v>
      </c>
      <c r="E790" s="21">
        <v>43899</v>
      </c>
      <c r="F790" s="4" t="s">
        <v>1461</v>
      </c>
      <c r="H790" s="4">
        <v>6696</v>
      </c>
      <c r="I790" s="4">
        <v>4639</v>
      </c>
      <c r="J790" s="4" t="s">
        <v>3562</v>
      </c>
      <c r="K790" s="6" t="s">
        <v>3563</v>
      </c>
      <c r="L790" s="4">
        <v>2</v>
      </c>
      <c r="M790" s="513">
        <v>13277</v>
      </c>
      <c r="N790" s="4" t="s">
        <v>2886</v>
      </c>
      <c r="O790" s="513">
        <v>13277</v>
      </c>
      <c r="P790" s="513">
        <v>15800</v>
      </c>
      <c r="Q790" s="513">
        <v>31600</v>
      </c>
      <c r="R790" s="26">
        <v>43899</v>
      </c>
      <c r="S790" s="4" t="s">
        <v>1501</v>
      </c>
      <c r="T790" s="513">
        <v>41800</v>
      </c>
      <c r="U790" t="s">
        <v>1551</v>
      </c>
      <c r="V790" s="514">
        <v>9975</v>
      </c>
      <c r="W790" s="514">
        <v>3302</v>
      </c>
      <c r="X790" s="375">
        <v>0.25</v>
      </c>
    </row>
    <row r="791" spans="1:24" x14ac:dyDescent="0.25">
      <c r="A791" s="4">
        <v>402</v>
      </c>
      <c r="B791" s="4" t="s">
        <v>847</v>
      </c>
      <c r="C791" s="6" t="s">
        <v>2201</v>
      </c>
      <c r="D791" s="6" t="s">
        <v>2198</v>
      </c>
      <c r="E791" s="21">
        <v>43899</v>
      </c>
      <c r="F791" s="4" t="s">
        <v>1461</v>
      </c>
      <c r="H791" s="4">
        <v>6696</v>
      </c>
      <c r="I791" s="4">
        <v>4639</v>
      </c>
      <c r="J791" s="4" t="s">
        <v>3562</v>
      </c>
      <c r="K791" s="6" t="s">
        <v>3563</v>
      </c>
      <c r="L791" s="4">
        <v>1</v>
      </c>
      <c r="M791" s="513">
        <v>8571</v>
      </c>
      <c r="N791" s="4" t="s">
        <v>2886</v>
      </c>
      <c r="O791" s="513">
        <v>8571</v>
      </c>
      <c r="P791" s="513">
        <v>10200</v>
      </c>
      <c r="Q791" s="513">
        <v>10200</v>
      </c>
      <c r="R791" s="26">
        <v>43899</v>
      </c>
      <c r="S791" s="4" t="s">
        <v>1501</v>
      </c>
      <c r="T791" s="513">
        <v>41800</v>
      </c>
      <c r="U791" t="s">
        <v>1572</v>
      </c>
      <c r="V791" s="514">
        <v>6436</v>
      </c>
      <c r="W791" s="514">
        <v>2135</v>
      </c>
      <c r="X791" s="375">
        <v>0.25</v>
      </c>
    </row>
    <row r="792" spans="1:24" x14ac:dyDescent="0.25">
      <c r="A792" s="4">
        <v>403</v>
      </c>
      <c r="B792" s="4" t="s">
        <v>658</v>
      </c>
      <c r="C792" s="6" t="s">
        <v>1974</v>
      </c>
      <c r="D792" s="6" t="s">
        <v>794</v>
      </c>
      <c r="E792" s="21">
        <v>43899</v>
      </c>
      <c r="F792" s="4" t="s">
        <v>1461</v>
      </c>
      <c r="H792" s="4">
        <v>6697</v>
      </c>
      <c r="I792" s="4">
        <v>4640</v>
      </c>
      <c r="J792" s="4" t="s">
        <v>5603</v>
      </c>
      <c r="K792" s="6" t="s">
        <v>5604</v>
      </c>
      <c r="L792" s="4">
        <v>1</v>
      </c>
      <c r="M792" s="513">
        <v>19328</v>
      </c>
      <c r="N792" s="4" t="s">
        <v>2886</v>
      </c>
      <c r="O792" s="513">
        <v>19328</v>
      </c>
      <c r="P792" s="513">
        <v>23000</v>
      </c>
      <c r="Q792" s="513">
        <v>23000</v>
      </c>
      <c r="R792" s="26">
        <v>43899</v>
      </c>
      <c r="S792" s="4" t="s">
        <v>1501</v>
      </c>
      <c r="T792" s="513">
        <v>23000</v>
      </c>
      <c r="U792" t="s">
        <v>1551</v>
      </c>
      <c r="V792" s="514">
        <v>14604</v>
      </c>
      <c r="W792" s="514">
        <v>4724</v>
      </c>
      <c r="X792" s="375">
        <v>0.24</v>
      </c>
    </row>
    <row r="793" spans="1:24" x14ac:dyDescent="0.25">
      <c r="A793" s="4">
        <v>404</v>
      </c>
      <c r="B793" s="4" t="s">
        <v>4945</v>
      </c>
      <c r="C793" s="6" t="s">
        <v>4946</v>
      </c>
      <c r="D793" s="6" t="s">
        <v>4940</v>
      </c>
      <c r="E793" s="21">
        <v>43899</v>
      </c>
      <c r="F793" s="4" t="s">
        <v>1461</v>
      </c>
      <c r="H793" s="4">
        <v>6698</v>
      </c>
      <c r="I793" s="4">
        <v>4641</v>
      </c>
      <c r="J793" s="4" t="s">
        <v>4583</v>
      </c>
      <c r="K793" s="6" t="s">
        <v>4584</v>
      </c>
      <c r="L793" s="4">
        <v>1</v>
      </c>
      <c r="M793" s="513">
        <v>8824</v>
      </c>
      <c r="N793" s="4" t="s">
        <v>2886</v>
      </c>
      <c r="O793" s="513">
        <v>8824</v>
      </c>
      <c r="P793" s="513">
        <v>10500</v>
      </c>
      <c r="Q793" s="513">
        <v>10500</v>
      </c>
      <c r="R793" s="26">
        <v>43899</v>
      </c>
      <c r="S793" s="4" t="s">
        <v>1501</v>
      </c>
      <c r="T793" s="513">
        <v>15400</v>
      </c>
      <c r="U793" t="s">
        <v>4934</v>
      </c>
      <c r="V793" s="514">
        <v>6000</v>
      </c>
      <c r="W793" s="514">
        <v>2824</v>
      </c>
      <c r="X793" s="375">
        <v>0.32</v>
      </c>
    </row>
    <row r="794" spans="1:24" x14ac:dyDescent="0.25">
      <c r="A794" s="4">
        <v>404</v>
      </c>
      <c r="B794" s="4" t="s">
        <v>1672</v>
      </c>
      <c r="C794" s="6" t="s">
        <v>5845</v>
      </c>
      <c r="D794" s="6" t="s">
        <v>1504</v>
      </c>
      <c r="E794" s="21">
        <v>43899</v>
      </c>
      <c r="F794" s="4" t="s">
        <v>1461</v>
      </c>
      <c r="H794" s="4">
        <v>6698</v>
      </c>
      <c r="I794" s="4">
        <v>4641</v>
      </c>
      <c r="J794" s="4" t="s">
        <v>4583</v>
      </c>
      <c r="K794" s="6" t="s">
        <v>4584</v>
      </c>
      <c r="L794" s="4">
        <v>1</v>
      </c>
      <c r="M794" s="513">
        <v>4118</v>
      </c>
      <c r="N794" s="4" t="s">
        <v>2886</v>
      </c>
      <c r="O794" s="513">
        <v>4118</v>
      </c>
      <c r="P794" s="513">
        <v>4900</v>
      </c>
      <c r="Q794" s="513">
        <v>4900</v>
      </c>
      <c r="R794" s="26">
        <v>43899</v>
      </c>
      <c r="S794" s="4" t="s">
        <v>1501</v>
      </c>
      <c r="T794" s="513">
        <v>15400</v>
      </c>
      <c r="U794" t="s">
        <v>1545</v>
      </c>
      <c r="V794" s="514">
        <v>2250</v>
      </c>
      <c r="W794" s="514">
        <v>1868</v>
      </c>
      <c r="X794" s="375">
        <v>0.45</v>
      </c>
    </row>
    <row r="795" spans="1:24" x14ac:dyDescent="0.25">
      <c r="A795" s="4">
        <v>405</v>
      </c>
      <c r="B795" s="4" t="s">
        <v>838</v>
      </c>
      <c r="C795" s="6" t="s">
        <v>2062</v>
      </c>
      <c r="D795" s="6" t="s">
        <v>840</v>
      </c>
      <c r="E795" s="21">
        <v>43900</v>
      </c>
      <c r="F795" s="4" t="s">
        <v>925</v>
      </c>
      <c r="H795" s="4" t="s">
        <v>2528</v>
      </c>
      <c r="I795" s="4">
        <v>4642</v>
      </c>
      <c r="J795" s="4" t="s">
        <v>1239</v>
      </c>
      <c r="K795" s="6" t="s">
        <v>3501</v>
      </c>
      <c r="L795" s="4">
        <v>1</v>
      </c>
      <c r="M795" s="517">
        <v>17215</v>
      </c>
      <c r="N795" s="374">
        <v>0.05</v>
      </c>
      <c r="O795" s="517">
        <v>16395</v>
      </c>
      <c r="P795" s="517">
        <v>19461</v>
      </c>
      <c r="Q795" s="517">
        <v>19461</v>
      </c>
      <c r="R795" s="26">
        <v>43900</v>
      </c>
      <c r="S795" s="4" t="s">
        <v>1501</v>
      </c>
      <c r="T795" s="517">
        <v>19461</v>
      </c>
      <c r="U795" t="s">
        <v>1572</v>
      </c>
      <c r="V795" s="518">
        <v>12429</v>
      </c>
      <c r="W795" s="518">
        <v>3966</v>
      </c>
      <c r="X795" s="375">
        <v>0.24</v>
      </c>
    </row>
    <row r="796" spans="1:24" x14ac:dyDescent="0.25">
      <c r="A796" s="4">
        <v>406</v>
      </c>
      <c r="B796" s="4" t="s">
        <v>2250</v>
      </c>
      <c r="C796" s="6" t="s">
        <v>5846</v>
      </c>
      <c r="D796" s="6" t="s">
        <v>1638</v>
      </c>
      <c r="E796" s="21">
        <v>43900</v>
      </c>
      <c r="F796" s="4" t="s">
        <v>1461</v>
      </c>
      <c r="H796" s="4">
        <v>6552</v>
      </c>
      <c r="I796" s="4">
        <v>4643</v>
      </c>
      <c r="J796" s="4" t="s">
        <v>1204</v>
      </c>
      <c r="K796" s="6" t="s">
        <v>1052</v>
      </c>
      <c r="L796" s="4">
        <v>4</v>
      </c>
      <c r="M796" s="517">
        <v>3193</v>
      </c>
      <c r="N796" s="4" t="s">
        <v>2886</v>
      </c>
      <c r="O796" s="517">
        <v>3193</v>
      </c>
      <c r="P796" s="517">
        <v>3800</v>
      </c>
      <c r="Q796" s="517">
        <v>15200</v>
      </c>
      <c r="R796" s="26">
        <v>43900</v>
      </c>
      <c r="S796" s="4" t="s">
        <v>1501</v>
      </c>
      <c r="T796" s="517">
        <v>30900</v>
      </c>
      <c r="U796" t="s">
        <v>1545</v>
      </c>
      <c r="V796" s="518">
        <v>2100</v>
      </c>
      <c r="W796" s="518">
        <v>1093</v>
      </c>
      <c r="X796" s="375">
        <v>0.34</v>
      </c>
    </row>
    <row r="797" spans="1:24" x14ac:dyDescent="0.25">
      <c r="A797" s="4">
        <v>406</v>
      </c>
      <c r="B797" s="4" t="s">
        <v>1515</v>
      </c>
      <c r="C797" s="6" t="s">
        <v>5844</v>
      </c>
      <c r="D797" s="6" t="s">
        <v>1638</v>
      </c>
      <c r="E797" s="21">
        <v>43900</v>
      </c>
      <c r="F797" s="4" t="s">
        <v>1461</v>
      </c>
      <c r="H797" s="4">
        <v>6552</v>
      </c>
      <c r="I797" s="4">
        <v>4643</v>
      </c>
      <c r="J797" s="4" t="s">
        <v>1204</v>
      </c>
      <c r="K797" s="6" t="s">
        <v>1052</v>
      </c>
      <c r="L797" s="4">
        <v>1</v>
      </c>
      <c r="M797" s="517">
        <v>4874</v>
      </c>
      <c r="N797" s="4" t="s">
        <v>2886</v>
      </c>
      <c r="O797" s="517">
        <v>4874</v>
      </c>
      <c r="P797" s="517">
        <v>5800</v>
      </c>
      <c r="Q797" s="517">
        <v>5800</v>
      </c>
      <c r="R797" s="26">
        <v>43900</v>
      </c>
      <c r="S797" s="4" t="s">
        <v>1501</v>
      </c>
      <c r="T797" s="517">
        <v>30900</v>
      </c>
      <c r="U797" t="s">
        <v>1545</v>
      </c>
      <c r="V797" s="518">
        <v>2400</v>
      </c>
      <c r="W797" s="518">
        <v>2474</v>
      </c>
      <c r="X797" s="375">
        <v>0.51</v>
      </c>
    </row>
    <row r="798" spans="1:24" x14ac:dyDescent="0.25">
      <c r="A798" s="4">
        <v>406</v>
      </c>
      <c r="B798" s="4" t="s">
        <v>1672</v>
      </c>
      <c r="C798" s="6" t="s">
        <v>5845</v>
      </c>
      <c r="D798" s="6" t="s">
        <v>1504</v>
      </c>
      <c r="E798" s="21">
        <v>43900</v>
      </c>
      <c r="F798" s="4" t="s">
        <v>1461</v>
      </c>
      <c r="H798" s="4">
        <v>6552</v>
      </c>
      <c r="I798" s="4">
        <v>4643</v>
      </c>
      <c r="J798" s="4" t="s">
        <v>1204</v>
      </c>
      <c r="K798" s="6" t="s">
        <v>1052</v>
      </c>
      <c r="L798" s="4">
        <v>1</v>
      </c>
      <c r="M798" s="517">
        <v>4118</v>
      </c>
      <c r="N798" s="4" t="s">
        <v>2886</v>
      </c>
      <c r="O798" s="517">
        <v>4118</v>
      </c>
      <c r="P798" s="517">
        <v>4900</v>
      </c>
      <c r="Q798" s="517">
        <v>4900</v>
      </c>
      <c r="R798" s="26">
        <v>43900</v>
      </c>
      <c r="S798" s="4" t="s">
        <v>1501</v>
      </c>
      <c r="T798" s="517">
        <v>30900</v>
      </c>
      <c r="U798" t="s">
        <v>1545</v>
      </c>
      <c r="V798" s="518">
        <v>2250</v>
      </c>
      <c r="W798" s="518">
        <v>1868</v>
      </c>
      <c r="X798" s="375">
        <v>0.45</v>
      </c>
    </row>
    <row r="799" spans="1:24" x14ac:dyDescent="0.25">
      <c r="A799" s="4">
        <v>406</v>
      </c>
      <c r="B799" s="4" t="s">
        <v>1924</v>
      </c>
      <c r="C799" s="6" t="s">
        <v>5847</v>
      </c>
      <c r="D799" s="6" t="s">
        <v>1504</v>
      </c>
      <c r="E799" s="21">
        <v>43900</v>
      </c>
      <c r="F799" s="4" t="s">
        <v>1461</v>
      </c>
      <c r="H799" s="4">
        <v>6552</v>
      </c>
      <c r="I799" s="4">
        <v>4643</v>
      </c>
      <c r="J799" s="4" t="s">
        <v>1204</v>
      </c>
      <c r="K799" s="6" t="s">
        <v>1052</v>
      </c>
      <c r="L799" s="4">
        <v>2</v>
      </c>
      <c r="M799" s="517">
        <v>2101</v>
      </c>
      <c r="N799" s="4" t="s">
        <v>2886</v>
      </c>
      <c r="O799" s="517">
        <v>2101</v>
      </c>
      <c r="P799" s="517">
        <v>2500</v>
      </c>
      <c r="Q799" s="517">
        <v>5000</v>
      </c>
      <c r="R799" s="26">
        <v>43900</v>
      </c>
      <c r="S799" s="4" t="s">
        <v>1501</v>
      </c>
      <c r="T799" s="517">
        <v>30900</v>
      </c>
      <c r="U799" t="s">
        <v>1545</v>
      </c>
      <c r="V799" s="518">
        <v>850</v>
      </c>
      <c r="W799" s="518">
        <v>1251</v>
      </c>
      <c r="X799" s="375">
        <v>0.6</v>
      </c>
    </row>
    <row r="800" spans="1:24" x14ac:dyDescent="0.25">
      <c r="A800" s="4">
        <v>407</v>
      </c>
      <c r="B800" s="4" t="s">
        <v>799</v>
      </c>
      <c r="C800" s="6" t="s">
        <v>1926</v>
      </c>
      <c r="D800" s="6" t="s">
        <v>802</v>
      </c>
      <c r="E800" s="21">
        <v>43900</v>
      </c>
      <c r="F800" s="4" t="s">
        <v>1461</v>
      </c>
      <c r="H800" s="4">
        <v>6699</v>
      </c>
      <c r="I800" s="4">
        <v>4644</v>
      </c>
      <c r="J800" s="4" t="s">
        <v>4028</v>
      </c>
      <c r="K800" s="6" t="s">
        <v>4029</v>
      </c>
      <c r="L800" s="4">
        <v>1</v>
      </c>
      <c r="M800" s="517">
        <v>17815</v>
      </c>
      <c r="N800" s="4" t="s">
        <v>2886</v>
      </c>
      <c r="O800" s="517">
        <v>17815</v>
      </c>
      <c r="P800" s="517">
        <v>21200</v>
      </c>
      <c r="Q800" s="517">
        <v>21200</v>
      </c>
      <c r="R800" s="26">
        <v>43900</v>
      </c>
      <c r="S800" s="4" t="s">
        <v>1501</v>
      </c>
      <c r="T800" s="517">
        <v>21200</v>
      </c>
      <c r="U800" t="s">
        <v>1551</v>
      </c>
      <c r="V800" s="518">
        <v>13279</v>
      </c>
      <c r="W800" s="518">
        <v>4536</v>
      </c>
      <c r="X800" s="375">
        <v>0.25</v>
      </c>
    </row>
    <row r="801" spans="1:24" x14ac:dyDescent="0.25">
      <c r="A801" s="4">
        <v>408</v>
      </c>
      <c r="B801" s="4" t="s">
        <v>838</v>
      </c>
      <c r="C801" s="6" t="s">
        <v>2062</v>
      </c>
      <c r="D801" s="6" t="s">
        <v>840</v>
      </c>
      <c r="E801" s="21">
        <v>43900</v>
      </c>
      <c r="F801" s="4" t="s">
        <v>1461</v>
      </c>
      <c r="H801" s="4">
        <v>6700</v>
      </c>
      <c r="I801" s="4">
        <v>4645</v>
      </c>
      <c r="J801" s="4" t="s">
        <v>1322</v>
      </c>
      <c r="K801" s="6" t="s">
        <v>2317</v>
      </c>
      <c r="L801" s="4">
        <v>1</v>
      </c>
      <c r="M801" s="517">
        <v>16555</v>
      </c>
      <c r="N801" s="4" t="s">
        <v>2886</v>
      </c>
      <c r="O801" s="517">
        <v>16555</v>
      </c>
      <c r="P801" s="517">
        <v>19700</v>
      </c>
      <c r="Q801" s="517">
        <v>19700</v>
      </c>
      <c r="R801" s="26">
        <v>43900</v>
      </c>
      <c r="S801" s="4" t="s">
        <v>1501</v>
      </c>
      <c r="T801" s="517">
        <v>19700</v>
      </c>
      <c r="U801" t="s">
        <v>1572</v>
      </c>
      <c r="V801" s="518">
        <v>12429</v>
      </c>
      <c r="W801" s="518">
        <v>4126</v>
      </c>
      <c r="X801" s="375">
        <v>0.25</v>
      </c>
    </row>
    <row r="802" spans="1:24" x14ac:dyDescent="0.25">
      <c r="A802" s="4">
        <v>409</v>
      </c>
      <c r="B802" s="4" t="s">
        <v>658</v>
      </c>
      <c r="C802" s="6" t="s">
        <v>1974</v>
      </c>
      <c r="D802" s="6" t="s">
        <v>794</v>
      </c>
      <c r="E802" s="21">
        <v>43900</v>
      </c>
      <c r="F802" s="4" t="s">
        <v>1461</v>
      </c>
      <c r="H802" s="4">
        <v>6701</v>
      </c>
      <c r="I802" s="4">
        <v>4646</v>
      </c>
      <c r="J802" s="4" t="s">
        <v>5789</v>
      </c>
      <c r="K802" s="6" t="s">
        <v>5790</v>
      </c>
      <c r="L802" s="4">
        <v>2</v>
      </c>
      <c r="M802" s="517">
        <v>19328</v>
      </c>
      <c r="N802" s="4" t="s">
        <v>2886</v>
      </c>
      <c r="O802" s="517">
        <v>19328</v>
      </c>
      <c r="P802" s="517">
        <v>23000</v>
      </c>
      <c r="Q802" s="517">
        <v>46000</v>
      </c>
      <c r="R802" s="26">
        <v>43900</v>
      </c>
      <c r="S802" s="4" t="s">
        <v>1501</v>
      </c>
      <c r="T802" s="517">
        <v>46000</v>
      </c>
      <c r="U802" t="s">
        <v>1551</v>
      </c>
      <c r="V802" s="518">
        <v>14604</v>
      </c>
      <c r="W802" s="518">
        <v>4724</v>
      </c>
      <c r="X802" s="375">
        <v>0.24</v>
      </c>
    </row>
    <row r="803" spans="1:24" x14ac:dyDescent="0.25">
      <c r="A803" s="4">
        <v>410</v>
      </c>
      <c r="B803" s="4" t="s">
        <v>656</v>
      </c>
      <c r="C803" s="6" t="s">
        <v>1973</v>
      </c>
      <c r="D803" s="6" t="s">
        <v>794</v>
      </c>
      <c r="E803" s="21">
        <v>43900</v>
      </c>
      <c r="F803" s="4" t="s">
        <v>1461</v>
      </c>
      <c r="H803" s="4">
        <v>6702</v>
      </c>
      <c r="I803" s="4">
        <v>4647</v>
      </c>
      <c r="J803" s="4" t="s">
        <v>5781</v>
      </c>
      <c r="K803" s="6" t="s">
        <v>5782</v>
      </c>
      <c r="L803" s="4">
        <v>1</v>
      </c>
      <c r="M803" s="522">
        <v>19328</v>
      </c>
      <c r="N803" s="4" t="s">
        <v>2886</v>
      </c>
      <c r="O803" s="522">
        <v>19328</v>
      </c>
      <c r="P803" s="522">
        <v>23000</v>
      </c>
      <c r="Q803" s="522">
        <v>23000</v>
      </c>
      <c r="R803" s="26">
        <v>43900</v>
      </c>
      <c r="S803" s="4" t="s">
        <v>1501</v>
      </c>
      <c r="T803" s="522">
        <v>23000</v>
      </c>
      <c r="U803" t="s">
        <v>1551</v>
      </c>
      <c r="V803" s="523">
        <v>14604</v>
      </c>
      <c r="W803" s="523">
        <v>4724</v>
      </c>
      <c r="X803" s="375">
        <v>0.24</v>
      </c>
    </row>
    <row r="804" spans="1:24" x14ac:dyDescent="0.25">
      <c r="A804" s="4">
        <v>411</v>
      </c>
      <c r="B804" s="4" t="s">
        <v>656</v>
      </c>
      <c r="C804" s="6" t="s">
        <v>1973</v>
      </c>
      <c r="D804" s="6" t="s">
        <v>794</v>
      </c>
      <c r="E804" s="21">
        <v>43900</v>
      </c>
      <c r="F804" s="4" t="s">
        <v>1461</v>
      </c>
      <c r="H804" s="4">
        <v>6703</v>
      </c>
      <c r="I804" s="4">
        <v>4648</v>
      </c>
      <c r="J804" s="4" t="s">
        <v>5759</v>
      </c>
      <c r="K804" s="6" t="s">
        <v>5760</v>
      </c>
      <c r="L804" s="4">
        <v>2</v>
      </c>
      <c r="M804" s="522">
        <v>19328</v>
      </c>
      <c r="N804" s="4" t="s">
        <v>2886</v>
      </c>
      <c r="O804" s="522">
        <v>19328</v>
      </c>
      <c r="P804" s="522">
        <v>23000</v>
      </c>
      <c r="Q804" s="522">
        <v>46000</v>
      </c>
      <c r="R804" s="26">
        <v>43901</v>
      </c>
      <c r="S804" s="4" t="s">
        <v>1501</v>
      </c>
      <c r="T804" s="522">
        <v>46000</v>
      </c>
      <c r="U804" t="s">
        <v>1551</v>
      </c>
      <c r="V804" s="523">
        <v>14604</v>
      </c>
      <c r="W804" s="523">
        <v>4724</v>
      </c>
      <c r="X804" s="375">
        <v>0.24</v>
      </c>
    </row>
    <row r="805" spans="1:24" x14ac:dyDescent="0.25">
      <c r="A805" s="4">
        <v>412</v>
      </c>
      <c r="B805" s="4" t="s">
        <v>838</v>
      </c>
      <c r="C805" s="6" t="s">
        <v>2062</v>
      </c>
      <c r="D805" s="6" t="s">
        <v>840</v>
      </c>
      <c r="E805" s="21">
        <v>43900</v>
      </c>
      <c r="F805" s="4" t="s">
        <v>1461</v>
      </c>
      <c r="H805" s="4">
        <v>6704</v>
      </c>
      <c r="I805" s="4">
        <v>4649</v>
      </c>
      <c r="J805" s="4" t="s">
        <v>5273</v>
      </c>
      <c r="K805" s="6" t="s">
        <v>5274</v>
      </c>
      <c r="L805" s="4">
        <v>1</v>
      </c>
      <c r="M805" s="524">
        <v>16555</v>
      </c>
      <c r="N805" s="4" t="s">
        <v>2886</v>
      </c>
      <c r="O805" s="524">
        <v>16555</v>
      </c>
      <c r="P805" s="524">
        <v>19700</v>
      </c>
      <c r="Q805" s="524">
        <v>19700</v>
      </c>
      <c r="R805" s="26">
        <v>43900</v>
      </c>
      <c r="S805" s="4" t="s">
        <v>1501</v>
      </c>
      <c r="T805" s="524">
        <v>19700</v>
      </c>
      <c r="U805" t="s">
        <v>1572</v>
      </c>
      <c r="V805" s="525">
        <v>12429</v>
      </c>
      <c r="W805" s="525">
        <v>4126</v>
      </c>
      <c r="X805" s="375">
        <v>0.25</v>
      </c>
    </row>
    <row r="806" spans="1:24" x14ac:dyDescent="0.25">
      <c r="A806" s="4">
        <v>413</v>
      </c>
      <c r="B806" s="4" t="s">
        <v>2250</v>
      </c>
      <c r="C806" s="6" t="s">
        <v>5846</v>
      </c>
      <c r="D806" s="6" t="s">
        <v>1638</v>
      </c>
      <c r="E806" s="21">
        <v>43900</v>
      </c>
      <c r="F806" s="4" t="s">
        <v>1461</v>
      </c>
      <c r="H806" s="4">
        <v>6705</v>
      </c>
      <c r="I806" s="4">
        <v>4650</v>
      </c>
      <c r="J806" s="4" t="s">
        <v>5207</v>
      </c>
      <c r="K806" s="6" t="s">
        <v>5208</v>
      </c>
      <c r="L806" s="4">
        <v>4</v>
      </c>
      <c r="M806" s="524">
        <v>3193</v>
      </c>
      <c r="N806" s="4" t="s">
        <v>2886</v>
      </c>
      <c r="O806" s="524">
        <v>3193</v>
      </c>
      <c r="P806" s="524">
        <v>3800</v>
      </c>
      <c r="Q806" s="524">
        <v>15200</v>
      </c>
      <c r="R806" s="26">
        <v>43900</v>
      </c>
      <c r="S806" s="4" t="s">
        <v>1501</v>
      </c>
      <c r="T806" s="524">
        <v>45700</v>
      </c>
      <c r="U806" t="s">
        <v>1545</v>
      </c>
      <c r="V806" s="525">
        <v>2100</v>
      </c>
      <c r="W806" s="525">
        <v>1093</v>
      </c>
      <c r="X806" s="375">
        <v>0.34</v>
      </c>
    </row>
    <row r="807" spans="1:24" x14ac:dyDescent="0.25">
      <c r="A807" s="4">
        <v>413</v>
      </c>
      <c r="B807" s="4" t="s">
        <v>1755</v>
      </c>
      <c r="C807" s="6" t="s">
        <v>1925</v>
      </c>
      <c r="D807" s="6" t="s">
        <v>1504</v>
      </c>
      <c r="E807" s="21">
        <v>43900</v>
      </c>
      <c r="F807" s="4" t="s">
        <v>1461</v>
      </c>
      <c r="H807" s="4">
        <v>6705</v>
      </c>
      <c r="I807" s="4">
        <v>4650</v>
      </c>
      <c r="J807" s="4" t="s">
        <v>5207</v>
      </c>
      <c r="K807" s="6" t="s">
        <v>5208</v>
      </c>
      <c r="L807" s="4">
        <v>4</v>
      </c>
      <c r="M807" s="524">
        <v>2941</v>
      </c>
      <c r="N807" s="4" t="s">
        <v>2886</v>
      </c>
      <c r="O807" s="524">
        <v>2941</v>
      </c>
      <c r="P807" s="524">
        <v>3500</v>
      </c>
      <c r="Q807" s="524">
        <v>14000</v>
      </c>
      <c r="R807" s="26">
        <v>43900</v>
      </c>
      <c r="S807" s="4" t="s">
        <v>1501</v>
      </c>
      <c r="T807" s="524">
        <v>45700</v>
      </c>
      <c r="U807" t="s">
        <v>1545</v>
      </c>
      <c r="V807" s="525">
        <v>2119</v>
      </c>
      <c r="W807" s="525">
        <v>822</v>
      </c>
      <c r="X807" s="375">
        <v>0.28000000000000003</v>
      </c>
    </row>
    <row r="808" spans="1:24" x14ac:dyDescent="0.25">
      <c r="A808" s="4">
        <v>413</v>
      </c>
      <c r="B808" s="4" t="s">
        <v>1515</v>
      </c>
      <c r="C808" s="6" t="s">
        <v>5844</v>
      </c>
      <c r="D808" s="6" t="s">
        <v>1638</v>
      </c>
      <c r="E808" s="21">
        <v>43900</v>
      </c>
      <c r="F808" s="4" t="s">
        <v>1461</v>
      </c>
      <c r="H808" s="4">
        <v>6705</v>
      </c>
      <c r="I808" s="4">
        <v>4650</v>
      </c>
      <c r="J808" s="4" t="s">
        <v>5207</v>
      </c>
      <c r="K808" s="6" t="s">
        <v>5208</v>
      </c>
      <c r="L808" s="4">
        <v>2</v>
      </c>
      <c r="M808" s="524">
        <v>4874</v>
      </c>
      <c r="N808" s="4" t="s">
        <v>2886</v>
      </c>
      <c r="O808" s="524">
        <v>4874</v>
      </c>
      <c r="P808" s="524">
        <v>5800</v>
      </c>
      <c r="Q808" s="524">
        <v>11600</v>
      </c>
      <c r="R808" s="26">
        <v>43900</v>
      </c>
      <c r="S808" s="4" t="s">
        <v>1501</v>
      </c>
      <c r="T808" s="524">
        <v>45700</v>
      </c>
      <c r="U808" t="s">
        <v>1545</v>
      </c>
      <c r="V808" s="525">
        <v>2400</v>
      </c>
      <c r="W808" s="525">
        <v>2474</v>
      </c>
      <c r="X808" s="375">
        <v>0.51</v>
      </c>
    </row>
    <row r="809" spans="1:24" x14ac:dyDescent="0.25">
      <c r="A809" s="4">
        <v>413</v>
      </c>
      <c r="B809" s="4" t="s">
        <v>2111</v>
      </c>
      <c r="C809" s="6" t="s">
        <v>5849</v>
      </c>
      <c r="D809" s="6" t="s">
        <v>1638</v>
      </c>
      <c r="E809" s="21">
        <v>43900</v>
      </c>
      <c r="F809" s="4" t="s">
        <v>1461</v>
      </c>
      <c r="H809" s="4">
        <v>6705</v>
      </c>
      <c r="I809" s="4">
        <v>4650</v>
      </c>
      <c r="J809" s="4" t="s">
        <v>5207</v>
      </c>
      <c r="K809" s="6" t="s">
        <v>5208</v>
      </c>
      <c r="L809" s="4">
        <v>1</v>
      </c>
      <c r="M809" s="524">
        <v>4118</v>
      </c>
      <c r="N809" s="4" t="s">
        <v>2886</v>
      </c>
      <c r="O809" s="524">
        <v>4118</v>
      </c>
      <c r="P809" s="524">
        <v>4900</v>
      </c>
      <c r="Q809" s="524">
        <v>4900</v>
      </c>
      <c r="R809" s="26">
        <v>43900</v>
      </c>
      <c r="S809" s="4" t="s">
        <v>1501</v>
      </c>
      <c r="T809" s="524">
        <v>45700</v>
      </c>
      <c r="U809" t="s">
        <v>1545</v>
      </c>
      <c r="V809" s="525">
        <v>2250</v>
      </c>
      <c r="W809" s="525">
        <v>1868</v>
      </c>
      <c r="X809" s="375">
        <v>0.45</v>
      </c>
    </row>
    <row r="810" spans="1:24" x14ac:dyDescent="0.25">
      <c r="A810" s="4">
        <v>414</v>
      </c>
      <c r="B810" s="4" t="s">
        <v>792</v>
      </c>
      <c r="C810" s="6" t="s">
        <v>1928</v>
      </c>
      <c r="D810" s="6" t="s">
        <v>794</v>
      </c>
      <c r="E810" s="21">
        <v>43900</v>
      </c>
      <c r="F810" s="4" t="s">
        <v>1461</v>
      </c>
      <c r="H810" s="4">
        <v>6706</v>
      </c>
      <c r="I810" s="4">
        <v>4651</v>
      </c>
      <c r="J810" s="4" t="s">
        <v>3998</v>
      </c>
      <c r="K810" s="6" t="s">
        <v>3999</v>
      </c>
      <c r="L810" s="4">
        <v>1</v>
      </c>
      <c r="M810" s="524">
        <v>20084</v>
      </c>
      <c r="N810" s="4" t="s">
        <v>2886</v>
      </c>
      <c r="O810" s="524">
        <v>20084</v>
      </c>
      <c r="P810" s="524">
        <v>23900</v>
      </c>
      <c r="Q810" s="524">
        <v>23900</v>
      </c>
      <c r="R810" s="26">
        <v>43900</v>
      </c>
      <c r="S810" s="4" t="s">
        <v>1501</v>
      </c>
      <c r="T810" s="524">
        <v>23900</v>
      </c>
      <c r="U810" t="s">
        <v>1551</v>
      </c>
      <c r="V810" s="525">
        <v>14604</v>
      </c>
      <c r="W810" s="525">
        <v>5480</v>
      </c>
      <c r="X810" s="375">
        <v>0.27</v>
      </c>
    </row>
    <row r="811" spans="1:24" x14ac:dyDescent="0.25">
      <c r="A811" s="4">
        <v>415</v>
      </c>
      <c r="B811" s="4" t="s">
        <v>855</v>
      </c>
      <c r="C811" s="6" t="s">
        <v>2499</v>
      </c>
      <c r="D811" s="6" t="s">
        <v>857</v>
      </c>
      <c r="E811" s="21">
        <v>43901</v>
      </c>
      <c r="F811" s="4" t="s">
        <v>1461</v>
      </c>
      <c r="H811" s="4">
        <v>6707</v>
      </c>
      <c r="I811" s="4">
        <v>4652</v>
      </c>
      <c r="J811" s="4" t="s">
        <v>3990</v>
      </c>
      <c r="K811" s="6" t="s">
        <v>3993</v>
      </c>
      <c r="L811" s="4">
        <v>1</v>
      </c>
      <c r="M811" s="526">
        <v>13277</v>
      </c>
      <c r="N811" s="4" t="s">
        <v>2886</v>
      </c>
      <c r="O811" s="526">
        <v>13277</v>
      </c>
      <c r="P811" s="526">
        <v>15800</v>
      </c>
      <c r="Q811" s="526">
        <v>15800</v>
      </c>
      <c r="R811" s="26">
        <v>43901</v>
      </c>
      <c r="S811" s="4" t="s">
        <v>1501</v>
      </c>
      <c r="T811" s="526">
        <v>15800</v>
      </c>
      <c r="U811" t="s">
        <v>1551</v>
      </c>
      <c r="V811" s="527">
        <v>9975</v>
      </c>
      <c r="W811" s="527">
        <v>3302</v>
      </c>
      <c r="X811" s="375">
        <v>0.25</v>
      </c>
    </row>
    <row r="812" spans="1:24" x14ac:dyDescent="0.25">
      <c r="A812" s="4">
        <v>416</v>
      </c>
      <c r="B812" s="4" t="s">
        <v>15</v>
      </c>
      <c r="C812" s="6" t="s">
        <v>5829</v>
      </c>
      <c r="D812" s="6" t="s">
        <v>17</v>
      </c>
      <c r="E812" s="21">
        <v>43902</v>
      </c>
      <c r="F812" s="4" t="s">
        <v>925</v>
      </c>
      <c r="H812" s="4" t="s">
        <v>2528</v>
      </c>
      <c r="I812" s="4">
        <v>4653</v>
      </c>
      <c r="J812" s="4" t="s">
        <v>5911</v>
      </c>
      <c r="K812" s="6" t="s">
        <v>5912</v>
      </c>
      <c r="L812" s="4">
        <v>12</v>
      </c>
      <c r="M812" s="528">
        <v>776</v>
      </c>
      <c r="N812" s="374">
        <v>0.05</v>
      </c>
      <c r="O812" s="528">
        <v>739</v>
      </c>
      <c r="P812" s="528">
        <v>877</v>
      </c>
      <c r="Q812" s="528">
        <v>10524</v>
      </c>
      <c r="R812" s="26">
        <v>43903</v>
      </c>
      <c r="S812" s="4" t="s">
        <v>1445</v>
      </c>
      <c r="T812" s="528">
        <v>34128</v>
      </c>
      <c r="U812" t="s">
        <v>16</v>
      </c>
      <c r="V812" s="529">
        <v>560</v>
      </c>
      <c r="W812" s="529">
        <v>179</v>
      </c>
      <c r="X812" s="375">
        <v>0.24</v>
      </c>
    </row>
    <row r="813" spans="1:24" x14ac:dyDescent="0.25">
      <c r="A813" s="4">
        <v>416</v>
      </c>
      <c r="B813" s="4" t="s">
        <v>30</v>
      </c>
      <c r="C813" s="6" t="s">
        <v>5839</v>
      </c>
      <c r="D813" s="6" t="s">
        <v>33</v>
      </c>
      <c r="E813" s="21">
        <v>43902</v>
      </c>
      <c r="F813" s="4" t="s">
        <v>925</v>
      </c>
      <c r="H813" s="4" t="s">
        <v>2528</v>
      </c>
      <c r="I813" s="4">
        <v>4653</v>
      </c>
      <c r="J813" s="4" t="s">
        <v>5911</v>
      </c>
      <c r="K813" s="6" t="s">
        <v>5912</v>
      </c>
      <c r="L813" s="4">
        <v>12</v>
      </c>
      <c r="M813" s="528">
        <v>741</v>
      </c>
      <c r="N813" s="374">
        <v>0.1</v>
      </c>
      <c r="O813" s="528">
        <v>675</v>
      </c>
      <c r="P813" s="528">
        <v>796</v>
      </c>
      <c r="Q813" s="528">
        <v>9552</v>
      </c>
      <c r="R813" s="26">
        <v>43903</v>
      </c>
      <c r="S813" s="4" t="s">
        <v>1445</v>
      </c>
      <c r="T813" s="528">
        <v>34128</v>
      </c>
      <c r="U813" t="s">
        <v>1563</v>
      </c>
      <c r="V813" s="529">
        <v>535</v>
      </c>
      <c r="W813" s="529">
        <v>140</v>
      </c>
      <c r="X813" s="375">
        <v>0.21</v>
      </c>
    </row>
    <row r="814" spans="1:24" x14ac:dyDescent="0.25">
      <c r="A814" s="4">
        <v>416</v>
      </c>
      <c r="B814" s="4" t="s">
        <v>38</v>
      </c>
      <c r="C814" s="6" t="s">
        <v>5843</v>
      </c>
      <c r="D814" s="6" t="s">
        <v>1504</v>
      </c>
      <c r="E814" s="21">
        <v>43902</v>
      </c>
      <c r="F814" s="4" t="s">
        <v>925</v>
      </c>
      <c r="H814" s="4" t="s">
        <v>2528</v>
      </c>
      <c r="I814" s="4">
        <v>4653</v>
      </c>
      <c r="J814" s="4" t="s">
        <v>5911</v>
      </c>
      <c r="K814" s="6" t="s">
        <v>5912</v>
      </c>
      <c r="L814" s="4">
        <v>2</v>
      </c>
      <c r="M814" s="528">
        <v>3248</v>
      </c>
      <c r="N814" s="374">
        <v>0.1</v>
      </c>
      <c r="O814" s="528">
        <v>2959</v>
      </c>
      <c r="P814" s="528">
        <v>3488</v>
      </c>
      <c r="Q814" s="528">
        <v>6976</v>
      </c>
      <c r="R814" s="26">
        <v>43903</v>
      </c>
      <c r="S814" s="4" t="s">
        <v>1445</v>
      </c>
      <c r="T814" s="528">
        <v>34128</v>
      </c>
      <c r="U814" t="s">
        <v>1563</v>
      </c>
      <c r="V814" s="529">
        <v>2345</v>
      </c>
      <c r="W814" s="529">
        <v>614</v>
      </c>
      <c r="X814" s="375">
        <v>0.21</v>
      </c>
    </row>
    <row r="815" spans="1:24" x14ac:dyDescent="0.25">
      <c r="A815" s="4">
        <v>416</v>
      </c>
      <c r="B815" s="4" t="s">
        <v>2411</v>
      </c>
      <c r="C815" s="6" t="s">
        <v>2424</v>
      </c>
      <c r="D815" s="6" t="s">
        <v>2425</v>
      </c>
      <c r="E815" s="21">
        <v>43902</v>
      </c>
      <c r="F815" s="4" t="s">
        <v>925</v>
      </c>
      <c r="H815" s="4" t="s">
        <v>2528</v>
      </c>
      <c r="I815" s="4">
        <v>4653</v>
      </c>
      <c r="J815" s="4" t="s">
        <v>5911</v>
      </c>
      <c r="K815" s="6" t="s">
        <v>5912</v>
      </c>
      <c r="L815" s="4">
        <v>12</v>
      </c>
      <c r="M815" s="528">
        <v>645</v>
      </c>
      <c r="N815" s="374">
        <v>0.23</v>
      </c>
      <c r="O815" s="528">
        <v>524</v>
      </c>
      <c r="P815" s="528">
        <v>590</v>
      </c>
      <c r="Q815" s="528">
        <v>7080</v>
      </c>
      <c r="R815" s="26">
        <v>43903</v>
      </c>
      <c r="S815" s="4" t="s">
        <v>1445</v>
      </c>
      <c r="T815" s="528">
        <v>34128</v>
      </c>
      <c r="U815" t="s">
        <v>1561</v>
      </c>
      <c r="V815" s="529">
        <v>466</v>
      </c>
      <c r="W815" s="529">
        <v>58</v>
      </c>
      <c r="X815" s="375">
        <v>0.11</v>
      </c>
    </row>
    <row r="816" spans="1:24" x14ac:dyDescent="0.25">
      <c r="A816" s="4">
        <v>418</v>
      </c>
      <c r="B816" s="4" t="s">
        <v>858</v>
      </c>
      <c r="C816" s="6" t="s">
        <v>2501</v>
      </c>
      <c r="D816" s="6" t="s">
        <v>861</v>
      </c>
      <c r="E816" s="21">
        <v>43902</v>
      </c>
      <c r="F816" s="4" t="s">
        <v>925</v>
      </c>
      <c r="H816" s="4" t="s">
        <v>2528</v>
      </c>
      <c r="I816" s="4">
        <v>4655</v>
      </c>
      <c r="J816" s="4" t="s">
        <v>5409</v>
      </c>
      <c r="K816" s="6" t="s">
        <v>5410</v>
      </c>
      <c r="L816" s="4">
        <v>100</v>
      </c>
      <c r="M816" s="528">
        <v>4412</v>
      </c>
      <c r="N816" s="374" t="s">
        <v>2886</v>
      </c>
      <c r="O816" s="528">
        <v>4412</v>
      </c>
      <c r="P816" s="528">
        <v>5250</v>
      </c>
      <c r="Q816" s="528">
        <v>525000</v>
      </c>
      <c r="R816" s="26">
        <v>43903</v>
      </c>
      <c r="S816" s="4" t="s">
        <v>1445</v>
      </c>
      <c r="T816" s="528">
        <v>525000</v>
      </c>
      <c r="U816" t="s">
        <v>1572</v>
      </c>
      <c r="V816" s="529" t="s">
        <v>5584</v>
      </c>
      <c r="W816" s="529">
        <v>4412</v>
      </c>
      <c r="X816" s="375">
        <v>1</v>
      </c>
    </row>
    <row r="817" spans="1:24" x14ac:dyDescent="0.25">
      <c r="A817" s="4">
        <v>419</v>
      </c>
      <c r="B817" s="4" t="s">
        <v>2674</v>
      </c>
      <c r="C817" s="6" t="s">
        <v>5889</v>
      </c>
      <c r="D817" s="6" t="s">
        <v>23</v>
      </c>
      <c r="E817" s="21">
        <v>43902</v>
      </c>
      <c r="F817" s="4" t="s">
        <v>925</v>
      </c>
      <c r="H817" s="4" t="s">
        <v>2528</v>
      </c>
      <c r="I817" s="4">
        <v>4656</v>
      </c>
      <c r="J817" s="4" t="s">
        <v>1179</v>
      </c>
      <c r="K817" s="6" t="s">
        <v>952</v>
      </c>
      <c r="L817" s="4">
        <v>16</v>
      </c>
      <c r="M817" s="528">
        <v>2960</v>
      </c>
      <c r="N817" s="374">
        <v>0.05</v>
      </c>
      <c r="O817" s="528">
        <v>2819</v>
      </c>
      <c r="P817" s="528">
        <v>3346</v>
      </c>
      <c r="Q817" s="528">
        <v>53536</v>
      </c>
      <c r="R817" s="26">
        <v>43908</v>
      </c>
      <c r="S817" s="4" t="s">
        <v>2050</v>
      </c>
      <c r="T817" s="528">
        <v>124696</v>
      </c>
      <c r="U817" t="s">
        <v>2668</v>
      </c>
      <c r="V817" s="529">
        <v>2137</v>
      </c>
      <c r="W817" s="529">
        <v>682</v>
      </c>
      <c r="X817" s="375">
        <v>0.24</v>
      </c>
    </row>
    <row r="818" spans="1:24" x14ac:dyDescent="0.25">
      <c r="A818" s="4">
        <v>419</v>
      </c>
      <c r="B818" s="4" t="s">
        <v>27</v>
      </c>
      <c r="C818" s="6" t="s">
        <v>5837</v>
      </c>
      <c r="D818" s="6" t="s">
        <v>23</v>
      </c>
      <c r="E818" s="21">
        <v>43902</v>
      </c>
      <c r="F818" s="4" t="s">
        <v>925</v>
      </c>
      <c r="H818" s="4" t="s">
        <v>2528</v>
      </c>
      <c r="I818" s="4">
        <v>4656</v>
      </c>
      <c r="J818" s="4" t="s">
        <v>1179</v>
      </c>
      <c r="K818" s="6" t="s">
        <v>952</v>
      </c>
      <c r="L818" s="4">
        <v>12</v>
      </c>
      <c r="M818" s="528">
        <v>936</v>
      </c>
      <c r="N818" s="374">
        <v>0.05</v>
      </c>
      <c r="O818" s="528">
        <v>891</v>
      </c>
      <c r="P818" s="528">
        <v>1058</v>
      </c>
      <c r="Q818" s="528">
        <v>12696</v>
      </c>
      <c r="R818" s="26">
        <v>43908</v>
      </c>
      <c r="S818" s="4" t="s">
        <v>2050</v>
      </c>
      <c r="T818" s="528">
        <v>124696</v>
      </c>
      <c r="U818" t="s">
        <v>2668</v>
      </c>
      <c r="V818" s="529">
        <v>676</v>
      </c>
      <c r="W818" s="529">
        <v>215</v>
      </c>
      <c r="X818" s="375">
        <v>0.24</v>
      </c>
    </row>
    <row r="819" spans="1:24" x14ac:dyDescent="0.25">
      <c r="A819" s="4">
        <v>419</v>
      </c>
      <c r="B819" s="4" t="s">
        <v>5771</v>
      </c>
      <c r="C819" s="6" t="s">
        <v>5772</v>
      </c>
      <c r="D819" s="6" t="s">
        <v>5753</v>
      </c>
      <c r="E819" s="21">
        <v>43902</v>
      </c>
      <c r="F819" s="4" t="s">
        <v>925</v>
      </c>
      <c r="H819" s="4" t="s">
        <v>2528</v>
      </c>
      <c r="I819" s="4">
        <v>4656</v>
      </c>
      <c r="J819" s="4" t="s">
        <v>1179</v>
      </c>
      <c r="K819" s="6" t="s">
        <v>952</v>
      </c>
      <c r="L819" s="4">
        <v>48</v>
      </c>
      <c r="M819" s="528">
        <v>882</v>
      </c>
      <c r="N819" s="374">
        <v>0.05</v>
      </c>
      <c r="O819" s="528">
        <v>840</v>
      </c>
      <c r="P819" s="528">
        <v>997</v>
      </c>
      <c r="Q819" s="528">
        <v>47856</v>
      </c>
      <c r="R819" s="26">
        <v>43908</v>
      </c>
      <c r="S819" s="4" t="s">
        <v>2050</v>
      </c>
      <c r="T819" s="528">
        <v>124696</v>
      </c>
      <c r="U819" t="s">
        <v>4767</v>
      </c>
      <c r="V819" s="529">
        <v>637</v>
      </c>
      <c r="W819" s="529">
        <v>203</v>
      </c>
      <c r="X819" s="375">
        <v>0.24</v>
      </c>
    </row>
    <row r="820" spans="1:24" x14ac:dyDescent="0.25">
      <c r="A820" s="4">
        <v>419</v>
      </c>
      <c r="B820" s="4" t="s">
        <v>30</v>
      </c>
      <c r="C820" s="6" t="s">
        <v>5839</v>
      </c>
      <c r="D820" s="6" t="s">
        <v>33</v>
      </c>
      <c r="E820" s="21">
        <v>43902</v>
      </c>
      <c r="F820" s="4" t="s">
        <v>925</v>
      </c>
      <c r="H820" s="4" t="s">
        <v>2528</v>
      </c>
      <c r="I820" s="4">
        <v>4656</v>
      </c>
      <c r="J820" s="4" t="s">
        <v>1179</v>
      </c>
      <c r="K820" s="6" t="s">
        <v>952</v>
      </c>
      <c r="L820" s="4">
        <v>12</v>
      </c>
      <c r="M820" s="531">
        <v>741</v>
      </c>
      <c r="N820" s="4" t="s">
        <v>2886</v>
      </c>
      <c r="O820" s="531">
        <v>741</v>
      </c>
      <c r="P820" s="531">
        <v>882</v>
      </c>
      <c r="Q820" s="531">
        <v>10584</v>
      </c>
      <c r="R820" s="26">
        <v>43908</v>
      </c>
      <c r="S820" s="4" t="s">
        <v>2050</v>
      </c>
      <c r="T820" s="531">
        <v>124696</v>
      </c>
      <c r="U820" t="s">
        <v>1563</v>
      </c>
      <c r="V820" s="532">
        <v>535</v>
      </c>
      <c r="W820" s="532">
        <v>206</v>
      </c>
      <c r="X820" s="375">
        <v>0.28000000000000003</v>
      </c>
    </row>
    <row r="821" spans="1:24" x14ac:dyDescent="0.25">
      <c r="A821" s="4">
        <v>420</v>
      </c>
      <c r="B821" s="4" t="s">
        <v>792</v>
      </c>
      <c r="C821" s="6" t="s">
        <v>1928</v>
      </c>
      <c r="D821" s="6" t="s">
        <v>794</v>
      </c>
      <c r="E821" s="21">
        <v>43902</v>
      </c>
      <c r="F821" s="4" t="s">
        <v>1461</v>
      </c>
      <c r="H821" s="4">
        <v>6708</v>
      </c>
      <c r="I821" s="4">
        <v>4657</v>
      </c>
      <c r="J821" s="4" t="s">
        <v>5228</v>
      </c>
      <c r="K821" s="6" t="s">
        <v>5229</v>
      </c>
      <c r="L821" s="4">
        <v>1</v>
      </c>
      <c r="M821" s="531">
        <v>20084</v>
      </c>
      <c r="N821" s="4" t="s">
        <v>2886</v>
      </c>
      <c r="O821" s="531">
        <v>20084</v>
      </c>
      <c r="P821" s="531">
        <v>23900</v>
      </c>
      <c r="Q821" s="531">
        <v>23900</v>
      </c>
      <c r="R821" s="26">
        <v>43902</v>
      </c>
      <c r="S821" s="4" t="s">
        <v>1501</v>
      </c>
      <c r="T821" s="531">
        <v>23900</v>
      </c>
      <c r="U821" t="s">
        <v>1551</v>
      </c>
      <c r="V821" s="532">
        <v>14604</v>
      </c>
      <c r="W821" s="532">
        <v>5480</v>
      </c>
      <c r="X821" s="375">
        <v>0.27</v>
      </c>
    </row>
    <row r="822" spans="1:24" x14ac:dyDescent="0.25">
      <c r="A822" s="4">
        <v>421</v>
      </c>
      <c r="B822" s="4" t="s">
        <v>843</v>
      </c>
      <c r="C822" s="6" t="s">
        <v>2058</v>
      </c>
      <c r="D822" s="6" t="s">
        <v>840</v>
      </c>
      <c r="E822" s="21">
        <v>43902</v>
      </c>
      <c r="F822" s="4" t="s">
        <v>1461</v>
      </c>
      <c r="H822" s="4">
        <v>6709</v>
      </c>
      <c r="I822" s="4">
        <v>4658</v>
      </c>
      <c r="J822" s="4" t="s">
        <v>5402</v>
      </c>
      <c r="K822" s="6" t="s">
        <v>5403</v>
      </c>
      <c r="L822" s="4">
        <v>1</v>
      </c>
      <c r="M822" s="531">
        <v>16723</v>
      </c>
      <c r="N822" s="4" t="s">
        <v>2886</v>
      </c>
      <c r="O822" s="531">
        <v>16723</v>
      </c>
      <c r="P822" s="531">
        <v>19900</v>
      </c>
      <c r="Q822" s="531">
        <v>19900</v>
      </c>
      <c r="R822" s="26">
        <v>43902</v>
      </c>
      <c r="S822" s="4" t="s">
        <v>1501</v>
      </c>
      <c r="T822" s="531">
        <v>19900</v>
      </c>
      <c r="U822" t="s">
        <v>1572</v>
      </c>
      <c r="V822" s="532">
        <v>11888</v>
      </c>
      <c r="W822" s="532">
        <v>4835</v>
      </c>
      <c r="X822" s="375">
        <v>0.28999999999999998</v>
      </c>
    </row>
    <row r="823" spans="1:24" x14ac:dyDescent="0.25">
      <c r="A823" s="4">
        <v>422</v>
      </c>
      <c r="B823" s="4" t="s">
        <v>5928</v>
      </c>
      <c r="C823" s="6" t="s">
        <v>5929</v>
      </c>
      <c r="D823" s="6" t="s">
        <v>5927</v>
      </c>
      <c r="E823" s="21">
        <v>43902</v>
      </c>
      <c r="F823" s="4" t="s">
        <v>1461</v>
      </c>
      <c r="H823" s="4">
        <v>6710</v>
      </c>
      <c r="I823" s="4">
        <v>4659</v>
      </c>
      <c r="J823" s="4" t="s">
        <v>5919</v>
      </c>
      <c r="K823" s="6" t="s">
        <v>5920</v>
      </c>
      <c r="L823" s="4">
        <v>1</v>
      </c>
      <c r="M823" s="531">
        <v>31849</v>
      </c>
      <c r="N823" s="4" t="s">
        <v>2886</v>
      </c>
      <c r="O823" s="531">
        <v>31849</v>
      </c>
      <c r="P823" s="531">
        <v>37900</v>
      </c>
      <c r="Q823" s="531">
        <v>37900</v>
      </c>
      <c r="R823" s="26">
        <v>43902</v>
      </c>
      <c r="S823" s="4" t="s">
        <v>1501</v>
      </c>
      <c r="T823" s="531">
        <v>37900</v>
      </c>
      <c r="U823" t="s">
        <v>5926</v>
      </c>
      <c r="V823" s="532">
        <v>26400</v>
      </c>
      <c r="W823" s="532">
        <v>5449</v>
      </c>
      <c r="X823" s="375">
        <v>0.17</v>
      </c>
    </row>
    <row r="824" spans="1:24" x14ac:dyDescent="0.25">
      <c r="A824" s="4">
        <v>423</v>
      </c>
      <c r="B824" s="4" t="s">
        <v>845</v>
      </c>
      <c r="C824" s="6" t="s">
        <v>2199</v>
      </c>
      <c r="D824" s="6" t="s">
        <v>2198</v>
      </c>
      <c r="E824" s="21">
        <v>43902</v>
      </c>
      <c r="F824" s="4" t="s">
        <v>1461</v>
      </c>
      <c r="H824" s="4">
        <v>6713</v>
      </c>
      <c r="I824" s="4">
        <v>4660</v>
      </c>
      <c r="J824" s="4" t="s">
        <v>1419</v>
      </c>
      <c r="K824" s="6" t="s">
        <v>1119</v>
      </c>
      <c r="L824" s="4">
        <v>1</v>
      </c>
      <c r="M824" s="531">
        <v>19748</v>
      </c>
      <c r="N824" s="4" t="s">
        <v>2886</v>
      </c>
      <c r="O824" s="531">
        <v>19748</v>
      </c>
      <c r="P824" s="531">
        <v>23500</v>
      </c>
      <c r="Q824" s="531">
        <v>23500</v>
      </c>
      <c r="R824" s="26">
        <v>43902</v>
      </c>
      <c r="S824" s="4" t="s">
        <v>1501</v>
      </c>
      <c r="T824" s="531">
        <v>23500</v>
      </c>
      <c r="U824" t="s">
        <v>1572</v>
      </c>
      <c r="V824" s="532">
        <v>14853</v>
      </c>
      <c r="W824" s="532">
        <v>4895</v>
      </c>
      <c r="X824" s="375">
        <v>0.25</v>
      </c>
    </row>
    <row r="825" spans="1:24" x14ac:dyDescent="0.25">
      <c r="A825" s="4">
        <v>424</v>
      </c>
      <c r="B825" s="4" t="s">
        <v>4620</v>
      </c>
      <c r="C825" s="6" t="s">
        <v>4621</v>
      </c>
      <c r="D825" s="6" t="s">
        <v>4622</v>
      </c>
      <c r="E825" s="21">
        <v>43902</v>
      </c>
      <c r="F825" s="4" t="s">
        <v>1461</v>
      </c>
      <c r="H825" s="4">
        <v>6714</v>
      </c>
      <c r="I825" s="4">
        <v>4661</v>
      </c>
      <c r="J825" s="4" t="s">
        <v>4791</v>
      </c>
      <c r="K825" s="6" t="s">
        <v>4792</v>
      </c>
      <c r="L825" s="4">
        <v>2</v>
      </c>
      <c r="M825" s="531">
        <v>32689</v>
      </c>
      <c r="N825" s="4" t="s">
        <v>2886</v>
      </c>
      <c r="O825" s="531">
        <v>32689</v>
      </c>
      <c r="P825" s="531">
        <v>38900</v>
      </c>
      <c r="Q825" s="531">
        <v>77800</v>
      </c>
      <c r="R825" s="26">
        <v>43902</v>
      </c>
      <c r="S825" s="4" t="s">
        <v>1501</v>
      </c>
      <c r="T825" s="531">
        <v>77800</v>
      </c>
      <c r="U825" t="s">
        <v>4602</v>
      </c>
      <c r="V825" s="532">
        <v>26207</v>
      </c>
      <c r="W825" s="532">
        <v>6482</v>
      </c>
      <c r="X825" s="375">
        <v>0.2</v>
      </c>
    </row>
    <row r="826" spans="1:24" x14ac:dyDescent="0.25">
      <c r="A826" s="4">
        <v>425</v>
      </c>
      <c r="B826" s="4" t="s">
        <v>4837</v>
      </c>
      <c r="C826" s="6" t="s">
        <v>4838</v>
      </c>
      <c r="D826" s="6" t="s">
        <v>802</v>
      </c>
      <c r="E826" s="21">
        <v>43902</v>
      </c>
      <c r="F826" s="4" t="s">
        <v>1461</v>
      </c>
      <c r="H826" s="4">
        <v>6715</v>
      </c>
      <c r="I826" s="4">
        <v>4662</v>
      </c>
      <c r="J826" s="4" t="s">
        <v>2011</v>
      </c>
      <c r="K826" s="6" t="s">
        <v>2162</v>
      </c>
      <c r="L826" s="4">
        <v>1</v>
      </c>
      <c r="M826" s="531">
        <v>17815</v>
      </c>
      <c r="N826" s="4" t="s">
        <v>2886</v>
      </c>
      <c r="O826" s="531">
        <v>17815</v>
      </c>
      <c r="P826" s="531">
        <v>21200</v>
      </c>
      <c r="Q826" s="531">
        <v>21200</v>
      </c>
      <c r="R826" s="26">
        <v>43902</v>
      </c>
      <c r="S826" s="4" t="s">
        <v>1501</v>
      </c>
      <c r="T826" s="531">
        <v>21200</v>
      </c>
      <c r="U826" t="s">
        <v>1551</v>
      </c>
      <c r="V826" s="532">
        <v>13279</v>
      </c>
      <c r="W826" s="532">
        <v>4536</v>
      </c>
      <c r="X826" s="375">
        <v>0.25</v>
      </c>
    </row>
    <row r="827" spans="1:24" x14ac:dyDescent="0.25">
      <c r="A827" s="4">
        <v>426</v>
      </c>
      <c r="B827" s="4" t="s">
        <v>2289</v>
      </c>
      <c r="C827" s="6" t="s">
        <v>2620</v>
      </c>
      <c r="D827" s="6" t="s">
        <v>1539</v>
      </c>
      <c r="E827" s="21">
        <v>43902</v>
      </c>
      <c r="F827" s="4" t="s">
        <v>925</v>
      </c>
      <c r="H827" s="4" t="s">
        <v>4845</v>
      </c>
      <c r="I827" s="4">
        <v>4663</v>
      </c>
      <c r="J827" s="4" t="s">
        <v>1192</v>
      </c>
      <c r="K827" s="6" t="s">
        <v>1061</v>
      </c>
      <c r="L827" s="4">
        <v>2</v>
      </c>
      <c r="M827" s="531">
        <v>20084</v>
      </c>
      <c r="N827" s="4" t="s">
        <v>2886</v>
      </c>
      <c r="O827" s="531">
        <v>20084</v>
      </c>
      <c r="P827" s="531">
        <v>23900</v>
      </c>
      <c r="Q827" s="531">
        <v>47800</v>
      </c>
      <c r="R827" s="26">
        <v>43902</v>
      </c>
      <c r="S827" s="4" t="s">
        <v>1501</v>
      </c>
      <c r="T827" s="531">
        <v>192983</v>
      </c>
      <c r="U827" t="s">
        <v>1524</v>
      </c>
      <c r="V827" s="532">
        <v>16386</v>
      </c>
      <c r="W827" s="532">
        <v>3698</v>
      </c>
      <c r="X827" s="375">
        <v>0.18</v>
      </c>
    </row>
    <row r="828" spans="1:24" x14ac:dyDescent="0.25">
      <c r="A828" s="4">
        <v>426</v>
      </c>
      <c r="B828" s="4" t="s">
        <v>3906</v>
      </c>
      <c r="C828" s="6" t="s">
        <v>3813</v>
      </c>
      <c r="D828" s="6" t="s">
        <v>1646</v>
      </c>
      <c r="E828" s="21">
        <v>43902</v>
      </c>
      <c r="F828" s="4" t="s">
        <v>925</v>
      </c>
      <c r="H828" s="4" t="s">
        <v>4845</v>
      </c>
      <c r="I828" s="4">
        <v>4663</v>
      </c>
      <c r="J828" s="4" t="s">
        <v>1192</v>
      </c>
      <c r="K828" s="6" t="s">
        <v>1061</v>
      </c>
      <c r="L828" s="4">
        <v>15</v>
      </c>
      <c r="M828" s="531">
        <v>3335</v>
      </c>
      <c r="N828" s="4" t="s">
        <v>2886</v>
      </c>
      <c r="O828" s="531">
        <v>3335</v>
      </c>
      <c r="P828" s="531">
        <v>3969</v>
      </c>
      <c r="Q828" s="531">
        <v>59535</v>
      </c>
      <c r="R828" s="26">
        <v>43902</v>
      </c>
      <c r="S828" s="4" t="s">
        <v>1501</v>
      </c>
      <c r="T828" s="531">
        <v>192983</v>
      </c>
      <c r="U828" t="s">
        <v>3934</v>
      </c>
      <c r="V828" s="532">
        <v>2408</v>
      </c>
      <c r="W828" s="532">
        <v>927</v>
      </c>
      <c r="X828" s="375">
        <v>0.28000000000000003</v>
      </c>
    </row>
    <row r="829" spans="1:24" x14ac:dyDescent="0.25">
      <c r="A829" s="4">
        <v>426</v>
      </c>
      <c r="B829" s="4" t="s">
        <v>4218</v>
      </c>
      <c r="C829" s="6" t="s">
        <v>4219</v>
      </c>
      <c r="D829" s="6" t="s">
        <v>3950</v>
      </c>
      <c r="E829" s="21">
        <v>43902</v>
      </c>
      <c r="F829" s="4" t="s">
        <v>925</v>
      </c>
      <c r="H829" s="4" t="s">
        <v>4845</v>
      </c>
      <c r="I829" s="4">
        <v>4663</v>
      </c>
      <c r="J829" s="4" t="s">
        <v>1192</v>
      </c>
      <c r="K829" s="6" t="s">
        <v>1061</v>
      </c>
      <c r="L829" s="4">
        <v>6</v>
      </c>
      <c r="M829" s="531">
        <v>7895</v>
      </c>
      <c r="N829" s="4" t="s">
        <v>2886</v>
      </c>
      <c r="O829" s="531">
        <v>7895</v>
      </c>
      <c r="P829" s="531">
        <v>9395</v>
      </c>
      <c r="Q829" s="531">
        <v>56370</v>
      </c>
      <c r="R829" s="26">
        <v>43902</v>
      </c>
      <c r="S829" s="4" t="s">
        <v>1501</v>
      </c>
      <c r="T829" s="531">
        <v>192983</v>
      </c>
      <c r="U829" t="s">
        <v>3934</v>
      </c>
      <c r="V829" s="532">
        <v>6000</v>
      </c>
      <c r="W829" s="532">
        <v>1895</v>
      </c>
      <c r="X829" s="375">
        <v>0.24</v>
      </c>
    </row>
    <row r="830" spans="1:24" x14ac:dyDescent="0.25">
      <c r="A830" s="4">
        <v>426</v>
      </c>
      <c r="B830" s="4" t="s">
        <v>35</v>
      </c>
      <c r="C830" s="6" t="s">
        <v>5841</v>
      </c>
      <c r="D830" s="6" t="s">
        <v>1504</v>
      </c>
      <c r="E830" s="21">
        <v>43902</v>
      </c>
      <c r="F830" s="4" t="s">
        <v>925</v>
      </c>
      <c r="H830" s="4" t="s">
        <v>4845</v>
      </c>
      <c r="I830" s="4">
        <v>4663</v>
      </c>
      <c r="J830" s="4" t="s">
        <v>1192</v>
      </c>
      <c r="K830" s="6" t="s">
        <v>1061</v>
      </c>
      <c r="L830" s="4">
        <v>4</v>
      </c>
      <c r="M830" s="531">
        <v>6151</v>
      </c>
      <c r="N830" s="4" t="s">
        <v>2886</v>
      </c>
      <c r="O830" s="531">
        <v>6151</v>
      </c>
      <c r="P830" s="531">
        <v>7320</v>
      </c>
      <c r="Q830" s="531">
        <v>29280</v>
      </c>
      <c r="R830" s="26">
        <v>43902</v>
      </c>
      <c r="S830" s="4" t="s">
        <v>1501</v>
      </c>
      <c r="T830" s="531">
        <v>192983</v>
      </c>
      <c r="U830" t="s">
        <v>1563</v>
      </c>
      <c r="V830" s="532">
        <v>4922</v>
      </c>
      <c r="W830" s="532">
        <v>1229</v>
      </c>
      <c r="X830" s="375">
        <v>0.2</v>
      </c>
    </row>
    <row r="831" spans="1:24" x14ac:dyDescent="0.25">
      <c r="A831" s="4">
        <v>427</v>
      </c>
      <c r="B831" s="4" t="s">
        <v>1672</v>
      </c>
      <c r="C831" s="6" t="s">
        <v>5845</v>
      </c>
      <c r="D831" s="6" t="s">
        <v>1504</v>
      </c>
      <c r="E831" s="21">
        <v>43902</v>
      </c>
      <c r="F831" s="4" t="s">
        <v>1461</v>
      </c>
      <c r="H831" s="4">
        <v>6717</v>
      </c>
      <c r="I831" s="4">
        <v>4664</v>
      </c>
      <c r="J831" s="4" t="s">
        <v>5930</v>
      </c>
      <c r="K831" s="6" t="s">
        <v>5931</v>
      </c>
      <c r="L831" s="4">
        <v>1</v>
      </c>
      <c r="M831" s="531">
        <v>4118</v>
      </c>
      <c r="N831" s="4" t="s">
        <v>2886</v>
      </c>
      <c r="O831" s="531">
        <v>4118</v>
      </c>
      <c r="P831" s="531">
        <v>4900</v>
      </c>
      <c r="Q831" s="531">
        <v>4900</v>
      </c>
      <c r="R831" s="26">
        <v>43902</v>
      </c>
      <c r="S831" s="4" t="s">
        <v>1501</v>
      </c>
      <c r="T831" s="531">
        <v>13200</v>
      </c>
      <c r="U831" t="s">
        <v>1545</v>
      </c>
      <c r="V831" s="532">
        <v>2250</v>
      </c>
      <c r="W831" s="532">
        <v>1868</v>
      </c>
      <c r="X831" s="375">
        <v>0.45</v>
      </c>
    </row>
    <row r="832" spans="1:24" x14ac:dyDescent="0.25">
      <c r="A832" s="4">
        <v>427</v>
      </c>
      <c r="B832" s="4" t="s">
        <v>1924</v>
      </c>
      <c r="C832" s="6" t="s">
        <v>5847</v>
      </c>
      <c r="D832" s="6" t="s">
        <v>1504</v>
      </c>
      <c r="E832" s="21">
        <v>43902</v>
      </c>
      <c r="F832" s="4" t="s">
        <v>1461</v>
      </c>
      <c r="H832" s="4">
        <v>6717</v>
      </c>
      <c r="I832" s="4">
        <v>4664</v>
      </c>
      <c r="J832" s="4" t="s">
        <v>5930</v>
      </c>
      <c r="K832" s="6" t="s">
        <v>5931</v>
      </c>
      <c r="L832" s="4">
        <v>1</v>
      </c>
      <c r="M832" s="531">
        <v>2101</v>
      </c>
      <c r="N832" s="4" t="s">
        <v>2886</v>
      </c>
      <c r="O832" s="531">
        <v>2101</v>
      </c>
      <c r="P832" s="531">
        <v>2500</v>
      </c>
      <c r="Q832" s="531">
        <v>2500</v>
      </c>
      <c r="R832" s="26">
        <v>43902</v>
      </c>
      <c r="S832" s="4" t="s">
        <v>1501</v>
      </c>
      <c r="T832" s="531">
        <v>13200</v>
      </c>
      <c r="U832" t="s">
        <v>1545</v>
      </c>
      <c r="V832" s="532">
        <v>850</v>
      </c>
      <c r="W832" s="532">
        <v>1251</v>
      </c>
      <c r="X832" s="375">
        <v>0.6</v>
      </c>
    </row>
    <row r="833" spans="1:24" x14ac:dyDescent="0.25">
      <c r="A833" s="4">
        <v>427</v>
      </c>
      <c r="B833" s="4" t="s">
        <v>1515</v>
      </c>
      <c r="C833" s="6" t="s">
        <v>5844</v>
      </c>
      <c r="D833" s="6" t="s">
        <v>1638</v>
      </c>
      <c r="E833" s="21">
        <v>43902</v>
      </c>
      <c r="F833" s="4" t="s">
        <v>1461</v>
      </c>
      <c r="H833" s="4">
        <v>6717</v>
      </c>
      <c r="I833" s="4">
        <v>4664</v>
      </c>
      <c r="J833" s="4" t="s">
        <v>5930</v>
      </c>
      <c r="K833" s="6" t="s">
        <v>5931</v>
      </c>
      <c r="L833" s="4">
        <v>1</v>
      </c>
      <c r="M833" s="531">
        <v>4874</v>
      </c>
      <c r="N833" s="4" t="s">
        <v>2886</v>
      </c>
      <c r="O833" s="531">
        <v>4874</v>
      </c>
      <c r="P833" s="531">
        <v>5800</v>
      </c>
      <c r="Q833" s="531">
        <v>5800</v>
      </c>
      <c r="R833" s="26">
        <v>43902</v>
      </c>
      <c r="S833" s="4" t="s">
        <v>1501</v>
      </c>
      <c r="T833" s="531">
        <v>13200</v>
      </c>
      <c r="U833" t="s">
        <v>1545</v>
      </c>
      <c r="V833" s="532">
        <v>2400</v>
      </c>
      <c r="W833" s="532">
        <v>2474</v>
      </c>
      <c r="X833" s="375">
        <v>0.51</v>
      </c>
    </row>
    <row r="834" spans="1:24" x14ac:dyDescent="0.25">
      <c r="A834" s="4">
        <v>428</v>
      </c>
      <c r="B834" s="4" t="s">
        <v>30</v>
      </c>
      <c r="C834" s="6" t="s">
        <v>5839</v>
      </c>
      <c r="D834" s="6" t="s">
        <v>33</v>
      </c>
      <c r="E834" s="21">
        <v>43903</v>
      </c>
      <c r="F834" s="4" t="s">
        <v>925</v>
      </c>
      <c r="H834" s="4" t="s">
        <v>2528</v>
      </c>
      <c r="I834" s="4">
        <v>4665</v>
      </c>
      <c r="J834" s="4" t="s">
        <v>4907</v>
      </c>
      <c r="K834" s="6" t="s">
        <v>4908</v>
      </c>
      <c r="L834" s="4">
        <v>60</v>
      </c>
      <c r="M834" s="535">
        <v>741</v>
      </c>
      <c r="N834" s="374">
        <v>0.05</v>
      </c>
      <c r="O834" s="535">
        <v>706</v>
      </c>
      <c r="P834" s="535">
        <v>838</v>
      </c>
      <c r="Q834" s="535">
        <v>50280</v>
      </c>
      <c r="R834" s="26">
        <v>43903</v>
      </c>
      <c r="S834" s="4" t="s">
        <v>1445</v>
      </c>
      <c r="T834" s="535">
        <v>50262</v>
      </c>
      <c r="U834" t="s">
        <v>1563</v>
      </c>
      <c r="V834" s="536">
        <v>535</v>
      </c>
      <c r="W834" s="536">
        <v>171</v>
      </c>
      <c r="X834" s="375">
        <v>0.24</v>
      </c>
    </row>
    <row r="835" spans="1:24" x14ac:dyDescent="0.25">
      <c r="A835" s="4">
        <v>429</v>
      </c>
      <c r="B835" s="4" t="s">
        <v>1777</v>
      </c>
      <c r="C835" s="6" t="s">
        <v>5477</v>
      </c>
      <c r="D835" s="6" t="s">
        <v>89</v>
      </c>
      <c r="E835" s="21">
        <v>43903</v>
      </c>
      <c r="F835" s="4" t="s">
        <v>925</v>
      </c>
      <c r="H835" s="4" t="s">
        <v>2528</v>
      </c>
      <c r="I835" s="4">
        <v>4666</v>
      </c>
      <c r="J835" s="4" t="s">
        <v>1275</v>
      </c>
      <c r="K835" s="6" t="s">
        <v>2218</v>
      </c>
      <c r="L835" s="4">
        <v>2</v>
      </c>
      <c r="M835" s="535">
        <v>13645</v>
      </c>
      <c r="N835" s="374">
        <v>0.05</v>
      </c>
      <c r="O835" s="535">
        <v>12995</v>
      </c>
      <c r="P835" s="535">
        <v>15426</v>
      </c>
      <c r="Q835" s="535">
        <v>30852</v>
      </c>
      <c r="R835" s="26">
        <v>43903</v>
      </c>
      <c r="S835" s="4" t="s">
        <v>1445</v>
      </c>
      <c r="T835" s="535">
        <v>30852</v>
      </c>
      <c r="U835" t="s">
        <v>1569</v>
      </c>
      <c r="V835" s="536">
        <v>9852</v>
      </c>
      <c r="W835" s="536">
        <v>3143</v>
      </c>
      <c r="X835" s="375">
        <v>0.24</v>
      </c>
    </row>
    <row r="836" spans="1:24" x14ac:dyDescent="0.25">
      <c r="A836" s="4">
        <v>430</v>
      </c>
      <c r="B836" s="4" t="s">
        <v>2250</v>
      </c>
      <c r="C836" s="6" t="s">
        <v>5846</v>
      </c>
      <c r="D836" s="6" t="s">
        <v>1638</v>
      </c>
      <c r="E836" s="21">
        <v>43903</v>
      </c>
      <c r="F836" s="4" t="s">
        <v>925</v>
      </c>
      <c r="H836" s="4" t="s">
        <v>2528</v>
      </c>
      <c r="I836" s="4">
        <v>4667</v>
      </c>
      <c r="J836" s="4" t="s">
        <v>1180</v>
      </c>
      <c r="K836" s="6" t="s">
        <v>1048</v>
      </c>
      <c r="L836" s="4">
        <v>20</v>
      </c>
      <c r="M836" s="535">
        <v>3062</v>
      </c>
      <c r="N836" s="374">
        <v>0.05</v>
      </c>
      <c r="O836" s="535">
        <v>2916</v>
      </c>
      <c r="P836" s="535">
        <v>3461</v>
      </c>
      <c r="Q836" s="535">
        <v>69220</v>
      </c>
      <c r="R836" s="26">
        <v>43903</v>
      </c>
      <c r="S836" s="4" t="s">
        <v>1445</v>
      </c>
      <c r="T836" s="535">
        <v>104825</v>
      </c>
      <c r="U836" t="s">
        <v>1545</v>
      </c>
      <c r="V836" s="536">
        <v>2100</v>
      </c>
      <c r="W836" s="536">
        <v>816</v>
      </c>
      <c r="X836" s="375">
        <v>0.28000000000000003</v>
      </c>
    </row>
    <row r="837" spans="1:24" x14ac:dyDescent="0.25">
      <c r="A837" s="4">
        <v>430</v>
      </c>
      <c r="B837" s="4" t="s">
        <v>1515</v>
      </c>
      <c r="C837" s="6" t="s">
        <v>5844</v>
      </c>
      <c r="D837" s="6" t="s">
        <v>1638</v>
      </c>
      <c r="E837" s="21">
        <v>43903</v>
      </c>
      <c r="F837" s="4" t="s">
        <v>925</v>
      </c>
      <c r="H837" s="4" t="s">
        <v>2528</v>
      </c>
      <c r="I837" s="4">
        <v>4667</v>
      </c>
      <c r="J837" s="4" t="s">
        <v>1180</v>
      </c>
      <c r="K837" s="6" t="s">
        <v>1048</v>
      </c>
      <c r="L837" s="4">
        <v>9</v>
      </c>
      <c r="M837" s="535">
        <v>3499</v>
      </c>
      <c r="N837" s="374">
        <v>0.05</v>
      </c>
      <c r="O837" s="535">
        <v>3332</v>
      </c>
      <c r="P837" s="535">
        <v>3956</v>
      </c>
      <c r="Q837" s="535">
        <v>35604</v>
      </c>
      <c r="R837" s="26">
        <v>43903</v>
      </c>
      <c r="S837" s="4" t="s">
        <v>1445</v>
      </c>
      <c r="T837" s="535">
        <v>104825</v>
      </c>
      <c r="U837" t="s">
        <v>1545</v>
      </c>
      <c r="V837" s="536">
        <v>2400</v>
      </c>
      <c r="W837" s="536">
        <v>932</v>
      </c>
      <c r="X837" s="375">
        <v>0.28000000000000003</v>
      </c>
    </row>
    <row r="838" spans="1:24" x14ac:dyDescent="0.25">
      <c r="A838" s="4">
        <v>431</v>
      </c>
      <c r="B838" s="4" t="s">
        <v>5147</v>
      </c>
      <c r="C838" s="6" t="s">
        <v>5148</v>
      </c>
      <c r="D838" s="6" t="s">
        <v>4618</v>
      </c>
      <c r="E838" s="21">
        <v>43903</v>
      </c>
      <c r="F838" s="4" t="s">
        <v>1461</v>
      </c>
      <c r="H838" s="4">
        <v>6716</v>
      </c>
      <c r="I838" s="4">
        <v>4668</v>
      </c>
      <c r="J838" s="4" t="s">
        <v>3175</v>
      </c>
      <c r="K838" s="6" t="s">
        <v>3176</v>
      </c>
      <c r="L838" s="4">
        <v>1</v>
      </c>
      <c r="M838" s="535">
        <v>26471</v>
      </c>
      <c r="N838" s="4" t="s">
        <v>2886</v>
      </c>
      <c r="O838" s="535">
        <v>26471</v>
      </c>
      <c r="P838" s="535">
        <v>31500</v>
      </c>
      <c r="Q838" s="535">
        <v>31500</v>
      </c>
      <c r="R838" s="26">
        <v>43903</v>
      </c>
      <c r="S838" s="4" t="s">
        <v>1501</v>
      </c>
      <c r="T838" s="535">
        <v>31500</v>
      </c>
      <c r="U838" t="s">
        <v>4602</v>
      </c>
      <c r="V838" s="536">
        <v>21183</v>
      </c>
      <c r="W838" s="536">
        <v>5288</v>
      </c>
      <c r="X838" s="375">
        <v>0.2</v>
      </c>
    </row>
    <row r="839" spans="1:24" x14ac:dyDescent="0.25">
      <c r="A839" s="4">
        <v>432</v>
      </c>
      <c r="B839" s="4" t="s">
        <v>5935</v>
      </c>
      <c r="C839" s="6" t="s">
        <v>5934</v>
      </c>
      <c r="D839" s="6" t="s">
        <v>5933</v>
      </c>
      <c r="E839" s="21">
        <v>43903</v>
      </c>
      <c r="F839" s="4" t="s">
        <v>1461</v>
      </c>
      <c r="H839" s="4">
        <v>6711</v>
      </c>
      <c r="I839" s="4">
        <v>4669</v>
      </c>
      <c r="J839" s="4" t="s">
        <v>4800</v>
      </c>
      <c r="K839" s="6" t="s">
        <v>4801</v>
      </c>
      <c r="L839" s="4">
        <v>1</v>
      </c>
      <c r="M839" s="535">
        <v>23950</v>
      </c>
      <c r="N839" s="4" t="s">
        <v>2886</v>
      </c>
      <c r="O839" s="535">
        <v>23950</v>
      </c>
      <c r="P839" s="535">
        <v>28500</v>
      </c>
      <c r="Q839" s="535">
        <v>28500</v>
      </c>
      <c r="R839" s="26">
        <v>43903</v>
      </c>
      <c r="S839" s="4" t="s">
        <v>1501</v>
      </c>
      <c r="T839" s="535">
        <v>60000</v>
      </c>
      <c r="U839" t="s">
        <v>5926</v>
      </c>
      <c r="V839" s="536">
        <v>19000</v>
      </c>
      <c r="W839" s="536">
        <v>4950</v>
      </c>
      <c r="X839" s="375">
        <v>0.21</v>
      </c>
    </row>
    <row r="840" spans="1:24" x14ac:dyDescent="0.25">
      <c r="A840" s="4">
        <v>432</v>
      </c>
      <c r="B840" s="4" t="s">
        <v>5147</v>
      </c>
      <c r="C840" s="6" t="s">
        <v>5148</v>
      </c>
      <c r="D840" s="6" t="s">
        <v>4618</v>
      </c>
      <c r="E840" s="21">
        <v>43903</v>
      </c>
      <c r="F840" s="4" t="s">
        <v>1461</v>
      </c>
      <c r="H840" s="4">
        <v>6711</v>
      </c>
      <c r="I840" s="4">
        <v>4669</v>
      </c>
      <c r="J840" s="4" t="s">
        <v>4800</v>
      </c>
      <c r="K840" s="6" t="s">
        <v>4801</v>
      </c>
      <c r="L840" s="4">
        <v>1</v>
      </c>
      <c r="M840" s="535">
        <v>26471</v>
      </c>
      <c r="N840" s="4" t="s">
        <v>2886</v>
      </c>
      <c r="O840" s="535">
        <v>26471</v>
      </c>
      <c r="P840" s="535">
        <v>31500</v>
      </c>
      <c r="Q840" s="535">
        <v>31500</v>
      </c>
      <c r="R840" s="26">
        <v>43903</v>
      </c>
      <c r="S840" s="4" t="s">
        <v>1501</v>
      </c>
      <c r="T840" s="535">
        <v>60000</v>
      </c>
      <c r="U840" t="s">
        <v>4602</v>
      </c>
      <c r="V840" s="536">
        <v>21183</v>
      </c>
      <c r="W840" s="536">
        <v>5288</v>
      </c>
      <c r="X840" s="375">
        <v>0.2</v>
      </c>
    </row>
    <row r="841" spans="1:24" x14ac:dyDescent="0.25">
      <c r="A841" s="4">
        <v>433</v>
      </c>
      <c r="B841" s="4" t="s">
        <v>855</v>
      </c>
      <c r="C841" s="6" t="s">
        <v>2499</v>
      </c>
      <c r="D841" s="6" t="s">
        <v>857</v>
      </c>
      <c r="E841" s="21">
        <v>43903</v>
      </c>
      <c r="F841" s="4" t="s">
        <v>925</v>
      </c>
      <c r="H841" s="4" t="s">
        <v>1910</v>
      </c>
      <c r="I841" s="4">
        <v>4670</v>
      </c>
      <c r="J841" s="4" t="s">
        <v>1182</v>
      </c>
      <c r="K841" s="6" t="s">
        <v>1044</v>
      </c>
      <c r="L841" s="4">
        <v>3</v>
      </c>
      <c r="M841" s="535">
        <v>13816</v>
      </c>
      <c r="N841" s="374">
        <v>0.27</v>
      </c>
      <c r="O841" s="535">
        <v>10918</v>
      </c>
      <c r="P841" s="535">
        <v>12076</v>
      </c>
      <c r="Q841" s="535">
        <v>36228</v>
      </c>
      <c r="R841" s="26">
        <v>43903</v>
      </c>
      <c r="S841" s="4" t="s">
        <v>1445</v>
      </c>
      <c r="T841" s="535">
        <v>107582</v>
      </c>
      <c r="U841" t="s">
        <v>1551</v>
      </c>
      <c r="V841" s="536">
        <v>9975</v>
      </c>
      <c r="W841" s="536">
        <v>943</v>
      </c>
      <c r="X841" s="375">
        <v>0.09</v>
      </c>
    </row>
    <row r="842" spans="1:24" x14ac:dyDescent="0.25">
      <c r="A842" s="4">
        <v>433</v>
      </c>
      <c r="B842" s="4" t="s">
        <v>1662</v>
      </c>
      <c r="C842" s="6" t="s">
        <v>1660</v>
      </c>
      <c r="D842" s="6" t="s">
        <v>1469</v>
      </c>
      <c r="E842" s="21">
        <v>43903</v>
      </c>
      <c r="F842" s="4" t="s">
        <v>925</v>
      </c>
      <c r="H842" s="4" t="s">
        <v>1910</v>
      </c>
      <c r="I842" s="4">
        <v>4670</v>
      </c>
      <c r="J842" s="4" t="s">
        <v>1182</v>
      </c>
      <c r="K842" s="6" t="s">
        <v>1044</v>
      </c>
      <c r="L842" s="4">
        <v>12</v>
      </c>
      <c r="M842" s="535">
        <v>1787</v>
      </c>
      <c r="N842" s="374">
        <v>0.1</v>
      </c>
      <c r="O842" s="535">
        <v>1628</v>
      </c>
      <c r="P842" s="535">
        <v>1919</v>
      </c>
      <c r="Q842" s="535">
        <v>23028</v>
      </c>
      <c r="R842" s="26">
        <v>43903</v>
      </c>
      <c r="S842" s="4" t="s">
        <v>1445</v>
      </c>
      <c r="T842" s="535">
        <v>107582</v>
      </c>
      <c r="U842" t="s">
        <v>1570</v>
      </c>
      <c r="V842" s="536">
        <v>1290</v>
      </c>
      <c r="W842" s="536">
        <v>338</v>
      </c>
      <c r="X842" s="375">
        <v>0.21</v>
      </c>
    </row>
    <row r="843" spans="1:24" x14ac:dyDescent="0.25">
      <c r="A843" s="4">
        <v>433</v>
      </c>
      <c r="B843" s="4" t="s">
        <v>1964</v>
      </c>
      <c r="C843" s="6" t="s">
        <v>2202</v>
      </c>
      <c r="D843" s="6" t="s">
        <v>2198</v>
      </c>
      <c r="E843" s="21">
        <v>43903</v>
      </c>
      <c r="F843" s="4" t="s">
        <v>925</v>
      </c>
      <c r="H843" s="4" t="s">
        <v>1910</v>
      </c>
      <c r="I843" s="4">
        <v>4670</v>
      </c>
      <c r="J843" s="4" t="s">
        <v>1182</v>
      </c>
      <c r="K843" s="6" t="s">
        <v>1044</v>
      </c>
      <c r="L843" s="4">
        <v>7</v>
      </c>
      <c r="M843" s="535">
        <v>1078</v>
      </c>
      <c r="N843" s="374">
        <v>0.05</v>
      </c>
      <c r="O843" s="535">
        <v>1027</v>
      </c>
      <c r="P843" s="535">
        <v>1218</v>
      </c>
      <c r="Q843" s="535">
        <v>8526</v>
      </c>
      <c r="R843" s="26">
        <v>43903</v>
      </c>
      <c r="S843" s="4" t="s">
        <v>1445</v>
      </c>
      <c r="T843" s="535">
        <v>107582</v>
      </c>
      <c r="U843" t="s">
        <v>1572</v>
      </c>
      <c r="V843" s="536">
        <v>778</v>
      </c>
      <c r="W843" s="536">
        <v>249</v>
      </c>
      <c r="X843" s="375">
        <v>0.24</v>
      </c>
    </row>
    <row r="844" spans="1:24" x14ac:dyDescent="0.25">
      <c r="A844" s="4">
        <v>433</v>
      </c>
      <c r="B844" s="4" t="s">
        <v>1777</v>
      </c>
      <c r="C844" s="6" t="s">
        <v>5477</v>
      </c>
      <c r="D844" s="6" t="s">
        <v>89</v>
      </c>
      <c r="E844" s="21">
        <v>43903</v>
      </c>
      <c r="F844" s="4" t="s">
        <v>925</v>
      </c>
      <c r="H844" s="4" t="s">
        <v>1910</v>
      </c>
      <c r="I844" s="4">
        <v>4670</v>
      </c>
      <c r="J844" s="4" t="s">
        <v>1182</v>
      </c>
      <c r="K844" s="6" t="s">
        <v>1044</v>
      </c>
      <c r="L844" s="4">
        <v>2</v>
      </c>
      <c r="M844" s="535">
        <v>13194</v>
      </c>
      <c r="N844" s="374">
        <v>0.08</v>
      </c>
      <c r="O844" s="535">
        <v>12257</v>
      </c>
      <c r="P844" s="535">
        <v>14500</v>
      </c>
      <c r="Q844" s="535">
        <v>29000</v>
      </c>
      <c r="R844" s="26">
        <v>43903</v>
      </c>
      <c r="S844" s="4" t="s">
        <v>1445</v>
      </c>
      <c r="T844" s="535">
        <v>107582</v>
      </c>
      <c r="U844" t="s">
        <v>1569</v>
      </c>
      <c r="V844" s="536">
        <v>9526</v>
      </c>
      <c r="W844" s="536">
        <v>2731</v>
      </c>
      <c r="X844" s="375">
        <v>0.22</v>
      </c>
    </row>
    <row r="845" spans="1:24" x14ac:dyDescent="0.25">
      <c r="A845" s="4">
        <v>433</v>
      </c>
      <c r="B845" s="4" t="s">
        <v>5081</v>
      </c>
      <c r="C845" s="6" t="s">
        <v>5242</v>
      </c>
      <c r="D845" s="6" t="s">
        <v>4570</v>
      </c>
      <c r="E845" s="21">
        <v>43903</v>
      </c>
      <c r="F845" s="4" t="s">
        <v>925</v>
      </c>
      <c r="H845" s="4" t="s">
        <v>1910</v>
      </c>
      <c r="I845" s="4">
        <v>4670</v>
      </c>
      <c r="J845" s="4" t="s">
        <v>1182</v>
      </c>
      <c r="K845" s="6" t="s">
        <v>1044</v>
      </c>
      <c r="L845" s="4">
        <v>15</v>
      </c>
      <c r="M845" s="535">
        <v>706</v>
      </c>
      <c r="N845" s="374">
        <v>0.14000000000000001</v>
      </c>
      <c r="O845" s="535">
        <v>617</v>
      </c>
      <c r="P845" s="535">
        <v>720</v>
      </c>
      <c r="Q845" s="535">
        <v>10800</v>
      </c>
      <c r="R845" s="26">
        <v>43903</v>
      </c>
      <c r="S845" s="4" t="s">
        <v>1445</v>
      </c>
      <c r="T845" s="535">
        <v>107582</v>
      </c>
      <c r="U845" t="s">
        <v>1563</v>
      </c>
      <c r="V845" s="536">
        <v>510</v>
      </c>
      <c r="W845" s="536">
        <v>107</v>
      </c>
      <c r="X845" s="375">
        <v>0.17</v>
      </c>
    </row>
    <row r="846" spans="1:24" x14ac:dyDescent="0.25">
      <c r="A846" s="4">
        <v>434</v>
      </c>
      <c r="B846" s="4" t="s">
        <v>30</v>
      </c>
      <c r="C846" s="6" t="s">
        <v>5839</v>
      </c>
      <c r="D846" s="6" t="s">
        <v>33</v>
      </c>
      <c r="E846" s="21">
        <v>43903</v>
      </c>
      <c r="F846" s="4" t="s">
        <v>925</v>
      </c>
      <c r="H846" s="4" t="s">
        <v>2528</v>
      </c>
      <c r="I846" s="4">
        <v>4671</v>
      </c>
      <c r="J846" s="4" t="s">
        <v>1189</v>
      </c>
      <c r="K846" s="6" t="s">
        <v>940</v>
      </c>
      <c r="L846" s="4">
        <v>24</v>
      </c>
      <c r="M846" s="535">
        <v>741</v>
      </c>
      <c r="N846" s="374">
        <v>0.1</v>
      </c>
      <c r="O846" s="535">
        <v>675</v>
      </c>
      <c r="P846" s="535">
        <v>796</v>
      </c>
      <c r="Q846" s="535">
        <v>19104</v>
      </c>
      <c r="R846" s="26">
        <v>43903</v>
      </c>
      <c r="S846" s="4" t="s">
        <v>1445</v>
      </c>
      <c r="T846" s="535">
        <v>64488</v>
      </c>
      <c r="U846" t="s">
        <v>1563</v>
      </c>
      <c r="V846" s="536">
        <v>535</v>
      </c>
      <c r="W846" s="536">
        <v>140</v>
      </c>
      <c r="X846" s="375">
        <v>0.21</v>
      </c>
    </row>
    <row r="847" spans="1:24" x14ac:dyDescent="0.25">
      <c r="A847" s="4">
        <v>434</v>
      </c>
      <c r="B847" s="4" t="s">
        <v>847</v>
      </c>
      <c r="C847" s="6" t="s">
        <v>2201</v>
      </c>
      <c r="D847" s="6" t="s">
        <v>2198</v>
      </c>
      <c r="E847" s="21">
        <v>43903</v>
      </c>
      <c r="F847" s="4" t="s">
        <v>925</v>
      </c>
      <c r="H847" s="4" t="s">
        <v>2528</v>
      </c>
      <c r="I847" s="4">
        <v>4671</v>
      </c>
      <c r="J847" s="4" t="s">
        <v>1189</v>
      </c>
      <c r="K847" s="6" t="s">
        <v>940</v>
      </c>
      <c r="L847" s="4">
        <v>3</v>
      </c>
      <c r="M847" s="535">
        <v>8914</v>
      </c>
      <c r="N847" s="374">
        <v>0.08</v>
      </c>
      <c r="O847" s="535">
        <v>8277</v>
      </c>
      <c r="P847" s="535">
        <v>9792</v>
      </c>
      <c r="Q847" s="535">
        <v>29376</v>
      </c>
      <c r="R847" s="26">
        <v>43903</v>
      </c>
      <c r="S847" s="4" t="s">
        <v>1445</v>
      </c>
      <c r="T847" s="535">
        <v>64488</v>
      </c>
      <c r="U847" t="s">
        <v>1572</v>
      </c>
      <c r="V847" s="536">
        <v>6436</v>
      </c>
      <c r="W847" s="536">
        <v>1841</v>
      </c>
      <c r="X847" s="375">
        <v>0.22</v>
      </c>
    </row>
    <row r="848" spans="1:24" x14ac:dyDescent="0.25">
      <c r="A848" s="4">
        <v>434</v>
      </c>
      <c r="B848" s="4" t="s">
        <v>5310</v>
      </c>
      <c r="C848" s="6" t="s">
        <v>5311</v>
      </c>
      <c r="D848" s="6" t="s">
        <v>4636</v>
      </c>
      <c r="E848" s="21">
        <v>43903</v>
      </c>
      <c r="F848" s="4" t="s">
        <v>925</v>
      </c>
      <c r="H848" s="4" t="s">
        <v>2528</v>
      </c>
      <c r="I848" s="4">
        <v>4671</v>
      </c>
      <c r="J848" s="4" t="s">
        <v>1189</v>
      </c>
      <c r="K848" s="6" t="s">
        <v>940</v>
      </c>
      <c r="L848" s="4">
        <v>12</v>
      </c>
      <c r="M848" s="535">
        <v>1402</v>
      </c>
      <c r="N848" s="374">
        <v>0.2</v>
      </c>
      <c r="O848" s="535">
        <v>1168</v>
      </c>
      <c r="P848" s="535">
        <v>1334</v>
      </c>
      <c r="Q848" s="535">
        <v>16008</v>
      </c>
      <c r="R848" s="26">
        <v>43903</v>
      </c>
      <c r="S848" s="4" t="s">
        <v>1445</v>
      </c>
      <c r="T848" s="535">
        <v>64488</v>
      </c>
      <c r="U848" t="s">
        <v>4767</v>
      </c>
      <c r="V848" s="536">
        <v>1012</v>
      </c>
      <c r="W848" s="536">
        <v>156</v>
      </c>
      <c r="X848" s="375">
        <v>0.13</v>
      </c>
    </row>
    <row r="849" spans="1:24" x14ac:dyDescent="0.25">
      <c r="A849" s="4">
        <v>435</v>
      </c>
      <c r="B849" s="4" t="s">
        <v>5937</v>
      </c>
      <c r="C849" s="6" t="s">
        <v>5938</v>
      </c>
      <c r="D849" s="6" t="s">
        <v>5936</v>
      </c>
      <c r="E849" s="21">
        <v>43903</v>
      </c>
      <c r="F849" s="4" t="s">
        <v>1461</v>
      </c>
      <c r="H849" s="4">
        <v>6718</v>
      </c>
      <c r="I849" s="4">
        <v>4672</v>
      </c>
      <c r="J849" s="4" t="s">
        <v>2360</v>
      </c>
      <c r="K849" s="6" t="s">
        <v>4296</v>
      </c>
      <c r="L849" s="4">
        <v>1</v>
      </c>
      <c r="M849" s="539">
        <v>29412</v>
      </c>
      <c r="N849" s="4" t="s">
        <v>2886</v>
      </c>
      <c r="O849" s="539">
        <v>29412</v>
      </c>
      <c r="P849" s="539">
        <v>35000</v>
      </c>
      <c r="Q849" s="539">
        <v>35000</v>
      </c>
      <c r="R849" s="26">
        <v>43903</v>
      </c>
      <c r="S849" s="4" t="s">
        <v>1501</v>
      </c>
      <c r="T849" s="539">
        <v>35000</v>
      </c>
      <c r="U849" t="s">
        <v>5926</v>
      </c>
      <c r="V849" s="540">
        <v>24900</v>
      </c>
      <c r="W849" s="540">
        <v>4512</v>
      </c>
      <c r="X849" s="375">
        <v>0.15</v>
      </c>
    </row>
    <row r="850" spans="1:24" x14ac:dyDescent="0.25">
      <c r="A850" s="4">
        <v>436</v>
      </c>
      <c r="B850" s="4" t="s">
        <v>5947</v>
      </c>
      <c r="C850" s="6" t="s">
        <v>5948</v>
      </c>
      <c r="D850" s="6" t="s">
        <v>5320</v>
      </c>
      <c r="E850" s="21">
        <v>43903</v>
      </c>
      <c r="F850" s="4" t="s">
        <v>1461</v>
      </c>
      <c r="H850" s="4">
        <v>6719</v>
      </c>
      <c r="I850" s="4">
        <v>4673</v>
      </c>
      <c r="J850" s="4" t="s">
        <v>5228</v>
      </c>
      <c r="K850" s="6" t="s">
        <v>5229</v>
      </c>
      <c r="L850" s="4">
        <v>1</v>
      </c>
      <c r="M850" s="539">
        <v>19916</v>
      </c>
      <c r="N850" s="4" t="s">
        <v>2886</v>
      </c>
      <c r="O850" s="539">
        <v>19916</v>
      </c>
      <c r="P850" s="539">
        <v>23700</v>
      </c>
      <c r="Q850" s="539">
        <v>23700</v>
      </c>
      <c r="R850" s="26">
        <v>43903</v>
      </c>
      <c r="S850" s="4" t="s">
        <v>1501</v>
      </c>
      <c r="T850" s="539">
        <v>23700</v>
      </c>
      <c r="U850" t="s">
        <v>1551</v>
      </c>
      <c r="V850" s="540">
        <v>14956</v>
      </c>
      <c r="W850" s="540">
        <v>4960</v>
      </c>
      <c r="X850" s="375">
        <v>0.25</v>
      </c>
    </row>
    <row r="851" spans="1:24" x14ac:dyDescent="0.25">
      <c r="A851" s="4">
        <v>437</v>
      </c>
      <c r="B851" s="4" t="s">
        <v>2096</v>
      </c>
      <c r="C851" s="6" t="s">
        <v>2196</v>
      </c>
      <c r="D851" s="6" t="s">
        <v>2197</v>
      </c>
      <c r="E851" s="21">
        <v>43904</v>
      </c>
      <c r="F851" s="4" t="s">
        <v>1461</v>
      </c>
      <c r="H851" s="4">
        <v>6720</v>
      </c>
      <c r="I851" s="4">
        <v>4674</v>
      </c>
      <c r="J851" s="4" t="s">
        <v>5952</v>
      </c>
      <c r="K851" s="6" t="s">
        <v>5953</v>
      </c>
      <c r="L851" s="4">
        <v>1</v>
      </c>
      <c r="M851" s="543">
        <v>10504</v>
      </c>
      <c r="N851" s="4" t="s">
        <v>2886</v>
      </c>
      <c r="O851" s="543">
        <v>10504</v>
      </c>
      <c r="P851" s="543">
        <v>12500</v>
      </c>
      <c r="Q851" s="543">
        <v>12500</v>
      </c>
      <c r="R851" s="26">
        <v>43904</v>
      </c>
      <c r="S851" s="4" t="s">
        <v>1501</v>
      </c>
      <c r="T851" s="543">
        <v>12500</v>
      </c>
      <c r="U851" t="s">
        <v>1572</v>
      </c>
      <c r="V851" s="544">
        <v>7670</v>
      </c>
      <c r="W851" s="544">
        <v>2834</v>
      </c>
      <c r="X851" s="375">
        <v>0.27</v>
      </c>
    </row>
    <row r="852" spans="1:24" x14ac:dyDescent="0.25">
      <c r="A852" s="4">
        <v>438</v>
      </c>
      <c r="B852" s="4" t="s">
        <v>4218</v>
      </c>
      <c r="C852" s="6" t="s">
        <v>4219</v>
      </c>
      <c r="D852" s="6" t="s">
        <v>3950</v>
      </c>
      <c r="E852" s="21">
        <v>43904</v>
      </c>
      <c r="F852" s="4" t="s">
        <v>925</v>
      </c>
      <c r="H852" s="4" t="s">
        <v>2528</v>
      </c>
      <c r="I852" s="4">
        <v>4675</v>
      </c>
      <c r="J852" s="4" t="s">
        <v>3460</v>
      </c>
      <c r="K852" s="6" t="s">
        <v>3461</v>
      </c>
      <c r="L852" s="4">
        <v>4</v>
      </c>
      <c r="M852" s="543">
        <v>8310</v>
      </c>
      <c r="N852" s="4" t="s">
        <v>2886</v>
      </c>
      <c r="O852" s="543">
        <v>8310</v>
      </c>
      <c r="P852" s="543">
        <v>9889</v>
      </c>
      <c r="Q852" s="543">
        <v>39556</v>
      </c>
      <c r="R852" s="26">
        <v>43904</v>
      </c>
      <c r="S852" s="4" t="s">
        <v>1501</v>
      </c>
      <c r="T852" s="543">
        <v>39557</v>
      </c>
      <c r="U852" t="s">
        <v>3934</v>
      </c>
      <c r="V852" s="544">
        <v>6000</v>
      </c>
      <c r="W852" s="544">
        <v>2310</v>
      </c>
      <c r="X852" s="375">
        <v>0.28000000000000003</v>
      </c>
    </row>
    <row r="853" spans="1:24" x14ac:dyDescent="0.25">
      <c r="A853" s="4">
        <v>439</v>
      </c>
      <c r="B853" s="4" t="s">
        <v>855</v>
      </c>
      <c r="C853" s="6" t="s">
        <v>2499</v>
      </c>
      <c r="D853" s="6" t="s">
        <v>857</v>
      </c>
      <c r="E853" s="21">
        <v>43904</v>
      </c>
      <c r="F853" s="4" t="s">
        <v>1461</v>
      </c>
      <c r="H853" s="4">
        <v>6721</v>
      </c>
      <c r="I853" s="4">
        <v>4676</v>
      </c>
      <c r="J853" s="4" t="s">
        <v>1411</v>
      </c>
      <c r="K853" s="6" t="s">
        <v>1150</v>
      </c>
      <c r="L853" s="4">
        <v>1</v>
      </c>
      <c r="M853" s="543">
        <v>13277</v>
      </c>
      <c r="N853" s="4" t="s">
        <v>2886</v>
      </c>
      <c r="O853" s="543">
        <v>13277</v>
      </c>
      <c r="P853" s="543">
        <v>15800</v>
      </c>
      <c r="Q853" s="543">
        <v>15800</v>
      </c>
      <c r="R853" s="26">
        <v>43904</v>
      </c>
      <c r="S853" s="4" t="s">
        <v>1501</v>
      </c>
      <c r="T853" s="543">
        <v>26800</v>
      </c>
      <c r="U853" t="s">
        <v>1551</v>
      </c>
      <c r="V853" s="544">
        <v>9975</v>
      </c>
      <c r="W853" s="544">
        <v>3302</v>
      </c>
      <c r="X853" s="375">
        <v>0.25</v>
      </c>
    </row>
    <row r="854" spans="1:24" x14ac:dyDescent="0.25">
      <c r="A854" s="4">
        <v>439</v>
      </c>
      <c r="B854" s="4" t="s">
        <v>923</v>
      </c>
      <c r="C854" s="6" t="s">
        <v>2203</v>
      </c>
      <c r="D854" s="6" t="s">
        <v>2197</v>
      </c>
      <c r="E854" s="21">
        <v>43904</v>
      </c>
      <c r="F854" s="4" t="s">
        <v>1461</v>
      </c>
      <c r="H854" s="4">
        <v>6721</v>
      </c>
      <c r="I854" s="4">
        <v>4676</v>
      </c>
      <c r="J854" s="4" t="s">
        <v>1411</v>
      </c>
      <c r="K854" s="6" t="s">
        <v>1150</v>
      </c>
      <c r="L854" s="4">
        <v>2</v>
      </c>
      <c r="M854" s="543">
        <v>4622</v>
      </c>
      <c r="N854" s="4" t="s">
        <v>2886</v>
      </c>
      <c r="O854" s="543">
        <v>4622</v>
      </c>
      <c r="P854" s="543">
        <v>5500</v>
      </c>
      <c r="Q854" s="543">
        <v>11000</v>
      </c>
      <c r="R854" s="26">
        <v>43904</v>
      </c>
      <c r="S854" s="4" t="s">
        <v>1501</v>
      </c>
      <c r="T854" s="543">
        <v>26800</v>
      </c>
      <c r="U854" t="s">
        <v>1572</v>
      </c>
      <c r="V854" s="544">
        <v>3269</v>
      </c>
      <c r="W854" s="544">
        <v>1353</v>
      </c>
      <c r="X854" s="375">
        <v>0.28999999999999998</v>
      </c>
    </row>
    <row r="855" spans="1:24" x14ac:dyDescent="0.25">
      <c r="A855" s="4">
        <v>440</v>
      </c>
      <c r="B855" s="4" t="s">
        <v>2250</v>
      </c>
      <c r="C855" s="6" t="s">
        <v>5846</v>
      </c>
      <c r="D855" s="6" t="s">
        <v>1638</v>
      </c>
      <c r="E855" s="21">
        <v>43904</v>
      </c>
      <c r="F855" s="4" t="s">
        <v>925</v>
      </c>
      <c r="H855" s="4" t="s">
        <v>2528</v>
      </c>
      <c r="I855" s="4">
        <v>4677</v>
      </c>
      <c r="J855" s="4" t="s">
        <v>1176</v>
      </c>
      <c r="K855" s="6" t="s">
        <v>949</v>
      </c>
      <c r="L855" s="4">
        <v>20</v>
      </c>
      <c r="M855" s="543">
        <v>3062</v>
      </c>
      <c r="N855" s="374">
        <v>0.05</v>
      </c>
      <c r="O855" s="543">
        <v>2916</v>
      </c>
      <c r="P855" s="543">
        <v>3461</v>
      </c>
      <c r="Q855" s="543">
        <v>69220</v>
      </c>
      <c r="R855" s="26">
        <v>43904</v>
      </c>
      <c r="S855" s="4" t="s">
        <v>1501</v>
      </c>
      <c r="T855" s="543">
        <v>69224</v>
      </c>
      <c r="U855" t="s">
        <v>1545</v>
      </c>
      <c r="V855" s="544">
        <v>2100</v>
      </c>
      <c r="W855" s="544">
        <v>816</v>
      </c>
      <c r="X855" s="375">
        <v>0.28000000000000003</v>
      </c>
    </row>
    <row r="856" spans="1:24" x14ac:dyDescent="0.25">
      <c r="A856" s="4">
        <v>441</v>
      </c>
      <c r="B856" s="4" t="s">
        <v>1777</v>
      </c>
      <c r="C856" s="6" t="s">
        <v>5477</v>
      </c>
      <c r="D856" s="6" t="s">
        <v>89</v>
      </c>
      <c r="E856" s="21">
        <v>43906</v>
      </c>
      <c r="F856" s="4" t="s">
        <v>925</v>
      </c>
      <c r="H856" s="4" t="s">
        <v>2528</v>
      </c>
      <c r="I856" s="4">
        <v>4678</v>
      </c>
      <c r="J856" s="4" t="s">
        <v>5784</v>
      </c>
      <c r="K856" s="6" t="s">
        <v>5785</v>
      </c>
      <c r="L856" s="4">
        <v>11</v>
      </c>
      <c r="M856" s="543">
        <v>13194</v>
      </c>
      <c r="N856" s="374">
        <v>0.11</v>
      </c>
      <c r="O856" s="543">
        <v>11893</v>
      </c>
      <c r="P856" s="543">
        <v>13983</v>
      </c>
      <c r="Q856" s="543">
        <v>153813</v>
      </c>
      <c r="R856" s="26">
        <v>43906</v>
      </c>
      <c r="S856" s="4" t="s">
        <v>1849</v>
      </c>
      <c r="T856" s="543">
        <v>153813</v>
      </c>
      <c r="U856" t="s">
        <v>1569</v>
      </c>
      <c r="V856" s="544">
        <v>9526</v>
      </c>
      <c r="W856" s="544">
        <v>2367</v>
      </c>
      <c r="X856" s="375">
        <v>0.2</v>
      </c>
    </row>
    <row r="857" spans="1:24" x14ac:dyDescent="0.25">
      <c r="A857" s="4">
        <v>442</v>
      </c>
      <c r="B857" s="4" t="s">
        <v>1777</v>
      </c>
      <c r="C857" s="6" t="s">
        <v>5477</v>
      </c>
      <c r="D857" s="6" t="s">
        <v>89</v>
      </c>
      <c r="E857" s="21">
        <v>43906</v>
      </c>
      <c r="F857" s="4" t="s">
        <v>925</v>
      </c>
      <c r="H857" s="4" t="s">
        <v>2528</v>
      </c>
      <c r="I857" s="4">
        <v>4679</v>
      </c>
      <c r="J857" s="4" t="s">
        <v>5784</v>
      </c>
      <c r="K857" s="6" t="s">
        <v>5785</v>
      </c>
      <c r="L857" s="4">
        <v>4</v>
      </c>
      <c r="M857" s="543">
        <v>13194</v>
      </c>
      <c r="N857" s="374">
        <v>0.11</v>
      </c>
      <c r="O857" s="543">
        <v>11893</v>
      </c>
      <c r="P857" s="543">
        <v>13983</v>
      </c>
      <c r="Q857" s="543">
        <v>55932</v>
      </c>
      <c r="R857" s="26">
        <v>43906</v>
      </c>
      <c r="S857" s="4" t="s">
        <v>1849</v>
      </c>
      <c r="T857" s="543">
        <v>55932</v>
      </c>
      <c r="U857" t="s">
        <v>1569</v>
      </c>
      <c r="V857" s="544">
        <v>9526</v>
      </c>
      <c r="W857" s="544">
        <v>2367</v>
      </c>
      <c r="X857" s="375">
        <v>0.2</v>
      </c>
    </row>
    <row r="858" spans="1:24" x14ac:dyDescent="0.25">
      <c r="A858" s="4">
        <v>443</v>
      </c>
      <c r="B858" s="4" t="s">
        <v>1777</v>
      </c>
      <c r="C858" s="6" t="s">
        <v>5477</v>
      </c>
      <c r="D858" s="6" t="s">
        <v>89</v>
      </c>
      <c r="E858" s="21">
        <v>43906</v>
      </c>
      <c r="F858" s="4" t="s">
        <v>925</v>
      </c>
      <c r="H858" s="4" t="s">
        <v>2528</v>
      </c>
      <c r="I858" s="4">
        <v>4680</v>
      </c>
      <c r="J858" s="4" t="s">
        <v>5784</v>
      </c>
      <c r="K858" s="6" t="s">
        <v>5785</v>
      </c>
      <c r="L858" s="4">
        <v>6</v>
      </c>
      <c r="M858" s="543">
        <v>13194</v>
      </c>
      <c r="N858" s="374">
        <v>0.11</v>
      </c>
      <c r="O858" s="543">
        <v>11893</v>
      </c>
      <c r="P858" s="543">
        <v>13983</v>
      </c>
      <c r="Q858" s="543">
        <v>83898</v>
      </c>
      <c r="R858" s="26">
        <v>43906</v>
      </c>
      <c r="S858" s="4" t="s">
        <v>1849</v>
      </c>
      <c r="T858" s="543">
        <v>83898</v>
      </c>
      <c r="U858" t="s">
        <v>1569</v>
      </c>
      <c r="V858" s="544">
        <v>9526</v>
      </c>
      <c r="W858" s="544">
        <v>2367</v>
      </c>
      <c r="X858" s="375">
        <v>0.2</v>
      </c>
    </row>
    <row r="859" spans="1:24" x14ac:dyDescent="0.25">
      <c r="A859" s="4">
        <v>444</v>
      </c>
      <c r="B859" s="4" t="s">
        <v>1777</v>
      </c>
      <c r="C859" s="6" t="s">
        <v>5477</v>
      </c>
      <c r="D859" s="6" t="s">
        <v>89</v>
      </c>
      <c r="E859" s="21">
        <v>43906</v>
      </c>
      <c r="F859" s="4" t="s">
        <v>925</v>
      </c>
      <c r="H859" s="4" t="s">
        <v>2528</v>
      </c>
      <c r="I859" s="4">
        <v>4681</v>
      </c>
      <c r="J859" s="4" t="s">
        <v>5784</v>
      </c>
      <c r="K859" s="6" t="s">
        <v>5785</v>
      </c>
      <c r="L859" s="4">
        <v>6</v>
      </c>
      <c r="M859" s="543">
        <v>13194</v>
      </c>
      <c r="N859" s="374">
        <v>0.11</v>
      </c>
      <c r="O859" s="543">
        <v>11893</v>
      </c>
      <c r="P859" s="543">
        <v>13983</v>
      </c>
      <c r="Q859" s="543">
        <v>83898</v>
      </c>
      <c r="R859" s="26">
        <v>43906</v>
      </c>
      <c r="S859" s="4" t="s">
        <v>1849</v>
      </c>
      <c r="T859" s="543">
        <v>83898</v>
      </c>
      <c r="U859" t="s">
        <v>1569</v>
      </c>
      <c r="V859" s="544">
        <v>9526</v>
      </c>
      <c r="W859" s="544">
        <v>2367</v>
      </c>
      <c r="X859" s="375">
        <v>0.2</v>
      </c>
    </row>
    <row r="860" spans="1:24" x14ac:dyDescent="0.25">
      <c r="A860" s="4">
        <v>445</v>
      </c>
      <c r="B860" s="4" t="s">
        <v>1777</v>
      </c>
      <c r="C860" s="6" t="s">
        <v>5477</v>
      </c>
      <c r="D860" s="6" t="s">
        <v>89</v>
      </c>
      <c r="E860" s="21">
        <v>43906</v>
      </c>
      <c r="F860" s="4" t="s">
        <v>925</v>
      </c>
      <c r="H860" s="4" t="s">
        <v>2528</v>
      </c>
      <c r="I860" s="4">
        <v>4682</v>
      </c>
      <c r="J860" s="4" t="s">
        <v>5784</v>
      </c>
      <c r="K860" s="6" t="s">
        <v>5785</v>
      </c>
      <c r="L860" s="4">
        <v>6</v>
      </c>
      <c r="M860" s="543">
        <v>13194</v>
      </c>
      <c r="N860" s="374">
        <v>0.11</v>
      </c>
      <c r="O860" s="543">
        <v>11893</v>
      </c>
      <c r="P860" s="543">
        <v>13983</v>
      </c>
      <c r="Q860" s="543">
        <v>83898</v>
      </c>
      <c r="R860" s="26">
        <v>43906</v>
      </c>
      <c r="S860" s="4" t="s">
        <v>1849</v>
      </c>
      <c r="T860" s="543">
        <v>83898</v>
      </c>
      <c r="U860" t="s">
        <v>1569</v>
      </c>
      <c r="V860" s="544">
        <v>9526</v>
      </c>
      <c r="W860" s="544">
        <v>2367</v>
      </c>
      <c r="X860" s="375">
        <v>0.2</v>
      </c>
    </row>
    <row r="861" spans="1:24" x14ac:dyDescent="0.25">
      <c r="A861" s="4">
        <v>446</v>
      </c>
      <c r="B861" s="4" t="s">
        <v>1777</v>
      </c>
      <c r="C861" s="6" t="s">
        <v>5477</v>
      </c>
      <c r="D861" s="6" t="s">
        <v>89</v>
      </c>
      <c r="E861" s="21">
        <v>43906</v>
      </c>
      <c r="F861" s="4" t="s">
        <v>925</v>
      </c>
      <c r="H861" s="4" t="s">
        <v>2528</v>
      </c>
      <c r="I861" s="4">
        <v>4683</v>
      </c>
      <c r="J861" s="4" t="s">
        <v>5784</v>
      </c>
      <c r="K861" s="6" t="s">
        <v>5785</v>
      </c>
      <c r="L861" s="4">
        <v>4</v>
      </c>
      <c r="M861" s="543">
        <v>13194</v>
      </c>
      <c r="N861" s="374">
        <v>0.11</v>
      </c>
      <c r="O861" s="543">
        <v>11893</v>
      </c>
      <c r="P861" s="543">
        <v>13983</v>
      </c>
      <c r="Q861" s="543">
        <v>55932</v>
      </c>
      <c r="R861" s="26">
        <v>43906</v>
      </c>
      <c r="S861" s="4" t="s">
        <v>1849</v>
      </c>
      <c r="T861" s="543">
        <v>55932</v>
      </c>
      <c r="U861" t="s">
        <v>1569</v>
      </c>
      <c r="V861" s="544">
        <v>9526</v>
      </c>
      <c r="W861" s="544">
        <v>2367</v>
      </c>
      <c r="X861" s="375">
        <v>0.2</v>
      </c>
    </row>
    <row r="862" spans="1:24" x14ac:dyDescent="0.25">
      <c r="A862" s="4">
        <v>447</v>
      </c>
      <c r="B862" s="4" t="s">
        <v>656</v>
      </c>
      <c r="C862" s="6" t="s">
        <v>1973</v>
      </c>
      <c r="D862" s="6" t="s">
        <v>794</v>
      </c>
      <c r="E862" s="21">
        <v>43906</v>
      </c>
      <c r="F862" s="4" t="s">
        <v>1461</v>
      </c>
      <c r="H862" s="4">
        <v>6722</v>
      </c>
      <c r="I862" s="4">
        <v>4684</v>
      </c>
      <c r="J862" s="4" t="s">
        <v>1258</v>
      </c>
      <c r="K862" s="6" t="s">
        <v>1059</v>
      </c>
      <c r="L862" s="4">
        <v>5</v>
      </c>
      <c r="M862" s="543">
        <v>19328</v>
      </c>
      <c r="N862" s="4" t="s">
        <v>2886</v>
      </c>
      <c r="O862" s="543">
        <v>19328</v>
      </c>
      <c r="P862" s="543">
        <v>23000</v>
      </c>
      <c r="Q862" s="543">
        <v>115000</v>
      </c>
      <c r="R862" s="26">
        <v>43906</v>
      </c>
      <c r="S862" s="4" t="s">
        <v>1501</v>
      </c>
      <c r="T862" s="543">
        <v>115000</v>
      </c>
      <c r="U862" t="s">
        <v>1551</v>
      </c>
      <c r="V862" s="544">
        <v>14604</v>
      </c>
      <c r="W862" s="544">
        <v>4724</v>
      </c>
      <c r="X862" s="375">
        <v>0.24</v>
      </c>
    </row>
    <row r="863" spans="1:24" x14ac:dyDescent="0.25">
      <c r="A863" s="4">
        <v>448</v>
      </c>
      <c r="B863" s="4" t="s">
        <v>658</v>
      </c>
      <c r="C863" s="6" t="s">
        <v>1974</v>
      </c>
      <c r="D863" s="6" t="s">
        <v>794</v>
      </c>
      <c r="E863" s="21">
        <v>43906</v>
      </c>
      <c r="F863" s="4" t="s">
        <v>1461</v>
      </c>
      <c r="H863" s="4">
        <v>6723</v>
      </c>
      <c r="I863" s="4">
        <v>4685</v>
      </c>
      <c r="J863" s="4" t="s">
        <v>4040</v>
      </c>
      <c r="K863" s="6" t="s">
        <v>4038</v>
      </c>
      <c r="L863" s="4">
        <v>2</v>
      </c>
      <c r="M863" s="543">
        <v>19328</v>
      </c>
      <c r="N863" s="4" t="s">
        <v>2886</v>
      </c>
      <c r="O863" s="543">
        <v>19328</v>
      </c>
      <c r="P863" s="543">
        <v>23000</v>
      </c>
      <c r="Q863" s="543">
        <v>46000</v>
      </c>
      <c r="R863" s="26">
        <v>43906</v>
      </c>
      <c r="S863" s="4" t="s">
        <v>1501</v>
      </c>
      <c r="T863" s="543">
        <v>46000</v>
      </c>
      <c r="U863" t="s">
        <v>1551</v>
      </c>
      <c r="V863" s="544">
        <v>14604</v>
      </c>
      <c r="W863" s="544">
        <v>4724</v>
      </c>
      <c r="X863" s="375">
        <v>0.24</v>
      </c>
    </row>
    <row r="864" spans="1:24" x14ac:dyDescent="0.25">
      <c r="A864" s="4">
        <v>449</v>
      </c>
      <c r="B864" s="4" t="s">
        <v>2250</v>
      </c>
      <c r="C864" s="6" t="s">
        <v>5846</v>
      </c>
      <c r="D864" s="6" t="s">
        <v>1638</v>
      </c>
      <c r="E864" s="21">
        <v>43906</v>
      </c>
      <c r="F864" s="4" t="s">
        <v>1461</v>
      </c>
      <c r="H864" s="4">
        <v>6724</v>
      </c>
      <c r="I864" s="4">
        <v>4686</v>
      </c>
      <c r="J864" s="4" t="s">
        <v>1368</v>
      </c>
      <c r="K864" s="6" t="s">
        <v>2387</v>
      </c>
      <c r="L864" s="4">
        <v>10</v>
      </c>
      <c r="M864" s="543">
        <v>3193</v>
      </c>
      <c r="N864" s="4" t="s">
        <v>2886</v>
      </c>
      <c r="O864" s="543">
        <v>3193</v>
      </c>
      <c r="P864" s="543">
        <v>3800</v>
      </c>
      <c r="Q864" s="543">
        <v>38000</v>
      </c>
      <c r="R864" s="26">
        <v>43906</v>
      </c>
      <c r="S864" s="4" t="s">
        <v>1501</v>
      </c>
      <c r="T864" s="543">
        <v>38000</v>
      </c>
      <c r="U864" t="s">
        <v>1545</v>
      </c>
      <c r="V864" s="544">
        <v>2100</v>
      </c>
      <c r="W864" s="544">
        <v>1093</v>
      </c>
      <c r="X864" s="375">
        <v>0.34</v>
      </c>
    </row>
    <row r="865" spans="1:24" x14ac:dyDescent="0.25">
      <c r="A865" s="4">
        <v>450</v>
      </c>
      <c r="B865" s="4" t="s">
        <v>838</v>
      </c>
      <c r="C865" s="6" t="s">
        <v>2062</v>
      </c>
      <c r="D865" s="6" t="s">
        <v>840</v>
      </c>
      <c r="E865" s="21">
        <v>43906</v>
      </c>
      <c r="F865" s="4" t="s">
        <v>1461</v>
      </c>
      <c r="H865" s="4">
        <v>6725</v>
      </c>
      <c r="I865" s="4">
        <v>4687</v>
      </c>
      <c r="J865" s="4" t="s">
        <v>4953</v>
      </c>
      <c r="K865" s="6" t="s">
        <v>4954</v>
      </c>
      <c r="L865" s="4">
        <v>2</v>
      </c>
      <c r="M865" s="543">
        <v>33109</v>
      </c>
      <c r="N865" s="4" t="s">
        <v>2886</v>
      </c>
      <c r="O865" s="543">
        <v>33109</v>
      </c>
      <c r="P865" s="543">
        <v>39400</v>
      </c>
      <c r="Q865" s="543">
        <v>39400</v>
      </c>
      <c r="R865" s="26">
        <v>43906</v>
      </c>
      <c r="S865" s="4" t="s">
        <v>1501</v>
      </c>
      <c r="T865" s="543">
        <v>39400</v>
      </c>
      <c r="U865" t="s">
        <v>1572</v>
      </c>
      <c r="V865" s="544">
        <v>24858</v>
      </c>
      <c r="W865" s="544">
        <v>8252</v>
      </c>
      <c r="X865" s="375">
        <v>0.25</v>
      </c>
    </row>
    <row r="866" spans="1:24" x14ac:dyDescent="0.25">
      <c r="A866" s="4">
        <v>451</v>
      </c>
      <c r="B866" s="4" t="s">
        <v>855</v>
      </c>
      <c r="C866" s="6" t="s">
        <v>2499</v>
      </c>
      <c r="D866" s="6" t="s">
        <v>857</v>
      </c>
      <c r="E866" s="21">
        <v>43906</v>
      </c>
      <c r="F866" s="4" t="s">
        <v>1461</v>
      </c>
      <c r="H866" s="4">
        <v>6726</v>
      </c>
      <c r="I866" s="4">
        <v>4688</v>
      </c>
      <c r="J866" s="4" t="s">
        <v>4041</v>
      </c>
      <c r="K866" s="6" t="s">
        <v>4042</v>
      </c>
      <c r="L866" s="4">
        <v>1</v>
      </c>
      <c r="M866" s="543">
        <v>13277</v>
      </c>
      <c r="N866" s="4" t="s">
        <v>2886</v>
      </c>
      <c r="O866" s="543">
        <v>13277</v>
      </c>
      <c r="P866" s="543">
        <v>15800</v>
      </c>
      <c r="Q866" s="543">
        <v>15800</v>
      </c>
      <c r="R866" s="26">
        <v>43906</v>
      </c>
      <c r="S866" s="4" t="s">
        <v>1501</v>
      </c>
      <c r="T866" s="543">
        <v>15800</v>
      </c>
      <c r="U866" t="s">
        <v>1551</v>
      </c>
      <c r="V866" s="544">
        <v>9975</v>
      </c>
      <c r="W866" s="544">
        <v>3302</v>
      </c>
      <c r="X866" s="375">
        <v>0.25</v>
      </c>
    </row>
    <row r="867" spans="1:24" x14ac:dyDescent="0.25">
      <c r="A867" s="4">
        <v>452</v>
      </c>
      <c r="B867" s="4" t="s">
        <v>656</v>
      </c>
      <c r="C867" s="6" t="s">
        <v>1973</v>
      </c>
      <c r="D867" s="6" t="s">
        <v>794</v>
      </c>
      <c r="E867" s="21">
        <v>43906</v>
      </c>
      <c r="F867" s="4" t="s">
        <v>1461</v>
      </c>
      <c r="H867" s="4">
        <v>6727</v>
      </c>
      <c r="I867" s="4">
        <v>4689</v>
      </c>
      <c r="J867" s="4" t="s">
        <v>1320</v>
      </c>
      <c r="K867" s="6" t="s">
        <v>3394</v>
      </c>
      <c r="L867" s="4">
        <v>1</v>
      </c>
      <c r="M867" s="543">
        <v>19328</v>
      </c>
      <c r="N867" s="4" t="s">
        <v>2886</v>
      </c>
      <c r="O867" s="543">
        <v>19328</v>
      </c>
      <c r="P867" s="543">
        <v>23000</v>
      </c>
      <c r="Q867" s="543">
        <v>23000</v>
      </c>
      <c r="R867" s="26">
        <v>43906</v>
      </c>
      <c r="S867" s="4" t="s">
        <v>1501</v>
      </c>
      <c r="T867" s="543">
        <v>57100</v>
      </c>
      <c r="U867" t="s">
        <v>1551</v>
      </c>
      <c r="V867" s="544">
        <v>14604</v>
      </c>
      <c r="W867" s="544">
        <v>4724</v>
      </c>
      <c r="X867" s="375">
        <v>0.24</v>
      </c>
    </row>
    <row r="868" spans="1:24" x14ac:dyDescent="0.25">
      <c r="A868" s="4">
        <v>452</v>
      </c>
      <c r="B868" s="4" t="s">
        <v>2038</v>
      </c>
      <c r="C868" s="6" t="s">
        <v>5884</v>
      </c>
      <c r="D868" s="6" t="s">
        <v>794</v>
      </c>
      <c r="E868" s="21">
        <v>43906</v>
      </c>
      <c r="F868" s="4" t="s">
        <v>1461</v>
      </c>
      <c r="H868" s="4">
        <v>6727</v>
      </c>
      <c r="I868" s="4">
        <v>4689</v>
      </c>
      <c r="J868" s="4" t="s">
        <v>1320</v>
      </c>
      <c r="K868" s="6" t="s">
        <v>3394</v>
      </c>
      <c r="L868" s="4">
        <v>1</v>
      </c>
      <c r="M868" s="543">
        <v>10504</v>
      </c>
      <c r="N868" s="4" t="s">
        <v>2886</v>
      </c>
      <c r="O868" s="543">
        <v>10504</v>
      </c>
      <c r="P868" s="543">
        <v>12500</v>
      </c>
      <c r="Q868" s="543">
        <v>12500</v>
      </c>
      <c r="R868" s="26">
        <v>43906</v>
      </c>
      <c r="S868" s="4" t="s">
        <v>1501</v>
      </c>
      <c r="T868" s="543">
        <v>57100</v>
      </c>
      <c r="U868" t="s">
        <v>1551</v>
      </c>
      <c r="V868" s="544">
        <v>7956</v>
      </c>
      <c r="W868" s="544">
        <v>2548</v>
      </c>
      <c r="X868" s="375">
        <v>0.24</v>
      </c>
    </row>
    <row r="869" spans="1:24" x14ac:dyDescent="0.25">
      <c r="A869" s="4">
        <v>452</v>
      </c>
      <c r="B869" s="4" t="s">
        <v>30</v>
      </c>
      <c r="C869" s="6" t="s">
        <v>5839</v>
      </c>
      <c r="D869" s="6" t="s">
        <v>33</v>
      </c>
      <c r="E869" s="21">
        <v>43906</v>
      </c>
      <c r="F869" s="4" t="s">
        <v>1461</v>
      </c>
      <c r="H869" s="4">
        <v>6727</v>
      </c>
      <c r="I869" s="4">
        <v>4689</v>
      </c>
      <c r="J869" s="4" t="s">
        <v>1320</v>
      </c>
      <c r="K869" s="6" t="s">
        <v>3394</v>
      </c>
      <c r="L869" s="4">
        <v>24</v>
      </c>
      <c r="M869" s="543">
        <v>756</v>
      </c>
      <c r="N869" s="4" t="s">
        <v>2886</v>
      </c>
      <c r="O869" s="543">
        <v>756</v>
      </c>
      <c r="P869" s="543">
        <v>900</v>
      </c>
      <c r="Q869" s="543">
        <v>21600</v>
      </c>
      <c r="R869" s="26">
        <v>43906</v>
      </c>
      <c r="S869" s="4" t="s">
        <v>1501</v>
      </c>
      <c r="T869" s="543">
        <v>57100</v>
      </c>
      <c r="U869" t="s">
        <v>1563</v>
      </c>
      <c r="V869" s="544">
        <v>535</v>
      </c>
      <c r="W869" s="544">
        <v>221</v>
      </c>
      <c r="X869" s="375">
        <v>0.28999999999999998</v>
      </c>
    </row>
    <row r="870" spans="1:24" x14ac:dyDescent="0.25">
      <c r="A870" s="4">
        <v>453</v>
      </c>
      <c r="B870" s="4" t="s">
        <v>830</v>
      </c>
      <c r="C870" s="6" t="s">
        <v>2495</v>
      </c>
      <c r="D870" s="6" t="s">
        <v>837</v>
      </c>
      <c r="E870" s="21">
        <v>43906</v>
      </c>
      <c r="F870" s="4" t="s">
        <v>1461</v>
      </c>
      <c r="H870" s="4">
        <v>6728</v>
      </c>
      <c r="I870" s="4">
        <v>4690</v>
      </c>
      <c r="J870" s="4" t="s">
        <v>1250</v>
      </c>
      <c r="K870" s="6" t="s">
        <v>3398</v>
      </c>
      <c r="L870" s="4">
        <v>1</v>
      </c>
      <c r="M870" s="543">
        <v>13866</v>
      </c>
      <c r="N870" s="4" t="s">
        <v>2886</v>
      </c>
      <c r="O870" s="543">
        <v>13866</v>
      </c>
      <c r="P870" s="543">
        <v>16500</v>
      </c>
      <c r="Q870" s="543">
        <v>16500</v>
      </c>
      <c r="R870" s="26">
        <v>43906</v>
      </c>
      <c r="S870" s="4" t="s">
        <v>1501</v>
      </c>
      <c r="T870" s="543">
        <v>27300</v>
      </c>
      <c r="U870" t="s">
        <v>1572</v>
      </c>
      <c r="V870" s="544">
        <v>10390</v>
      </c>
      <c r="W870" s="544">
        <v>3476</v>
      </c>
      <c r="X870" s="375">
        <v>0.25</v>
      </c>
    </row>
    <row r="871" spans="1:24" x14ac:dyDescent="0.25">
      <c r="A871" s="4">
        <v>453</v>
      </c>
      <c r="B871" s="4" t="s">
        <v>30</v>
      </c>
      <c r="C871" s="6" t="s">
        <v>5839</v>
      </c>
      <c r="D871" s="6" t="s">
        <v>33</v>
      </c>
      <c r="E871" s="21">
        <v>43906</v>
      </c>
      <c r="F871" s="4" t="s">
        <v>1461</v>
      </c>
      <c r="H871" s="4">
        <v>6728</v>
      </c>
      <c r="I871" s="4">
        <v>4690</v>
      </c>
      <c r="J871" s="4" t="s">
        <v>1250</v>
      </c>
      <c r="K871" s="6" t="s">
        <v>3398</v>
      </c>
      <c r="L871" s="4">
        <v>12</v>
      </c>
      <c r="M871" s="543">
        <v>756</v>
      </c>
      <c r="N871" s="4" t="s">
        <v>2886</v>
      </c>
      <c r="O871" s="543">
        <v>756</v>
      </c>
      <c r="P871" s="543">
        <v>900</v>
      </c>
      <c r="Q871" s="543">
        <v>10800</v>
      </c>
      <c r="R871" s="26">
        <v>43906</v>
      </c>
      <c r="S871" s="4" t="s">
        <v>1501</v>
      </c>
      <c r="T871" s="543">
        <v>27300</v>
      </c>
      <c r="U871" t="s">
        <v>1563</v>
      </c>
      <c r="V871" s="544">
        <v>535</v>
      </c>
      <c r="W871" s="544">
        <v>221</v>
      </c>
      <c r="X871" s="375">
        <v>0.28999999999999998</v>
      </c>
    </row>
    <row r="872" spans="1:24" x14ac:dyDescent="0.25">
      <c r="A872" s="4">
        <v>454</v>
      </c>
      <c r="B872" s="4" t="s">
        <v>5081</v>
      </c>
      <c r="C872" s="6" t="s">
        <v>5242</v>
      </c>
      <c r="D872" s="6" t="s">
        <v>4570</v>
      </c>
      <c r="E872" s="21">
        <v>43906</v>
      </c>
      <c r="F872" s="4" t="s">
        <v>1461</v>
      </c>
      <c r="H872" s="4">
        <v>6729</v>
      </c>
      <c r="I872" s="4">
        <v>4691</v>
      </c>
      <c r="J872" s="4" t="s">
        <v>1233</v>
      </c>
      <c r="K872" s="6" t="s">
        <v>1046</v>
      </c>
      <c r="L872" s="4">
        <v>4</v>
      </c>
      <c r="M872" s="543">
        <v>756</v>
      </c>
      <c r="N872" s="4" t="s">
        <v>2886</v>
      </c>
      <c r="O872" s="543">
        <v>756</v>
      </c>
      <c r="P872" s="543">
        <v>900</v>
      </c>
      <c r="Q872" s="543">
        <v>3600</v>
      </c>
      <c r="R872" s="26">
        <v>43906</v>
      </c>
      <c r="S872" s="4" t="s">
        <v>1501</v>
      </c>
      <c r="T872" s="543">
        <v>70662</v>
      </c>
      <c r="U872" t="s">
        <v>1563</v>
      </c>
      <c r="V872" s="544">
        <v>510</v>
      </c>
      <c r="W872" s="544">
        <v>246</v>
      </c>
      <c r="X872" s="375">
        <v>0.33</v>
      </c>
    </row>
    <row r="873" spans="1:24" x14ac:dyDescent="0.25">
      <c r="A873" s="4">
        <v>454</v>
      </c>
      <c r="B873" s="4" t="s">
        <v>30</v>
      </c>
      <c r="C873" s="6" t="s">
        <v>5839</v>
      </c>
      <c r="D873" s="6" t="s">
        <v>33</v>
      </c>
      <c r="E873" s="21">
        <v>43906</v>
      </c>
      <c r="F873" s="4" t="s">
        <v>1461</v>
      </c>
      <c r="H873" s="4">
        <v>6729</v>
      </c>
      <c r="I873" s="4">
        <v>4691</v>
      </c>
      <c r="J873" s="4" t="s">
        <v>1233</v>
      </c>
      <c r="K873" s="6" t="s">
        <v>1046</v>
      </c>
      <c r="L873" s="4">
        <v>24</v>
      </c>
      <c r="M873" s="543">
        <v>756</v>
      </c>
      <c r="N873" s="4" t="s">
        <v>2886</v>
      </c>
      <c r="O873" s="543">
        <v>756</v>
      </c>
      <c r="P873" s="543">
        <v>900</v>
      </c>
      <c r="Q873" s="543">
        <v>21600</v>
      </c>
      <c r="R873" s="26">
        <v>43906</v>
      </c>
      <c r="S873" s="4" t="s">
        <v>1501</v>
      </c>
      <c r="T873" s="543">
        <v>70662</v>
      </c>
      <c r="U873" t="s">
        <v>1563</v>
      </c>
      <c r="V873" s="544">
        <v>535</v>
      </c>
      <c r="W873" s="544">
        <v>221</v>
      </c>
      <c r="X873" s="375">
        <v>0.28999999999999998</v>
      </c>
    </row>
    <row r="874" spans="1:24" x14ac:dyDescent="0.25">
      <c r="A874" s="4">
        <v>454</v>
      </c>
      <c r="B874" s="4" t="s">
        <v>430</v>
      </c>
      <c r="C874" s="6" t="s">
        <v>2700</v>
      </c>
      <c r="D874" s="6" t="s">
        <v>426</v>
      </c>
      <c r="E874" s="21">
        <v>43906</v>
      </c>
      <c r="F874" s="4" t="s">
        <v>1461</v>
      </c>
      <c r="H874" s="4">
        <v>6729</v>
      </c>
      <c r="I874" s="4">
        <v>4691</v>
      </c>
      <c r="J874" s="4" t="s">
        <v>1233</v>
      </c>
      <c r="K874" s="6" t="s">
        <v>1046</v>
      </c>
      <c r="L874" s="4">
        <v>2</v>
      </c>
      <c r="M874" s="543">
        <v>3529</v>
      </c>
      <c r="N874" s="4" t="s">
        <v>2886</v>
      </c>
      <c r="O874" s="543">
        <v>3529</v>
      </c>
      <c r="P874" s="543">
        <v>4200</v>
      </c>
      <c r="Q874" s="543">
        <v>8400</v>
      </c>
      <c r="R874" s="26">
        <v>43906</v>
      </c>
      <c r="S874" s="4" t="s">
        <v>1501</v>
      </c>
      <c r="T874" s="543">
        <v>70662</v>
      </c>
      <c r="U874" t="s">
        <v>1561</v>
      </c>
      <c r="V874" s="544">
        <v>2464</v>
      </c>
      <c r="W874" s="544">
        <v>1065</v>
      </c>
      <c r="X874" s="375">
        <v>0.3</v>
      </c>
    </row>
    <row r="875" spans="1:24" x14ac:dyDescent="0.25">
      <c r="A875" s="4">
        <v>454</v>
      </c>
      <c r="B875" s="4" t="s">
        <v>5626</v>
      </c>
      <c r="C875" s="6" t="s">
        <v>5627</v>
      </c>
      <c r="D875" s="6" t="s">
        <v>5625</v>
      </c>
      <c r="E875" s="21">
        <v>43906</v>
      </c>
      <c r="F875" s="4" t="s">
        <v>1461</v>
      </c>
      <c r="H875" s="4">
        <v>6729</v>
      </c>
      <c r="I875" s="4">
        <v>4691</v>
      </c>
      <c r="J875" s="4" t="s">
        <v>1233</v>
      </c>
      <c r="K875" s="6" t="s">
        <v>1046</v>
      </c>
      <c r="L875" s="4">
        <v>1</v>
      </c>
      <c r="M875" s="543">
        <v>2185</v>
      </c>
      <c r="N875" s="4" t="s">
        <v>2886</v>
      </c>
      <c r="O875" s="543">
        <v>2185</v>
      </c>
      <c r="P875" s="543">
        <v>2600</v>
      </c>
      <c r="Q875" s="543">
        <v>2600</v>
      </c>
      <c r="R875" s="26">
        <v>43906</v>
      </c>
      <c r="S875" s="4" t="s">
        <v>1501</v>
      </c>
      <c r="T875" s="543">
        <v>70662</v>
      </c>
      <c r="U875" t="s">
        <v>5619</v>
      </c>
      <c r="V875" s="544">
        <v>1290</v>
      </c>
      <c r="W875" s="544">
        <v>895</v>
      </c>
      <c r="X875" s="375">
        <v>0.41</v>
      </c>
    </row>
    <row r="876" spans="1:24" x14ac:dyDescent="0.25">
      <c r="A876" s="4">
        <v>454</v>
      </c>
      <c r="B876" s="4" t="s">
        <v>420</v>
      </c>
      <c r="C876" s="6" t="s">
        <v>3534</v>
      </c>
      <c r="D876" s="6" t="s">
        <v>426</v>
      </c>
      <c r="E876" s="21">
        <v>43906</v>
      </c>
      <c r="F876" s="4" t="s">
        <v>1461</v>
      </c>
      <c r="H876" s="4">
        <v>6729</v>
      </c>
      <c r="I876" s="4">
        <v>4691</v>
      </c>
      <c r="J876" s="4" t="s">
        <v>1233</v>
      </c>
      <c r="K876" s="6" t="s">
        <v>1046</v>
      </c>
      <c r="L876" s="4">
        <v>5</v>
      </c>
      <c r="M876" s="543">
        <v>1611</v>
      </c>
      <c r="N876" s="4" t="s">
        <v>2886</v>
      </c>
      <c r="O876" s="543">
        <v>1611</v>
      </c>
      <c r="P876" s="543">
        <v>1918</v>
      </c>
      <c r="Q876" s="543">
        <v>9590</v>
      </c>
      <c r="R876" s="26">
        <v>43906</v>
      </c>
      <c r="S876" s="4" t="s">
        <v>1501</v>
      </c>
      <c r="T876" s="543">
        <v>70662</v>
      </c>
      <c r="U876" t="s">
        <v>1561</v>
      </c>
      <c r="V876" s="544">
        <v>1128</v>
      </c>
      <c r="W876" s="544">
        <v>483</v>
      </c>
      <c r="X876" s="375">
        <v>0.3</v>
      </c>
    </row>
    <row r="877" spans="1:24" x14ac:dyDescent="0.25">
      <c r="A877" s="4">
        <v>454</v>
      </c>
      <c r="B877" s="4" t="s">
        <v>415</v>
      </c>
      <c r="C877" s="6" t="s">
        <v>3532</v>
      </c>
      <c r="D877" s="6" t="s">
        <v>426</v>
      </c>
      <c r="E877" s="21">
        <v>43906</v>
      </c>
      <c r="F877" s="4" t="s">
        <v>1461</v>
      </c>
      <c r="H877" s="4">
        <v>6729</v>
      </c>
      <c r="I877" s="4">
        <v>4691</v>
      </c>
      <c r="J877" s="4" t="s">
        <v>1233</v>
      </c>
      <c r="K877" s="6" t="s">
        <v>1046</v>
      </c>
      <c r="L877" s="4">
        <v>3</v>
      </c>
      <c r="M877" s="543">
        <v>1466</v>
      </c>
      <c r="N877" s="4" t="s">
        <v>2886</v>
      </c>
      <c r="O877" s="543">
        <v>1466</v>
      </c>
      <c r="P877" s="543">
        <v>1744</v>
      </c>
      <c r="Q877" s="543">
        <v>5232</v>
      </c>
      <c r="R877" s="26">
        <v>43906</v>
      </c>
      <c r="S877" s="4" t="s">
        <v>1501</v>
      </c>
      <c r="T877" s="543">
        <v>70662</v>
      </c>
      <c r="U877" t="s">
        <v>1561</v>
      </c>
      <c r="V877" s="544">
        <v>1026</v>
      </c>
      <c r="W877" s="544">
        <v>440</v>
      </c>
      <c r="X877" s="375">
        <v>0.3</v>
      </c>
    </row>
    <row r="878" spans="1:24" x14ac:dyDescent="0.25">
      <c r="A878" s="4">
        <v>454</v>
      </c>
      <c r="B878" s="4" t="s">
        <v>5496</v>
      </c>
      <c r="C878" s="6" t="s">
        <v>5497</v>
      </c>
      <c r="D878" s="6" t="s">
        <v>5498</v>
      </c>
      <c r="E878" s="21">
        <v>43906</v>
      </c>
      <c r="F878" s="4" t="s">
        <v>1461</v>
      </c>
      <c r="H878" s="4">
        <v>6729</v>
      </c>
      <c r="I878" s="4">
        <v>4691</v>
      </c>
      <c r="J878" s="4" t="s">
        <v>1233</v>
      </c>
      <c r="K878" s="6" t="s">
        <v>1046</v>
      </c>
      <c r="L878" s="4">
        <v>2</v>
      </c>
      <c r="M878" s="543">
        <v>798</v>
      </c>
      <c r="N878" s="4" t="s">
        <v>2886</v>
      </c>
      <c r="O878" s="543">
        <v>798</v>
      </c>
      <c r="P878" s="543">
        <v>950</v>
      </c>
      <c r="Q878" s="543">
        <v>1900</v>
      </c>
      <c r="R878" s="26">
        <v>43906</v>
      </c>
      <c r="S878" s="4" t="s">
        <v>1501</v>
      </c>
      <c r="T878" s="543">
        <v>70662</v>
      </c>
      <c r="U878" t="s">
        <v>1569</v>
      </c>
      <c r="V878" s="544">
        <v>515</v>
      </c>
      <c r="W878" s="544">
        <v>283</v>
      </c>
      <c r="X878" s="375">
        <v>0.35</v>
      </c>
    </row>
    <row r="879" spans="1:24" x14ac:dyDescent="0.25">
      <c r="A879" s="4">
        <v>454</v>
      </c>
      <c r="B879" s="4" t="s">
        <v>466</v>
      </c>
      <c r="C879" s="6" t="s">
        <v>5896</v>
      </c>
      <c r="D879" s="6" t="s">
        <v>782</v>
      </c>
      <c r="E879" s="21">
        <v>43906</v>
      </c>
      <c r="F879" s="4" t="s">
        <v>1461</v>
      </c>
      <c r="H879" s="4">
        <v>6729</v>
      </c>
      <c r="I879" s="4">
        <v>4691</v>
      </c>
      <c r="J879" s="4" t="s">
        <v>1233</v>
      </c>
      <c r="K879" s="6" t="s">
        <v>1046</v>
      </c>
      <c r="L879" s="4">
        <v>3</v>
      </c>
      <c r="M879" s="543">
        <v>1765</v>
      </c>
      <c r="N879" s="4" t="s">
        <v>2886</v>
      </c>
      <c r="O879" s="543">
        <v>1765</v>
      </c>
      <c r="P879" s="543">
        <v>2100</v>
      </c>
      <c r="Q879" s="543">
        <v>6300</v>
      </c>
      <c r="R879" s="26">
        <v>43906</v>
      </c>
      <c r="S879" s="4" t="s">
        <v>1501</v>
      </c>
      <c r="T879" s="543">
        <v>70662</v>
      </c>
      <c r="U879" t="s">
        <v>1561</v>
      </c>
      <c r="V879" s="544">
        <v>1231</v>
      </c>
      <c r="W879" s="544">
        <v>534</v>
      </c>
      <c r="X879" s="375">
        <v>0.3</v>
      </c>
    </row>
    <row r="880" spans="1:24" x14ac:dyDescent="0.25">
      <c r="A880" s="4">
        <v>454</v>
      </c>
      <c r="B880" s="4" t="s">
        <v>4645</v>
      </c>
      <c r="C880" s="6" t="s">
        <v>4646</v>
      </c>
      <c r="D880" s="6" t="s">
        <v>4636</v>
      </c>
      <c r="E880" s="21">
        <v>43906</v>
      </c>
      <c r="F880" s="4" t="s">
        <v>1461</v>
      </c>
      <c r="H880" s="4">
        <v>6729</v>
      </c>
      <c r="I880" s="4">
        <v>4691</v>
      </c>
      <c r="J880" s="4" t="s">
        <v>1233</v>
      </c>
      <c r="K880" s="6" t="s">
        <v>6038</v>
      </c>
      <c r="L880" s="4">
        <v>1</v>
      </c>
      <c r="M880" s="543">
        <v>1043</v>
      </c>
      <c r="N880" s="4" t="s">
        <v>2886</v>
      </c>
      <c r="O880" s="543">
        <v>1043</v>
      </c>
      <c r="P880" s="543">
        <v>1241</v>
      </c>
      <c r="Q880" s="543">
        <v>1241</v>
      </c>
      <c r="R880" s="26">
        <v>43906</v>
      </c>
      <c r="S880" s="4" t="s">
        <v>1501</v>
      </c>
      <c r="T880" s="543">
        <v>70662</v>
      </c>
      <c r="U880" t="s">
        <v>4767</v>
      </c>
      <c r="V880" s="544">
        <v>730</v>
      </c>
      <c r="W880" s="544">
        <v>313</v>
      </c>
      <c r="X880" s="375">
        <v>0.3</v>
      </c>
    </row>
    <row r="881" spans="1:24" x14ac:dyDescent="0.25">
      <c r="A881" s="4">
        <v>454</v>
      </c>
      <c r="B881" s="4" t="s">
        <v>3962</v>
      </c>
      <c r="C881" s="6" t="s">
        <v>3948</v>
      </c>
      <c r="D881" s="6" t="s">
        <v>3950</v>
      </c>
      <c r="E881" s="21">
        <v>43906</v>
      </c>
      <c r="F881" s="4" t="s">
        <v>1461</v>
      </c>
      <c r="H881" s="4">
        <v>6729</v>
      </c>
      <c r="I881" s="4">
        <v>4691</v>
      </c>
      <c r="J881" s="4" t="s">
        <v>1233</v>
      </c>
      <c r="K881" s="6" t="s">
        <v>1046</v>
      </c>
      <c r="L881" s="4">
        <v>1</v>
      </c>
      <c r="M881" s="543">
        <v>8571</v>
      </c>
      <c r="N881" s="4" t="s">
        <v>2886</v>
      </c>
      <c r="O881" s="543">
        <v>8571</v>
      </c>
      <c r="P881" s="543">
        <v>10200</v>
      </c>
      <c r="Q881" s="543">
        <v>10200</v>
      </c>
      <c r="R881" s="26">
        <v>43906</v>
      </c>
      <c r="S881" s="4" t="s">
        <v>1501</v>
      </c>
      <c r="T881" s="543">
        <v>70662</v>
      </c>
      <c r="U881" t="s">
        <v>3934</v>
      </c>
      <c r="V881" s="544">
        <v>6000</v>
      </c>
      <c r="W881" s="544">
        <v>2571</v>
      </c>
      <c r="X881" s="375">
        <v>0.3</v>
      </c>
    </row>
    <row r="882" spans="1:24" x14ac:dyDescent="0.25">
      <c r="A882" s="4">
        <v>455</v>
      </c>
      <c r="B882" s="4" t="s">
        <v>210</v>
      </c>
      <c r="C882" s="6" t="s">
        <v>2831</v>
      </c>
      <c r="D882" s="6" t="s">
        <v>188</v>
      </c>
      <c r="E882" s="21">
        <v>43906</v>
      </c>
      <c r="F882" s="4" t="s">
        <v>1461</v>
      </c>
      <c r="H882" s="4">
        <v>6729</v>
      </c>
      <c r="I882" s="4">
        <v>4692</v>
      </c>
      <c r="J882" s="4" t="s">
        <v>1233</v>
      </c>
      <c r="K882" s="6" t="s">
        <v>1046</v>
      </c>
      <c r="L882" s="4">
        <v>1</v>
      </c>
      <c r="M882" s="543">
        <v>5147</v>
      </c>
      <c r="N882" s="4" t="s">
        <v>2886</v>
      </c>
      <c r="O882" s="543">
        <v>5147</v>
      </c>
      <c r="P882" s="543">
        <v>6125</v>
      </c>
      <c r="Q882" s="543">
        <v>6125</v>
      </c>
      <c r="R882" s="26">
        <v>43906</v>
      </c>
      <c r="S882" s="4" t="s">
        <v>1501</v>
      </c>
      <c r="T882" s="543">
        <v>9604</v>
      </c>
      <c r="U882" t="s">
        <v>2822</v>
      </c>
      <c r="V882" s="544">
        <v>3603</v>
      </c>
      <c r="W882" s="544">
        <v>1544</v>
      </c>
      <c r="X882" s="375">
        <v>0.3</v>
      </c>
    </row>
    <row r="883" spans="1:24" x14ac:dyDescent="0.25">
      <c r="A883" s="4">
        <v>455</v>
      </c>
      <c r="B883" s="4" t="s">
        <v>3334</v>
      </c>
      <c r="C883" s="6" t="s">
        <v>3344</v>
      </c>
      <c r="D883" s="6" t="s">
        <v>3342</v>
      </c>
      <c r="E883" s="21">
        <v>43906</v>
      </c>
      <c r="F883" s="4" t="s">
        <v>1461</v>
      </c>
      <c r="H883" s="4">
        <v>6729</v>
      </c>
      <c r="I883" s="4">
        <v>4692</v>
      </c>
      <c r="J883" s="4" t="s">
        <v>1233</v>
      </c>
      <c r="K883" s="6" t="s">
        <v>1046</v>
      </c>
      <c r="L883" s="4">
        <v>1</v>
      </c>
      <c r="M883" s="543">
        <v>1462</v>
      </c>
      <c r="N883" s="4" t="s">
        <v>2886</v>
      </c>
      <c r="O883" s="543">
        <v>1462</v>
      </c>
      <c r="P883" s="543">
        <v>1740</v>
      </c>
      <c r="Q883" s="543">
        <v>1740</v>
      </c>
      <c r="R883" s="26">
        <v>43906</v>
      </c>
      <c r="S883" s="4" t="s">
        <v>1501</v>
      </c>
      <c r="T883" s="543">
        <v>9604</v>
      </c>
      <c r="U883" t="s">
        <v>1576</v>
      </c>
      <c r="V883" s="544">
        <v>1041</v>
      </c>
      <c r="W883" s="544">
        <v>421</v>
      </c>
      <c r="X883" s="375">
        <v>0.28999999999999998</v>
      </c>
    </row>
    <row r="884" spans="1:24" x14ac:dyDescent="0.25">
      <c r="A884" s="4">
        <v>455</v>
      </c>
      <c r="B884" s="4" t="s">
        <v>3340</v>
      </c>
      <c r="C884" s="6" t="s">
        <v>3346</v>
      </c>
      <c r="D884" s="6" t="s">
        <v>3342</v>
      </c>
      <c r="E884" s="21">
        <v>43906</v>
      </c>
      <c r="F884" s="4" t="s">
        <v>1461</v>
      </c>
      <c r="H884" s="4">
        <v>6729</v>
      </c>
      <c r="I884" s="4">
        <v>4692</v>
      </c>
      <c r="J884" s="4" t="s">
        <v>1233</v>
      </c>
      <c r="K884" s="6" t="s">
        <v>1046</v>
      </c>
      <c r="L884" s="4">
        <v>1</v>
      </c>
      <c r="M884" s="543">
        <v>1462</v>
      </c>
      <c r="N884" s="4" t="s">
        <v>2886</v>
      </c>
      <c r="O884" s="543">
        <v>1462</v>
      </c>
      <c r="P884" s="543">
        <v>1740</v>
      </c>
      <c r="Q884" s="543">
        <v>1740</v>
      </c>
      <c r="R884" s="26">
        <v>43906</v>
      </c>
      <c r="S884" s="4" t="s">
        <v>1501</v>
      </c>
      <c r="T884" s="543">
        <v>9604</v>
      </c>
      <c r="U884" t="s">
        <v>1576</v>
      </c>
      <c r="V884" s="544">
        <v>1041</v>
      </c>
      <c r="W884" s="544">
        <v>421</v>
      </c>
      <c r="X884" s="375">
        <v>0.28999999999999998</v>
      </c>
    </row>
    <row r="885" spans="1:24" x14ac:dyDescent="0.25">
      <c r="A885" s="4">
        <v>456</v>
      </c>
      <c r="B885" s="4" t="s">
        <v>1503</v>
      </c>
      <c r="C885" s="6" t="s">
        <v>1972</v>
      </c>
      <c r="D885" s="6" t="s">
        <v>1638</v>
      </c>
      <c r="E885" s="21">
        <v>43906</v>
      </c>
      <c r="F885" s="4" t="s">
        <v>1461</v>
      </c>
      <c r="H885" s="4">
        <v>6730</v>
      </c>
      <c r="I885" s="4">
        <v>4693</v>
      </c>
      <c r="J885" s="4" t="s">
        <v>5443</v>
      </c>
      <c r="K885" s="6" t="s">
        <v>5909</v>
      </c>
      <c r="L885" s="4">
        <v>5</v>
      </c>
      <c r="M885" s="543">
        <v>3193</v>
      </c>
      <c r="N885" s="4" t="s">
        <v>2886</v>
      </c>
      <c r="O885" s="543">
        <v>3193</v>
      </c>
      <c r="P885" s="543">
        <v>3800</v>
      </c>
      <c r="Q885" s="543">
        <v>19000</v>
      </c>
      <c r="R885" s="26">
        <v>43906</v>
      </c>
      <c r="S885" s="4" t="s">
        <v>1501</v>
      </c>
      <c r="T885" s="543">
        <v>19000</v>
      </c>
      <c r="U885" t="s">
        <v>1545</v>
      </c>
      <c r="V885" s="544">
        <v>2200</v>
      </c>
      <c r="W885" s="544">
        <v>993</v>
      </c>
      <c r="X885" s="375">
        <v>0.31</v>
      </c>
    </row>
    <row r="886" spans="1:24" x14ac:dyDescent="0.25">
      <c r="A886" s="4">
        <v>458</v>
      </c>
      <c r="B886" s="4" t="s">
        <v>830</v>
      </c>
      <c r="C886" s="6" t="s">
        <v>2495</v>
      </c>
      <c r="D886" s="6" t="s">
        <v>837</v>
      </c>
      <c r="E886" s="21">
        <v>43906</v>
      </c>
      <c r="F886" s="4" t="s">
        <v>1461</v>
      </c>
      <c r="H886" s="4">
        <v>6731</v>
      </c>
      <c r="I886" s="4">
        <v>4695</v>
      </c>
      <c r="J886" s="4" t="s">
        <v>5154</v>
      </c>
      <c r="K886" s="6" t="s">
        <v>5155</v>
      </c>
      <c r="L886" s="4">
        <v>2</v>
      </c>
      <c r="M886" s="543">
        <v>13866</v>
      </c>
      <c r="N886" s="4" t="s">
        <v>2886</v>
      </c>
      <c r="O886" s="543">
        <v>13866</v>
      </c>
      <c r="P886" s="543">
        <v>16500</v>
      </c>
      <c r="Q886" s="543">
        <v>33000</v>
      </c>
      <c r="R886" s="26">
        <v>43907</v>
      </c>
      <c r="S886" s="4" t="s">
        <v>1501</v>
      </c>
      <c r="T886" s="543">
        <v>33000</v>
      </c>
      <c r="U886" t="s">
        <v>1572</v>
      </c>
      <c r="V886" s="544">
        <v>10390</v>
      </c>
      <c r="W886" s="544">
        <v>3476</v>
      </c>
      <c r="X886" s="375">
        <v>0.25</v>
      </c>
    </row>
    <row r="887" spans="1:24" x14ac:dyDescent="0.25">
      <c r="A887" s="4">
        <v>459</v>
      </c>
      <c r="B887" s="4" t="s">
        <v>4605</v>
      </c>
      <c r="C887" s="6" t="s">
        <v>5654</v>
      </c>
      <c r="D887" s="6" t="s">
        <v>5655</v>
      </c>
      <c r="E887" s="21">
        <v>43906</v>
      </c>
      <c r="F887" s="4" t="s">
        <v>1461</v>
      </c>
      <c r="H887" s="4">
        <v>6732</v>
      </c>
      <c r="I887" s="4">
        <v>4696</v>
      </c>
      <c r="J887" s="4" t="s">
        <v>3200</v>
      </c>
      <c r="K887" s="6" t="s">
        <v>3201</v>
      </c>
      <c r="L887" s="4">
        <v>1</v>
      </c>
      <c r="M887" s="543">
        <v>23361</v>
      </c>
      <c r="N887" s="4" t="s">
        <v>2886</v>
      </c>
      <c r="O887" s="543">
        <v>23361</v>
      </c>
      <c r="P887" s="543">
        <v>27800</v>
      </c>
      <c r="Q887" s="543">
        <v>27800</v>
      </c>
      <c r="R887" s="26">
        <v>43907</v>
      </c>
      <c r="S887" s="4" t="s">
        <v>1501</v>
      </c>
      <c r="T887" s="543">
        <v>27800</v>
      </c>
      <c r="U887" t="s">
        <v>4602</v>
      </c>
      <c r="V887" s="544">
        <v>18726</v>
      </c>
      <c r="W887" s="544">
        <v>4635</v>
      </c>
      <c r="X887" s="375">
        <v>0.2</v>
      </c>
    </row>
    <row r="888" spans="1:24" x14ac:dyDescent="0.25">
      <c r="A888" s="4">
        <v>460</v>
      </c>
      <c r="B888" s="4" t="s">
        <v>2098</v>
      </c>
      <c r="C888" s="6" t="s">
        <v>2288</v>
      </c>
      <c r="D888" s="6" t="s">
        <v>1469</v>
      </c>
      <c r="E888" s="21">
        <v>43907</v>
      </c>
      <c r="F888" s="4" t="s">
        <v>1461</v>
      </c>
      <c r="H888" s="4">
        <v>6733</v>
      </c>
      <c r="I888" s="4">
        <v>4697</v>
      </c>
      <c r="J888" s="4" t="s">
        <v>1236</v>
      </c>
      <c r="K888" s="6" t="s">
        <v>1920</v>
      </c>
      <c r="L888" s="4">
        <v>1</v>
      </c>
      <c r="M888" s="543">
        <v>19496</v>
      </c>
      <c r="N888" s="4" t="s">
        <v>2886</v>
      </c>
      <c r="O888" s="543">
        <v>19496</v>
      </c>
      <c r="P888" s="543">
        <v>23200</v>
      </c>
      <c r="Q888" s="543">
        <v>23200</v>
      </c>
      <c r="R888" s="26">
        <v>43907</v>
      </c>
      <c r="S888" s="4" t="s">
        <v>1501</v>
      </c>
      <c r="T888" s="543">
        <v>36400</v>
      </c>
      <c r="U888" t="s">
        <v>1570</v>
      </c>
      <c r="V888" s="544">
        <v>14700</v>
      </c>
      <c r="W888" s="544">
        <v>4796</v>
      </c>
      <c r="X888" s="375">
        <v>0.25</v>
      </c>
    </row>
    <row r="889" spans="1:24" x14ac:dyDescent="0.25">
      <c r="A889" s="4">
        <v>460</v>
      </c>
      <c r="B889" s="4" t="s">
        <v>3405</v>
      </c>
      <c r="C889" s="6" t="s">
        <v>3967</v>
      </c>
      <c r="D889" s="6" t="s">
        <v>1469</v>
      </c>
      <c r="E889" s="21">
        <v>43907</v>
      </c>
      <c r="F889" s="4" t="s">
        <v>1461</v>
      </c>
      <c r="H889" s="4">
        <v>6733</v>
      </c>
      <c r="I889" s="4">
        <v>4697</v>
      </c>
      <c r="J889" s="4" t="s">
        <v>1236</v>
      </c>
      <c r="K889" s="6" t="s">
        <v>1920</v>
      </c>
      <c r="L889" s="4">
        <v>2</v>
      </c>
      <c r="M889" s="543">
        <v>4790</v>
      </c>
      <c r="N889" s="4" t="s">
        <v>2886</v>
      </c>
      <c r="O889" s="543">
        <v>4790</v>
      </c>
      <c r="P889" s="543">
        <v>5700</v>
      </c>
      <c r="Q889" s="543">
        <v>11400</v>
      </c>
      <c r="R889" s="26">
        <v>43907</v>
      </c>
      <c r="S889" s="4" t="s">
        <v>1501</v>
      </c>
      <c r="T889" s="543">
        <v>36400</v>
      </c>
      <c r="U889" t="s">
        <v>1570</v>
      </c>
      <c r="V889" s="544">
        <v>3360</v>
      </c>
      <c r="W889" s="544">
        <v>1430</v>
      </c>
      <c r="X889" s="375">
        <v>0.3</v>
      </c>
    </row>
    <row r="890" spans="1:24" x14ac:dyDescent="0.25">
      <c r="A890" s="4">
        <v>460</v>
      </c>
      <c r="B890" s="4" t="s">
        <v>1834</v>
      </c>
      <c r="C890" s="6" t="s">
        <v>1878</v>
      </c>
      <c r="D890" s="6" t="s">
        <v>1879</v>
      </c>
      <c r="E890" s="21">
        <v>43907</v>
      </c>
      <c r="F890" s="4" t="s">
        <v>1461</v>
      </c>
      <c r="H890" s="4">
        <v>6733</v>
      </c>
      <c r="I890" s="4">
        <v>4697</v>
      </c>
      <c r="J890" s="4" t="s">
        <v>1236</v>
      </c>
      <c r="K890" s="6" t="s">
        <v>1920</v>
      </c>
      <c r="L890" s="4">
        <v>4</v>
      </c>
      <c r="M890" s="543">
        <v>378</v>
      </c>
      <c r="N890" s="4" t="s">
        <v>2886</v>
      </c>
      <c r="O890" s="543">
        <v>378</v>
      </c>
      <c r="P890" s="543">
        <v>450</v>
      </c>
      <c r="Q890" s="543">
        <v>1800</v>
      </c>
      <c r="R890" s="26">
        <v>43907</v>
      </c>
      <c r="S890" s="4" t="s">
        <v>1501</v>
      </c>
      <c r="T890" s="543">
        <v>36400</v>
      </c>
      <c r="U890" t="s">
        <v>1879</v>
      </c>
      <c r="V890" s="544">
        <v>265</v>
      </c>
      <c r="W890" s="544">
        <v>113</v>
      </c>
      <c r="X890" s="375">
        <v>0.3</v>
      </c>
    </row>
    <row r="891" spans="1:24" x14ac:dyDescent="0.25">
      <c r="A891" s="4">
        <v>461</v>
      </c>
      <c r="B891" s="4" t="s">
        <v>2250</v>
      </c>
      <c r="C891" s="6" t="s">
        <v>5846</v>
      </c>
      <c r="D891" s="6" t="s">
        <v>1638</v>
      </c>
      <c r="E891" s="21">
        <v>43907</v>
      </c>
      <c r="F891" s="4" t="s">
        <v>925</v>
      </c>
      <c r="H891" s="4" t="s">
        <v>2528</v>
      </c>
      <c r="I891" s="4">
        <v>4698</v>
      </c>
      <c r="J891" s="4" t="s">
        <v>1176</v>
      </c>
      <c r="K891" s="6" t="s">
        <v>949</v>
      </c>
      <c r="L891" s="4">
        <v>20</v>
      </c>
      <c r="M891" s="543">
        <v>3062</v>
      </c>
      <c r="N891" s="374">
        <v>0.05</v>
      </c>
      <c r="O891" s="543">
        <v>2916</v>
      </c>
      <c r="P891" s="543">
        <v>3461</v>
      </c>
      <c r="Q891" s="543">
        <v>69220</v>
      </c>
      <c r="R891" s="26">
        <v>43907</v>
      </c>
      <c r="S891" s="4" t="s">
        <v>1501</v>
      </c>
      <c r="T891" s="543">
        <v>69224</v>
      </c>
      <c r="U891" t="s">
        <v>1545</v>
      </c>
      <c r="V891" s="544">
        <v>2100</v>
      </c>
      <c r="W891" s="544">
        <v>816</v>
      </c>
      <c r="X891" s="375">
        <v>0.28000000000000003</v>
      </c>
    </row>
    <row r="892" spans="1:24" x14ac:dyDescent="0.25">
      <c r="A892" s="4">
        <v>462</v>
      </c>
      <c r="B892" s="4" t="s">
        <v>830</v>
      </c>
      <c r="C892" s="6" t="s">
        <v>2495</v>
      </c>
      <c r="D892" s="6" t="s">
        <v>837</v>
      </c>
      <c r="E892" s="21">
        <v>43907</v>
      </c>
      <c r="F892" s="4" t="s">
        <v>1461</v>
      </c>
      <c r="H892" s="4">
        <v>6734</v>
      </c>
      <c r="I892" s="4">
        <v>4699</v>
      </c>
      <c r="J892" s="4" t="s">
        <v>1234</v>
      </c>
      <c r="K892" s="6" t="s">
        <v>970</v>
      </c>
      <c r="L892" s="4">
        <v>1</v>
      </c>
      <c r="M892" s="543">
        <v>13866</v>
      </c>
      <c r="N892" s="4" t="s">
        <v>2886</v>
      </c>
      <c r="O892" s="543">
        <v>13866</v>
      </c>
      <c r="P892" s="543">
        <v>16500</v>
      </c>
      <c r="Q892" s="543">
        <v>16500</v>
      </c>
      <c r="R892" s="26">
        <v>43907</v>
      </c>
      <c r="S892" s="4" t="s">
        <v>1501</v>
      </c>
      <c r="T892" s="543">
        <v>16500</v>
      </c>
      <c r="U892" t="s">
        <v>1572</v>
      </c>
      <c r="V892" s="544">
        <v>10390</v>
      </c>
      <c r="W892" s="544">
        <v>3476</v>
      </c>
      <c r="X892" s="375">
        <v>0.25</v>
      </c>
    </row>
    <row r="893" spans="1:24" x14ac:dyDescent="0.25">
      <c r="A893" s="4">
        <v>463</v>
      </c>
      <c r="B893" s="4" t="s">
        <v>838</v>
      </c>
      <c r="C893" s="6" t="s">
        <v>2062</v>
      </c>
      <c r="D893" s="6" t="s">
        <v>840</v>
      </c>
      <c r="E893" s="21">
        <v>43907</v>
      </c>
      <c r="F893" s="4" t="s">
        <v>1461</v>
      </c>
      <c r="H893" s="4">
        <v>6735</v>
      </c>
      <c r="I893" s="4">
        <v>4700</v>
      </c>
      <c r="J893" s="4" t="s">
        <v>3683</v>
      </c>
      <c r="K893" s="6" t="s">
        <v>3684</v>
      </c>
      <c r="L893" s="4">
        <v>1</v>
      </c>
      <c r="M893" s="543">
        <v>16555</v>
      </c>
      <c r="N893" s="4" t="s">
        <v>2886</v>
      </c>
      <c r="O893" s="543">
        <v>16555</v>
      </c>
      <c r="P893" s="543">
        <v>19700</v>
      </c>
      <c r="Q893" s="543">
        <v>19700</v>
      </c>
      <c r="R893" s="26">
        <v>43909</v>
      </c>
      <c r="S893" s="4" t="s">
        <v>1501</v>
      </c>
      <c r="T893" s="543">
        <v>19700</v>
      </c>
      <c r="U893" t="s">
        <v>1572</v>
      </c>
      <c r="V893" s="544">
        <v>12429</v>
      </c>
      <c r="W893" s="544">
        <v>4126</v>
      </c>
      <c r="X893" s="375">
        <v>0.25</v>
      </c>
    </row>
    <row r="894" spans="1:24" x14ac:dyDescent="0.25">
      <c r="A894" s="4">
        <v>464</v>
      </c>
      <c r="B894" s="4" t="s">
        <v>855</v>
      </c>
      <c r="C894" s="6" t="s">
        <v>2499</v>
      </c>
      <c r="D894" s="6" t="s">
        <v>857</v>
      </c>
      <c r="E894" s="21">
        <v>43907</v>
      </c>
      <c r="F894" s="4" t="s">
        <v>1461</v>
      </c>
      <c r="H894" s="4">
        <v>6736</v>
      </c>
      <c r="I894" s="4">
        <v>4701</v>
      </c>
      <c r="J894" s="4" t="s">
        <v>4947</v>
      </c>
      <c r="K894" s="6" t="s">
        <v>4948</v>
      </c>
      <c r="L894" s="4">
        <v>2</v>
      </c>
      <c r="M894" s="543">
        <v>13277</v>
      </c>
      <c r="N894" s="4" t="s">
        <v>2886</v>
      </c>
      <c r="O894" s="543">
        <v>13277</v>
      </c>
      <c r="P894" s="543">
        <v>15800</v>
      </c>
      <c r="Q894" s="543">
        <v>31600</v>
      </c>
      <c r="R894" s="26">
        <v>43907</v>
      </c>
      <c r="S894" s="4" t="s">
        <v>1501</v>
      </c>
      <c r="T894" s="543">
        <v>31600</v>
      </c>
      <c r="U894" t="s">
        <v>1551</v>
      </c>
      <c r="V894" s="544">
        <v>9975</v>
      </c>
      <c r="W894" s="544">
        <v>3302</v>
      </c>
      <c r="X894" s="375">
        <v>0.25</v>
      </c>
    </row>
    <row r="895" spans="1:24" x14ac:dyDescent="0.25">
      <c r="A895" s="4">
        <v>466</v>
      </c>
      <c r="B895" s="4" t="s">
        <v>1503</v>
      </c>
      <c r="C895" s="6" t="s">
        <v>1972</v>
      </c>
      <c r="D895" s="6" t="s">
        <v>1638</v>
      </c>
      <c r="E895" s="21">
        <v>43907</v>
      </c>
      <c r="F895" s="4" t="s">
        <v>1461</v>
      </c>
      <c r="H895" s="4">
        <v>6738</v>
      </c>
      <c r="I895" s="4">
        <v>4703</v>
      </c>
      <c r="J895" s="4" t="s">
        <v>1335</v>
      </c>
      <c r="K895" s="6" t="s">
        <v>4277</v>
      </c>
      <c r="L895" s="4">
        <v>5</v>
      </c>
      <c r="M895" s="543">
        <v>3193</v>
      </c>
      <c r="N895" s="4" t="s">
        <v>2886</v>
      </c>
      <c r="O895" s="543">
        <v>3193</v>
      </c>
      <c r="P895" s="543">
        <v>3800</v>
      </c>
      <c r="Q895" s="543">
        <v>19000</v>
      </c>
      <c r="R895" s="26">
        <v>43907</v>
      </c>
      <c r="S895" s="4" t="s">
        <v>1501</v>
      </c>
      <c r="T895" s="543">
        <v>19000</v>
      </c>
      <c r="U895" t="s">
        <v>1545</v>
      </c>
      <c r="V895" s="544">
        <v>2200</v>
      </c>
      <c r="W895" s="544">
        <v>993</v>
      </c>
      <c r="X895" s="375">
        <v>0.31</v>
      </c>
    </row>
    <row r="896" spans="1:24" x14ac:dyDescent="0.25">
      <c r="A896" s="4">
        <v>467</v>
      </c>
      <c r="B896" s="4" t="s">
        <v>30</v>
      </c>
      <c r="C896" s="6" t="s">
        <v>5839</v>
      </c>
      <c r="D896" s="6" t="s">
        <v>33</v>
      </c>
      <c r="E896" s="21">
        <v>43907</v>
      </c>
      <c r="F896" s="4" t="s">
        <v>1461</v>
      </c>
      <c r="H896" s="4">
        <v>6739</v>
      </c>
      <c r="I896" s="4">
        <v>4704</v>
      </c>
      <c r="J896" s="4" t="s">
        <v>2733</v>
      </c>
      <c r="K896" s="6" t="s">
        <v>2734</v>
      </c>
      <c r="L896" s="4">
        <v>24</v>
      </c>
      <c r="M896" s="543">
        <v>756</v>
      </c>
      <c r="N896" s="4" t="s">
        <v>2886</v>
      </c>
      <c r="O896" s="543">
        <v>756</v>
      </c>
      <c r="P896" s="543">
        <v>900</v>
      </c>
      <c r="Q896" s="543">
        <v>21600</v>
      </c>
      <c r="R896" s="26">
        <v>43907</v>
      </c>
      <c r="S896" s="4" t="s">
        <v>1501</v>
      </c>
      <c r="T896" s="543">
        <v>21600</v>
      </c>
      <c r="U896" t="s">
        <v>1563</v>
      </c>
      <c r="V896" s="544">
        <v>535</v>
      </c>
      <c r="W896" s="544">
        <v>221</v>
      </c>
      <c r="X896" s="375">
        <v>0.28999999999999998</v>
      </c>
    </row>
    <row r="897" spans="1:24" x14ac:dyDescent="0.25">
      <c r="A897" s="4">
        <v>468</v>
      </c>
      <c r="B897" s="4" t="s">
        <v>2250</v>
      </c>
      <c r="C897" s="6" t="s">
        <v>5846</v>
      </c>
      <c r="D897" s="6" t="s">
        <v>1638</v>
      </c>
      <c r="E897" s="21">
        <v>43907</v>
      </c>
      <c r="F897" s="4" t="s">
        <v>1461</v>
      </c>
      <c r="H897" s="4">
        <v>6740</v>
      </c>
      <c r="I897" s="4">
        <v>4705</v>
      </c>
      <c r="J897" s="4" t="s">
        <v>1242</v>
      </c>
      <c r="K897" s="6" t="s">
        <v>958</v>
      </c>
      <c r="L897" s="4">
        <v>3</v>
      </c>
      <c r="M897" s="543">
        <v>3193</v>
      </c>
      <c r="N897" s="4" t="s">
        <v>2886</v>
      </c>
      <c r="O897" s="543">
        <v>3193</v>
      </c>
      <c r="P897" s="543">
        <v>3800</v>
      </c>
      <c r="Q897" s="543">
        <v>11400</v>
      </c>
      <c r="R897" s="26">
        <v>43907</v>
      </c>
      <c r="S897" s="4" t="s">
        <v>1501</v>
      </c>
      <c r="T897" s="543">
        <v>34400</v>
      </c>
      <c r="U897" t="s">
        <v>1545</v>
      </c>
      <c r="V897" s="544">
        <v>2100</v>
      </c>
      <c r="W897" s="544">
        <v>1093</v>
      </c>
      <c r="X897" s="375">
        <v>0.34</v>
      </c>
    </row>
    <row r="898" spans="1:24" x14ac:dyDescent="0.25">
      <c r="A898" s="4">
        <v>468</v>
      </c>
      <c r="B898" s="4" t="s">
        <v>1515</v>
      </c>
      <c r="C898" s="6" t="s">
        <v>5844</v>
      </c>
      <c r="D898" s="6" t="s">
        <v>1638</v>
      </c>
      <c r="E898" s="21">
        <v>43907</v>
      </c>
      <c r="F898" s="4" t="s">
        <v>1461</v>
      </c>
      <c r="H898" s="4">
        <v>6740</v>
      </c>
      <c r="I898" s="4">
        <v>4705</v>
      </c>
      <c r="J898" s="4" t="s">
        <v>1242</v>
      </c>
      <c r="K898" s="6" t="s">
        <v>958</v>
      </c>
      <c r="L898" s="4">
        <v>2</v>
      </c>
      <c r="M898" s="543">
        <v>4874</v>
      </c>
      <c r="N898" s="4" t="s">
        <v>2886</v>
      </c>
      <c r="O898" s="543">
        <v>4874</v>
      </c>
      <c r="P898" s="543">
        <v>5800</v>
      </c>
      <c r="Q898" s="543">
        <v>11600</v>
      </c>
      <c r="R898" s="26">
        <v>43907</v>
      </c>
      <c r="S898" s="4" t="s">
        <v>1501</v>
      </c>
      <c r="T898" s="543">
        <v>34400</v>
      </c>
      <c r="U898" t="s">
        <v>1545</v>
      </c>
      <c r="V898" s="544">
        <v>2400</v>
      </c>
      <c r="W898" s="544">
        <v>2474</v>
      </c>
      <c r="X898" s="375">
        <v>0.51</v>
      </c>
    </row>
    <row r="899" spans="1:24" x14ac:dyDescent="0.25">
      <c r="A899" s="4">
        <v>468</v>
      </c>
      <c r="B899" s="4" t="s">
        <v>1503</v>
      </c>
      <c r="C899" s="6" t="s">
        <v>1972</v>
      </c>
      <c r="D899" s="6" t="s">
        <v>1638</v>
      </c>
      <c r="E899" s="21">
        <v>43907</v>
      </c>
      <c r="F899" s="4" t="s">
        <v>1461</v>
      </c>
      <c r="H899" s="4">
        <v>6740</v>
      </c>
      <c r="I899" s="4">
        <v>4705</v>
      </c>
      <c r="J899" s="4" t="s">
        <v>1242</v>
      </c>
      <c r="K899" s="6" t="s">
        <v>958</v>
      </c>
      <c r="L899" s="4">
        <v>3</v>
      </c>
      <c r="M899" s="543">
        <v>3193</v>
      </c>
      <c r="N899" s="4" t="s">
        <v>2886</v>
      </c>
      <c r="O899" s="543">
        <v>3193</v>
      </c>
      <c r="P899" s="543">
        <v>3800</v>
      </c>
      <c r="Q899" s="543">
        <v>11400</v>
      </c>
      <c r="R899" s="26">
        <v>43907</v>
      </c>
      <c r="S899" s="4" t="s">
        <v>1501</v>
      </c>
      <c r="T899" s="543">
        <v>34400</v>
      </c>
      <c r="U899" t="s">
        <v>1545</v>
      </c>
      <c r="V899" s="544">
        <v>2200</v>
      </c>
      <c r="W899" s="544">
        <v>993</v>
      </c>
      <c r="X899" s="375">
        <v>0.31</v>
      </c>
    </row>
    <row r="900" spans="1:24" x14ac:dyDescent="0.25">
      <c r="A900" s="4">
        <v>469</v>
      </c>
      <c r="B900" s="4" t="s">
        <v>5960</v>
      </c>
      <c r="C900" s="6" t="s">
        <v>5961</v>
      </c>
      <c r="D900" s="6" t="s">
        <v>5962</v>
      </c>
      <c r="E900" s="21">
        <v>43907</v>
      </c>
      <c r="F900" s="4" t="s">
        <v>1461</v>
      </c>
      <c r="H900" s="4">
        <v>6741</v>
      </c>
      <c r="I900" s="4">
        <v>4706</v>
      </c>
      <c r="J900" s="4" t="s">
        <v>4853</v>
      </c>
      <c r="K900" s="6" t="s">
        <v>4854</v>
      </c>
      <c r="L900" s="4">
        <v>1</v>
      </c>
      <c r="M900" s="543">
        <v>22689</v>
      </c>
      <c r="N900" s="4" t="s">
        <v>2886</v>
      </c>
      <c r="O900" s="543">
        <v>22689</v>
      </c>
      <c r="P900" s="543">
        <v>27000</v>
      </c>
      <c r="Q900" s="543">
        <v>27000</v>
      </c>
      <c r="R900" s="26">
        <v>43907</v>
      </c>
      <c r="S900" s="4" t="s">
        <v>1501</v>
      </c>
      <c r="T900" s="543">
        <v>27000</v>
      </c>
      <c r="U900" t="s">
        <v>5955</v>
      </c>
      <c r="V900" s="544">
        <v>18972</v>
      </c>
      <c r="W900" s="544">
        <v>3717</v>
      </c>
      <c r="X900" s="375">
        <v>0.16</v>
      </c>
    </row>
    <row r="901" spans="1:24" x14ac:dyDescent="0.25">
      <c r="A901" s="4">
        <v>470</v>
      </c>
      <c r="B901" s="4" t="s">
        <v>5960</v>
      </c>
      <c r="C901" s="6" t="s">
        <v>5961</v>
      </c>
      <c r="D901" s="6" t="s">
        <v>5962</v>
      </c>
      <c r="E901" s="21">
        <v>43907</v>
      </c>
      <c r="F901" s="4" t="s">
        <v>1461</v>
      </c>
      <c r="H901" s="4">
        <v>6742</v>
      </c>
      <c r="I901" s="4">
        <v>4707</v>
      </c>
      <c r="J901" s="4" t="s">
        <v>4863</v>
      </c>
      <c r="K901" s="6" t="s">
        <v>4864</v>
      </c>
      <c r="L901" s="4">
        <v>1</v>
      </c>
      <c r="M901" s="543">
        <v>22689</v>
      </c>
      <c r="N901" s="4" t="s">
        <v>2886</v>
      </c>
      <c r="O901" s="543">
        <v>22689</v>
      </c>
      <c r="P901" s="543">
        <v>27000</v>
      </c>
      <c r="Q901" s="543">
        <v>27000</v>
      </c>
      <c r="R901" s="26">
        <v>43907</v>
      </c>
      <c r="S901" s="4" t="s">
        <v>1501</v>
      </c>
      <c r="T901" s="543">
        <v>27000</v>
      </c>
      <c r="U901" t="s">
        <v>5955</v>
      </c>
      <c r="V901" s="544">
        <v>18972</v>
      </c>
      <c r="W901" s="544">
        <v>3717</v>
      </c>
      <c r="X901" s="375">
        <v>0.16</v>
      </c>
    </row>
    <row r="902" spans="1:24" x14ac:dyDescent="0.25">
      <c r="A902" s="4">
        <v>471</v>
      </c>
      <c r="B902" s="4" t="s">
        <v>843</v>
      </c>
      <c r="C902" s="6" t="s">
        <v>2058</v>
      </c>
      <c r="D902" s="6" t="s">
        <v>840</v>
      </c>
      <c r="E902" s="21">
        <v>43907</v>
      </c>
      <c r="F902" s="4" t="s">
        <v>1461</v>
      </c>
      <c r="H902" s="4">
        <v>6743</v>
      </c>
      <c r="I902" s="4">
        <v>4708</v>
      </c>
      <c r="J902" s="4" t="s">
        <v>5402</v>
      </c>
      <c r="K902" s="6" t="s">
        <v>5403</v>
      </c>
      <c r="L902" s="4">
        <v>3</v>
      </c>
      <c r="M902" s="543">
        <v>16723</v>
      </c>
      <c r="N902" s="4" t="s">
        <v>2886</v>
      </c>
      <c r="O902" s="543">
        <v>16723</v>
      </c>
      <c r="P902" s="543">
        <v>19900</v>
      </c>
      <c r="Q902" s="543">
        <v>59700</v>
      </c>
      <c r="R902" s="26">
        <v>43909</v>
      </c>
      <c r="S902" s="4" t="s">
        <v>1501</v>
      </c>
      <c r="T902" s="543">
        <v>59700</v>
      </c>
      <c r="U902" t="s">
        <v>1572</v>
      </c>
      <c r="V902" s="544">
        <v>11888</v>
      </c>
      <c r="W902" s="544">
        <v>4835</v>
      </c>
      <c r="X902" s="375">
        <v>0.28999999999999998</v>
      </c>
    </row>
    <row r="903" spans="1:24" x14ac:dyDescent="0.25">
      <c r="A903" s="4">
        <v>472</v>
      </c>
      <c r="B903" s="4" t="s">
        <v>1662</v>
      </c>
      <c r="C903" s="6" t="s">
        <v>1660</v>
      </c>
      <c r="D903" s="6" t="s">
        <v>1469</v>
      </c>
      <c r="E903" s="21">
        <v>43908</v>
      </c>
      <c r="F903" s="4" t="s">
        <v>925</v>
      </c>
      <c r="H903" s="4">
        <v>1039993</v>
      </c>
      <c r="I903" s="4">
        <v>4709</v>
      </c>
      <c r="J903" s="4" t="s">
        <v>1175</v>
      </c>
      <c r="K903" s="6" t="s">
        <v>1144</v>
      </c>
      <c r="L903" s="4">
        <v>12</v>
      </c>
      <c r="M903" s="543">
        <v>1787</v>
      </c>
      <c r="N903" s="374">
        <v>0.08</v>
      </c>
      <c r="O903" s="543">
        <v>1653</v>
      </c>
      <c r="P903" s="543">
        <v>1954</v>
      </c>
      <c r="Q903" s="543">
        <v>23448</v>
      </c>
      <c r="R903" s="26">
        <v>43908</v>
      </c>
      <c r="S903" s="4" t="s">
        <v>2050</v>
      </c>
      <c r="T903" s="543">
        <v>379214</v>
      </c>
      <c r="U903" t="s">
        <v>1570</v>
      </c>
      <c r="V903" s="544">
        <v>1290</v>
      </c>
      <c r="W903" s="544">
        <v>363</v>
      </c>
      <c r="X903" s="375">
        <v>0.22</v>
      </c>
    </row>
    <row r="904" spans="1:24" x14ac:dyDescent="0.25">
      <c r="A904" s="4">
        <v>474</v>
      </c>
      <c r="B904" s="4" t="s">
        <v>3455</v>
      </c>
      <c r="C904" s="6" t="s">
        <v>3576</v>
      </c>
      <c r="D904" s="6" t="s">
        <v>3578</v>
      </c>
      <c r="E904" s="21">
        <v>43908</v>
      </c>
      <c r="F904" s="4" t="s">
        <v>925</v>
      </c>
      <c r="H904" s="4">
        <v>1039994</v>
      </c>
      <c r="I904" s="4">
        <v>4711</v>
      </c>
      <c r="J904" s="4" t="s">
        <v>1175</v>
      </c>
      <c r="K904" s="6" t="s">
        <v>1144</v>
      </c>
      <c r="L904" s="4">
        <v>6</v>
      </c>
      <c r="M904" s="543">
        <v>5030</v>
      </c>
      <c r="N904" s="587" t="s">
        <v>2886</v>
      </c>
      <c r="O904" s="543">
        <v>5030</v>
      </c>
      <c r="P904" s="543">
        <v>5986</v>
      </c>
      <c r="Q904" s="543">
        <v>35916</v>
      </c>
      <c r="R904" s="26">
        <v>43908</v>
      </c>
      <c r="S904" s="4" t="s">
        <v>2050</v>
      </c>
      <c r="T904" s="543">
        <v>42101</v>
      </c>
      <c r="U904" t="s">
        <v>3577</v>
      </c>
      <c r="V904" s="544">
        <v>3584</v>
      </c>
      <c r="W904" s="544">
        <v>1446</v>
      </c>
      <c r="X904" s="375">
        <v>0.28999999999999998</v>
      </c>
    </row>
    <row r="905" spans="1:24" x14ac:dyDescent="0.25">
      <c r="A905" s="4">
        <v>472</v>
      </c>
      <c r="B905" s="4" t="s">
        <v>5117</v>
      </c>
      <c r="C905" s="6" t="s">
        <v>5118</v>
      </c>
      <c r="D905" s="6" t="s">
        <v>5116</v>
      </c>
      <c r="E905" s="21">
        <v>43908</v>
      </c>
      <c r="F905" s="4" t="s">
        <v>925</v>
      </c>
      <c r="H905" s="4">
        <v>1039993</v>
      </c>
      <c r="I905" s="4">
        <v>4709</v>
      </c>
      <c r="J905" s="4" t="s">
        <v>1175</v>
      </c>
      <c r="K905" s="6" t="s">
        <v>1144</v>
      </c>
      <c r="L905" s="4">
        <v>20</v>
      </c>
      <c r="M905" s="543">
        <v>3061</v>
      </c>
      <c r="N905" s="374">
        <v>0.05</v>
      </c>
      <c r="O905" s="543">
        <v>2915</v>
      </c>
      <c r="P905" s="543">
        <v>3460</v>
      </c>
      <c r="Q905" s="543">
        <v>69200</v>
      </c>
      <c r="R905" s="26">
        <v>43908</v>
      </c>
      <c r="S905" s="4" t="s">
        <v>2050</v>
      </c>
      <c r="T905" s="543">
        <v>379214</v>
      </c>
      <c r="U905" t="s">
        <v>1576</v>
      </c>
      <c r="V905" s="544">
        <v>2210</v>
      </c>
      <c r="W905" s="544">
        <v>705</v>
      </c>
      <c r="X905" s="375">
        <v>0.24</v>
      </c>
    </row>
    <row r="906" spans="1:24" x14ac:dyDescent="0.25">
      <c r="A906" s="4">
        <v>472</v>
      </c>
      <c r="B906" s="4" t="s">
        <v>232</v>
      </c>
      <c r="C906" s="6" t="s">
        <v>2246</v>
      </c>
      <c r="D906" s="6" t="s">
        <v>1690</v>
      </c>
      <c r="E906" s="21">
        <v>43908</v>
      </c>
      <c r="F906" s="4" t="s">
        <v>925</v>
      </c>
      <c r="H906" s="4">
        <v>1039993</v>
      </c>
      <c r="I906" s="4">
        <v>4709</v>
      </c>
      <c r="J906" s="4" t="s">
        <v>1175</v>
      </c>
      <c r="K906" s="6" t="s">
        <v>1144</v>
      </c>
      <c r="L906" s="4">
        <v>12</v>
      </c>
      <c r="M906" s="543">
        <v>1130</v>
      </c>
      <c r="N906" s="374">
        <v>0.03</v>
      </c>
      <c r="O906" s="543">
        <v>1101</v>
      </c>
      <c r="P906" s="543">
        <v>1309</v>
      </c>
      <c r="Q906" s="543">
        <v>15708</v>
      </c>
      <c r="R906" s="26">
        <v>43908</v>
      </c>
      <c r="S906" s="4" t="s">
        <v>2050</v>
      </c>
      <c r="T906" s="543">
        <v>379214</v>
      </c>
      <c r="U906" t="s">
        <v>1626</v>
      </c>
      <c r="V906" s="544">
        <v>816</v>
      </c>
      <c r="W906" s="544">
        <v>285</v>
      </c>
      <c r="X906" s="375">
        <v>0.26</v>
      </c>
    </row>
    <row r="907" spans="1:24" x14ac:dyDescent="0.25">
      <c r="A907" s="4">
        <v>472</v>
      </c>
      <c r="B907" s="4" t="s">
        <v>228</v>
      </c>
      <c r="C907" s="6" t="s">
        <v>4523</v>
      </c>
      <c r="D907" s="6" t="s">
        <v>1690</v>
      </c>
      <c r="E907" s="21">
        <v>43908</v>
      </c>
      <c r="F907" s="4" t="s">
        <v>925</v>
      </c>
      <c r="H907" s="4">
        <v>1039993</v>
      </c>
      <c r="I907" s="4">
        <v>4709</v>
      </c>
      <c r="J907" s="4" t="s">
        <v>1175</v>
      </c>
      <c r="K907" s="6" t="s">
        <v>1144</v>
      </c>
      <c r="L907" s="4">
        <v>12</v>
      </c>
      <c r="M907" s="543">
        <v>1130</v>
      </c>
      <c r="N907" s="374">
        <v>0.03</v>
      </c>
      <c r="O907" s="543">
        <v>1101</v>
      </c>
      <c r="P907" s="543">
        <v>1309</v>
      </c>
      <c r="Q907" s="543">
        <v>15708</v>
      </c>
      <c r="R907" s="26">
        <v>43908</v>
      </c>
      <c r="S907" s="4" t="s">
        <v>2050</v>
      </c>
      <c r="T907" s="543">
        <v>379214</v>
      </c>
      <c r="U907" t="s">
        <v>1626</v>
      </c>
      <c r="V907" s="544">
        <v>816</v>
      </c>
      <c r="W907" s="544">
        <v>285</v>
      </c>
      <c r="X907" s="375">
        <v>0.26</v>
      </c>
    </row>
    <row r="908" spans="1:24" x14ac:dyDescent="0.25">
      <c r="A908" s="4">
        <v>472</v>
      </c>
      <c r="B908" s="4" t="s">
        <v>1806</v>
      </c>
      <c r="C908" s="6" t="s">
        <v>6001</v>
      </c>
      <c r="D908" s="6" t="s">
        <v>1690</v>
      </c>
      <c r="E908" s="21">
        <v>43908</v>
      </c>
      <c r="F908" s="4" t="s">
        <v>925</v>
      </c>
      <c r="H908" s="4">
        <v>1039993</v>
      </c>
      <c r="I908" s="4">
        <v>4709</v>
      </c>
      <c r="J908" s="4" t="s">
        <v>1175</v>
      </c>
      <c r="K908" s="6" t="s">
        <v>1144</v>
      </c>
      <c r="L908" s="4">
        <v>12</v>
      </c>
      <c r="M908" s="543">
        <v>1130</v>
      </c>
      <c r="N908" s="374">
        <v>0.03</v>
      </c>
      <c r="O908" s="543">
        <v>1101</v>
      </c>
      <c r="P908" s="543">
        <v>1309</v>
      </c>
      <c r="Q908" s="543">
        <v>15708</v>
      </c>
      <c r="R908" s="26">
        <v>43908</v>
      </c>
      <c r="S908" s="4" t="s">
        <v>2050</v>
      </c>
      <c r="T908" s="543">
        <v>379214</v>
      </c>
      <c r="U908" t="s">
        <v>1626</v>
      </c>
      <c r="V908" s="544">
        <v>816</v>
      </c>
      <c r="W908" s="544">
        <v>285</v>
      </c>
      <c r="X908" s="375">
        <v>0.26</v>
      </c>
    </row>
    <row r="909" spans="1:24" x14ac:dyDescent="0.25">
      <c r="A909" s="4">
        <v>472</v>
      </c>
      <c r="B909" s="4" t="s">
        <v>1471</v>
      </c>
      <c r="C909" s="6" t="s">
        <v>1655</v>
      </c>
      <c r="D909" s="6" t="s">
        <v>1469</v>
      </c>
      <c r="E909" s="21">
        <v>43908</v>
      </c>
      <c r="F909" s="4" t="s">
        <v>925</v>
      </c>
      <c r="H909" s="4">
        <v>1039993</v>
      </c>
      <c r="I909" s="4">
        <v>4709</v>
      </c>
      <c r="J909" s="4" t="s">
        <v>1175</v>
      </c>
      <c r="K909" s="6" t="s">
        <v>1144</v>
      </c>
      <c r="L909" s="4">
        <v>40</v>
      </c>
      <c r="M909" s="543">
        <v>880</v>
      </c>
      <c r="N909" s="374">
        <v>0.08</v>
      </c>
      <c r="O909" s="543">
        <v>813</v>
      </c>
      <c r="P909" s="543">
        <v>960</v>
      </c>
      <c r="Q909" s="543">
        <v>38400</v>
      </c>
      <c r="R909" s="26">
        <v>43908</v>
      </c>
      <c r="S909" s="4" t="s">
        <v>2050</v>
      </c>
      <c r="T909" s="543">
        <v>379214</v>
      </c>
      <c r="U909" t="s">
        <v>1570</v>
      </c>
      <c r="V909" s="544">
        <v>635</v>
      </c>
      <c r="W909" s="544">
        <v>178</v>
      </c>
      <c r="X909" s="375">
        <v>0.22</v>
      </c>
    </row>
    <row r="910" spans="1:24" x14ac:dyDescent="0.25">
      <c r="A910" s="4">
        <v>472</v>
      </c>
      <c r="B910" s="4" t="s">
        <v>1472</v>
      </c>
      <c r="C910" s="6" t="s">
        <v>1656</v>
      </c>
      <c r="D910" s="6" t="s">
        <v>1469</v>
      </c>
      <c r="E910" s="21">
        <v>43908</v>
      </c>
      <c r="F910" s="4" t="s">
        <v>925</v>
      </c>
      <c r="H910" s="4">
        <v>1039993</v>
      </c>
      <c r="I910" s="4">
        <v>4709</v>
      </c>
      <c r="J910" s="4" t="s">
        <v>1175</v>
      </c>
      <c r="K910" s="6" t="s">
        <v>1144</v>
      </c>
      <c r="L910" s="4">
        <v>32</v>
      </c>
      <c r="M910" s="543">
        <v>1676</v>
      </c>
      <c r="N910" s="374">
        <v>0.08</v>
      </c>
      <c r="O910" s="543">
        <v>1553</v>
      </c>
      <c r="P910" s="543">
        <v>1837</v>
      </c>
      <c r="Q910" s="543">
        <v>58784</v>
      </c>
      <c r="R910" s="26">
        <v>43908</v>
      </c>
      <c r="S910" s="4" t="s">
        <v>2050</v>
      </c>
      <c r="T910" s="543">
        <v>379214</v>
      </c>
      <c r="U910" t="s">
        <v>1570</v>
      </c>
      <c r="V910" s="544">
        <v>1210</v>
      </c>
      <c r="W910" s="544">
        <v>343</v>
      </c>
      <c r="X910" s="375">
        <v>0.22</v>
      </c>
    </row>
    <row r="911" spans="1:24" x14ac:dyDescent="0.25">
      <c r="A911" s="4">
        <v>472</v>
      </c>
      <c r="B911" s="4" t="s">
        <v>4667</v>
      </c>
      <c r="C911" s="6" t="s">
        <v>5541</v>
      </c>
      <c r="D911" s="6" t="s">
        <v>4668</v>
      </c>
      <c r="E911" s="21">
        <v>43908</v>
      </c>
      <c r="F911" s="4" t="s">
        <v>925</v>
      </c>
      <c r="H911" s="4">
        <v>1039993</v>
      </c>
      <c r="I911" s="4">
        <v>4709</v>
      </c>
      <c r="J911" s="4" t="s">
        <v>1175</v>
      </c>
      <c r="K911" s="6" t="s">
        <v>1144</v>
      </c>
      <c r="L911" s="4">
        <v>48</v>
      </c>
      <c r="M911" s="543">
        <v>1248</v>
      </c>
      <c r="N911" s="374">
        <v>0.05</v>
      </c>
      <c r="O911" s="543">
        <v>1189</v>
      </c>
      <c r="P911" s="543">
        <v>1411</v>
      </c>
      <c r="Q911" s="543">
        <v>67728</v>
      </c>
      <c r="R911" s="26">
        <v>43908</v>
      </c>
      <c r="S911" s="4" t="s">
        <v>2050</v>
      </c>
      <c r="T911" s="543">
        <v>379214</v>
      </c>
      <c r="U911" t="s">
        <v>4767</v>
      </c>
      <c r="V911" s="544">
        <v>901</v>
      </c>
      <c r="W911" s="544">
        <v>288</v>
      </c>
      <c r="X911" s="375">
        <v>0.24</v>
      </c>
    </row>
    <row r="912" spans="1:24" x14ac:dyDescent="0.25">
      <c r="A912" s="4">
        <v>472</v>
      </c>
      <c r="B912" s="4" t="s">
        <v>4664</v>
      </c>
      <c r="C912" s="6" t="s">
        <v>5016</v>
      </c>
      <c r="D912" s="6" t="s">
        <v>2783</v>
      </c>
      <c r="E912" s="21">
        <v>43908</v>
      </c>
      <c r="F912" s="4" t="s">
        <v>925</v>
      </c>
      <c r="H912" s="4">
        <v>1039993</v>
      </c>
      <c r="I912" s="4">
        <v>4709</v>
      </c>
      <c r="J912" s="4" t="s">
        <v>1175</v>
      </c>
      <c r="K912" s="6" t="s">
        <v>1144</v>
      </c>
      <c r="L912" s="4">
        <v>40</v>
      </c>
      <c r="M912" s="543">
        <v>1648</v>
      </c>
      <c r="N912" s="374">
        <v>0.05</v>
      </c>
      <c r="O912" s="543">
        <v>1570</v>
      </c>
      <c r="P912" s="543">
        <v>1863</v>
      </c>
      <c r="Q912" s="543">
        <v>74520</v>
      </c>
      <c r="R912" s="26">
        <v>43908</v>
      </c>
      <c r="S912" s="4" t="s">
        <v>2050</v>
      </c>
      <c r="T912" s="543">
        <v>379214</v>
      </c>
      <c r="U912" t="s">
        <v>4767</v>
      </c>
      <c r="V912" s="544">
        <v>1190</v>
      </c>
      <c r="W912" s="544">
        <v>380</v>
      </c>
      <c r="X912" s="375">
        <v>0.24</v>
      </c>
    </row>
    <row r="913" spans="1:24" x14ac:dyDescent="0.25">
      <c r="A913" s="4">
        <v>473</v>
      </c>
      <c r="B913" s="4" t="s">
        <v>261</v>
      </c>
      <c r="C913" s="6" t="s">
        <v>2587</v>
      </c>
      <c r="D913" s="6" t="s">
        <v>2792</v>
      </c>
      <c r="E913" s="21">
        <v>43908</v>
      </c>
      <c r="F913" s="4" t="s">
        <v>925</v>
      </c>
      <c r="H913" s="4">
        <v>1039994</v>
      </c>
      <c r="I913" s="4">
        <v>4710</v>
      </c>
      <c r="J913" s="4" t="s">
        <v>1175</v>
      </c>
      <c r="K913" s="6" t="s">
        <v>1144</v>
      </c>
      <c r="L913" s="4">
        <v>24</v>
      </c>
      <c r="M913" s="543">
        <v>314</v>
      </c>
      <c r="N913" s="374">
        <v>-0.06</v>
      </c>
      <c r="O913" s="543">
        <v>334</v>
      </c>
      <c r="P913" s="543">
        <v>397</v>
      </c>
      <c r="Q913" s="543">
        <v>9528</v>
      </c>
      <c r="R913" s="26">
        <v>43908</v>
      </c>
      <c r="S913" s="4" t="s">
        <v>2050</v>
      </c>
      <c r="T913" s="543">
        <v>218751</v>
      </c>
      <c r="U913" t="s">
        <v>2755</v>
      </c>
      <c r="V913" s="544">
        <v>227</v>
      </c>
      <c r="W913" s="544">
        <v>107</v>
      </c>
      <c r="X913" s="375">
        <v>0.32</v>
      </c>
    </row>
    <row r="914" spans="1:24" x14ac:dyDescent="0.25">
      <c r="A914" s="4">
        <v>473</v>
      </c>
      <c r="B914" s="4" t="s">
        <v>260</v>
      </c>
      <c r="C914" s="6" t="s">
        <v>2820</v>
      </c>
      <c r="D914" s="6" t="s">
        <v>2792</v>
      </c>
      <c r="E914" s="21">
        <v>43908</v>
      </c>
      <c r="F914" s="4" t="s">
        <v>925</v>
      </c>
      <c r="H914" s="4">
        <v>1039994</v>
      </c>
      <c r="I914" s="4">
        <v>4710</v>
      </c>
      <c r="J914" s="4" t="s">
        <v>1175</v>
      </c>
      <c r="K914" s="6" t="s">
        <v>1144</v>
      </c>
      <c r="L914" s="4">
        <v>24</v>
      </c>
      <c r="M914" s="543">
        <v>314</v>
      </c>
      <c r="N914" s="374">
        <v>-0.06</v>
      </c>
      <c r="O914" s="543">
        <v>334</v>
      </c>
      <c r="P914" s="543">
        <v>397</v>
      </c>
      <c r="Q914" s="543">
        <v>9528</v>
      </c>
      <c r="R914" s="26">
        <v>43908</v>
      </c>
      <c r="S914" s="4" t="s">
        <v>2050</v>
      </c>
      <c r="T914" s="543">
        <v>218751</v>
      </c>
      <c r="U914" t="s">
        <v>2755</v>
      </c>
      <c r="V914" s="544">
        <v>227</v>
      </c>
      <c r="W914" s="544">
        <v>107</v>
      </c>
      <c r="X914" s="375">
        <v>0.32</v>
      </c>
    </row>
    <row r="915" spans="1:24" x14ac:dyDescent="0.25">
      <c r="A915" s="4">
        <v>473</v>
      </c>
      <c r="B915" s="4" t="s">
        <v>257</v>
      </c>
      <c r="C915" s="6" t="s">
        <v>2589</v>
      </c>
      <c r="D915" s="6" t="s">
        <v>2792</v>
      </c>
      <c r="E915" s="21">
        <v>43908</v>
      </c>
      <c r="F915" s="4" t="s">
        <v>925</v>
      </c>
      <c r="H915" s="4">
        <v>1039994</v>
      </c>
      <c r="I915" s="4">
        <v>4710</v>
      </c>
      <c r="J915" s="4" t="s">
        <v>1175</v>
      </c>
      <c r="K915" s="6" t="s">
        <v>1144</v>
      </c>
      <c r="L915" s="4">
        <v>24</v>
      </c>
      <c r="M915" s="543">
        <v>314</v>
      </c>
      <c r="N915" s="374">
        <v>-0.06</v>
      </c>
      <c r="O915" s="543">
        <v>334</v>
      </c>
      <c r="P915" s="543">
        <v>397</v>
      </c>
      <c r="Q915" s="543">
        <v>9528</v>
      </c>
      <c r="R915" s="26">
        <v>43908</v>
      </c>
      <c r="S915" s="4" t="s">
        <v>2050</v>
      </c>
      <c r="T915" s="543">
        <v>218751</v>
      </c>
      <c r="U915" t="s">
        <v>2755</v>
      </c>
      <c r="V915" s="544">
        <v>227</v>
      </c>
      <c r="W915" s="544">
        <v>107</v>
      </c>
      <c r="X915" s="375">
        <v>0.32</v>
      </c>
    </row>
    <row r="916" spans="1:24" x14ac:dyDescent="0.25">
      <c r="A916" s="4">
        <v>473</v>
      </c>
      <c r="B916" s="4" t="s">
        <v>4050</v>
      </c>
      <c r="C916" s="6" t="s">
        <v>6002</v>
      </c>
      <c r="D916" s="6" t="s">
        <v>4045</v>
      </c>
      <c r="E916" s="21">
        <v>43908</v>
      </c>
      <c r="F916" s="4" t="s">
        <v>925</v>
      </c>
      <c r="H916" s="4">
        <v>1039994</v>
      </c>
      <c r="I916" s="4">
        <v>4710</v>
      </c>
      <c r="J916" s="4" t="s">
        <v>1175</v>
      </c>
      <c r="K916" s="6" t="s">
        <v>1144</v>
      </c>
      <c r="L916" s="4">
        <v>12</v>
      </c>
      <c r="M916" s="543">
        <v>1898</v>
      </c>
      <c r="N916" s="374">
        <v>0.03</v>
      </c>
      <c r="O916" s="543">
        <v>1843</v>
      </c>
      <c r="P916" s="543">
        <v>2190</v>
      </c>
      <c r="Q916" s="543">
        <v>26280</v>
      </c>
      <c r="R916" s="26">
        <v>43908</v>
      </c>
      <c r="S916" s="4" t="s">
        <v>2050</v>
      </c>
      <c r="T916" s="543">
        <v>218751</v>
      </c>
      <c r="U916" t="s">
        <v>1739</v>
      </c>
      <c r="V916" s="544">
        <v>1370</v>
      </c>
      <c r="W916" s="544">
        <v>473</v>
      </c>
      <c r="X916" s="375">
        <v>0.26</v>
      </c>
    </row>
    <row r="917" spans="1:24" x14ac:dyDescent="0.25">
      <c r="A917" s="4">
        <v>473</v>
      </c>
      <c r="B917" s="4" t="s">
        <v>4046</v>
      </c>
      <c r="C917" s="6" t="s">
        <v>4061</v>
      </c>
      <c r="D917" s="6" t="s">
        <v>4045</v>
      </c>
      <c r="E917" s="21">
        <v>43908</v>
      </c>
      <c r="F917" s="4" t="s">
        <v>925</v>
      </c>
      <c r="H917" s="4">
        <v>1039994</v>
      </c>
      <c r="I917" s="4">
        <v>4710</v>
      </c>
      <c r="J917" s="4" t="s">
        <v>1175</v>
      </c>
      <c r="K917" s="6" t="s">
        <v>1144</v>
      </c>
      <c r="L917" s="4">
        <v>12</v>
      </c>
      <c r="M917" s="543">
        <v>1981</v>
      </c>
      <c r="N917" s="374">
        <v>0.03</v>
      </c>
      <c r="O917" s="543">
        <v>1923</v>
      </c>
      <c r="P917" s="543">
        <v>2286</v>
      </c>
      <c r="Q917" s="543">
        <v>27432</v>
      </c>
      <c r="R917" s="26">
        <v>43908</v>
      </c>
      <c r="S917" s="4" t="s">
        <v>2050</v>
      </c>
      <c r="T917" s="543">
        <v>218751</v>
      </c>
      <c r="U917" t="s">
        <v>1739</v>
      </c>
      <c r="V917" s="544">
        <v>1430</v>
      </c>
      <c r="W917" s="544">
        <v>493</v>
      </c>
      <c r="X917" s="375">
        <v>0.26</v>
      </c>
    </row>
    <row r="918" spans="1:24" x14ac:dyDescent="0.25">
      <c r="A918" s="4">
        <v>473</v>
      </c>
      <c r="B918" s="4" t="s">
        <v>3970</v>
      </c>
      <c r="C918" s="6" t="s">
        <v>5877</v>
      </c>
      <c r="D918" s="6" t="s">
        <v>4045</v>
      </c>
      <c r="E918" s="21">
        <v>43908</v>
      </c>
      <c r="F918" s="4" t="s">
        <v>925</v>
      </c>
      <c r="H918" s="4">
        <v>1039994</v>
      </c>
      <c r="I918" s="4">
        <v>4710</v>
      </c>
      <c r="J918" s="4" t="s">
        <v>1175</v>
      </c>
      <c r="K918" s="6" t="s">
        <v>1144</v>
      </c>
      <c r="L918" s="4">
        <v>12</v>
      </c>
      <c r="M918" s="543">
        <v>1787</v>
      </c>
      <c r="N918" s="374">
        <v>0.03</v>
      </c>
      <c r="O918" s="543">
        <v>1735</v>
      </c>
      <c r="P918" s="543">
        <v>2062</v>
      </c>
      <c r="Q918" s="543">
        <v>24744</v>
      </c>
      <c r="R918" s="26">
        <v>43908</v>
      </c>
      <c r="S918" s="4" t="s">
        <v>2050</v>
      </c>
      <c r="T918" s="543">
        <v>218751</v>
      </c>
      <c r="U918" t="s">
        <v>1739</v>
      </c>
      <c r="V918" s="544">
        <v>1290</v>
      </c>
      <c r="W918" s="544">
        <v>445</v>
      </c>
      <c r="X918" s="375">
        <v>0.26</v>
      </c>
    </row>
    <row r="919" spans="1:24" x14ac:dyDescent="0.25">
      <c r="A919" s="4">
        <v>473</v>
      </c>
      <c r="B919" s="4" t="s">
        <v>4054</v>
      </c>
      <c r="C919" s="6" t="s">
        <v>4058</v>
      </c>
      <c r="D919" s="6" t="s">
        <v>4045</v>
      </c>
      <c r="E919" s="21">
        <v>43908</v>
      </c>
      <c r="F919" s="4" t="s">
        <v>925</v>
      </c>
      <c r="H919" s="4">
        <v>1039994</v>
      </c>
      <c r="I919" s="4">
        <v>4710</v>
      </c>
      <c r="J919" s="4" t="s">
        <v>1175</v>
      </c>
      <c r="K919" s="6" t="s">
        <v>1144</v>
      </c>
      <c r="L919" s="4">
        <v>12</v>
      </c>
      <c r="M919" s="543">
        <v>1773</v>
      </c>
      <c r="N919" s="374">
        <v>0.03</v>
      </c>
      <c r="O919" s="543">
        <v>1721</v>
      </c>
      <c r="P919" s="543">
        <v>2046</v>
      </c>
      <c r="Q919" s="543">
        <v>24552</v>
      </c>
      <c r="R919" s="26">
        <v>43908</v>
      </c>
      <c r="S919" s="4" t="s">
        <v>2050</v>
      </c>
      <c r="T919" s="543">
        <v>218751</v>
      </c>
      <c r="U919" t="s">
        <v>1739</v>
      </c>
      <c r="V919" s="544">
        <v>1280</v>
      </c>
      <c r="W919" s="544">
        <v>441</v>
      </c>
      <c r="X919" s="375">
        <v>0.26</v>
      </c>
    </row>
    <row r="920" spans="1:24" x14ac:dyDescent="0.25">
      <c r="A920" s="4">
        <v>473</v>
      </c>
      <c r="B920" s="4" t="s">
        <v>4048</v>
      </c>
      <c r="C920" s="6" t="s">
        <v>4063</v>
      </c>
      <c r="D920" s="6" t="s">
        <v>4045</v>
      </c>
      <c r="E920" s="21">
        <v>43908</v>
      </c>
      <c r="F920" s="4" t="s">
        <v>925</v>
      </c>
      <c r="H920" s="4">
        <v>1039994</v>
      </c>
      <c r="I920" s="4">
        <v>4710</v>
      </c>
      <c r="J920" s="4" t="s">
        <v>1175</v>
      </c>
      <c r="K920" s="6" t="s">
        <v>1144</v>
      </c>
      <c r="L920" s="4">
        <v>12</v>
      </c>
      <c r="M920" s="543">
        <v>1981</v>
      </c>
      <c r="N920" s="374">
        <v>0.03</v>
      </c>
      <c r="O920" s="543">
        <v>1923</v>
      </c>
      <c r="P920" s="543">
        <v>2286</v>
      </c>
      <c r="Q920" s="543">
        <v>27432</v>
      </c>
      <c r="R920" s="26">
        <v>43908</v>
      </c>
      <c r="S920" s="4" t="s">
        <v>2050</v>
      </c>
      <c r="T920" s="543">
        <v>218751</v>
      </c>
      <c r="U920" t="s">
        <v>1739</v>
      </c>
      <c r="V920" s="544">
        <v>1430</v>
      </c>
      <c r="W920" s="544">
        <v>493</v>
      </c>
      <c r="X920" s="375">
        <v>0.26</v>
      </c>
    </row>
    <row r="921" spans="1:24" x14ac:dyDescent="0.25">
      <c r="A921" s="4">
        <v>473</v>
      </c>
      <c r="B921" s="4" t="s">
        <v>5517</v>
      </c>
      <c r="C921" s="6" t="s">
        <v>5875</v>
      </c>
      <c r="D921" s="6" t="s">
        <v>5214</v>
      </c>
      <c r="E921" s="21">
        <v>43908</v>
      </c>
      <c r="F921" s="4" t="s">
        <v>925</v>
      </c>
      <c r="H921" s="4">
        <v>1039994</v>
      </c>
      <c r="I921" s="4">
        <v>4710</v>
      </c>
      <c r="J921" s="4" t="s">
        <v>1175</v>
      </c>
      <c r="K921" s="6" t="s">
        <v>1144</v>
      </c>
      <c r="L921" s="4">
        <v>12</v>
      </c>
      <c r="M921" s="543">
        <v>1274</v>
      </c>
      <c r="N921" s="374">
        <v>-0.25</v>
      </c>
      <c r="O921" s="543">
        <v>1706</v>
      </c>
      <c r="P921" s="543">
        <v>1900</v>
      </c>
      <c r="Q921" s="543">
        <v>22800</v>
      </c>
      <c r="R921" s="26">
        <v>43908</v>
      </c>
      <c r="S921" s="4" t="s">
        <v>2050</v>
      </c>
      <c r="T921" s="543">
        <v>218751</v>
      </c>
      <c r="U921" t="s">
        <v>5170</v>
      </c>
      <c r="V921" s="544">
        <v>920</v>
      </c>
      <c r="W921" s="544">
        <v>786</v>
      </c>
      <c r="X921" s="375">
        <v>0.46</v>
      </c>
    </row>
    <row r="922" spans="1:24" x14ac:dyDescent="0.25">
      <c r="A922" s="4">
        <v>473</v>
      </c>
      <c r="B922" s="4" t="s">
        <v>38</v>
      </c>
      <c r="C922" s="6" t="s">
        <v>5843</v>
      </c>
      <c r="D922" s="6" t="s">
        <v>1504</v>
      </c>
      <c r="E922" s="21">
        <v>43908</v>
      </c>
      <c r="F922" s="4" t="s">
        <v>925</v>
      </c>
      <c r="H922" s="4">
        <v>1039994</v>
      </c>
      <c r="I922" s="4">
        <v>4710</v>
      </c>
      <c r="J922" s="4" t="s">
        <v>1175</v>
      </c>
      <c r="K922" s="6" t="s">
        <v>1144</v>
      </c>
      <c r="L922" s="4">
        <v>10</v>
      </c>
      <c r="M922" s="543">
        <v>3162</v>
      </c>
      <c r="N922" s="374">
        <v>0.02</v>
      </c>
      <c r="O922" s="543">
        <v>3105</v>
      </c>
      <c r="P922" s="543">
        <v>3694</v>
      </c>
      <c r="Q922" s="543">
        <v>36940</v>
      </c>
      <c r="R922" s="26">
        <v>43908</v>
      </c>
      <c r="S922" s="4" t="s">
        <v>2050</v>
      </c>
      <c r="T922" s="543">
        <v>218751</v>
      </c>
      <c r="U922" t="s">
        <v>1563</v>
      </c>
      <c r="V922" s="544">
        <v>2283</v>
      </c>
      <c r="W922" s="544">
        <v>822</v>
      </c>
      <c r="X922" s="375">
        <v>0.26</v>
      </c>
    </row>
    <row r="923" spans="1:24" x14ac:dyDescent="0.25">
      <c r="A923" s="4">
        <v>475</v>
      </c>
      <c r="B923" s="4" t="s">
        <v>847</v>
      </c>
      <c r="C923" s="6" t="s">
        <v>2201</v>
      </c>
      <c r="D923" s="6" t="s">
        <v>2198</v>
      </c>
      <c r="E923" s="21">
        <v>43908</v>
      </c>
      <c r="F923" s="4" t="s">
        <v>1461</v>
      </c>
      <c r="H923" s="4">
        <v>6744</v>
      </c>
      <c r="I923" s="4">
        <v>4712</v>
      </c>
      <c r="J923" s="4" t="s">
        <v>6003</v>
      </c>
      <c r="K923" s="6" t="s">
        <v>6004</v>
      </c>
      <c r="L923" s="4">
        <v>1</v>
      </c>
      <c r="M923" s="574">
        <v>8571</v>
      </c>
      <c r="N923" s="4" t="s">
        <v>2886</v>
      </c>
      <c r="O923" s="574">
        <v>8571</v>
      </c>
      <c r="P923" s="574">
        <v>10200</v>
      </c>
      <c r="Q923" s="574">
        <v>10200</v>
      </c>
      <c r="R923" s="26">
        <v>43908</v>
      </c>
      <c r="S923" s="4" t="s">
        <v>1501</v>
      </c>
      <c r="T923" s="574">
        <v>10200</v>
      </c>
      <c r="U923" t="s">
        <v>1572</v>
      </c>
      <c r="V923" s="575">
        <v>6436</v>
      </c>
      <c r="W923" s="575">
        <v>2135</v>
      </c>
      <c r="X923" s="375">
        <v>0.25</v>
      </c>
    </row>
    <row r="924" spans="1:24" x14ac:dyDescent="0.25">
      <c r="A924" s="4">
        <v>476</v>
      </c>
      <c r="B924" s="4" t="s">
        <v>838</v>
      </c>
      <c r="C924" s="6" t="s">
        <v>2062</v>
      </c>
      <c r="D924" s="6" t="s">
        <v>840</v>
      </c>
      <c r="E924" s="21">
        <v>43908</v>
      </c>
      <c r="F924" s="4" t="s">
        <v>1461</v>
      </c>
      <c r="H924" s="4">
        <v>6745</v>
      </c>
      <c r="I924" s="4">
        <v>4713</v>
      </c>
      <c r="J924" s="4" t="s">
        <v>5762</v>
      </c>
      <c r="K924" s="6" t="s">
        <v>5763</v>
      </c>
      <c r="L924" s="4">
        <v>1</v>
      </c>
      <c r="M924" s="574">
        <v>16555</v>
      </c>
      <c r="N924" s="4" t="s">
        <v>2886</v>
      </c>
      <c r="O924" s="574">
        <v>16555</v>
      </c>
      <c r="P924" s="574">
        <v>19700</v>
      </c>
      <c r="Q924" s="574">
        <v>19700</v>
      </c>
      <c r="R924" s="26">
        <v>43909</v>
      </c>
      <c r="S924" s="4" t="s">
        <v>1501</v>
      </c>
      <c r="T924" s="574">
        <v>46700</v>
      </c>
      <c r="U924" t="s">
        <v>1572</v>
      </c>
      <c r="V924" s="575">
        <v>12429</v>
      </c>
      <c r="W924" s="575">
        <v>4126</v>
      </c>
      <c r="X924" s="375">
        <v>0.25</v>
      </c>
    </row>
    <row r="925" spans="1:24" x14ac:dyDescent="0.25">
      <c r="A925" s="4">
        <v>476</v>
      </c>
      <c r="B925" s="4" t="s">
        <v>5960</v>
      </c>
      <c r="C925" s="6" t="s">
        <v>5961</v>
      </c>
      <c r="D925" s="6" t="s">
        <v>5962</v>
      </c>
      <c r="E925" s="21">
        <v>43908</v>
      </c>
      <c r="F925" s="4" t="s">
        <v>1461</v>
      </c>
      <c r="H925" s="4">
        <v>6745</v>
      </c>
      <c r="I925" s="4">
        <v>4713</v>
      </c>
      <c r="J925" s="4" t="s">
        <v>5762</v>
      </c>
      <c r="K925" s="6" t="s">
        <v>5763</v>
      </c>
      <c r="L925" s="4">
        <v>1</v>
      </c>
      <c r="M925" s="574">
        <v>22689</v>
      </c>
      <c r="N925" s="4" t="s">
        <v>2886</v>
      </c>
      <c r="O925" s="574">
        <v>22689</v>
      </c>
      <c r="P925" s="574">
        <v>27000</v>
      </c>
      <c r="Q925" s="574">
        <v>27000</v>
      </c>
      <c r="R925" s="26">
        <v>43909</v>
      </c>
      <c r="S925" s="4" t="s">
        <v>1501</v>
      </c>
      <c r="T925" s="574">
        <v>46700</v>
      </c>
      <c r="U925" t="s">
        <v>5955</v>
      </c>
      <c r="V925" s="575">
        <v>18972</v>
      </c>
      <c r="W925" s="575">
        <v>3717</v>
      </c>
      <c r="X925" s="375">
        <v>0.16</v>
      </c>
    </row>
    <row r="926" spans="1:24" x14ac:dyDescent="0.25">
      <c r="A926" s="4">
        <v>477</v>
      </c>
      <c r="B926" s="4" t="s">
        <v>838</v>
      </c>
      <c r="C926" s="6" t="s">
        <v>2062</v>
      </c>
      <c r="D926" s="6" t="s">
        <v>840</v>
      </c>
      <c r="E926" s="21">
        <v>43908</v>
      </c>
      <c r="F926" s="4" t="s">
        <v>1461</v>
      </c>
      <c r="H926" s="4">
        <v>6746</v>
      </c>
      <c r="I926" s="4">
        <v>4714</v>
      </c>
      <c r="J926" s="4" t="s">
        <v>1244</v>
      </c>
      <c r="K926" s="6" t="s">
        <v>971</v>
      </c>
      <c r="L926" s="4">
        <v>1</v>
      </c>
      <c r="M926" s="574">
        <v>16555</v>
      </c>
      <c r="N926" s="4" t="s">
        <v>2886</v>
      </c>
      <c r="O926" s="574">
        <v>16555</v>
      </c>
      <c r="P926" s="574">
        <v>19700</v>
      </c>
      <c r="Q926" s="574">
        <v>19700</v>
      </c>
      <c r="R926" s="26">
        <v>43911</v>
      </c>
      <c r="S926" s="4" t="s">
        <v>1501</v>
      </c>
      <c r="T926" s="574">
        <v>19700</v>
      </c>
      <c r="U926" t="s">
        <v>1572</v>
      </c>
      <c r="V926" s="575">
        <v>12429</v>
      </c>
      <c r="W926" s="575">
        <v>4126</v>
      </c>
      <c r="X926" s="375">
        <v>0.25</v>
      </c>
    </row>
    <row r="927" spans="1:24" x14ac:dyDescent="0.25">
      <c r="A927" s="4">
        <v>478</v>
      </c>
      <c r="B927" s="4" t="s">
        <v>838</v>
      </c>
      <c r="C927" s="6" t="s">
        <v>2062</v>
      </c>
      <c r="D927" s="6" t="s">
        <v>840</v>
      </c>
      <c r="E927" s="21">
        <v>43908</v>
      </c>
      <c r="F927" s="4" t="s">
        <v>1461</v>
      </c>
      <c r="H927" s="4">
        <v>6747</v>
      </c>
      <c r="I927" s="4">
        <v>4715</v>
      </c>
      <c r="J927" s="4" t="s">
        <v>2619</v>
      </c>
      <c r="K927" s="6" t="s">
        <v>3361</v>
      </c>
      <c r="L927" s="4">
        <v>1</v>
      </c>
      <c r="M927" s="574">
        <v>16555</v>
      </c>
      <c r="N927" s="4" t="s">
        <v>2886</v>
      </c>
      <c r="O927" s="574">
        <v>16555</v>
      </c>
      <c r="P927" s="574">
        <v>19700</v>
      </c>
      <c r="Q927" s="574">
        <v>19700</v>
      </c>
      <c r="R927" s="26">
        <v>43909</v>
      </c>
      <c r="S927" s="4" t="s">
        <v>1501</v>
      </c>
      <c r="T927" s="574">
        <v>29900</v>
      </c>
      <c r="U927" t="s">
        <v>1572</v>
      </c>
      <c r="V927" s="575">
        <v>12429</v>
      </c>
      <c r="W927" s="575">
        <v>4126</v>
      </c>
      <c r="X927" s="375">
        <v>0.25</v>
      </c>
    </row>
    <row r="928" spans="1:24" x14ac:dyDescent="0.25">
      <c r="A928" s="4">
        <v>478</v>
      </c>
      <c r="B928" s="4" t="s">
        <v>847</v>
      </c>
      <c r="C928" s="6" t="s">
        <v>2201</v>
      </c>
      <c r="D928" s="6" t="s">
        <v>2198</v>
      </c>
      <c r="E928" s="21">
        <v>43908</v>
      </c>
      <c r="F928" s="4" t="s">
        <v>1461</v>
      </c>
      <c r="H928" s="4">
        <v>6747</v>
      </c>
      <c r="I928" s="4">
        <v>4715</v>
      </c>
      <c r="J928" s="4" t="s">
        <v>2619</v>
      </c>
      <c r="K928" s="6" t="s">
        <v>3361</v>
      </c>
      <c r="L928" s="4">
        <v>1</v>
      </c>
      <c r="M928" s="574">
        <v>8571</v>
      </c>
      <c r="N928" s="4" t="s">
        <v>2886</v>
      </c>
      <c r="O928" s="574">
        <v>8571</v>
      </c>
      <c r="P928" s="574">
        <v>10200</v>
      </c>
      <c r="Q928" s="574">
        <v>10200</v>
      </c>
      <c r="R928" s="26">
        <v>43909</v>
      </c>
      <c r="S928" s="4" t="s">
        <v>1501</v>
      </c>
      <c r="T928" s="574">
        <v>29900</v>
      </c>
      <c r="U928" t="s">
        <v>1572</v>
      </c>
      <c r="V928" s="575">
        <v>6436</v>
      </c>
      <c r="W928" s="575">
        <v>2135</v>
      </c>
      <c r="X928" s="375">
        <v>0.25</v>
      </c>
    </row>
    <row r="929" spans="1:24" x14ac:dyDescent="0.25">
      <c r="A929" s="4">
        <v>479</v>
      </c>
      <c r="B929" s="4" t="s">
        <v>2250</v>
      </c>
      <c r="C929" s="6" t="s">
        <v>5846</v>
      </c>
      <c r="D929" s="6" t="s">
        <v>1638</v>
      </c>
      <c r="E929" s="21">
        <v>43908</v>
      </c>
      <c r="F929" s="4" t="s">
        <v>1461</v>
      </c>
      <c r="H929" s="4">
        <v>6748</v>
      </c>
      <c r="I929" s="4">
        <v>4716</v>
      </c>
      <c r="J929" s="4" t="s">
        <v>1278</v>
      </c>
      <c r="K929" s="6" t="s">
        <v>1942</v>
      </c>
      <c r="L929" s="4">
        <v>3</v>
      </c>
      <c r="M929" s="574">
        <v>3193</v>
      </c>
      <c r="N929" s="4" t="s">
        <v>2886</v>
      </c>
      <c r="O929" s="574">
        <v>3193</v>
      </c>
      <c r="P929" s="574">
        <v>3800</v>
      </c>
      <c r="Q929" s="574">
        <v>11400</v>
      </c>
      <c r="R929" s="26">
        <v>43908</v>
      </c>
      <c r="S929" s="4" t="s">
        <v>1501</v>
      </c>
      <c r="T929" s="574">
        <v>36400</v>
      </c>
      <c r="U929" t="s">
        <v>1545</v>
      </c>
      <c r="V929" s="575">
        <v>2100</v>
      </c>
      <c r="W929" s="575">
        <v>1093</v>
      </c>
      <c r="X929" s="375">
        <v>0.34</v>
      </c>
    </row>
    <row r="930" spans="1:24" x14ac:dyDescent="0.25">
      <c r="A930" s="4">
        <v>479</v>
      </c>
      <c r="B930" s="4" t="s">
        <v>1503</v>
      </c>
      <c r="C930" s="6" t="s">
        <v>1972</v>
      </c>
      <c r="D930" s="6" t="s">
        <v>1638</v>
      </c>
      <c r="E930" s="21">
        <v>43908</v>
      </c>
      <c r="F930" s="4" t="s">
        <v>1461</v>
      </c>
      <c r="H930" s="4">
        <v>6748</v>
      </c>
      <c r="I930" s="4">
        <v>4716</v>
      </c>
      <c r="J930" s="4" t="s">
        <v>1278</v>
      </c>
      <c r="K930" s="6" t="s">
        <v>1942</v>
      </c>
      <c r="L930" s="4">
        <v>2</v>
      </c>
      <c r="M930" s="574">
        <v>3193</v>
      </c>
      <c r="N930" s="4" t="s">
        <v>2886</v>
      </c>
      <c r="O930" s="574">
        <v>3193</v>
      </c>
      <c r="P930" s="574">
        <v>3800</v>
      </c>
      <c r="Q930" s="574">
        <v>7600</v>
      </c>
      <c r="R930" s="26">
        <v>43908</v>
      </c>
      <c r="S930" s="4" t="s">
        <v>1501</v>
      </c>
      <c r="T930" s="574">
        <v>36400</v>
      </c>
      <c r="U930" t="s">
        <v>1545</v>
      </c>
      <c r="V930" s="575">
        <v>2200</v>
      </c>
      <c r="W930" s="575">
        <v>993</v>
      </c>
      <c r="X930" s="375">
        <v>0.31</v>
      </c>
    </row>
    <row r="931" spans="1:24" x14ac:dyDescent="0.25">
      <c r="A931" s="4">
        <v>479</v>
      </c>
      <c r="B931" s="4" t="s">
        <v>1515</v>
      </c>
      <c r="C931" s="6" t="s">
        <v>5844</v>
      </c>
      <c r="D931" s="6" t="s">
        <v>1638</v>
      </c>
      <c r="E931" s="21">
        <v>43908</v>
      </c>
      <c r="F931" s="4" t="s">
        <v>1461</v>
      </c>
      <c r="H931" s="4">
        <v>6748</v>
      </c>
      <c r="I931" s="4">
        <v>4716</v>
      </c>
      <c r="J931" s="4" t="s">
        <v>1278</v>
      </c>
      <c r="K931" s="6" t="s">
        <v>1942</v>
      </c>
      <c r="L931" s="4">
        <v>3</v>
      </c>
      <c r="M931" s="574">
        <v>4874</v>
      </c>
      <c r="N931" s="4" t="s">
        <v>2886</v>
      </c>
      <c r="O931" s="574">
        <v>4874</v>
      </c>
      <c r="P931" s="574">
        <v>5800</v>
      </c>
      <c r="Q931" s="574">
        <v>17400</v>
      </c>
      <c r="R931" s="26">
        <v>43908</v>
      </c>
      <c r="S931" s="4" t="s">
        <v>1501</v>
      </c>
      <c r="T931" s="574">
        <v>36400</v>
      </c>
      <c r="U931" t="s">
        <v>1545</v>
      </c>
      <c r="V931" s="575">
        <v>2400</v>
      </c>
      <c r="W931" s="575">
        <v>2474</v>
      </c>
      <c r="X931" s="375">
        <v>0.51</v>
      </c>
    </row>
    <row r="932" spans="1:24" x14ac:dyDescent="0.25">
      <c r="A932" s="4">
        <v>480</v>
      </c>
      <c r="B932" s="4" t="s">
        <v>656</v>
      </c>
      <c r="C932" s="6" t="s">
        <v>1973</v>
      </c>
      <c r="D932" s="6" t="s">
        <v>794</v>
      </c>
      <c r="E932" s="21">
        <v>43908</v>
      </c>
      <c r="F932" s="4" t="s">
        <v>1461</v>
      </c>
      <c r="H932" s="4">
        <v>6749</v>
      </c>
      <c r="I932" s="4">
        <v>4717</v>
      </c>
      <c r="J932" s="4" t="s">
        <v>5564</v>
      </c>
      <c r="K932" s="6" t="s">
        <v>5565</v>
      </c>
      <c r="L932" s="4">
        <v>1</v>
      </c>
      <c r="M932" s="574">
        <v>19328</v>
      </c>
      <c r="N932" s="4" t="s">
        <v>2886</v>
      </c>
      <c r="O932" s="574">
        <v>19328</v>
      </c>
      <c r="P932" s="574">
        <v>23000</v>
      </c>
      <c r="Q932" s="574">
        <v>23000</v>
      </c>
      <c r="R932" s="26">
        <v>43908</v>
      </c>
      <c r="S932" s="4" t="s">
        <v>1501</v>
      </c>
      <c r="T932" s="574">
        <v>23000</v>
      </c>
      <c r="U932" t="s">
        <v>1551</v>
      </c>
      <c r="V932" s="575">
        <v>14604</v>
      </c>
      <c r="W932" s="575">
        <v>4724</v>
      </c>
      <c r="X932" s="375">
        <v>0.24</v>
      </c>
    </row>
    <row r="933" spans="1:24" x14ac:dyDescent="0.25">
      <c r="A933" s="4">
        <v>481</v>
      </c>
      <c r="B933" s="4" t="s">
        <v>3968</v>
      </c>
      <c r="C933" s="6" t="s">
        <v>4018</v>
      </c>
      <c r="D933" s="6" t="s">
        <v>4019</v>
      </c>
      <c r="E933" s="21">
        <v>43908</v>
      </c>
      <c r="F933" s="4" t="s">
        <v>1461</v>
      </c>
      <c r="H933" s="4">
        <v>6750</v>
      </c>
      <c r="I933" s="4">
        <v>4718</v>
      </c>
      <c r="J933" s="4" t="s">
        <v>4480</v>
      </c>
      <c r="K933" s="6" t="s">
        <v>4481</v>
      </c>
      <c r="L933" s="4">
        <v>1</v>
      </c>
      <c r="M933" s="574">
        <v>19748</v>
      </c>
      <c r="N933" s="4" t="s">
        <v>2886</v>
      </c>
      <c r="O933" s="574">
        <v>19748</v>
      </c>
      <c r="P933" s="574">
        <v>23500</v>
      </c>
      <c r="Q933" s="574">
        <v>23500</v>
      </c>
      <c r="R933" s="26">
        <v>43908</v>
      </c>
      <c r="S933" s="4" t="s">
        <v>1501</v>
      </c>
      <c r="T933" s="574">
        <v>23500</v>
      </c>
      <c r="U933" t="s">
        <v>1551</v>
      </c>
      <c r="V933" s="575">
        <v>14122</v>
      </c>
      <c r="W933" s="575">
        <v>5626</v>
      </c>
      <c r="X933" s="375">
        <v>0.28000000000000003</v>
      </c>
    </row>
    <row r="934" spans="1:24" x14ac:dyDescent="0.25">
      <c r="A934" s="4">
        <v>482</v>
      </c>
      <c r="B934" s="4" t="s">
        <v>838</v>
      </c>
      <c r="C934" s="6" t="s">
        <v>2062</v>
      </c>
      <c r="D934" s="6" t="s">
        <v>840</v>
      </c>
      <c r="E934" s="21">
        <v>43908</v>
      </c>
      <c r="F934" s="4" t="s">
        <v>1461</v>
      </c>
      <c r="H934" s="4">
        <v>6751</v>
      </c>
      <c r="I934" s="4">
        <v>4719</v>
      </c>
      <c r="J934" s="4" t="s">
        <v>3683</v>
      </c>
      <c r="K934" s="6" t="s">
        <v>3684</v>
      </c>
      <c r="L934" s="4">
        <v>3</v>
      </c>
      <c r="M934" s="574">
        <v>16555</v>
      </c>
      <c r="N934" s="4" t="s">
        <v>2886</v>
      </c>
      <c r="O934" s="574">
        <v>16555</v>
      </c>
      <c r="P934" s="574">
        <v>19700</v>
      </c>
      <c r="Q934" s="574">
        <v>59100</v>
      </c>
      <c r="R934" s="26">
        <v>43909</v>
      </c>
      <c r="S934" s="4" t="s">
        <v>1501</v>
      </c>
      <c r="T934" s="574">
        <v>92600</v>
      </c>
      <c r="U934" t="s">
        <v>1572</v>
      </c>
      <c r="V934" s="575">
        <v>12429</v>
      </c>
      <c r="W934" s="575">
        <v>4126</v>
      </c>
      <c r="X934" s="375">
        <v>0.25</v>
      </c>
    </row>
    <row r="935" spans="1:24" x14ac:dyDescent="0.25">
      <c r="A935" s="4">
        <v>482</v>
      </c>
      <c r="B935" s="4" t="s">
        <v>3203</v>
      </c>
      <c r="C935" s="6" t="s">
        <v>3406</v>
      </c>
      <c r="D935" s="6" t="s">
        <v>1976</v>
      </c>
      <c r="E935" s="21">
        <v>43908</v>
      </c>
      <c r="F935" s="4" t="s">
        <v>1461</v>
      </c>
      <c r="H935" s="4">
        <v>6751</v>
      </c>
      <c r="I935" s="4">
        <v>4719</v>
      </c>
      <c r="J935" s="4" t="s">
        <v>3683</v>
      </c>
      <c r="K935" s="6" t="s">
        <v>3684</v>
      </c>
      <c r="L935" s="4">
        <v>1</v>
      </c>
      <c r="M935" s="574">
        <v>28151</v>
      </c>
      <c r="N935" s="4" t="s">
        <v>2886</v>
      </c>
      <c r="O935" s="574">
        <v>28151</v>
      </c>
      <c r="P935" s="574">
        <v>33500</v>
      </c>
      <c r="Q935" s="574">
        <v>33500</v>
      </c>
      <c r="R935" s="26">
        <v>43909</v>
      </c>
      <c r="S935" s="4" t="s">
        <v>1501</v>
      </c>
      <c r="T935" s="574">
        <v>92600</v>
      </c>
      <c r="U935" t="s">
        <v>1551</v>
      </c>
      <c r="V935" s="575">
        <v>21094</v>
      </c>
      <c r="W935" s="575">
        <v>7057</v>
      </c>
      <c r="X935" s="375">
        <v>0.25</v>
      </c>
    </row>
    <row r="936" spans="1:24" x14ac:dyDescent="0.25">
      <c r="A936" s="4">
        <v>483</v>
      </c>
      <c r="B936" s="4" t="s">
        <v>855</v>
      </c>
      <c r="C936" s="6" t="s">
        <v>2499</v>
      </c>
      <c r="D936" s="6" t="s">
        <v>857</v>
      </c>
      <c r="E936" s="21">
        <v>43908</v>
      </c>
      <c r="F936" s="4" t="s">
        <v>1461</v>
      </c>
      <c r="H936" s="4">
        <v>6752</v>
      </c>
      <c r="I936" s="4">
        <v>4720</v>
      </c>
      <c r="J936" s="4" t="s">
        <v>5558</v>
      </c>
      <c r="K936" s="6" t="s">
        <v>5559</v>
      </c>
      <c r="L936" s="4">
        <v>1</v>
      </c>
      <c r="M936" s="574">
        <v>13277</v>
      </c>
      <c r="N936" s="4" t="s">
        <v>2886</v>
      </c>
      <c r="O936" s="574">
        <v>13277</v>
      </c>
      <c r="P936" s="574">
        <v>15800</v>
      </c>
      <c r="Q936" s="574">
        <v>15800</v>
      </c>
      <c r="R936" s="26">
        <v>43908</v>
      </c>
      <c r="S936" s="4" t="s">
        <v>1501</v>
      </c>
      <c r="T936" s="574">
        <v>15800</v>
      </c>
      <c r="U936" t="s">
        <v>1551</v>
      </c>
      <c r="V936" s="575">
        <v>9975</v>
      </c>
      <c r="W936" s="575">
        <v>3302</v>
      </c>
      <c r="X936" s="375">
        <v>0.25</v>
      </c>
    </row>
    <row r="937" spans="1:24" x14ac:dyDescent="0.25">
      <c r="A937" s="4">
        <v>484</v>
      </c>
      <c r="B937" s="4" t="s">
        <v>2038</v>
      </c>
      <c r="C937" s="6" t="s">
        <v>5884</v>
      </c>
      <c r="D937" s="6" t="s">
        <v>794</v>
      </c>
      <c r="E937" s="21">
        <v>43908</v>
      </c>
      <c r="F937" s="4" t="s">
        <v>925</v>
      </c>
      <c r="H937" s="4">
        <v>6753</v>
      </c>
      <c r="I937" s="4">
        <v>4721</v>
      </c>
      <c r="J937" s="4" t="s">
        <v>2729</v>
      </c>
      <c r="K937" s="6" t="s">
        <v>2730</v>
      </c>
      <c r="L937" s="4">
        <v>3</v>
      </c>
      <c r="M937" s="574">
        <v>10504</v>
      </c>
      <c r="N937" s="4" t="s">
        <v>2886</v>
      </c>
      <c r="O937" s="574">
        <v>10504</v>
      </c>
      <c r="P937" s="574">
        <v>12500</v>
      </c>
      <c r="Q937" s="574">
        <v>37500</v>
      </c>
      <c r="R937" s="26">
        <v>43908</v>
      </c>
      <c r="S937" s="4" t="s">
        <v>1501</v>
      </c>
      <c r="T937" s="574">
        <v>37500</v>
      </c>
      <c r="U937" t="s">
        <v>1551</v>
      </c>
      <c r="V937" s="575">
        <v>7956</v>
      </c>
      <c r="W937" s="575">
        <v>2548</v>
      </c>
      <c r="X937" s="375">
        <v>0.24</v>
      </c>
    </row>
    <row r="938" spans="1:24" x14ac:dyDescent="0.25">
      <c r="A938" s="4">
        <v>485</v>
      </c>
      <c r="B938" s="4" t="s">
        <v>2674</v>
      </c>
      <c r="C938" s="6" t="s">
        <v>5889</v>
      </c>
      <c r="D938" s="6" t="s">
        <v>23</v>
      </c>
      <c r="E938" s="21">
        <v>43908</v>
      </c>
      <c r="F938" s="4" t="s">
        <v>1461</v>
      </c>
      <c r="H938" s="4">
        <v>6754</v>
      </c>
      <c r="I938" s="4">
        <v>4722</v>
      </c>
      <c r="J938" s="4" t="s">
        <v>2733</v>
      </c>
      <c r="K938" s="6" t="s">
        <v>2734</v>
      </c>
      <c r="L938" s="4">
        <v>2</v>
      </c>
      <c r="M938" s="574">
        <v>2941</v>
      </c>
      <c r="N938" s="4" t="s">
        <v>2886</v>
      </c>
      <c r="O938" s="574">
        <v>2941</v>
      </c>
      <c r="P938" s="574">
        <v>3500</v>
      </c>
      <c r="Q938" s="574">
        <v>7000</v>
      </c>
      <c r="R938" s="26">
        <v>43908</v>
      </c>
      <c r="S938" s="4" t="s">
        <v>1501</v>
      </c>
      <c r="T938" s="574">
        <v>7000</v>
      </c>
      <c r="U938" t="s">
        <v>2668</v>
      </c>
      <c r="V938" s="575">
        <v>2342</v>
      </c>
      <c r="W938" s="575">
        <v>599</v>
      </c>
      <c r="X938" s="375">
        <v>0.2</v>
      </c>
    </row>
    <row r="939" spans="1:24" x14ac:dyDescent="0.25">
      <c r="A939" s="4">
        <v>486</v>
      </c>
      <c r="B939" s="4" t="s">
        <v>799</v>
      </c>
      <c r="C939" s="6" t="s">
        <v>1926</v>
      </c>
      <c r="D939" s="6" t="s">
        <v>802</v>
      </c>
      <c r="E939" s="21">
        <v>43908</v>
      </c>
      <c r="F939" s="4" t="s">
        <v>1461</v>
      </c>
      <c r="H939" s="4">
        <v>6755</v>
      </c>
      <c r="I939" s="4">
        <v>4723</v>
      </c>
      <c r="J939" s="4" t="s">
        <v>1405</v>
      </c>
      <c r="K939" s="6" t="s">
        <v>1142</v>
      </c>
      <c r="L939" s="4">
        <v>1</v>
      </c>
      <c r="M939" s="574">
        <v>17815</v>
      </c>
      <c r="N939" s="4" t="s">
        <v>2886</v>
      </c>
      <c r="O939" s="574">
        <v>17815</v>
      </c>
      <c r="P939" s="574">
        <v>21200</v>
      </c>
      <c r="Q939" s="574">
        <v>21200</v>
      </c>
      <c r="R939" s="26">
        <v>43908</v>
      </c>
      <c r="S939" s="4" t="s">
        <v>1501</v>
      </c>
      <c r="T939" s="574">
        <v>21200</v>
      </c>
      <c r="U939" t="s">
        <v>1551</v>
      </c>
      <c r="V939" s="575">
        <v>13279</v>
      </c>
      <c r="W939" s="575">
        <v>4536</v>
      </c>
      <c r="X939" s="375">
        <v>0.25</v>
      </c>
    </row>
    <row r="940" spans="1:24" x14ac:dyDescent="0.25">
      <c r="A940" s="4">
        <v>487</v>
      </c>
      <c r="B940" s="4" t="s">
        <v>30</v>
      </c>
      <c r="C940" s="6" t="s">
        <v>5839</v>
      </c>
      <c r="D940" s="6" t="s">
        <v>33</v>
      </c>
      <c r="E940" s="21">
        <v>43908</v>
      </c>
      <c r="F940" s="4" t="s">
        <v>1461</v>
      </c>
      <c r="H940" s="4">
        <v>6553</v>
      </c>
      <c r="I940" s="4">
        <v>4724</v>
      </c>
      <c r="J940" s="4" t="s">
        <v>1267</v>
      </c>
      <c r="K940" s="6" t="s">
        <v>1036</v>
      </c>
      <c r="L940" s="4">
        <v>12</v>
      </c>
      <c r="M940" s="574">
        <v>756</v>
      </c>
      <c r="N940" s="4" t="s">
        <v>2886</v>
      </c>
      <c r="O940" s="574">
        <v>756</v>
      </c>
      <c r="P940" s="574">
        <v>900</v>
      </c>
      <c r="Q940" s="574">
        <v>10800</v>
      </c>
      <c r="R940" s="26">
        <v>43908</v>
      </c>
      <c r="S940" s="4" t="s">
        <v>1501</v>
      </c>
      <c r="T940" s="574">
        <v>48623</v>
      </c>
      <c r="U940" t="s">
        <v>1563</v>
      </c>
      <c r="V940" s="575">
        <v>535</v>
      </c>
      <c r="W940" s="575">
        <v>221</v>
      </c>
      <c r="X940" s="375">
        <v>0.28999999999999998</v>
      </c>
    </row>
    <row r="941" spans="1:24" x14ac:dyDescent="0.25">
      <c r="A941" s="4">
        <v>487</v>
      </c>
      <c r="B941" s="4" t="s">
        <v>1777</v>
      </c>
      <c r="C941" s="6" t="s">
        <v>5477</v>
      </c>
      <c r="D941" s="6" t="s">
        <v>89</v>
      </c>
      <c r="E941" s="21">
        <v>43908</v>
      </c>
      <c r="F941" s="4" t="s">
        <v>1461</v>
      </c>
      <c r="H941" s="4">
        <v>6553</v>
      </c>
      <c r="I941" s="4">
        <v>4724</v>
      </c>
      <c r="J941" s="4" t="s">
        <v>1267</v>
      </c>
      <c r="K941" s="6" t="s">
        <v>1036</v>
      </c>
      <c r="L941" s="4">
        <v>1</v>
      </c>
      <c r="M941" s="574">
        <v>13445</v>
      </c>
      <c r="N941" s="4" t="s">
        <v>2886</v>
      </c>
      <c r="O941" s="574">
        <v>13445</v>
      </c>
      <c r="P941" s="574">
        <v>16000</v>
      </c>
      <c r="Q941" s="574">
        <v>16000</v>
      </c>
      <c r="R941" s="26">
        <v>43908</v>
      </c>
      <c r="S941" s="4" t="s">
        <v>1501</v>
      </c>
      <c r="T941" s="574">
        <v>48623</v>
      </c>
      <c r="U941" t="s">
        <v>1569</v>
      </c>
      <c r="V941" s="575">
        <v>9526</v>
      </c>
      <c r="W941" s="575">
        <v>3919</v>
      </c>
      <c r="X941" s="375">
        <v>0.28999999999999998</v>
      </c>
    </row>
    <row r="942" spans="1:24" x14ac:dyDescent="0.25">
      <c r="A942" s="4">
        <v>487</v>
      </c>
      <c r="B942" s="4" t="s">
        <v>5081</v>
      </c>
      <c r="C942" s="6" t="s">
        <v>5242</v>
      </c>
      <c r="D942" s="6" t="s">
        <v>4570</v>
      </c>
      <c r="E942" s="21">
        <v>43908</v>
      </c>
      <c r="F942" s="4" t="s">
        <v>1461</v>
      </c>
      <c r="H942" s="4">
        <v>6553</v>
      </c>
      <c r="I942" s="4">
        <v>4724</v>
      </c>
      <c r="J942" s="4" t="s">
        <v>1267</v>
      </c>
      <c r="K942" s="6" t="s">
        <v>1036</v>
      </c>
      <c r="L942" s="4">
        <v>3</v>
      </c>
      <c r="M942" s="574">
        <v>756</v>
      </c>
      <c r="N942" s="4" t="s">
        <v>2886</v>
      </c>
      <c r="O942" s="574">
        <v>756</v>
      </c>
      <c r="P942" s="574">
        <v>900</v>
      </c>
      <c r="Q942" s="574">
        <v>2700</v>
      </c>
      <c r="R942" s="26">
        <v>43908</v>
      </c>
      <c r="S942" s="4" t="s">
        <v>1501</v>
      </c>
      <c r="T942" s="574">
        <v>48623</v>
      </c>
      <c r="U942" t="s">
        <v>1563</v>
      </c>
      <c r="V942" s="575">
        <v>510</v>
      </c>
      <c r="W942" s="575">
        <v>246</v>
      </c>
      <c r="X942" s="375">
        <v>0.33</v>
      </c>
    </row>
    <row r="943" spans="1:24" x14ac:dyDescent="0.25">
      <c r="A943" s="4">
        <v>487</v>
      </c>
      <c r="B943" s="4" t="s">
        <v>1886</v>
      </c>
      <c r="C943" s="6" t="s">
        <v>1891</v>
      </c>
      <c r="D943" s="6" t="s">
        <v>1879</v>
      </c>
      <c r="E943" s="21">
        <v>43908</v>
      </c>
      <c r="F943" s="4" t="s">
        <v>1461</v>
      </c>
      <c r="H943" s="4">
        <v>6553</v>
      </c>
      <c r="I943" s="4">
        <v>4724</v>
      </c>
      <c r="J943" s="4" t="s">
        <v>1267</v>
      </c>
      <c r="K943" s="6" t="s">
        <v>1036</v>
      </c>
      <c r="L943" s="4">
        <v>5</v>
      </c>
      <c r="M943" s="574">
        <v>252</v>
      </c>
      <c r="N943" s="4" t="s">
        <v>2886</v>
      </c>
      <c r="O943" s="574">
        <v>252</v>
      </c>
      <c r="P943" s="574">
        <v>300</v>
      </c>
      <c r="Q943" s="574">
        <v>1500</v>
      </c>
      <c r="R943" s="26">
        <v>43908</v>
      </c>
      <c r="S943" s="4" t="s">
        <v>1501</v>
      </c>
      <c r="T943" s="574">
        <v>48623</v>
      </c>
      <c r="U943" t="s">
        <v>1879</v>
      </c>
      <c r="V943" s="575">
        <v>176</v>
      </c>
      <c r="W943" s="575">
        <v>76</v>
      </c>
      <c r="X943" s="375">
        <v>0.3</v>
      </c>
    </row>
    <row r="944" spans="1:24" x14ac:dyDescent="0.25">
      <c r="A944" s="4">
        <v>487</v>
      </c>
      <c r="B944" s="4" t="s">
        <v>25</v>
      </c>
      <c r="C944" s="6" t="s">
        <v>5835</v>
      </c>
      <c r="D944" s="6" t="s">
        <v>23</v>
      </c>
      <c r="E944" s="21">
        <v>43908</v>
      </c>
      <c r="F944" s="4" t="s">
        <v>1461</v>
      </c>
      <c r="H944" s="4">
        <v>6553</v>
      </c>
      <c r="I944" s="4">
        <v>4724</v>
      </c>
      <c r="J944" s="4" t="s">
        <v>1267</v>
      </c>
      <c r="K944" s="6" t="s">
        <v>1036</v>
      </c>
      <c r="L944" s="4">
        <v>1</v>
      </c>
      <c r="M944" s="574">
        <v>672</v>
      </c>
      <c r="N944" s="4" t="s">
        <v>2886</v>
      </c>
      <c r="O944" s="574">
        <v>672</v>
      </c>
      <c r="P944" s="574">
        <v>800</v>
      </c>
      <c r="Q944" s="574">
        <v>800</v>
      </c>
      <c r="R944" s="26">
        <v>43908</v>
      </c>
      <c r="S944" s="4" t="s">
        <v>1501</v>
      </c>
      <c r="T944" s="574">
        <v>48623</v>
      </c>
      <c r="U944" t="s">
        <v>2668</v>
      </c>
      <c r="V944" t="s">
        <v>5584</v>
      </c>
      <c r="W944" s="575">
        <v>672</v>
      </c>
      <c r="X944" s="375">
        <v>1</v>
      </c>
    </row>
    <row r="945" spans="1:24" x14ac:dyDescent="0.25">
      <c r="A945" s="4">
        <v>487</v>
      </c>
      <c r="B945" s="4" t="s">
        <v>3352</v>
      </c>
      <c r="C945" s="6" t="s">
        <v>3354</v>
      </c>
      <c r="D945" s="6" t="s">
        <v>1879</v>
      </c>
      <c r="E945" s="21">
        <v>43908</v>
      </c>
      <c r="F945" s="4" t="s">
        <v>1461</v>
      </c>
      <c r="H945" s="4">
        <v>6553</v>
      </c>
      <c r="I945" s="4">
        <v>4724</v>
      </c>
      <c r="J945" s="4" t="s">
        <v>1267</v>
      </c>
      <c r="K945" s="6" t="s">
        <v>1036</v>
      </c>
      <c r="L945" s="4">
        <v>5</v>
      </c>
      <c r="M945" s="574">
        <v>546</v>
      </c>
      <c r="N945" s="4" t="s">
        <v>2886</v>
      </c>
      <c r="O945" s="574">
        <v>546</v>
      </c>
      <c r="P945" s="574">
        <v>650</v>
      </c>
      <c r="Q945" s="574">
        <v>3250</v>
      </c>
      <c r="R945" s="26">
        <v>43908</v>
      </c>
      <c r="S945" s="4" t="s">
        <v>1501</v>
      </c>
      <c r="T945" s="574">
        <v>48623</v>
      </c>
      <c r="U945" t="s">
        <v>1879</v>
      </c>
      <c r="V945" s="575">
        <v>383</v>
      </c>
      <c r="W945" s="575">
        <v>164</v>
      </c>
      <c r="X945" s="375">
        <v>0.3</v>
      </c>
    </row>
    <row r="946" spans="1:24" x14ac:dyDescent="0.25">
      <c r="A946" s="4">
        <v>487</v>
      </c>
      <c r="B946" s="4" t="s">
        <v>5496</v>
      </c>
      <c r="C946" s="6" t="s">
        <v>5984</v>
      </c>
      <c r="D946" s="6" t="s">
        <v>5995</v>
      </c>
      <c r="E946" s="21">
        <v>43908</v>
      </c>
      <c r="F946" s="4" t="s">
        <v>1461</v>
      </c>
      <c r="H946" s="4">
        <v>6553</v>
      </c>
      <c r="I946" s="4">
        <v>4724</v>
      </c>
      <c r="J946" s="4" t="s">
        <v>1267</v>
      </c>
      <c r="K946" s="6" t="s">
        <v>1036</v>
      </c>
      <c r="L946" s="4">
        <v>1</v>
      </c>
      <c r="M946" s="574">
        <v>792</v>
      </c>
      <c r="N946" s="4" t="s">
        <v>2886</v>
      </c>
      <c r="O946" s="574">
        <v>792</v>
      </c>
      <c r="P946" s="574">
        <v>943</v>
      </c>
      <c r="Q946" s="574">
        <v>943</v>
      </c>
      <c r="R946" s="26">
        <v>43908</v>
      </c>
      <c r="S946" s="4" t="s">
        <v>1501</v>
      </c>
      <c r="T946" s="574">
        <v>48623</v>
      </c>
      <c r="U946" t="s">
        <v>1569</v>
      </c>
      <c r="V946" s="575">
        <v>515</v>
      </c>
      <c r="W946" s="575">
        <v>277</v>
      </c>
      <c r="X946" s="375">
        <v>0.35</v>
      </c>
    </row>
    <row r="947" spans="1:24" x14ac:dyDescent="0.25">
      <c r="A947" s="4">
        <v>487</v>
      </c>
      <c r="B947" s="4" t="s">
        <v>1834</v>
      </c>
      <c r="C947" s="6" t="s">
        <v>1878</v>
      </c>
      <c r="D947" s="6" t="s">
        <v>1879</v>
      </c>
      <c r="E947" s="21">
        <v>43908</v>
      </c>
      <c r="F947" s="4" t="s">
        <v>1461</v>
      </c>
      <c r="H947" s="4">
        <v>6553</v>
      </c>
      <c r="I947" s="4">
        <v>4724</v>
      </c>
      <c r="J947" s="4" t="s">
        <v>1267</v>
      </c>
      <c r="K947" s="6" t="s">
        <v>1036</v>
      </c>
      <c r="L947" s="4">
        <v>3</v>
      </c>
      <c r="M947" s="574">
        <v>378</v>
      </c>
      <c r="N947" s="4" t="s">
        <v>2886</v>
      </c>
      <c r="O947" s="574">
        <v>378</v>
      </c>
      <c r="P947" s="574">
        <v>450</v>
      </c>
      <c r="Q947" s="574">
        <v>1350</v>
      </c>
      <c r="R947" s="26">
        <v>43908</v>
      </c>
      <c r="S947" s="4" t="s">
        <v>1501</v>
      </c>
      <c r="T947" s="574">
        <v>48623</v>
      </c>
      <c r="U947" t="s">
        <v>1879</v>
      </c>
      <c r="V947" s="575">
        <v>265</v>
      </c>
      <c r="W947" s="575">
        <v>113</v>
      </c>
      <c r="X947" s="375">
        <v>0.3</v>
      </c>
    </row>
    <row r="948" spans="1:24" x14ac:dyDescent="0.25">
      <c r="A948" s="4">
        <v>487</v>
      </c>
      <c r="B948" s="4" t="s">
        <v>3334</v>
      </c>
      <c r="C948" s="6" t="s">
        <v>3344</v>
      </c>
      <c r="D948" s="6" t="s">
        <v>3342</v>
      </c>
      <c r="E948" s="21">
        <v>43908</v>
      </c>
      <c r="F948" s="4" t="s">
        <v>1461</v>
      </c>
      <c r="H948" s="4">
        <v>6553</v>
      </c>
      <c r="I948" s="4">
        <v>4724</v>
      </c>
      <c r="J948" s="4" t="s">
        <v>1267</v>
      </c>
      <c r="K948" s="6" t="s">
        <v>1036</v>
      </c>
      <c r="L948" s="4">
        <v>2</v>
      </c>
      <c r="M948" s="574">
        <v>1462</v>
      </c>
      <c r="N948" s="4" t="s">
        <v>2886</v>
      </c>
      <c r="O948" s="574">
        <v>1462</v>
      </c>
      <c r="P948" s="574">
        <v>1740</v>
      </c>
      <c r="Q948" s="574">
        <v>3480</v>
      </c>
      <c r="R948" s="26">
        <v>43908</v>
      </c>
      <c r="S948" s="4" t="s">
        <v>1501</v>
      </c>
      <c r="T948" s="574">
        <v>48623</v>
      </c>
      <c r="U948" t="s">
        <v>1576</v>
      </c>
      <c r="V948" s="575">
        <v>1041</v>
      </c>
      <c r="W948" s="575">
        <v>421</v>
      </c>
      <c r="X948" s="375">
        <v>0.28999999999999998</v>
      </c>
    </row>
    <row r="949" spans="1:24" x14ac:dyDescent="0.25">
      <c r="A949" s="4">
        <v>487</v>
      </c>
      <c r="B949" s="4" t="s">
        <v>6009</v>
      </c>
      <c r="C949" s="6" t="s">
        <v>6010</v>
      </c>
      <c r="D949" s="6" t="s">
        <v>6011</v>
      </c>
      <c r="E949" s="21">
        <v>43908</v>
      </c>
      <c r="F949" s="4" t="s">
        <v>1461</v>
      </c>
      <c r="H949" s="4">
        <v>6553</v>
      </c>
      <c r="I949" s="4">
        <v>4724</v>
      </c>
      <c r="J949" s="4" t="s">
        <v>1267</v>
      </c>
      <c r="K949" s="6" t="s">
        <v>1036</v>
      </c>
      <c r="L949" s="4">
        <v>2</v>
      </c>
      <c r="M949" s="574">
        <v>3277</v>
      </c>
      <c r="N949" s="4" t="s">
        <v>2886</v>
      </c>
      <c r="O949" s="574">
        <v>3277</v>
      </c>
      <c r="P949" s="574">
        <v>3900</v>
      </c>
      <c r="Q949" s="574">
        <v>7800</v>
      </c>
      <c r="R949" s="26">
        <v>43908</v>
      </c>
      <c r="S949" s="4" t="s">
        <v>1501</v>
      </c>
      <c r="T949" s="574">
        <v>48623</v>
      </c>
      <c r="U949" t="s">
        <v>6006</v>
      </c>
      <c r="V949" s="575">
        <v>2800</v>
      </c>
      <c r="W949" s="575">
        <v>477</v>
      </c>
      <c r="X949" s="375">
        <v>0.15</v>
      </c>
    </row>
    <row r="950" spans="1:24" x14ac:dyDescent="0.25">
      <c r="A950" s="4">
        <v>488</v>
      </c>
      <c r="B950" s="4" t="s">
        <v>843</v>
      </c>
      <c r="C950" s="6" t="s">
        <v>2058</v>
      </c>
      <c r="D950" s="6" t="s">
        <v>840</v>
      </c>
      <c r="E950" s="21">
        <v>43908</v>
      </c>
      <c r="F950" s="4" t="s">
        <v>1461</v>
      </c>
      <c r="H950" s="4">
        <v>6756</v>
      </c>
      <c r="I950" s="4">
        <v>4725</v>
      </c>
      <c r="J950" s="4" t="s">
        <v>1243</v>
      </c>
      <c r="K950" s="6" t="s">
        <v>986</v>
      </c>
      <c r="L950" s="4">
        <v>1</v>
      </c>
      <c r="M950" s="574">
        <v>16723</v>
      </c>
      <c r="N950" s="4" t="s">
        <v>2886</v>
      </c>
      <c r="O950" s="574">
        <v>16723</v>
      </c>
      <c r="P950" s="574">
        <v>19900</v>
      </c>
      <c r="Q950" s="574">
        <v>19900</v>
      </c>
      <c r="R950" s="26">
        <v>43908</v>
      </c>
      <c r="S950" s="4" t="s">
        <v>1501</v>
      </c>
      <c r="T950" s="574">
        <v>47900</v>
      </c>
      <c r="U950" t="s">
        <v>1572</v>
      </c>
      <c r="V950" s="575">
        <v>11888</v>
      </c>
      <c r="W950" s="575">
        <v>4835</v>
      </c>
      <c r="X950" s="375">
        <v>0.28999999999999998</v>
      </c>
    </row>
    <row r="951" spans="1:24" x14ac:dyDescent="0.25">
      <c r="A951" s="4">
        <v>488</v>
      </c>
      <c r="B951" s="4" t="s">
        <v>2289</v>
      </c>
      <c r="C951" s="6" t="s">
        <v>2620</v>
      </c>
      <c r="D951" s="6" t="s">
        <v>1539</v>
      </c>
      <c r="E951" s="21">
        <v>43908</v>
      </c>
      <c r="F951" s="4" t="s">
        <v>1461</v>
      </c>
      <c r="H951" s="4">
        <v>6756</v>
      </c>
      <c r="I951" s="4">
        <v>4725</v>
      </c>
      <c r="J951" s="4" t="s">
        <v>1243</v>
      </c>
      <c r="K951" s="6" t="s">
        <v>986</v>
      </c>
      <c r="L951" s="4">
        <v>1</v>
      </c>
      <c r="M951" s="574">
        <v>20588</v>
      </c>
      <c r="N951" s="4" t="s">
        <v>2886</v>
      </c>
      <c r="O951" s="574">
        <v>20588</v>
      </c>
      <c r="P951" s="574">
        <v>24500</v>
      </c>
      <c r="Q951" s="574">
        <v>24500</v>
      </c>
      <c r="R951" s="26">
        <v>43908</v>
      </c>
      <c r="S951" s="4" t="s">
        <v>1501</v>
      </c>
      <c r="T951" s="574">
        <v>47900</v>
      </c>
      <c r="U951" t="s">
        <v>1524</v>
      </c>
      <c r="V951" s="575">
        <v>16386</v>
      </c>
      <c r="W951" s="575">
        <v>4202</v>
      </c>
      <c r="X951" s="375">
        <v>0.2</v>
      </c>
    </row>
    <row r="952" spans="1:24" x14ac:dyDescent="0.25">
      <c r="A952" s="4">
        <v>488</v>
      </c>
      <c r="B952" s="4" t="s">
        <v>5996</v>
      </c>
      <c r="C952" s="6" t="s">
        <v>5997</v>
      </c>
      <c r="D952" s="6" t="s">
        <v>23</v>
      </c>
      <c r="E952" s="21">
        <v>43908</v>
      </c>
      <c r="F952" s="4" t="s">
        <v>1461</v>
      </c>
      <c r="H952" s="4">
        <v>6756</v>
      </c>
      <c r="I952" s="4">
        <v>4725</v>
      </c>
      <c r="J952" s="4" t="s">
        <v>1243</v>
      </c>
      <c r="K952" s="6" t="s">
        <v>986</v>
      </c>
      <c r="L952" s="4">
        <v>1</v>
      </c>
      <c r="M952" s="574">
        <v>2941</v>
      </c>
      <c r="N952" s="4" t="s">
        <v>2886</v>
      </c>
      <c r="O952" s="574">
        <v>2941</v>
      </c>
      <c r="P952" s="574">
        <v>3500</v>
      </c>
      <c r="Q952" s="574">
        <v>3500</v>
      </c>
      <c r="R952" s="26">
        <v>43908</v>
      </c>
      <c r="S952" s="4" t="s">
        <v>1501</v>
      </c>
      <c r="T952" s="574">
        <v>47900</v>
      </c>
      <c r="U952" t="s">
        <v>2668</v>
      </c>
      <c r="V952" s="575">
        <v>2079</v>
      </c>
      <c r="W952" s="575">
        <v>862</v>
      </c>
      <c r="X952" s="375">
        <v>0.28999999999999998</v>
      </c>
    </row>
    <row r="953" spans="1:24" x14ac:dyDescent="0.25">
      <c r="A953" s="4">
        <v>489</v>
      </c>
      <c r="B953" s="4" t="s">
        <v>4620</v>
      </c>
      <c r="C953" s="6" t="s">
        <v>4621</v>
      </c>
      <c r="D953" s="6" t="s">
        <v>4622</v>
      </c>
      <c r="E953" s="21">
        <v>43909</v>
      </c>
      <c r="F953" s="4" t="s">
        <v>1461</v>
      </c>
      <c r="H953" s="4">
        <v>6757</v>
      </c>
      <c r="I953" s="4">
        <v>4726</v>
      </c>
      <c r="J953" s="4" t="s">
        <v>4863</v>
      </c>
      <c r="K953" s="6" t="s">
        <v>4864</v>
      </c>
      <c r="L953" s="4">
        <v>1</v>
      </c>
      <c r="M953" s="574">
        <v>29832</v>
      </c>
      <c r="N953" s="4" t="s">
        <v>2886</v>
      </c>
      <c r="O953" s="574">
        <v>29832</v>
      </c>
      <c r="P953" s="574">
        <v>35500</v>
      </c>
      <c r="Q953" s="574">
        <v>35500</v>
      </c>
      <c r="R953" s="26">
        <v>43909</v>
      </c>
      <c r="S953" s="4" t="s">
        <v>1501</v>
      </c>
      <c r="T953" s="574">
        <v>35500</v>
      </c>
      <c r="U953" t="s">
        <v>4602</v>
      </c>
      <c r="V953" s="575">
        <v>26207</v>
      </c>
      <c r="W953" s="575">
        <v>3625</v>
      </c>
      <c r="X953" s="375">
        <v>0.12</v>
      </c>
    </row>
    <row r="954" spans="1:24" x14ac:dyDescent="0.25">
      <c r="A954" s="4">
        <v>490</v>
      </c>
      <c r="B954" s="4" t="s">
        <v>5147</v>
      </c>
      <c r="C954" s="6" t="s">
        <v>5148</v>
      </c>
      <c r="D954" s="6" t="s">
        <v>4618</v>
      </c>
      <c r="E954" s="21">
        <v>43909</v>
      </c>
      <c r="F954" s="4" t="s">
        <v>1461</v>
      </c>
      <c r="H954" s="4">
        <v>6758</v>
      </c>
      <c r="I954" s="4">
        <v>4727</v>
      </c>
      <c r="J954" s="4" t="s">
        <v>6012</v>
      </c>
      <c r="K954" s="6" t="s">
        <v>6013</v>
      </c>
      <c r="L954" s="4">
        <v>1</v>
      </c>
      <c r="M954" s="574">
        <v>26471</v>
      </c>
      <c r="N954" s="4" t="s">
        <v>2886</v>
      </c>
      <c r="O954" s="574">
        <v>26471</v>
      </c>
      <c r="P954" s="574">
        <v>31500</v>
      </c>
      <c r="Q954" s="574">
        <v>31500</v>
      </c>
      <c r="R954" s="26">
        <v>43909</v>
      </c>
      <c r="S954" s="4" t="s">
        <v>1501</v>
      </c>
      <c r="T954" s="574">
        <v>31500</v>
      </c>
      <c r="U954" t="s">
        <v>4602</v>
      </c>
      <c r="V954" s="575">
        <v>21183</v>
      </c>
      <c r="W954" s="575">
        <v>5288</v>
      </c>
      <c r="X954" s="375">
        <v>0.2</v>
      </c>
    </row>
    <row r="955" spans="1:24" x14ac:dyDescent="0.25">
      <c r="A955" s="4">
        <v>491</v>
      </c>
      <c r="B955" s="4" t="s">
        <v>830</v>
      </c>
      <c r="C955" s="6" t="s">
        <v>2495</v>
      </c>
      <c r="D955" s="6" t="s">
        <v>837</v>
      </c>
      <c r="E955" s="21">
        <v>43909</v>
      </c>
      <c r="F955" s="4" t="s">
        <v>1461</v>
      </c>
      <c r="H955" s="4">
        <v>6759</v>
      </c>
      <c r="I955" s="4">
        <v>4728</v>
      </c>
      <c r="J955" s="4" t="s">
        <v>6015</v>
      </c>
      <c r="K955" s="6" t="s">
        <v>6016</v>
      </c>
      <c r="L955" s="4">
        <v>2</v>
      </c>
      <c r="M955" s="574">
        <v>13866</v>
      </c>
      <c r="N955" s="4" t="s">
        <v>2886</v>
      </c>
      <c r="O955" s="574">
        <v>13866</v>
      </c>
      <c r="P955" s="574">
        <v>16500</v>
      </c>
      <c r="Q955" s="574">
        <v>33000</v>
      </c>
      <c r="R955" s="26">
        <v>43909</v>
      </c>
      <c r="S955" s="4" t="s">
        <v>1501</v>
      </c>
      <c r="T955" s="574">
        <v>33000</v>
      </c>
      <c r="U955" t="s">
        <v>1572</v>
      </c>
      <c r="V955" s="575">
        <v>10390</v>
      </c>
      <c r="W955" s="575">
        <v>3476</v>
      </c>
      <c r="X955" s="375">
        <v>0.25</v>
      </c>
    </row>
    <row r="956" spans="1:24" x14ac:dyDescent="0.25">
      <c r="A956" s="4">
        <v>492</v>
      </c>
      <c r="B956" s="4" t="s">
        <v>855</v>
      </c>
      <c r="C956" s="6" t="s">
        <v>2499</v>
      </c>
      <c r="D956" s="6" t="s">
        <v>857</v>
      </c>
      <c r="E956" s="21">
        <v>43909</v>
      </c>
      <c r="F956" s="4" t="s">
        <v>1461</v>
      </c>
      <c r="H956" s="4">
        <v>6760</v>
      </c>
      <c r="I956" s="4">
        <v>4729</v>
      </c>
      <c r="J956" s="4" t="s">
        <v>2656</v>
      </c>
      <c r="K956" s="6" t="s">
        <v>3362</v>
      </c>
      <c r="L956" s="4">
        <v>1</v>
      </c>
      <c r="M956" s="574">
        <v>13277</v>
      </c>
      <c r="N956" s="4" t="s">
        <v>2886</v>
      </c>
      <c r="O956" s="574">
        <v>13277</v>
      </c>
      <c r="P956" s="574">
        <v>15800</v>
      </c>
      <c r="Q956" s="574">
        <v>15800</v>
      </c>
      <c r="R956" s="26">
        <v>43909</v>
      </c>
      <c r="S956" s="4" t="s">
        <v>1501</v>
      </c>
      <c r="T956" s="574">
        <v>81400</v>
      </c>
      <c r="U956" t="s">
        <v>1551</v>
      </c>
      <c r="V956" s="575">
        <v>9975</v>
      </c>
      <c r="W956" s="575">
        <v>3302</v>
      </c>
      <c r="X956" s="375">
        <v>0.25</v>
      </c>
    </row>
    <row r="957" spans="1:24" x14ac:dyDescent="0.25">
      <c r="A957" s="4">
        <v>492</v>
      </c>
      <c r="B957" s="4" t="s">
        <v>800</v>
      </c>
      <c r="C957" s="6" t="s">
        <v>1927</v>
      </c>
      <c r="D957" s="6" t="s">
        <v>802</v>
      </c>
      <c r="E957" s="21">
        <v>43909</v>
      </c>
      <c r="F957" s="4" t="s">
        <v>1461</v>
      </c>
      <c r="H957" s="4">
        <v>6760</v>
      </c>
      <c r="I957" s="4">
        <v>4729</v>
      </c>
      <c r="J957" s="4" t="s">
        <v>2656</v>
      </c>
      <c r="K957" s="6" t="s">
        <v>3362</v>
      </c>
      <c r="L957" s="4">
        <v>1</v>
      </c>
      <c r="M957" s="574">
        <v>19244</v>
      </c>
      <c r="N957" s="4" t="s">
        <v>2886</v>
      </c>
      <c r="O957" s="574">
        <v>19244</v>
      </c>
      <c r="P957" s="574">
        <v>22900</v>
      </c>
      <c r="Q957" s="574">
        <v>22900</v>
      </c>
      <c r="R957" s="26">
        <v>43909</v>
      </c>
      <c r="S957" s="4" t="s">
        <v>1501</v>
      </c>
      <c r="T957" s="574">
        <v>81400</v>
      </c>
      <c r="U957" t="s">
        <v>1551</v>
      </c>
      <c r="V957" s="575">
        <v>14894</v>
      </c>
      <c r="W957" s="575">
        <v>4350</v>
      </c>
      <c r="X957" s="375">
        <v>0.23</v>
      </c>
    </row>
    <row r="958" spans="1:24" x14ac:dyDescent="0.25">
      <c r="A958" s="4">
        <v>492</v>
      </c>
      <c r="B958" s="4" t="s">
        <v>5928</v>
      </c>
      <c r="C958" s="6" t="s">
        <v>5929</v>
      </c>
      <c r="D958" s="6" t="s">
        <v>5927</v>
      </c>
      <c r="E958" s="21">
        <v>43909</v>
      </c>
      <c r="F958" s="4" t="s">
        <v>1461</v>
      </c>
      <c r="H958" s="4">
        <v>6760</v>
      </c>
      <c r="I958" s="4">
        <v>4729</v>
      </c>
      <c r="J958" s="4" t="s">
        <v>2656</v>
      </c>
      <c r="K958" s="6" t="s">
        <v>3362</v>
      </c>
      <c r="L958" s="4">
        <v>1</v>
      </c>
      <c r="M958" s="574">
        <v>31849</v>
      </c>
      <c r="N958" s="4" t="s">
        <v>2886</v>
      </c>
      <c r="O958" s="574">
        <v>31849</v>
      </c>
      <c r="P958" s="574">
        <v>37900</v>
      </c>
      <c r="Q958" s="574">
        <v>37900</v>
      </c>
      <c r="R958" s="26">
        <v>43909</v>
      </c>
      <c r="S958" s="4" t="s">
        <v>1501</v>
      </c>
      <c r="T958" s="574">
        <v>81400</v>
      </c>
      <c r="U958" t="s">
        <v>5926</v>
      </c>
      <c r="V958" s="575">
        <v>26400</v>
      </c>
      <c r="W958" s="575">
        <v>5449</v>
      </c>
      <c r="X958" s="375">
        <v>0.17</v>
      </c>
    </row>
    <row r="959" spans="1:24" x14ac:dyDescent="0.25">
      <c r="A959" s="4">
        <v>492</v>
      </c>
      <c r="B959" s="4" t="s">
        <v>4352</v>
      </c>
      <c r="C959" s="6" t="s">
        <v>4453</v>
      </c>
      <c r="D959" s="6" t="s">
        <v>4454</v>
      </c>
      <c r="E959" s="21">
        <v>43909</v>
      </c>
      <c r="F959" s="4" t="s">
        <v>1461</v>
      </c>
      <c r="H959" s="4">
        <v>6760</v>
      </c>
      <c r="I959" s="4">
        <v>4729</v>
      </c>
      <c r="J959" s="4" t="s">
        <v>2656</v>
      </c>
      <c r="K959" s="6" t="s">
        <v>3362</v>
      </c>
      <c r="L959" s="4">
        <v>1</v>
      </c>
      <c r="M959" s="574">
        <v>4034</v>
      </c>
      <c r="N959" s="4" t="s">
        <v>2886</v>
      </c>
      <c r="O959" s="574">
        <v>4034</v>
      </c>
      <c r="P959" s="574">
        <v>4800</v>
      </c>
      <c r="Q959" s="574">
        <v>4800</v>
      </c>
      <c r="R959" s="26">
        <v>43909</v>
      </c>
      <c r="S959" s="4" t="s">
        <v>1501</v>
      </c>
      <c r="T959" s="574">
        <v>81400</v>
      </c>
      <c r="U959" t="s">
        <v>1551</v>
      </c>
      <c r="V959" s="575">
        <v>2695</v>
      </c>
      <c r="W959" s="575">
        <v>1339</v>
      </c>
      <c r="X959" s="375">
        <v>0.33</v>
      </c>
    </row>
    <row r="960" spans="1:24" x14ac:dyDescent="0.25">
      <c r="A960" s="4">
        <v>493</v>
      </c>
      <c r="B960" s="4" t="s">
        <v>838</v>
      </c>
      <c r="C960" s="6" t="s">
        <v>2062</v>
      </c>
      <c r="D960" s="6" t="s">
        <v>840</v>
      </c>
      <c r="E960" s="21">
        <v>43909</v>
      </c>
      <c r="F960" s="4" t="s">
        <v>1461</v>
      </c>
      <c r="H960" s="4">
        <v>6761</v>
      </c>
      <c r="I960" s="4">
        <v>4730</v>
      </c>
      <c r="J960" s="4" t="s">
        <v>5335</v>
      </c>
      <c r="K960" s="6" t="s">
        <v>5336</v>
      </c>
      <c r="L960" s="4">
        <v>1</v>
      </c>
      <c r="M960" s="574">
        <v>16555</v>
      </c>
      <c r="N960" s="4" t="s">
        <v>2886</v>
      </c>
      <c r="O960" s="574">
        <v>16555</v>
      </c>
      <c r="P960" s="574">
        <v>19700</v>
      </c>
      <c r="Q960" s="574">
        <v>19700</v>
      </c>
      <c r="R960" s="26">
        <v>43909</v>
      </c>
      <c r="S960" s="4" t="s">
        <v>1501</v>
      </c>
      <c r="T960" s="574">
        <v>19700</v>
      </c>
      <c r="U960" t="s">
        <v>1572</v>
      </c>
      <c r="V960" s="575">
        <v>12429</v>
      </c>
      <c r="W960" s="575">
        <v>4126</v>
      </c>
      <c r="X960" s="375">
        <v>0.25</v>
      </c>
    </row>
    <row r="961" spans="1:24" x14ac:dyDescent="0.25">
      <c r="A961" s="4">
        <v>494</v>
      </c>
      <c r="B961" s="4" t="s">
        <v>830</v>
      </c>
      <c r="C961" s="6" t="s">
        <v>2495</v>
      </c>
      <c r="D961" s="6" t="s">
        <v>837</v>
      </c>
      <c r="E961" s="21">
        <v>43909</v>
      </c>
      <c r="F961" s="4" t="s">
        <v>1461</v>
      </c>
      <c r="H961" s="4">
        <v>6762</v>
      </c>
      <c r="I961" s="4">
        <v>4731</v>
      </c>
      <c r="J961" s="4" t="s">
        <v>5591</v>
      </c>
      <c r="K961" s="6" t="s">
        <v>5592</v>
      </c>
      <c r="L961" s="4">
        <v>1</v>
      </c>
      <c r="M961" s="574">
        <v>13866</v>
      </c>
      <c r="N961" s="4" t="s">
        <v>2886</v>
      </c>
      <c r="O961" s="574">
        <v>13866</v>
      </c>
      <c r="P961" s="574">
        <v>16500</v>
      </c>
      <c r="Q961" s="574">
        <v>16500</v>
      </c>
      <c r="R961" s="26">
        <v>43909</v>
      </c>
      <c r="S961" s="4" t="s">
        <v>2050</v>
      </c>
      <c r="T961" s="574">
        <v>16500</v>
      </c>
      <c r="U961" t="s">
        <v>1572</v>
      </c>
      <c r="V961" s="575">
        <v>10390</v>
      </c>
      <c r="W961" s="575">
        <v>3476</v>
      </c>
      <c r="X961" s="375">
        <v>0.25</v>
      </c>
    </row>
    <row r="962" spans="1:24" x14ac:dyDescent="0.25">
      <c r="A962" s="4">
        <v>495</v>
      </c>
      <c r="B962" s="4" t="s">
        <v>838</v>
      </c>
      <c r="C962" s="6" t="s">
        <v>2062</v>
      </c>
      <c r="D962" s="6" t="s">
        <v>840</v>
      </c>
      <c r="E962" s="21">
        <v>43909</v>
      </c>
      <c r="F962" s="4" t="s">
        <v>1461</v>
      </c>
      <c r="H962" s="4">
        <v>6764</v>
      </c>
      <c r="I962" s="4">
        <v>4732</v>
      </c>
      <c r="J962" s="4" t="s">
        <v>5273</v>
      </c>
      <c r="K962" s="6" t="s">
        <v>5274</v>
      </c>
      <c r="L962" s="4">
        <v>1</v>
      </c>
      <c r="M962" s="574">
        <v>16555</v>
      </c>
      <c r="N962" s="4" t="s">
        <v>2886</v>
      </c>
      <c r="O962" s="574">
        <v>16555</v>
      </c>
      <c r="P962" s="574">
        <v>19700</v>
      </c>
      <c r="Q962" s="574">
        <v>19700</v>
      </c>
      <c r="R962" s="26">
        <v>43909</v>
      </c>
      <c r="S962" s="4" t="s">
        <v>1501</v>
      </c>
      <c r="T962" s="574">
        <v>19700</v>
      </c>
      <c r="U962" t="s">
        <v>1572</v>
      </c>
      <c r="V962" s="575">
        <v>12429</v>
      </c>
      <c r="W962" s="575">
        <v>4126</v>
      </c>
      <c r="X962" s="375">
        <v>0.25</v>
      </c>
    </row>
    <row r="963" spans="1:24" x14ac:dyDescent="0.25">
      <c r="A963" s="4">
        <v>496</v>
      </c>
      <c r="B963" s="4" t="s">
        <v>830</v>
      </c>
      <c r="C963" s="6" t="s">
        <v>2495</v>
      </c>
      <c r="D963" s="6" t="s">
        <v>837</v>
      </c>
      <c r="E963" s="21">
        <v>43909</v>
      </c>
      <c r="F963" s="4" t="s">
        <v>1461</v>
      </c>
      <c r="H963" s="4">
        <v>6767</v>
      </c>
      <c r="I963" s="4">
        <v>4733</v>
      </c>
      <c r="J963" s="4" t="s">
        <v>5747</v>
      </c>
      <c r="K963" s="6" t="s">
        <v>5748</v>
      </c>
      <c r="L963" s="4">
        <v>2</v>
      </c>
      <c r="M963" s="574">
        <v>13866</v>
      </c>
      <c r="N963" s="4" t="s">
        <v>2886</v>
      </c>
      <c r="O963" s="574">
        <v>13866</v>
      </c>
      <c r="P963" s="574">
        <v>16500</v>
      </c>
      <c r="Q963" s="574">
        <v>33000</v>
      </c>
      <c r="R963" s="26">
        <v>43909</v>
      </c>
      <c r="S963" s="4" t="s">
        <v>1501</v>
      </c>
      <c r="T963" s="574">
        <v>33000</v>
      </c>
      <c r="U963" t="s">
        <v>1572</v>
      </c>
      <c r="V963" s="575">
        <v>10390</v>
      </c>
      <c r="W963" s="575">
        <v>3476</v>
      </c>
      <c r="X963" s="375">
        <v>0.25</v>
      </c>
    </row>
    <row r="964" spans="1:24" x14ac:dyDescent="0.25">
      <c r="A964" s="4">
        <v>497</v>
      </c>
      <c r="B964" s="4" t="s">
        <v>838</v>
      </c>
      <c r="C964" s="6" t="s">
        <v>2062</v>
      </c>
      <c r="D964" s="6" t="s">
        <v>840</v>
      </c>
      <c r="E964" s="21">
        <v>43909</v>
      </c>
      <c r="F964" s="4" t="s">
        <v>1461</v>
      </c>
      <c r="H964" s="4">
        <v>6763</v>
      </c>
      <c r="I964" s="4">
        <v>4734</v>
      </c>
      <c r="J964" s="4" t="s">
        <v>6018</v>
      </c>
      <c r="K964" s="6" t="s">
        <v>6019</v>
      </c>
      <c r="L964" s="4">
        <v>1</v>
      </c>
      <c r="M964" s="574">
        <v>16555</v>
      </c>
      <c r="N964" s="4" t="s">
        <v>2886</v>
      </c>
      <c r="O964" s="574">
        <v>16555</v>
      </c>
      <c r="P964" s="574">
        <v>19700</v>
      </c>
      <c r="Q964" s="574">
        <v>19700</v>
      </c>
      <c r="R964" s="26">
        <v>43909</v>
      </c>
      <c r="S964" s="4" t="s">
        <v>1501</v>
      </c>
      <c r="T964" s="574">
        <v>51300</v>
      </c>
      <c r="U964" t="s">
        <v>1572</v>
      </c>
      <c r="V964" s="575">
        <v>12429</v>
      </c>
      <c r="W964" s="575">
        <v>4126</v>
      </c>
      <c r="X964" s="375">
        <v>0.25</v>
      </c>
    </row>
    <row r="965" spans="1:24" x14ac:dyDescent="0.25">
      <c r="A965" s="4">
        <v>497</v>
      </c>
      <c r="B965" s="4" t="s">
        <v>855</v>
      </c>
      <c r="C965" s="6" t="s">
        <v>2499</v>
      </c>
      <c r="D965" s="6" t="s">
        <v>857</v>
      </c>
      <c r="E965" s="21">
        <v>43909</v>
      </c>
      <c r="F965" s="4" t="s">
        <v>1461</v>
      </c>
      <c r="H965" s="4">
        <v>6763</v>
      </c>
      <c r="I965" s="4">
        <v>4734</v>
      </c>
      <c r="J965" s="4" t="s">
        <v>6018</v>
      </c>
      <c r="K965" s="6" t="s">
        <v>6019</v>
      </c>
      <c r="L965" s="4">
        <v>2</v>
      </c>
      <c r="M965" s="574">
        <v>13277</v>
      </c>
      <c r="N965" s="4" t="s">
        <v>2886</v>
      </c>
      <c r="O965" s="574">
        <v>13277</v>
      </c>
      <c r="P965" s="574">
        <v>15800</v>
      </c>
      <c r="Q965" s="574">
        <v>31600</v>
      </c>
      <c r="R965" s="26">
        <v>43909</v>
      </c>
      <c r="S965" s="4" t="s">
        <v>1501</v>
      </c>
      <c r="T965" s="574">
        <v>51300</v>
      </c>
      <c r="U965" t="s">
        <v>1551</v>
      </c>
      <c r="V965" s="575">
        <v>9975</v>
      </c>
      <c r="W965" s="575">
        <v>3302</v>
      </c>
      <c r="X965" s="375">
        <v>0.25</v>
      </c>
    </row>
    <row r="966" spans="1:24" x14ac:dyDescent="0.25">
      <c r="A966" s="4">
        <v>498</v>
      </c>
      <c r="B966" s="4" t="s">
        <v>792</v>
      </c>
      <c r="C966" s="6" t="s">
        <v>1928</v>
      </c>
      <c r="D966" s="6" t="s">
        <v>794</v>
      </c>
      <c r="E966" s="21">
        <v>43909</v>
      </c>
      <c r="F966" s="4" t="s">
        <v>1461</v>
      </c>
      <c r="H966" s="4">
        <v>6768</v>
      </c>
      <c r="I966" s="4">
        <v>4735</v>
      </c>
      <c r="J966" s="4" t="s">
        <v>3673</v>
      </c>
      <c r="K966" s="6" t="s">
        <v>3674</v>
      </c>
      <c r="L966" s="4">
        <v>1</v>
      </c>
      <c r="M966" s="574">
        <v>20084</v>
      </c>
      <c r="N966" s="4" t="s">
        <v>2886</v>
      </c>
      <c r="O966" s="574">
        <v>20084</v>
      </c>
      <c r="P966" s="574">
        <v>23900</v>
      </c>
      <c r="Q966" s="574">
        <v>23900</v>
      </c>
      <c r="R966" s="26">
        <v>43909</v>
      </c>
      <c r="S966" s="4" t="s">
        <v>1501</v>
      </c>
      <c r="T966" s="574">
        <v>23900</v>
      </c>
      <c r="U966" t="s">
        <v>1551</v>
      </c>
      <c r="V966" s="575">
        <v>14604</v>
      </c>
      <c r="W966" s="575">
        <v>5480</v>
      </c>
      <c r="X966" s="375">
        <v>0.27</v>
      </c>
    </row>
    <row r="967" spans="1:24" x14ac:dyDescent="0.25">
      <c r="A967" s="4">
        <v>499</v>
      </c>
      <c r="B967" s="4" t="s">
        <v>2614</v>
      </c>
      <c r="C967" s="6" t="s">
        <v>2644</v>
      </c>
      <c r="D967" s="6" t="s">
        <v>1469</v>
      </c>
      <c r="E967" s="21">
        <v>43909</v>
      </c>
      <c r="F967" s="4" t="s">
        <v>1461</v>
      </c>
      <c r="H967" s="4">
        <v>6769</v>
      </c>
      <c r="I967" s="4">
        <v>4736</v>
      </c>
      <c r="J967" s="4" t="s">
        <v>1233</v>
      </c>
      <c r="K967" s="6" t="s">
        <v>1046</v>
      </c>
      <c r="L967" s="4">
        <v>1</v>
      </c>
      <c r="M967" s="574">
        <v>18739</v>
      </c>
      <c r="N967" s="4" t="s">
        <v>2886</v>
      </c>
      <c r="O967" s="574">
        <v>18739</v>
      </c>
      <c r="P967" s="574">
        <v>22300</v>
      </c>
      <c r="Q967" s="574">
        <v>22300</v>
      </c>
      <c r="R967" s="26">
        <v>43909</v>
      </c>
      <c r="S967" s="4" t="s">
        <v>1501</v>
      </c>
      <c r="T967" s="574">
        <v>48100</v>
      </c>
      <c r="U967" t="s">
        <v>1570</v>
      </c>
      <c r="V967" s="575">
        <v>14040</v>
      </c>
      <c r="W967" s="575">
        <v>4699</v>
      </c>
      <c r="X967" s="375">
        <v>0.25</v>
      </c>
    </row>
    <row r="968" spans="1:24" x14ac:dyDescent="0.25">
      <c r="A968" s="4">
        <v>499</v>
      </c>
      <c r="B968" s="4" t="s">
        <v>2250</v>
      </c>
      <c r="C968" s="6" t="s">
        <v>5846</v>
      </c>
      <c r="D968" s="6" t="s">
        <v>1638</v>
      </c>
      <c r="E968" s="21">
        <v>43909</v>
      </c>
      <c r="F968" s="4" t="s">
        <v>1461</v>
      </c>
      <c r="H968" s="4">
        <v>6769</v>
      </c>
      <c r="I968" s="4">
        <v>4736</v>
      </c>
      <c r="J968" s="4" t="s">
        <v>1233</v>
      </c>
      <c r="K968" s="6" t="s">
        <v>1046</v>
      </c>
      <c r="L968" s="4">
        <v>4</v>
      </c>
      <c r="M968" s="574">
        <v>3193</v>
      </c>
      <c r="N968" s="4" t="s">
        <v>2886</v>
      </c>
      <c r="O968" s="574">
        <v>3193</v>
      </c>
      <c r="P968" s="574">
        <v>3800</v>
      </c>
      <c r="Q968" s="574">
        <v>15200</v>
      </c>
      <c r="R968" s="26">
        <v>43909</v>
      </c>
      <c r="S968" s="4" t="s">
        <v>1501</v>
      </c>
      <c r="T968" s="574">
        <v>48100</v>
      </c>
      <c r="U968" t="s">
        <v>1545</v>
      </c>
      <c r="V968" s="575">
        <v>2100</v>
      </c>
      <c r="W968" s="575">
        <v>1093</v>
      </c>
      <c r="X968" s="375">
        <v>0.34</v>
      </c>
    </row>
    <row r="969" spans="1:24" x14ac:dyDescent="0.25">
      <c r="A969" s="4">
        <v>499</v>
      </c>
      <c r="B969" s="4" t="s">
        <v>1755</v>
      </c>
      <c r="C969" s="6" t="s">
        <v>1925</v>
      </c>
      <c r="D969" s="6" t="s">
        <v>1504</v>
      </c>
      <c r="E969" s="21">
        <v>43909</v>
      </c>
      <c r="F969" s="4" t="s">
        <v>1461</v>
      </c>
      <c r="H969" s="4">
        <v>6769</v>
      </c>
      <c r="I969" s="4">
        <v>4736</v>
      </c>
      <c r="J969" s="4" t="s">
        <v>1233</v>
      </c>
      <c r="K969" s="6" t="s">
        <v>1046</v>
      </c>
      <c r="L969" s="4">
        <v>2</v>
      </c>
      <c r="M969" s="574">
        <v>2941</v>
      </c>
      <c r="N969" s="4" t="s">
        <v>2886</v>
      </c>
      <c r="O969" s="574">
        <v>2941</v>
      </c>
      <c r="P969" s="574">
        <v>3500</v>
      </c>
      <c r="Q969" s="574">
        <v>7000</v>
      </c>
      <c r="R969" s="26">
        <v>43909</v>
      </c>
      <c r="S969" s="4" t="s">
        <v>1501</v>
      </c>
      <c r="T969" s="574">
        <v>48100</v>
      </c>
      <c r="U969" t="s">
        <v>1545</v>
      </c>
      <c r="V969" s="575">
        <v>2119</v>
      </c>
      <c r="W969" s="575">
        <v>822</v>
      </c>
      <c r="X969" s="375">
        <v>0.28000000000000003</v>
      </c>
    </row>
    <row r="970" spans="1:24" x14ac:dyDescent="0.25">
      <c r="A970" s="4">
        <v>499</v>
      </c>
      <c r="B970" s="4" t="s">
        <v>1802</v>
      </c>
      <c r="C970" s="6" t="s">
        <v>1715</v>
      </c>
      <c r="D970" s="6" t="s">
        <v>1716</v>
      </c>
      <c r="E970" s="21">
        <v>43909</v>
      </c>
      <c r="F970" s="4" t="s">
        <v>1461</v>
      </c>
      <c r="H970" s="4">
        <v>6769</v>
      </c>
      <c r="I970" s="4">
        <v>4736</v>
      </c>
      <c r="J970" s="4" t="s">
        <v>1233</v>
      </c>
      <c r="K970" s="6" t="s">
        <v>1046</v>
      </c>
      <c r="L970" s="4">
        <v>6</v>
      </c>
      <c r="M970" s="574">
        <v>504</v>
      </c>
      <c r="N970" s="4" t="s">
        <v>2886</v>
      </c>
      <c r="O970" s="574">
        <v>504</v>
      </c>
      <c r="P970" s="574">
        <v>600</v>
      </c>
      <c r="Q970" s="574">
        <v>3600</v>
      </c>
      <c r="R970" s="26">
        <v>43909</v>
      </c>
      <c r="S970" s="4" t="s">
        <v>1501</v>
      </c>
      <c r="T970" s="574">
        <v>48100</v>
      </c>
      <c r="U970" t="s">
        <v>1561</v>
      </c>
      <c r="V970" s="575">
        <v>192</v>
      </c>
      <c r="W970" s="575">
        <v>312</v>
      </c>
      <c r="X970" s="375">
        <v>0.62</v>
      </c>
    </row>
    <row r="971" spans="1:24" x14ac:dyDescent="0.25">
      <c r="A971" s="4">
        <v>500</v>
      </c>
      <c r="B971" s="4" t="s">
        <v>2289</v>
      </c>
      <c r="C971" s="6" t="s">
        <v>2620</v>
      </c>
      <c r="D971" s="6" t="s">
        <v>1539</v>
      </c>
      <c r="E971" s="21">
        <v>43910</v>
      </c>
      <c r="F971" s="4" t="s">
        <v>1461</v>
      </c>
      <c r="H971" s="4">
        <v>6770</v>
      </c>
      <c r="I971" s="4">
        <v>4737</v>
      </c>
      <c r="J971" s="4" t="s">
        <v>1200</v>
      </c>
      <c r="K971" s="6" t="s">
        <v>2316</v>
      </c>
      <c r="L971" s="4">
        <v>1</v>
      </c>
      <c r="M971" s="577">
        <v>20588</v>
      </c>
      <c r="N971" s="4" t="s">
        <v>2886</v>
      </c>
      <c r="O971" s="577">
        <v>20588</v>
      </c>
      <c r="P971" s="577">
        <v>24500</v>
      </c>
      <c r="Q971" s="577">
        <v>24500</v>
      </c>
      <c r="R971" s="26">
        <v>43910</v>
      </c>
      <c r="S971" s="4" t="s">
        <v>1445</v>
      </c>
      <c r="T971" s="577">
        <v>124205</v>
      </c>
      <c r="U971" t="s">
        <v>1524</v>
      </c>
      <c r="V971" s="578">
        <v>16386</v>
      </c>
      <c r="W971" s="578">
        <v>4202</v>
      </c>
      <c r="X971" s="375">
        <v>0.2</v>
      </c>
    </row>
    <row r="972" spans="1:24" x14ac:dyDescent="0.25">
      <c r="A972" s="4">
        <v>500</v>
      </c>
      <c r="B972" s="4" t="s">
        <v>430</v>
      </c>
      <c r="C972" s="6" t="s">
        <v>2700</v>
      </c>
      <c r="D972" s="6" t="s">
        <v>426</v>
      </c>
      <c r="E972" s="21">
        <v>43910</v>
      </c>
      <c r="F972" s="4" t="s">
        <v>1461</v>
      </c>
      <c r="H972" s="4">
        <v>6770</v>
      </c>
      <c r="I972" s="4">
        <v>4737</v>
      </c>
      <c r="J972" s="4" t="s">
        <v>1200</v>
      </c>
      <c r="K972" s="6" t="s">
        <v>2316</v>
      </c>
      <c r="L972" s="4">
        <v>1</v>
      </c>
      <c r="M972" s="577">
        <v>3529</v>
      </c>
      <c r="N972" s="374">
        <v>0.05</v>
      </c>
      <c r="O972" s="577">
        <v>3361</v>
      </c>
      <c r="P972" s="577">
        <v>3990</v>
      </c>
      <c r="Q972" s="577">
        <v>3990</v>
      </c>
      <c r="R972" s="26">
        <v>43910</v>
      </c>
      <c r="S972" s="4" t="s">
        <v>1445</v>
      </c>
      <c r="T972" s="577">
        <v>124205</v>
      </c>
      <c r="U972" t="s">
        <v>1561</v>
      </c>
      <c r="V972" s="578">
        <v>2464</v>
      </c>
      <c r="W972" s="578">
        <v>897</v>
      </c>
      <c r="X972" s="375">
        <v>0.27</v>
      </c>
    </row>
    <row r="973" spans="1:24" x14ac:dyDescent="0.25">
      <c r="A973" s="4">
        <v>500</v>
      </c>
      <c r="B973" s="4" t="s">
        <v>3863</v>
      </c>
      <c r="C973" s="6" t="s">
        <v>3771</v>
      </c>
      <c r="D973" s="6" t="s">
        <v>1646</v>
      </c>
      <c r="E973" s="21">
        <v>43910</v>
      </c>
      <c r="F973" s="4" t="s">
        <v>1461</v>
      </c>
      <c r="H973" s="4">
        <v>6770</v>
      </c>
      <c r="I973" s="4">
        <v>4737</v>
      </c>
      <c r="J973" s="4" t="s">
        <v>1200</v>
      </c>
      <c r="K973" s="6" t="s">
        <v>2316</v>
      </c>
      <c r="L973" s="4">
        <v>1</v>
      </c>
      <c r="M973" s="577">
        <v>2521</v>
      </c>
      <c r="N973" s="4" t="s">
        <v>2886</v>
      </c>
      <c r="O973" s="577">
        <v>2521</v>
      </c>
      <c r="P973" s="577">
        <v>3000</v>
      </c>
      <c r="Q973" s="577">
        <v>3000</v>
      </c>
      <c r="R973" s="26">
        <v>43910</v>
      </c>
      <c r="S973" s="4" t="s">
        <v>1445</v>
      </c>
      <c r="T973" s="577">
        <v>124205</v>
      </c>
      <c r="U973" t="s">
        <v>3934</v>
      </c>
      <c r="V973" s="578">
        <v>1787</v>
      </c>
      <c r="W973" s="578">
        <v>734</v>
      </c>
      <c r="X973" s="375">
        <v>0.28999999999999998</v>
      </c>
    </row>
    <row r="974" spans="1:24" x14ac:dyDescent="0.25">
      <c r="A974" s="4">
        <v>500</v>
      </c>
      <c r="B974" s="4" t="s">
        <v>1783</v>
      </c>
      <c r="C974" s="6" t="s">
        <v>5380</v>
      </c>
      <c r="D974" s="6" t="s">
        <v>5448</v>
      </c>
      <c r="E974" s="21">
        <v>43910</v>
      </c>
      <c r="F974" s="4" t="s">
        <v>1461</v>
      </c>
      <c r="H974" s="4">
        <v>6770</v>
      </c>
      <c r="I974" s="4">
        <v>4737</v>
      </c>
      <c r="J974" s="4" t="s">
        <v>1200</v>
      </c>
      <c r="K974" s="6" t="s">
        <v>2316</v>
      </c>
      <c r="L974" s="4">
        <v>2</v>
      </c>
      <c r="M974" s="577">
        <v>3639</v>
      </c>
      <c r="N974" s="4" t="s">
        <v>2886</v>
      </c>
      <c r="O974" s="577">
        <v>3639</v>
      </c>
      <c r="P974" s="577">
        <v>4330</v>
      </c>
      <c r="Q974" s="577">
        <v>8660</v>
      </c>
      <c r="R974" s="26">
        <v>43910</v>
      </c>
      <c r="S974" s="4" t="s">
        <v>1445</v>
      </c>
      <c r="T974" s="577">
        <v>124205</v>
      </c>
      <c r="U974" t="s">
        <v>1626</v>
      </c>
      <c r="V974" s="578">
        <v>2547</v>
      </c>
      <c r="W974" s="578">
        <v>1092</v>
      </c>
      <c r="X974" s="375">
        <v>0.3</v>
      </c>
    </row>
    <row r="975" spans="1:24" x14ac:dyDescent="0.25">
      <c r="A975" s="4">
        <v>500</v>
      </c>
      <c r="B975" s="4" t="s">
        <v>5393</v>
      </c>
      <c r="C975" s="6" t="s">
        <v>5394</v>
      </c>
      <c r="D975" s="6" t="s">
        <v>4705</v>
      </c>
      <c r="E975" s="21">
        <v>43910</v>
      </c>
      <c r="F975" s="4" t="s">
        <v>1461</v>
      </c>
      <c r="H975" s="4">
        <v>6770</v>
      </c>
      <c r="I975" s="4">
        <v>4737</v>
      </c>
      <c r="J975" s="4" t="s">
        <v>1200</v>
      </c>
      <c r="K975" s="6" t="s">
        <v>2316</v>
      </c>
      <c r="L975" s="4">
        <v>0</v>
      </c>
      <c r="M975" s="577">
        <v>13187</v>
      </c>
      <c r="N975" s="4" t="s">
        <v>2886</v>
      </c>
      <c r="O975" s="577">
        <v>13187</v>
      </c>
      <c r="P975" s="577">
        <v>15692</v>
      </c>
      <c r="Q975" s="4" t="s">
        <v>5584</v>
      </c>
      <c r="R975" s="26">
        <v>43910</v>
      </c>
      <c r="S975" s="4" t="s">
        <v>1445</v>
      </c>
      <c r="T975" s="577">
        <v>124205</v>
      </c>
      <c r="U975" t="s">
        <v>4774</v>
      </c>
      <c r="V975" t="s">
        <v>5584</v>
      </c>
      <c r="W975" s="578">
        <v>13187</v>
      </c>
      <c r="X975" s="375">
        <v>1</v>
      </c>
    </row>
    <row r="976" spans="1:24" x14ac:dyDescent="0.25">
      <c r="A976" s="4">
        <v>500</v>
      </c>
      <c r="B976" s="4" t="s">
        <v>5238</v>
      </c>
      <c r="C976" s="6" t="s">
        <v>5239</v>
      </c>
      <c r="D976" s="6" t="s">
        <v>4705</v>
      </c>
      <c r="E976" s="21">
        <v>43910</v>
      </c>
      <c r="F976" s="4" t="s">
        <v>1461</v>
      </c>
      <c r="H976" s="4">
        <v>6770</v>
      </c>
      <c r="I976" s="4">
        <v>4737</v>
      </c>
      <c r="J976" s="4" t="s">
        <v>1200</v>
      </c>
      <c r="K976" s="6" t="s">
        <v>2316</v>
      </c>
      <c r="L976" s="4">
        <v>0</v>
      </c>
      <c r="M976" s="577">
        <v>15167</v>
      </c>
      <c r="N976" s="4" t="s">
        <v>2886</v>
      </c>
      <c r="O976" s="577">
        <v>15167</v>
      </c>
      <c r="P976" s="577">
        <v>18048</v>
      </c>
      <c r="Q976" s="4" t="s">
        <v>5584</v>
      </c>
      <c r="R976" s="26">
        <v>43910</v>
      </c>
      <c r="S976" s="4" t="s">
        <v>1445</v>
      </c>
      <c r="T976" s="577">
        <v>124205</v>
      </c>
      <c r="U976" t="s">
        <v>4774</v>
      </c>
      <c r="V976" s="578">
        <v>9100</v>
      </c>
      <c r="W976" s="578">
        <v>6067</v>
      </c>
      <c r="X976" s="375">
        <v>0.4</v>
      </c>
    </row>
    <row r="977" spans="1:24" x14ac:dyDescent="0.25">
      <c r="A977" s="4">
        <v>500</v>
      </c>
      <c r="B977" s="4" t="s">
        <v>5998</v>
      </c>
      <c r="C977" s="6" t="s">
        <v>5999</v>
      </c>
      <c r="D977" s="6" t="s">
        <v>6000</v>
      </c>
      <c r="E977" s="21">
        <v>43910</v>
      </c>
      <c r="F977" s="4" t="s">
        <v>1461</v>
      </c>
      <c r="H977" s="4">
        <v>6770</v>
      </c>
      <c r="I977" s="4">
        <v>4737</v>
      </c>
      <c r="J977" s="4" t="s">
        <v>1200</v>
      </c>
      <c r="K977" s="6" t="s">
        <v>2316</v>
      </c>
      <c r="L977" s="4">
        <v>24</v>
      </c>
      <c r="M977" s="577">
        <v>504</v>
      </c>
      <c r="N977" s="4" t="s">
        <v>2886</v>
      </c>
      <c r="O977" s="577">
        <v>504</v>
      </c>
      <c r="P977" s="577">
        <v>600</v>
      </c>
      <c r="Q977" s="577">
        <v>14400</v>
      </c>
      <c r="R977" s="26">
        <v>43910</v>
      </c>
      <c r="S977" s="4" t="s">
        <v>1445</v>
      </c>
      <c r="T977" s="577">
        <v>124205</v>
      </c>
      <c r="U977" t="s">
        <v>2787</v>
      </c>
      <c r="V977" s="578">
        <v>297</v>
      </c>
      <c r="W977" s="578">
        <v>207</v>
      </c>
      <c r="X977" s="375">
        <v>0.41</v>
      </c>
    </row>
    <row r="978" spans="1:24" x14ac:dyDescent="0.25">
      <c r="A978" s="4">
        <v>500</v>
      </c>
      <c r="B978" s="4" t="s">
        <v>830</v>
      </c>
      <c r="C978" s="6" t="s">
        <v>2495</v>
      </c>
      <c r="D978" s="6" t="s">
        <v>837</v>
      </c>
      <c r="E978" s="21">
        <v>43910</v>
      </c>
      <c r="F978" s="4" t="s">
        <v>1461</v>
      </c>
      <c r="H978" s="4">
        <v>6770</v>
      </c>
      <c r="I978" s="4">
        <v>4737</v>
      </c>
      <c r="J978" s="4" t="s">
        <v>1200</v>
      </c>
      <c r="K978" s="6" t="s">
        <v>2316</v>
      </c>
      <c r="L978" s="4">
        <v>2</v>
      </c>
      <c r="M978" s="577">
        <v>13866</v>
      </c>
      <c r="N978" s="4" t="s">
        <v>2886</v>
      </c>
      <c r="O978" s="577">
        <v>13866</v>
      </c>
      <c r="P978" s="577">
        <v>16500</v>
      </c>
      <c r="Q978" s="577">
        <v>33000</v>
      </c>
      <c r="R978" s="26">
        <v>43910</v>
      </c>
      <c r="S978" s="4" t="s">
        <v>1445</v>
      </c>
      <c r="T978" s="577">
        <v>124205</v>
      </c>
      <c r="U978" t="s">
        <v>1572</v>
      </c>
      <c r="V978" s="578">
        <v>10390</v>
      </c>
      <c r="W978" s="578">
        <v>3476</v>
      </c>
      <c r="X978" s="375">
        <v>0.25</v>
      </c>
    </row>
    <row r="979" spans="1:24" x14ac:dyDescent="0.25">
      <c r="A979" s="4">
        <v>500</v>
      </c>
      <c r="B979" s="4" t="s">
        <v>2614</v>
      </c>
      <c r="C979" s="6" t="s">
        <v>2644</v>
      </c>
      <c r="D979" s="6" t="s">
        <v>1469</v>
      </c>
      <c r="E979" s="21">
        <v>43910</v>
      </c>
      <c r="F979" s="4" t="s">
        <v>1461</v>
      </c>
      <c r="H979" s="4">
        <v>6770</v>
      </c>
      <c r="I979" s="4">
        <v>4737</v>
      </c>
      <c r="J979" s="4" t="s">
        <v>1200</v>
      </c>
      <c r="K979" s="6" t="s">
        <v>2316</v>
      </c>
      <c r="L979" s="4">
        <v>1</v>
      </c>
      <c r="M979" s="577">
        <v>18739</v>
      </c>
      <c r="N979" s="4" t="s">
        <v>2886</v>
      </c>
      <c r="O979" s="577">
        <v>18739</v>
      </c>
      <c r="P979" s="577">
        <v>22300</v>
      </c>
      <c r="Q979" s="577">
        <v>22300</v>
      </c>
      <c r="R979" s="26">
        <v>43910</v>
      </c>
      <c r="S979" s="4" t="s">
        <v>1445</v>
      </c>
      <c r="T979" s="577">
        <v>124205</v>
      </c>
      <c r="U979" t="s">
        <v>1570</v>
      </c>
      <c r="V979" s="578">
        <v>14040</v>
      </c>
      <c r="W979" s="578">
        <v>4699</v>
      </c>
      <c r="X979" s="375">
        <v>0.25</v>
      </c>
    </row>
    <row r="980" spans="1:24" x14ac:dyDescent="0.25">
      <c r="A980" s="4">
        <v>500</v>
      </c>
      <c r="B980" s="4" t="s">
        <v>1672</v>
      </c>
      <c r="C980" s="6" t="s">
        <v>5845</v>
      </c>
      <c r="D980" s="6" t="s">
        <v>1504</v>
      </c>
      <c r="E980" s="21">
        <v>43910</v>
      </c>
      <c r="F980" s="4" t="s">
        <v>1461</v>
      </c>
      <c r="H980" s="4">
        <v>6770</v>
      </c>
      <c r="I980" s="4">
        <v>4737</v>
      </c>
      <c r="J980" s="4" t="s">
        <v>1200</v>
      </c>
      <c r="K980" s="6" t="s">
        <v>2316</v>
      </c>
      <c r="L980" s="4">
        <v>1</v>
      </c>
      <c r="M980" s="577">
        <v>4118</v>
      </c>
      <c r="N980" s="4" t="s">
        <v>2886</v>
      </c>
      <c r="O980" s="577">
        <v>4118</v>
      </c>
      <c r="P980" s="577">
        <v>4900</v>
      </c>
      <c r="Q980" s="577">
        <v>4900</v>
      </c>
      <c r="R980" s="26">
        <v>43910</v>
      </c>
      <c r="S980" s="4" t="s">
        <v>1445</v>
      </c>
      <c r="T980" s="577">
        <v>124205</v>
      </c>
      <c r="U980" t="s">
        <v>1545</v>
      </c>
      <c r="V980" s="578">
        <v>2250</v>
      </c>
      <c r="W980" s="578">
        <v>1868</v>
      </c>
      <c r="X980" s="375">
        <v>0.45</v>
      </c>
    </row>
    <row r="981" spans="1:24" x14ac:dyDescent="0.25">
      <c r="A981" s="4">
        <v>501</v>
      </c>
      <c r="B981" s="4" t="s">
        <v>1503</v>
      </c>
      <c r="C981" s="6" t="s">
        <v>1972</v>
      </c>
      <c r="D981" s="6" t="s">
        <v>1638</v>
      </c>
      <c r="E981" s="21">
        <v>43910</v>
      </c>
      <c r="F981" s="4" t="s">
        <v>1461</v>
      </c>
      <c r="H981" s="4">
        <v>6770</v>
      </c>
      <c r="I981" s="4">
        <v>4738</v>
      </c>
      <c r="J981" s="4" t="s">
        <v>1200</v>
      </c>
      <c r="K981" s="6" t="s">
        <v>2316</v>
      </c>
      <c r="L981" s="4">
        <v>6</v>
      </c>
      <c r="M981" s="577">
        <v>3193</v>
      </c>
      <c r="N981" s="4" t="s">
        <v>2886</v>
      </c>
      <c r="O981" s="577">
        <v>3193</v>
      </c>
      <c r="P981" s="577">
        <v>3800</v>
      </c>
      <c r="Q981" s="577">
        <v>22800</v>
      </c>
      <c r="R981" s="26">
        <v>43910</v>
      </c>
      <c r="S981" s="4" t="s">
        <v>1445</v>
      </c>
      <c r="T981" s="577">
        <v>27000</v>
      </c>
      <c r="U981" t="s">
        <v>1545</v>
      </c>
      <c r="V981" s="578">
        <v>2200</v>
      </c>
      <c r="W981" s="578">
        <v>993</v>
      </c>
      <c r="X981" s="375">
        <v>0.31</v>
      </c>
    </row>
    <row r="982" spans="1:24" x14ac:dyDescent="0.25">
      <c r="A982" s="4">
        <v>501</v>
      </c>
      <c r="B982" s="4" t="s">
        <v>5996</v>
      </c>
      <c r="C982" s="6" t="s">
        <v>5997</v>
      </c>
      <c r="D982" s="6" t="s">
        <v>23</v>
      </c>
      <c r="E982" s="21">
        <v>43910</v>
      </c>
      <c r="F982" s="4" t="s">
        <v>1461</v>
      </c>
      <c r="H982" s="4">
        <v>6770</v>
      </c>
      <c r="I982" s="4">
        <v>4738</v>
      </c>
      <c r="J982" s="4" t="s">
        <v>1200</v>
      </c>
      <c r="K982" s="6" t="s">
        <v>2316</v>
      </c>
      <c r="L982" s="4">
        <v>1</v>
      </c>
      <c r="M982" s="577">
        <v>3529</v>
      </c>
      <c r="N982" s="4" t="s">
        <v>2886</v>
      </c>
      <c r="O982" s="577">
        <v>3529</v>
      </c>
      <c r="P982" s="577">
        <v>4200</v>
      </c>
      <c r="Q982" s="577">
        <v>4200</v>
      </c>
      <c r="R982" s="26">
        <v>43910</v>
      </c>
      <c r="S982" s="4" t="s">
        <v>1445</v>
      </c>
      <c r="T982" s="577">
        <v>27000</v>
      </c>
      <c r="U982" t="s">
        <v>2668</v>
      </c>
      <c r="V982" s="578">
        <v>2079</v>
      </c>
      <c r="W982" s="578">
        <v>1450</v>
      </c>
      <c r="X982" s="375">
        <v>0.41</v>
      </c>
    </row>
    <row r="983" spans="1:24" x14ac:dyDescent="0.25">
      <c r="A983" s="4">
        <v>502</v>
      </c>
      <c r="B983" s="4" t="s">
        <v>1793</v>
      </c>
      <c r="C983" s="6" t="s">
        <v>1696</v>
      </c>
      <c r="D983" s="6" t="s">
        <v>3481</v>
      </c>
      <c r="E983" s="21">
        <v>43910</v>
      </c>
      <c r="F983" s="4" t="s">
        <v>1461</v>
      </c>
      <c r="H983" s="4">
        <v>6765</v>
      </c>
      <c r="I983" s="4">
        <v>4739</v>
      </c>
      <c r="J983" s="4" t="s">
        <v>1204</v>
      </c>
      <c r="K983" s="6" t="s">
        <v>1052</v>
      </c>
      <c r="L983" s="4">
        <v>4</v>
      </c>
      <c r="M983" s="577">
        <v>574</v>
      </c>
      <c r="N983" s="4" t="s">
        <v>2886</v>
      </c>
      <c r="O983" s="577">
        <v>574</v>
      </c>
      <c r="P983" s="577">
        <v>683</v>
      </c>
      <c r="Q983" s="577">
        <v>2732</v>
      </c>
      <c r="R983" s="26">
        <v>43910</v>
      </c>
      <c r="S983" s="4" t="s">
        <v>1501</v>
      </c>
      <c r="T983" s="577">
        <v>128834</v>
      </c>
      <c r="U983" t="s">
        <v>3480</v>
      </c>
      <c r="V983" s="578">
        <v>352</v>
      </c>
      <c r="W983" s="578">
        <v>222</v>
      </c>
      <c r="X983" s="375">
        <v>0.39</v>
      </c>
    </row>
    <row r="984" spans="1:24" x14ac:dyDescent="0.25">
      <c r="A984" s="4">
        <v>502</v>
      </c>
      <c r="B984" s="4" t="s">
        <v>1794</v>
      </c>
      <c r="C984" s="6" t="s">
        <v>1697</v>
      </c>
      <c r="D984" s="6" t="s">
        <v>1880</v>
      </c>
      <c r="E984" s="21">
        <v>43910</v>
      </c>
      <c r="F984" s="4" t="s">
        <v>1461</v>
      </c>
      <c r="H984" s="4">
        <v>6765</v>
      </c>
      <c r="I984" s="4">
        <v>4739</v>
      </c>
      <c r="J984" s="4" t="s">
        <v>1204</v>
      </c>
      <c r="K984" s="6" t="s">
        <v>1052</v>
      </c>
      <c r="L984" s="4">
        <v>2</v>
      </c>
      <c r="M984" s="577">
        <v>504</v>
      </c>
      <c r="N984" s="4" t="s">
        <v>2886</v>
      </c>
      <c r="O984" s="577">
        <v>504</v>
      </c>
      <c r="P984" s="577">
        <v>600</v>
      </c>
      <c r="Q984" s="577">
        <v>1200</v>
      </c>
      <c r="R984" s="26">
        <v>43910</v>
      </c>
      <c r="S984" s="4" t="s">
        <v>1501</v>
      </c>
      <c r="T984" s="577">
        <v>128834</v>
      </c>
      <c r="U984" t="s">
        <v>1546</v>
      </c>
      <c r="V984" s="578">
        <v>352</v>
      </c>
      <c r="W984" s="578">
        <v>152</v>
      </c>
      <c r="X984" s="375">
        <v>0.3</v>
      </c>
    </row>
    <row r="985" spans="1:24" x14ac:dyDescent="0.25">
      <c r="A985" s="4">
        <v>502</v>
      </c>
      <c r="B985" s="4" t="s">
        <v>2549</v>
      </c>
      <c r="C985" s="6" t="s">
        <v>2622</v>
      </c>
      <c r="D985" s="6" t="s">
        <v>1539</v>
      </c>
      <c r="E985" s="21">
        <v>43910</v>
      </c>
      <c r="F985" s="4" t="s">
        <v>1461</v>
      </c>
      <c r="H985" s="4">
        <v>6765</v>
      </c>
      <c r="I985" s="4">
        <v>4739</v>
      </c>
      <c r="J985" s="4" t="s">
        <v>1204</v>
      </c>
      <c r="K985" s="6" t="s">
        <v>1052</v>
      </c>
      <c r="L985" s="4">
        <v>1</v>
      </c>
      <c r="M985" s="577">
        <v>20588</v>
      </c>
      <c r="N985" s="4" t="s">
        <v>2886</v>
      </c>
      <c r="O985" s="577">
        <v>20588</v>
      </c>
      <c r="P985" s="577">
        <v>24500</v>
      </c>
      <c r="Q985" s="577">
        <v>24500</v>
      </c>
      <c r="R985" s="26">
        <v>43910</v>
      </c>
      <c r="S985" s="4" t="s">
        <v>1501</v>
      </c>
      <c r="T985" s="577">
        <v>128834</v>
      </c>
      <c r="U985" t="s">
        <v>1524</v>
      </c>
      <c r="V985" s="578">
        <v>16387</v>
      </c>
      <c r="W985" s="578">
        <v>4201</v>
      </c>
      <c r="X985" s="375">
        <v>0.2</v>
      </c>
    </row>
    <row r="986" spans="1:24" x14ac:dyDescent="0.25">
      <c r="A986" s="4">
        <v>502</v>
      </c>
      <c r="B986" s="4" t="s">
        <v>3843</v>
      </c>
      <c r="C986" s="6" t="s">
        <v>3751</v>
      </c>
      <c r="D986" s="6" t="s">
        <v>1646</v>
      </c>
      <c r="E986" s="21">
        <v>43910</v>
      </c>
      <c r="F986" s="4" t="s">
        <v>1461</v>
      </c>
      <c r="H986" s="4">
        <v>6765</v>
      </c>
      <c r="I986" s="4">
        <v>4739</v>
      </c>
      <c r="J986" s="4" t="s">
        <v>1204</v>
      </c>
      <c r="K986" s="6" t="s">
        <v>1052</v>
      </c>
      <c r="L986" s="4">
        <v>1</v>
      </c>
      <c r="M986" s="577">
        <v>9664</v>
      </c>
      <c r="N986" s="4" t="s">
        <v>2886</v>
      </c>
      <c r="O986" s="577">
        <v>9664</v>
      </c>
      <c r="P986" s="577">
        <v>11500</v>
      </c>
      <c r="Q986" s="577">
        <v>11500</v>
      </c>
      <c r="R986" s="26">
        <v>43910</v>
      </c>
      <c r="S986" s="4" t="s">
        <v>1501</v>
      </c>
      <c r="T986" s="577">
        <v>128834</v>
      </c>
      <c r="U986" t="s">
        <v>3934</v>
      </c>
      <c r="V986" s="578">
        <v>6776</v>
      </c>
      <c r="W986" s="578">
        <v>2888</v>
      </c>
      <c r="X986" s="375">
        <v>0.3</v>
      </c>
    </row>
    <row r="987" spans="1:24" x14ac:dyDescent="0.25">
      <c r="A987" s="4">
        <v>502</v>
      </c>
      <c r="B987" s="4" t="s">
        <v>5998</v>
      </c>
      <c r="C987" s="6" t="s">
        <v>5999</v>
      </c>
      <c r="D987" s="6" t="s">
        <v>6000</v>
      </c>
      <c r="E987" s="21">
        <v>43910</v>
      </c>
      <c r="F987" s="4" t="s">
        <v>1461</v>
      </c>
      <c r="H987" s="4">
        <v>6765</v>
      </c>
      <c r="I987" s="4">
        <v>4739</v>
      </c>
      <c r="J987" s="4" t="s">
        <v>1204</v>
      </c>
      <c r="K987" s="6" t="s">
        <v>1052</v>
      </c>
      <c r="L987" s="4">
        <v>24</v>
      </c>
      <c r="M987" s="577">
        <v>504</v>
      </c>
      <c r="N987" s="4" t="s">
        <v>2886</v>
      </c>
      <c r="O987" s="577">
        <v>504</v>
      </c>
      <c r="P987" s="577">
        <v>600</v>
      </c>
      <c r="Q987" s="577">
        <v>14400</v>
      </c>
      <c r="R987" s="26">
        <v>43910</v>
      </c>
      <c r="S987" s="4" t="s">
        <v>1501</v>
      </c>
      <c r="T987" s="577">
        <v>128834</v>
      </c>
      <c r="U987" t="s">
        <v>2787</v>
      </c>
      <c r="V987" s="578">
        <v>297</v>
      </c>
      <c r="W987" s="578">
        <v>207</v>
      </c>
      <c r="X987" s="375">
        <v>0.41</v>
      </c>
    </row>
    <row r="988" spans="1:24" x14ac:dyDescent="0.25">
      <c r="A988" s="4">
        <v>502</v>
      </c>
      <c r="B988" s="4" t="s">
        <v>30</v>
      </c>
      <c r="C988" s="6" t="s">
        <v>5839</v>
      </c>
      <c r="D988" s="6" t="s">
        <v>33</v>
      </c>
      <c r="E988" s="21">
        <v>43910</v>
      </c>
      <c r="F988" s="4" t="s">
        <v>1461</v>
      </c>
      <c r="H988" s="4">
        <v>6765</v>
      </c>
      <c r="I988" s="4">
        <v>4739</v>
      </c>
      <c r="J988" s="4" t="s">
        <v>1204</v>
      </c>
      <c r="K988" s="6" t="s">
        <v>1052</v>
      </c>
      <c r="L988" s="4">
        <v>12</v>
      </c>
      <c r="M988" s="577">
        <v>756</v>
      </c>
      <c r="N988" s="4" t="s">
        <v>2886</v>
      </c>
      <c r="O988" s="577">
        <v>756</v>
      </c>
      <c r="P988" s="577">
        <v>900</v>
      </c>
      <c r="Q988" s="577">
        <v>10800</v>
      </c>
      <c r="R988" s="26">
        <v>43910</v>
      </c>
      <c r="S988" s="4" t="s">
        <v>1501</v>
      </c>
      <c r="T988" s="577">
        <v>128834</v>
      </c>
      <c r="U988" t="s">
        <v>1563</v>
      </c>
      <c r="V988" s="578">
        <v>535</v>
      </c>
      <c r="W988" s="578">
        <v>221</v>
      </c>
      <c r="X988" s="375">
        <v>0.28999999999999998</v>
      </c>
    </row>
    <row r="989" spans="1:24" x14ac:dyDescent="0.25">
      <c r="A989" s="4">
        <v>502</v>
      </c>
      <c r="B989" s="4" t="s">
        <v>38</v>
      </c>
      <c r="C989" s="6" t="s">
        <v>5843</v>
      </c>
      <c r="D989" s="6" t="s">
        <v>1504</v>
      </c>
      <c r="E989" s="21">
        <v>43910</v>
      </c>
      <c r="F989" s="4" t="s">
        <v>1461</v>
      </c>
      <c r="H989" s="4">
        <v>6765</v>
      </c>
      <c r="I989" s="4">
        <v>4739</v>
      </c>
      <c r="J989" s="4" t="s">
        <v>1204</v>
      </c>
      <c r="K989" s="6" t="s">
        <v>1052</v>
      </c>
      <c r="L989" s="4">
        <v>1</v>
      </c>
      <c r="M989" s="577">
        <v>3109</v>
      </c>
      <c r="N989" s="4" t="s">
        <v>2886</v>
      </c>
      <c r="O989" s="577">
        <v>3109</v>
      </c>
      <c r="P989" s="577">
        <v>3700</v>
      </c>
      <c r="Q989" s="577">
        <v>3700</v>
      </c>
      <c r="R989" s="26">
        <v>43910</v>
      </c>
      <c r="S989" s="4" t="s">
        <v>1501</v>
      </c>
      <c r="T989" s="577">
        <v>128834</v>
      </c>
      <c r="U989" t="s">
        <v>1563</v>
      </c>
      <c r="V989" s="578">
        <v>2283</v>
      </c>
      <c r="W989" s="578">
        <v>826</v>
      </c>
      <c r="X989" s="375">
        <v>0.27</v>
      </c>
    </row>
    <row r="990" spans="1:24" x14ac:dyDescent="0.25">
      <c r="A990" s="4">
        <v>502</v>
      </c>
      <c r="B990" s="4" t="s">
        <v>1634</v>
      </c>
      <c r="C990" s="6" t="s">
        <v>3555</v>
      </c>
      <c r="D990" s="6" t="s">
        <v>661</v>
      </c>
      <c r="E990" s="21">
        <v>43910</v>
      </c>
      <c r="F990" s="4" t="s">
        <v>1461</v>
      </c>
      <c r="H990" s="4">
        <v>6765</v>
      </c>
      <c r="I990" s="4">
        <v>4739</v>
      </c>
      <c r="J990" s="4" t="s">
        <v>1204</v>
      </c>
      <c r="K990" s="6" t="s">
        <v>1052</v>
      </c>
      <c r="L990" s="4">
        <v>2</v>
      </c>
      <c r="M990" s="577">
        <v>1513</v>
      </c>
      <c r="N990" s="4" t="s">
        <v>2886</v>
      </c>
      <c r="O990" s="577">
        <v>1513</v>
      </c>
      <c r="P990" s="577">
        <v>1800</v>
      </c>
      <c r="Q990" s="577">
        <v>3600</v>
      </c>
      <c r="R990" s="26">
        <v>43910</v>
      </c>
      <c r="S990" s="4" t="s">
        <v>1501</v>
      </c>
      <c r="T990" s="577">
        <v>128834</v>
      </c>
      <c r="U990" t="s">
        <v>1739</v>
      </c>
      <c r="V990" s="578">
        <v>891</v>
      </c>
      <c r="W990" s="578">
        <v>622</v>
      </c>
      <c r="X990" s="375">
        <v>0.41</v>
      </c>
    </row>
    <row r="991" spans="1:24" x14ac:dyDescent="0.25">
      <c r="A991" s="4">
        <v>502</v>
      </c>
      <c r="B991" s="4" t="s">
        <v>739</v>
      </c>
      <c r="C991" s="6" t="s">
        <v>3667</v>
      </c>
      <c r="D991" s="6" t="s">
        <v>661</v>
      </c>
      <c r="E991" s="21">
        <v>43910</v>
      </c>
      <c r="F991" s="4" t="s">
        <v>1461</v>
      </c>
      <c r="H991" s="4">
        <v>6765</v>
      </c>
      <c r="I991" s="4">
        <v>4739</v>
      </c>
      <c r="J991" s="4" t="s">
        <v>1204</v>
      </c>
      <c r="K991" s="6" t="s">
        <v>1052</v>
      </c>
      <c r="L991" s="4">
        <v>12</v>
      </c>
      <c r="M991" s="577">
        <v>924</v>
      </c>
      <c r="N991" s="4" t="s">
        <v>2886</v>
      </c>
      <c r="O991" s="577">
        <v>924</v>
      </c>
      <c r="P991" s="577">
        <v>1100</v>
      </c>
      <c r="Q991" s="577">
        <v>13200</v>
      </c>
      <c r="R991" s="26">
        <v>43910</v>
      </c>
      <c r="S991" s="4" t="s">
        <v>1501</v>
      </c>
      <c r="T991" s="577">
        <v>128834</v>
      </c>
      <c r="U991" t="s">
        <v>1739</v>
      </c>
      <c r="V991" s="578">
        <v>540</v>
      </c>
      <c r="W991" s="578">
        <v>384</v>
      </c>
      <c r="X991" s="375">
        <v>0.42</v>
      </c>
    </row>
    <row r="992" spans="1:24" x14ac:dyDescent="0.25">
      <c r="A992" s="4">
        <v>502</v>
      </c>
      <c r="B992" s="4" t="s">
        <v>5519</v>
      </c>
      <c r="C992" s="6" t="s">
        <v>5520</v>
      </c>
      <c r="D992" s="6" t="s">
        <v>5214</v>
      </c>
      <c r="E992" s="21">
        <v>43910</v>
      </c>
      <c r="F992" s="4" t="s">
        <v>1461</v>
      </c>
      <c r="H992" s="4">
        <v>6765</v>
      </c>
      <c r="I992" s="4">
        <v>4739</v>
      </c>
      <c r="J992" s="4" t="s">
        <v>1204</v>
      </c>
      <c r="K992" s="6" t="s">
        <v>1052</v>
      </c>
      <c r="L992" s="4">
        <v>48</v>
      </c>
      <c r="M992" s="577">
        <v>756</v>
      </c>
      <c r="N992" s="4" t="s">
        <v>2886</v>
      </c>
      <c r="O992" s="577">
        <v>756</v>
      </c>
      <c r="P992" s="577">
        <v>900</v>
      </c>
      <c r="Q992" s="577">
        <v>43200</v>
      </c>
      <c r="R992" s="26">
        <v>43910</v>
      </c>
      <c r="S992" s="4" t="s">
        <v>1501</v>
      </c>
      <c r="T992" s="577">
        <v>128834</v>
      </c>
      <c r="U992" t="s">
        <v>5170</v>
      </c>
      <c r="V992" s="578">
        <v>464</v>
      </c>
      <c r="W992" s="578">
        <v>292</v>
      </c>
      <c r="X992" s="375">
        <v>0.39</v>
      </c>
    </row>
    <row r="993" spans="1:24" x14ac:dyDescent="0.25">
      <c r="A993" s="4">
        <v>503</v>
      </c>
      <c r="B993" s="4" t="s">
        <v>4537</v>
      </c>
      <c r="C993" s="6" t="s">
        <v>4538</v>
      </c>
      <c r="D993" s="6" t="s">
        <v>1646</v>
      </c>
      <c r="E993" s="21">
        <v>43910</v>
      </c>
      <c r="F993" s="4" t="s">
        <v>1461</v>
      </c>
      <c r="H993" s="4">
        <v>6765</v>
      </c>
      <c r="I993" s="4">
        <v>4740</v>
      </c>
      <c r="J993" s="4" t="s">
        <v>1204</v>
      </c>
      <c r="K993" s="6" t="s">
        <v>1052</v>
      </c>
      <c r="L993" s="4">
        <v>24</v>
      </c>
      <c r="M993" s="577">
        <v>1513</v>
      </c>
      <c r="N993" s="374">
        <v>0.05</v>
      </c>
      <c r="O993" s="577">
        <v>1441</v>
      </c>
      <c r="P993" s="577">
        <v>1710</v>
      </c>
      <c r="Q993" s="577">
        <v>41040</v>
      </c>
      <c r="R993" s="26">
        <v>43910</v>
      </c>
      <c r="S993" s="4" t="s">
        <v>1501</v>
      </c>
      <c r="T993" s="577">
        <v>103193</v>
      </c>
      <c r="U993" t="s">
        <v>3934</v>
      </c>
      <c r="V993" s="578">
        <v>894</v>
      </c>
      <c r="W993" s="578">
        <v>547</v>
      </c>
      <c r="X993" s="375">
        <v>0.38</v>
      </c>
    </row>
    <row r="994" spans="1:24" x14ac:dyDescent="0.25">
      <c r="A994" s="4">
        <v>503</v>
      </c>
      <c r="B994" s="4" t="s">
        <v>6021</v>
      </c>
      <c r="C994" s="6" t="s">
        <v>6022</v>
      </c>
      <c r="D994" s="6" t="s">
        <v>1646</v>
      </c>
      <c r="E994" s="21">
        <v>43910</v>
      </c>
      <c r="F994" s="4" t="s">
        <v>1461</v>
      </c>
      <c r="H994" s="4">
        <v>6765</v>
      </c>
      <c r="I994" s="4">
        <v>4740</v>
      </c>
      <c r="J994" s="4" t="s">
        <v>1204</v>
      </c>
      <c r="K994" s="6" t="s">
        <v>1052</v>
      </c>
      <c r="L994" s="4">
        <v>2</v>
      </c>
      <c r="M994" s="577">
        <v>2605</v>
      </c>
      <c r="N994" s="4" t="s">
        <v>2886</v>
      </c>
      <c r="O994" s="577">
        <v>2605</v>
      </c>
      <c r="P994" s="577">
        <v>3100</v>
      </c>
      <c r="Q994" s="577">
        <v>6200</v>
      </c>
      <c r="R994" s="26">
        <v>43910</v>
      </c>
      <c r="S994" s="4" t="s">
        <v>1501</v>
      </c>
      <c r="T994" s="577">
        <v>103193</v>
      </c>
      <c r="U994" t="s">
        <v>1645</v>
      </c>
      <c r="V994" s="578">
        <v>1808</v>
      </c>
      <c r="W994" s="578">
        <v>797</v>
      </c>
      <c r="X994" s="375">
        <v>0.31</v>
      </c>
    </row>
    <row r="995" spans="1:24" x14ac:dyDescent="0.25">
      <c r="A995" s="4">
        <v>503</v>
      </c>
      <c r="B995" s="4" t="s">
        <v>5217</v>
      </c>
      <c r="C995" s="6" t="s">
        <v>5218</v>
      </c>
      <c r="D995" s="6" t="s">
        <v>5214</v>
      </c>
      <c r="E995" s="21">
        <v>43910</v>
      </c>
      <c r="F995" s="4" t="s">
        <v>1461</v>
      </c>
      <c r="H995" s="4">
        <v>6765</v>
      </c>
      <c r="I995" s="4">
        <v>4740</v>
      </c>
      <c r="J995" s="4" t="s">
        <v>1204</v>
      </c>
      <c r="K995" s="6" t="s">
        <v>1052</v>
      </c>
      <c r="L995" s="4">
        <v>4</v>
      </c>
      <c r="M995" s="577">
        <v>798</v>
      </c>
      <c r="N995" s="4" t="s">
        <v>2886</v>
      </c>
      <c r="O995" s="577">
        <v>798</v>
      </c>
      <c r="P995" s="577">
        <v>950</v>
      </c>
      <c r="Q995" s="577">
        <v>3800</v>
      </c>
      <c r="R995" s="26">
        <v>43910</v>
      </c>
      <c r="S995" s="4" t="s">
        <v>1501</v>
      </c>
      <c r="T995" s="577">
        <v>103193</v>
      </c>
      <c r="U995" t="s">
        <v>5170</v>
      </c>
      <c r="V995" s="578">
        <v>544</v>
      </c>
      <c r="W995" s="578">
        <v>254</v>
      </c>
      <c r="X995" s="375">
        <v>0.32</v>
      </c>
    </row>
    <row r="996" spans="1:24" x14ac:dyDescent="0.25">
      <c r="A996" s="4">
        <v>503</v>
      </c>
      <c r="B996" s="4" t="s">
        <v>5353</v>
      </c>
      <c r="C996" s="6" t="s">
        <v>5354</v>
      </c>
      <c r="D996" s="6" t="s">
        <v>4705</v>
      </c>
      <c r="E996" s="21">
        <v>43910</v>
      </c>
      <c r="F996" s="4" t="s">
        <v>1461</v>
      </c>
      <c r="H996" s="4">
        <v>6765</v>
      </c>
      <c r="I996" s="4">
        <v>4740</v>
      </c>
      <c r="J996" s="4" t="s">
        <v>1204</v>
      </c>
      <c r="K996" s="6" t="s">
        <v>1052</v>
      </c>
      <c r="L996" s="4">
        <v>0</v>
      </c>
      <c r="M996" s="577">
        <v>15167</v>
      </c>
      <c r="N996" s="4" t="s">
        <v>2886</v>
      </c>
      <c r="O996" s="577">
        <v>15167</v>
      </c>
      <c r="P996" s="577">
        <v>18048</v>
      </c>
      <c r="Q996" s="4" t="s">
        <v>5584</v>
      </c>
      <c r="R996" s="26">
        <v>43910</v>
      </c>
      <c r="S996" s="4" t="s">
        <v>1501</v>
      </c>
      <c r="T996" s="577">
        <v>103193</v>
      </c>
      <c r="U996" t="s">
        <v>4774</v>
      </c>
      <c r="V996" s="578">
        <v>9100</v>
      </c>
      <c r="W996" s="578">
        <v>6067</v>
      </c>
      <c r="X996" s="375">
        <v>0.4</v>
      </c>
    </row>
    <row r="997" spans="1:24" x14ac:dyDescent="0.25">
      <c r="A997" s="4">
        <v>503</v>
      </c>
      <c r="B997" s="4" t="s">
        <v>3863</v>
      </c>
      <c r="C997" s="6" t="s">
        <v>3771</v>
      </c>
      <c r="D997" s="6" t="s">
        <v>1646</v>
      </c>
      <c r="E997" s="21">
        <v>43910</v>
      </c>
      <c r="F997" s="4" t="s">
        <v>1461</v>
      </c>
      <c r="H997" s="4">
        <v>6765</v>
      </c>
      <c r="I997" s="4">
        <v>4740</v>
      </c>
      <c r="J997" s="4" t="s">
        <v>1204</v>
      </c>
      <c r="K997" s="6" t="s">
        <v>1052</v>
      </c>
      <c r="L997" s="4">
        <v>2</v>
      </c>
      <c r="M997" s="577">
        <v>2521</v>
      </c>
      <c r="N997" s="4" t="s">
        <v>2886</v>
      </c>
      <c r="O997" s="577">
        <v>2521</v>
      </c>
      <c r="P997" s="577">
        <v>3000</v>
      </c>
      <c r="Q997" s="577">
        <v>6000</v>
      </c>
      <c r="R997" s="26">
        <v>43910</v>
      </c>
      <c r="S997" s="4" t="s">
        <v>1501</v>
      </c>
      <c r="T997" s="577">
        <v>103193</v>
      </c>
      <c r="U997" t="s">
        <v>3934</v>
      </c>
      <c r="V997" s="578">
        <v>1787</v>
      </c>
      <c r="W997" s="578">
        <v>734</v>
      </c>
      <c r="X997" s="375">
        <v>0.28999999999999998</v>
      </c>
    </row>
    <row r="998" spans="1:24" x14ac:dyDescent="0.25">
      <c r="A998" s="4">
        <v>503</v>
      </c>
      <c r="B998" s="4" t="s">
        <v>4529</v>
      </c>
      <c r="C998" s="6" t="s">
        <v>4530</v>
      </c>
      <c r="D998" s="6" t="s">
        <v>1646</v>
      </c>
      <c r="E998" s="21">
        <v>43910</v>
      </c>
      <c r="F998" s="4" t="s">
        <v>1461</v>
      </c>
      <c r="H998" s="4">
        <v>6765</v>
      </c>
      <c r="I998" s="4">
        <v>4740</v>
      </c>
      <c r="J998" s="4" t="s">
        <v>1204</v>
      </c>
      <c r="K998" s="6" t="s">
        <v>1052</v>
      </c>
      <c r="L998" s="4">
        <v>2</v>
      </c>
      <c r="M998" s="577">
        <v>2941</v>
      </c>
      <c r="N998" s="4" t="s">
        <v>2886</v>
      </c>
      <c r="O998" s="577">
        <v>2941</v>
      </c>
      <c r="P998" s="577">
        <v>3500</v>
      </c>
      <c r="Q998" s="577">
        <v>7000</v>
      </c>
      <c r="R998" s="26">
        <v>43910</v>
      </c>
      <c r="S998" s="4" t="s">
        <v>1501</v>
      </c>
      <c r="T998" s="577">
        <v>103193</v>
      </c>
      <c r="U998" t="s">
        <v>3934</v>
      </c>
      <c r="V998" s="578">
        <v>1660</v>
      </c>
      <c r="W998" s="578">
        <v>1281</v>
      </c>
      <c r="X998" s="375">
        <v>0.44</v>
      </c>
    </row>
    <row r="999" spans="1:24" x14ac:dyDescent="0.25">
      <c r="A999" s="4">
        <v>503</v>
      </c>
      <c r="B999" s="4" t="s">
        <v>5393</v>
      </c>
      <c r="C999" s="6" t="s">
        <v>5394</v>
      </c>
      <c r="D999" s="6" t="s">
        <v>4705</v>
      </c>
      <c r="E999" s="21">
        <v>43910</v>
      </c>
      <c r="F999" s="4" t="s">
        <v>1461</v>
      </c>
      <c r="H999" s="4">
        <v>6765</v>
      </c>
      <c r="I999" s="4">
        <v>4740</v>
      </c>
      <c r="J999" s="4" t="s">
        <v>1204</v>
      </c>
      <c r="K999" s="6" t="s">
        <v>1052</v>
      </c>
      <c r="L999" s="4">
        <v>0</v>
      </c>
      <c r="M999" s="577">
        <v>13187</v>
      </c>
      <c r="N999" s="4" t="s">
        <v>2886</v>
      </c>
      <c r="O999" s="577">
        <v>13187</v>
      </c>
      <c r="P999" s="577">
        <v>15692</v>
      </c>
      <c r="Q999" s="4" t="s">
        <v>5584</v>
      </c>
      <c r="R999" s="26">
        <v>43910</v>
      </c>
      <c r="S999" s="4" t="s">
        <v>1501</v>
      </c>
      <c r="T999" s="577">
        <v>103193</v>
      </c>
      <c r="U999" t="s">
        <v>4774</v>
      </c>
      <c r="V999" s="578">
        <v>7912</v>
      </c>
      <c r="W999" s="578">
        <v>5275</v>
      </c>
      <c r="X999" s="375">
        <v>0.4</v>
      </c>
    </row>
    <row r="1000" spans="1:24" x14ac:dyDescent="0.25">
      <c r="A1000" s="4">
        <v>503</v>
      </c>
      <c r="B1000" s="4" t="s">
        <v>430</v>
      </c>
      <c r="C1000" s="6" t="s">
        <v>2700</v>
      </c>
      <c r="D1000" s="6" t="s">
        <v>426</v>
      </c>
      <c r="E1000" s="21">
        <v>43910</v>
      </c>
      <c r="F1000" s="4" t="s">
        <v>1461</v>
      </c>
      <c r="H1000" s="4">
        <v>6765</v>
      </c>
      <c r="I1000" s="4">
        <v>4740</v>
      </c>
      <c r="J1000" s="4" t="s">
        <v>1204</v>
      </c>
      <c r="K1000" s="6" t="s">
        <v>1052</v>
      </c>
      <c r="L1000" s="4">
        <v>1</v>
      </c>
      <c r="M1000" s="577">
        <v>3529</v>
      </c>
      <c r="N1000" s="374">
        <v>0.05</v>
      </c>
      <c r="O1000" s="577">
        <v>3361</v>
      </c>
      <c r="P1000" s="577">
        <v>3990</v>
      </c>
      <c r="Q1000" s="577">
        <v>3990</v>
      </c>
      <c r="R1000" s="26">
        <v>43910</v>
      </c>
      <c r="S1000" s="4" t="s">
        <v>1501</v>
      </c>
      <c r="T1000" s="577">
        <v>103193</v>
      </c>
      <c r="U1000" t="s">
        <v>1561</v>
      </c>
      <c r="V1000" s="578">
        <v>2464</v>
      </c>
      <c r="W1000" s="578">
        <v>897</v>
      </c>
      <c r="X1000" s="375">
        <v>0.27</v>
      </c>
    </row>
    <row r="1001" spans="1:24" x14ac:dyDescent="0.25">
      <c r="A1001" s="4">
        <v>503</v>
      </c>
      <c r="B1001" s="4" t="s">
        <v>2250</v>
      </c>
      <c r="C1001" s="6" t="s">
        <v>5846</v>
      </c>
      <c r="D1001" s="6" t="s">
        <v>1638</v>
      </c>
      <c r="E1001" s="21">
        <v>43910</v>
      </c>
      <c r="F1001" s="4" t="s">
        <v>1461</v>
      </c>
      <c r="H1001" s="4">
        <v>6765</v>
      </c>
      <c r="I1001" s="4">
        <v>4740</v>
      </c>
      <c r="J1001" s="4" t="s">
        <v>1204</v>
      </c>
      <c r="K1001" s="6" t="s">
        <v>1052</v>
      </c>
      <c r="L1001" s="4">
        <v>4</v>
      </c>
      <c r="M1001" s="577">
        <v>3193</v>
      </c>
      <c r="N1001" s="4" t="s">
        <v>2886</v>
      </c>
      <c r="O1001" s="577">
        <v>3193</v>
      </c>
      <c r="P1001" s="577">
        <v>3800</v>
      </c>
      <c r="Q1001" s="577">
        <v>15200</v>
      </c>
      <c r="R1001" s="26">
        <v>43910</v>
      </c>
      <c r="S1001" s="4" t="s">
        <v>1501</v>
      </c>
      <c r="T1001" s="577">
        <v>103193</v>
      </c>
      <c r="U1001" t="s">
        <v>1545</v>
      </c>
      <c r="V1001" s="578">
        <v>2100</v>
      </c>
      <c r="W1001" s="578">
        <v>1093</v>
      </c>
      <c r="X1001" s="375">
        <v>0.34</v>
      </c>
    </row>
    <row r="1002" spans="1:24" x14ac:dyDescent="0.25">
      <c r="A1002" s="4">
        <v>503</v>
      </c>
      <c r="B1002" s="4" t="s">
        <v>1515</v>
      </c>
      <c r="C1002" s="6" t="s">
        <v>5844</v>
      </c>
      <c r="D1002" s="6" t="s">
        <v>1638</v>
      </c>
      <c r="E1002" s="21">
        <v>43910</v>
      </c>
      <c r="F1002" s="4" t="s">
        <v>1461</v>
      </c>
      <c r="H1002" s="4">
        <v>6765</v>
      </c>
      <c r="I1002" s="4">
        <v>4740</v>
      </c>
      <c r="J1002" s="4" t="s">
        <v>1204</v>
      </c>
      <c r="K1002" s="6" t="s">
        <v>1052</v>
      </c>
      <c r="L1002" s="4">
        <v>1</v>
      </c>
      <c r="M1002" s="577">
        <v>4874</v>
      </c>
      <c r="N1002" s="4" t="s">
        <v>2886</v>
      </c>
      <c r="O1002" s="577">
        <v>4874</v>
      </c>
      <c r="P1002" s="577">
        <v>5800</v>
      </c>
      <c r="Q1002" s="577">
        <v>5800</v>
      </c>
      <c r="R1002" s="26">
        <v>43910</v>
      </c>
      <c r="S1002" s="4" t="s">
        <v>1501</v>
      </c>
      <c r="T1002" s="577">
        <v>103193</v>
      </c>
      <c r="U1002" t="s">
        <v>1545</v>
      </c>
      <c r="V1002" s="578">
        <v>2400</v>
      </c>
      <c r="W1002" s="578">
        <v>2474</v>
      </c>
      <c r="X1002" s="375">
        <v>0.51</v>
      </c>
    </row>
    <row r="1003" spans="1:24" x14ac:dyDescent="0.25">
      <c r="A1003" s="4">
        <v>504</v>
      </c>
      <c r="B1003" s="4" t="s">
        <v>1971</v>
      </c>
      <c r="C1003" s="6" t="s">
        <v>5848</v>
      </c>
      <c r="D1003" s="6" t="s">
        <v>1504</v>
      </c>
      <c r="E1003" s="21">
        <v>43910</v>
      </c>
      <c r="F1003" s="4" t="s">
        <v>1461</v>
      </c>
      <c r="H1003" s="4">
        <v>6765</v>
      </c>
      <c r="I1003" s="4">
        <v>4741</v>
      </c>
      <c r="J1003" s="4" t="s">
        <v>1204</v>
      </c>
      <c r="K1003" s="6" t="s">
        <v>1052</v>
      </c>
      <c r="L1003" s="4">
        <v>1</v>
      </c>
      <c r="M1003" s="577">
        <v>4958</v>
      </c>
      <c r="N1003" s="4" t="s">
        <v>2886</v>
      </c>
      <c r="O1003" s="577">
        <v>4958</v>
      </c>
      <c r="P1003" s="577">
        <v>5900</v>
      </c>
      <c r="Q1003" s="577">
        <v>5900</v>
      </c>
      <c r="R1003" s="26">
        <v>43910</v>
      </c>
      <c r="S1003" s="4" t="s">
        <v>1501</v>
      </c>
      <c r="T1003" s="577">
        <v>10900</v>
      </c>
      <c r="U1003" t="s">
        <v>1545</v>
      </c>
      <c r="V1003" s="578">
        <v>3624</v>
      </c>
      <c r="W1003" s="578">
        <v>1334</v>
      </c>
      <c r="X1003" s="375">
        <v>0.27</v>
      </c>
    </row>
    <row r="1004" spans="1:24" x14ac:dyDescent="0.25">
      <c r="A1004" s="4">
        <v>504</v>
      </c>
      <c r="B1004" s="4" t="s">
        <v>1924</v>
      </c>
      <c r="C1004" s="6" t="s">
        <v>5847</v>
      </c>
      <c r="D1004" s="6" t="s">
        <v>1504</v>
      </c>
      <c r="E1004" s="21">
        <v>43910</v>
      </c>
      <c r="F1004" s="4" t="s">
        <v>1461</v>
      </c>
      <c r="H1004" s="4">
        <v>6765</v>
      </c>
      <c r="I1004" s="4">
        <v>4741</v>
      </c>
      <c r="J1004" s="4" t="s">
        <v>1204</v>
      </c>
      <c r="K1004" s="6" t="s">
        <v>1052</v>
      </c>
      <c r="L1004" s="4">
        <v>2</v>
      </c>
      <c r="M1004" s="577">
        <v>2101</v>
      </c>
      <c r="N1004" s="4" t="s">
        <v>2886</v>
      </c>
      <c r="O1004" s="577">
        <v>2101</v>
      </c>
      <c r="P1004" s="577">
        <v>2500</v>
      </c>
      <c r="Q1004" s="577">
        <v>5000</v>
      </c>
      <c r="R1004" s="26">
        <v>43910</v>
      </c>
      <c r="S1004" s="4" t="s">
        <v>1501</v>
      </c>
      <c r="T1004" s="577">
        <v>10900</v>
      </c>
      <c r="U1004" t="s">
        <v>1545</v>
      </c>
      <c r="V1004" s="578">
        <v>850</v>
      </c>
      <c r="W1004" s="578">
        <v>1251</v>
      </c>
      <c r="X1004" s="375">
        <v>0.6</v>
      </c>
    </row>
    <row r="1005" spans="1:24" x14ac:dyDescent="0.25">
      <c r="A1005" s="4">
        <v>505</v>
      </c>
      <c r="B1005" s="4" t="s">
        <v>847</v>
      </c>
      <c r="C1005" s="6" t="s">
        <v>2201</v>
      </c>
      <c r="D1005" s="6" t="s">
        <v>2198</v>
      </c>
      <c r="E1005" s="21">
        <v>43910</v>
      </c>
      <c r="F1005" s="4" t="s">
        <v>925</v>
      </c>
      <c r="H1005" s="4" t="s">
        <v>2528</v>
      </c>
      <c r="I1005" s="4">
        <v>4742</v>
      </c>
      <c r="J1005" s="4" t="s">
        <v>1256</v>
      </c>
      <c r="K1005" s="6" t="s">
        <v>976</v>
      </c>
      <c r="L1005" s="4">
        <v>5</v>
      </c>
      <c r="M1005" s="577">
        <v>8914</v>
      </c>
      <c r="N1005" s="374">
        <v>0.05</v>
      </c>
      <c r="O1005" s="577">
        <v>8490</v>
      </c>
      <c r="P1005" s="577">
        <v>10077</v>
      </c>
      <c r="Q1005" s="577">
        <v>50385</v>
      </c>
      <c r="R1005" s="26">
        <v>43910</v>
      </c>
      <c r="S1005" s="4" t="s">
        <v>1445</v>
      </c>
      <c r="T1005" s="577">
        <v>50387</v>
      </c>
      <c r="U1005" t="s">
        <v>1572</v>
      </c>
      <c r="V1005" s="578">
        <v>6436</v>
      </c>
      <c r="W1005" s="578">
        <v>2054</v>
      </c>
      <c r="X1005" s="375">
        <v>0.24</v>
      </c>
    </row>
    <row r="1006" spans="1:24" x14ac:dyDescent="0.25">
      <c r="A1006" s="4">
        <v>506</v>
      </c>
      <c r="B1006" s="4" t="s">
        <v>830</v>
      </c>
      <c r="C1006" s="6" t="s">
        <v>2495</v>
      </c>
      <c r="D1006" s="6" t="s">
        <v>837</v>
      </c>
      <c r="E1006" s="21">
        <v>43910</v>
      </c>
      <c r="F1006" s="4" t="s">
        <v>1461</v>
      </c>
      <c r="H1006" s="4">
        <v>6771</v>
      </c>
      <c r="I1006" s="4">
        <v>4743</v>
      </c>
      <c r="J1006" s="4" t="s">
        <v>1205</v>
      </c>
      <c r="K1006" s="6" t="s">
        <v>2171</v>
      </c>
      <c r="L1006" s="4">
        <v>1</v>
      </c>
      <c r="M1006" s="577">
        <v>13866</v>
      </c>
      <c r="N1006" s="4" t="s">
        <v>2886</v>
      </c>
      <c r="O1006" s="577">
        <v>13866</v>
      </c>
      <c r="P1006" s="577">
        <v>16500</v>
      </c>
      <c r="Q1006" s="577">
        <v>16500</v>
      </c>
      <c r="R1006" s="26">
        <v>43910</v>
      </c>
      <c r="S1006" s="4" t="s">
        <v>1445</v>
      </c>
      <c r="T1006" s="577">
        <v>16500</v>
      </c>
      <c r="U1006" t="s">
        <v>1572</v>
      </c>
      <c r="V1006" s="578">
        <v>10390</v>
      </c>
      <c r="W1006" s="578">
        <v>3476</v>
      </c>
      <c r="X1006" s="375">
        <v>0.25</v>
      </c>
    </row>
    <row r="1007" spans="1:24" x14ac:dyDescent="0.25">
      <c r="A1007" s="4">
        <v>507</v>
      </c>
      <c r="B1007" s="4" t="s">
        <v>855</v>
      </c>
      <c r="C1007" s="6" t="s">
        <v>2499</v>
      </c>
      <c r="D1007" s="6" t="s">
        <v>857</v>
      </c>
      <c r="E1007" s="21">
        <v>43910</v>
      </c>
      <c r="F1007" s="4" t="s">
        <v>1461</v>
      </c>
      <c r="H1007" s="4">
        <v>6772</v>
      </c>
      <c r="I1007" s="4">
        <v>4744</v>
      </c>
      <c r="J1007" s="4" t="s">
        <v>1301</v>
      </c>
      <c r="K1007" s="6" t="s">
        <v>968</v>
      </c>
      <c r="L1007" s="4">
        <v>2</v>
      </c>
      <c r="M1007" s="577">
        <v>13277</v>
      </c>
      <c r="N1007" s="4" t="s">
        <v>2886</v>
      </c>
      <c r="O1007" s="577">
        <v>13277</v>
      </c>
      <c r="P1007" s="577">
        <v>15800</v>
      </c>
      <c r="Q1007" s="577">
        <v>31600</v>
      </c>
      <c r="R1007" s="26">
        <v>43910</v>
      </c>
      <c r="S1007" s="4" t="s">
        <v>1501</v>
      </c>
      <c r="T1007" s="577">
        <v>31600</v>
      </c>
      <c r="U1007" t="s">
        <v>1551</v>
      </c>
      <c r="V1007" s="578">
        <v>9975</v>
      </c>
      <c r="W1007" s="578">
        <v>3302</v>
      </c>
      <c r="X1007" s="375">
        <v>0.25</v>
      </c>
    </row>
    <row r="1008" spans="1:24" x14ac:dyDescent="0.25">
      <c r="A1008" s="4">
        <v>508</v>
      </c>
      <c r="B1008" s="4" t="s">
        <v>5960</v>
      </c>
      <c r="C1008" s="6" t="s">
        <v>5961</v>
      </c>
      <c r="D1008" s="6" t="s">
        <v>5962</v>
      </c>
      <c r="E1008" s="21">
        <v>43910</v>
      </c>
      <c r="F1008" s="4" t="s">
        <v>1461</v>
      </c>
      <c r="H1008" s="4">
        <v>6773</v>
      </c>
      <c r="I1008" s="4">
        <v>4745</v>
      </c>
      <c r="J1008" s="4" t="s">
        <v>4853</v>
      </c>
      <c r="K1008" s="6" t="s">
        <v>4854</v>
      </c>
      <c r="L1008" s="4">
        <v>1</v>
      </c>
      <c r="M1008" s="577">
        <v>22858</v>
      </c>
      <c r="N1008" s="4" t="s">
        <v>2886</v>
      </c>
      <c r="O1008" s="577">
        <v>22858</v>
      </c>
      <c r="P1008" s="577">
        <v>27201</v>
      </c>
      <c r="Q1008" s="577">
        <v>27201</v>
      </c>
      <c r="R1008" s="26">
        <v>43910</v>
      </c>
      <c r="S1008" s="4" t="s">
        <v>1501</v>
      </c>
      <c r="T1008" s="577">
        <v>27201</v>
      </c>
      <c r="U1008" t="s">
        <v>5955</v>
      </c>
      <c r="V1008" s="578">
        <v>18972</v>
      </c>
      <c r="W1008" s="578">
        <v>3886</v>
      </c>
      <c r="X1008" s="375">
        <v>0.17</v>
      </c>
    </row>
    <row r="1009" spans="1:24" x14ac:dyDescent="0.25">
      <c r="A1009" s="4">
        <v>509</v>
      </c>
      <c r="B1009" s="4" t="s">
        <v>792</v>
      </c>
      <c r="C1009" s="6" t="s">
        <v>1928</v>
      </c>
      <c r="D1009" s="6" t="s">
        <v>794</v>
      </c>
      <c r="E1009" s="21">
        <v>43910</v>
      </c>
      <c r="F1009" s="4" t="s">
        <v>1461</v>
      </c>
      <c r="H1009" s="4">
        <v>6774</v>
      </c>
      <c r="I1009" s="4">
        <v>4746</v>
      </c>
      <c r="J1009" s="4" t="s">
        <v>1216</v>
      </c>
      <c r="K1009" s="6" t="s">
        <v>2209</v>
      </c>
      <c r="L1009" s="4">
        <v>2</v>
      </c>
      <c r="M1009" s="577">
        <v>20084</v>
      </c>
      <c r="N1009" s="4" t="s">
        <v>2886</v>
      </c>
      <c r="O1009" s="577">
        <v>20084</v>
      </c>
      <c r="P1009" s="577">
        <v>23900</v>
      </c>
      <c r="Q1009" s="577">
        <v>47800</v>
      </c>
      <c r="R1009" s="26">
        <v>43910</v>
      </c>
      <c r="S1009" s="4" t="s">
        <v>1501</v>
      </c>
      <c r="T1009" s="577">
        <v>47800</v>
      </c>
      <c r="U1009" t="s">
        <v>1551</v>
      </c>
      <c r="V1009" s="578">
        <v>14604</v>
      </c>
      <c r="W1009" s="578">
        <v>5480</v>
      </c>
      <c r="X1009" s="375">
        <v>0.27</v>
      </c>
    </row>
    <row r="1010" spans="1:24" x14ac:dyDescent="0.25">
      <c r="A1010" s="4">
        <v>510</v>
      </c>
      <c r="B1010" s="4" t="s">
        <v>838</v>
      </c>
      <c r="C1010" s="6" t="s">
        <v>2062</v>
      </c>
      <c r="D1010" s="6" t="s">
        <v>840</v>
      </c>
      <c r="E1010" s="21">
        <v>43911</v>
      </c>
      <c r="F1010" s="4" t="s">
        <v>1461</v>
      </c>
      <c r="H1010" s="4">
        <v>6775</v>
      </c>
      <c r="I1010" s="4">
        <v>4747</v>
      </c>
      <c r="J1010" s="4" t="s">
        <v>1214</v>
      </c>
      <c r="K1010" s="6" t="s">
        <v>2143</v>
      </c>
      <c r="L1010" s="4">
        <v>2</v>
      </c>
      <c r="M1010" s="577">
        <v>16555</v>
      </c>
      <c r="N1010" s="4" t="s">
        <v>2886</v>
      </c>
      <c r="O1010" s="577">
        <v>16555</v>
      </c>
      <c r="P1010" s="577">
        <v>19700</v>
      </c>
      <c r="Q1010" s="577">
        <v>39400</v>
      </c>
      <c r="R1010" s="26">
        <v>43911</v>
      </c>
      <c r="S1010" s="4" t="s">
        <v>1501</v>
      </c>
      <c r="T1010" s="577">
        <v>39400</v>
      </c>
      <c r="U1010" t="s">
        <v>1572</v>
      </c>
      <c r="V1010" s="578">
        <v>12429</v>
      </c>
      <c r="W1010" s="578">
        <v>4126</v>
      </c>
      <c r="X1010" s="375">
        <v>0.25</v>
      </c>
    </row>
    <row r="1011" spans="1:24" x14ac:dyDescent="0.25">
      <c r="A1011" s="4">
        <v>511</v>
      </c>
      <c r="B1011" s="4" t="s">
        <v>855</v>
      </c>
      <c r="C1011" s="6" t="s">
        <v>2499</v>
      </c>
      <c r="D1011" s="6" t="s">
        <v>857</v>
      </c>
      <c r="E1011" s="21">
        <v>43911</v>
      </c>
      <c r="F1011" s="4" t="s">
        <v>1461</v>
      </c>
      <c r="H1011" s="4">
        <v>6776</v>
      </c>
      <c r="I1011" s="4">
        <v>4748</v>
      </c>
      <c r="J1011" s="4" t="s">
        <v>1285</v>
      </c>
      <c r="K1011" s="6" t="s">
        <v>1071</v>
      </c>
      <c r="L1011" s="4">
        <v>2</v>
      </c>
      <c r="M1011" s="577">
        <v>13277</v>
      </c>
      <c r="N1011" s="4" t="s">
        <v>2886</v>
      </c>
      <c r="O1011" s="577">
        <v>13277</v>
      </c>
      <c r="P1011" s="577">
        <v>15800</v>
      </c>
      <c r="Q1011" s="577">
        <v>31600</v>
      </c>
      <c r="R1011" s="26">
        <v>43911</v>
      </c>
      <c r="S1011" s="4" t="s">
        <v>1501</v>
      </c>
      <c r="T1011" s="577">
        <v>48400</v>
      </c>
      <c r="U1011" t="s">
        <v>1551</v>
      </c>
      <c r="V1011" s="578">
        <v>9975</v>
      </c>
      <c r="W1011" s="578">
        <v>3302</v>
      </c>
      <c r="X1011" s="375">
        <v>0.25</v>
      </c>
    </row>
    <row r="1012" spans="1:24" x14ac:dyDescent="0.25">
      <c r="A1012" s="4">
        <v>511</v>
      </c>
      <c r="B1012" s="4" t="s">
        <v>2674</v>
      </c>
      <c r="C1012" s="6" t="s">
        <v>5889</v>
      </c>
      <c r="D1012" s="6" t="s">
        <v>23</v>
      </c>
      <c r="E1012" s="21">
        <v>43911</v>
      </c>
      <c r="F1012" s="4" t="s">
        <v>1461</v>
      </c>
      <c r="H1012" s="4">
        <v>6776</v>
      </c>
      <c r="I1012" s="4">
        <v>4748</v>
      </c>
      <c r="J1012" s="4" t="s">
        <v>1285</v>
      </c>
      <c r="K1012" s="6" t="s">
        <v>1071</v>
      </c>
      <c r="L1012" s="4">
        <v>2</v>
      </c>
      <c r="M1012" s="577">
        <v>3193</v>
      </c>
      <c r="N1012" s="4" t="s">
        <v>2886</v>
      </c>
      <c r="O1012" s="577">
        <v>3193</v>
      </c>
      <c r="P1012" s="577">
        <v>3800</v>
      </c>
      <c r="Q1012" s="577">
        <v>7600</v>
      </c>
      <c r="R1012" s="26">
        <v>43911</v>
      </c>
      <c r="S1012" s="4" t="s">
        <v>1501</v>
      </c>
      <c r="T1012" s="577">
        <v>48400</v>
      </c>
      <c r="U1012" t="s">
        <v>2668</v>
      </c>
      <c r="V1012" s="578">
        <v>2342</v>
      </c>
      <c r="W1012" s="578">
        <v>851</v>
      </c>
      <c r="X1012" s="375">
        <v>0.27</v>
      </c>
    </row>
    <row r="1013" spans="1:24" x14ac:dyDescent="0.25">
      <c r="A1013" s="4">
        <v>511</v>
      </c>
      <c r="B1013" s="4" t="s">
        <v>4651</v>
      </c>
      <c r="C1013" s="6" t="s">
        <v>4652</v>
      </c>
      <c r="D1013" s="6" t="s">
        <v>4636</v>
      </c>
      <c r="E1013" s="21">
        <v>43911</v>
      </c>
      <c r="F1013" s="4" t="s">
        <v>1461</v>
      </c>
      <c r="H1013" s="4">
        <v>6776</v>
      </c>
      <c r="I1013" s="4">
        <v>4748</v>
      </c>
      <c r="J1013" s="4" t="s">
        <v>1285</v>
      </c>
      <c r="K1013" s="6" t="s">
        <v>1071</v>
      </c>
      <c r="L1013" s="4">
        <v>5</v>
      </c>
      <c r="M1013" s="577">
        <v>924</v>
      </c>
      <c r="N1013" s="4" t="s">
        <v>2886</v>
      </c>
      <c r="O1013" s="577">
        <v>924</v>
      </c>
      <c r="P1013" s="577">
        <v>1100</v>
      </c>
      <c r="Q1013" s="577">
        <v>5500</v>
      </c>
      <c r="R1013" s="26">
        <v>43911</v>
      </c>
      <c r="S1013" s="4" t="s">
        <v>1501</v>
      </c>
      <c r="T1013" s="577">
        <v>48400</v>
      </c>
      <c r="U1013" t="s">
        <v>4767</v>
      </c>
      <c r="V1013" s="578">
        <v>630</v>
      </c>
      <c r="W1013" s="578">
        <v>294</v>
      </c>
      <c r="X1013" s="375">
        <v>0.32</v>
      </c>
    </row>
    <row r="1014" spans="1:24" x14ac:dyDescent="0.25">
      <c r="A1014" s="4">
        <v>511</v>
      </c>
      <c r="B1014" s="4" t="s">
        <v>38</v>
      </c>
      <c r="C1014" s="6" t="s">
        <v>5843</v>
      </c>
      <c r="D1014" s="6" t="s">
        <v>1504</v>
      </c>
      <c r="E1014" s="21">
        <v>43911</v>
      </c>
      <c r="F1014" s="4" t="s">
        <v>1461</v>
      </c>
      <c r="H1014" s="4">
        <v>6776</v>
      </c>
      <c r="I1014" s="4">
        <v>4748</v>
      </c>
      <c r="J1014" s="4" t="s">
        <v>1285</v>
      </c>
      <c r="K1014" s="6" t="s">
        <v>1071</v>
      </c>
      <c r="L1014" s="4">
        <v>1</v>
      </c>
      <c r="M1014" s="577">
        <v>3109</v>
      </c>
      <c r="N1014" s="4" t="s">
        <v>2886</v>
      </c>
      <c r="O1014" s="577">
        <v>3109</v>
      </c>
      <c r="P1014" s="577">
        <v>3700</v>
      </c>
      <c r="Q1014" s="577">
        <v>3700</v>
      </c>
      <c r="R1014" s="26">
        <v>43911</v>
      </c>
      <c r="S1014" s="4" t="s">
        <v>1501</v>
      </c>
      <c r="T1014" s="577">
        <v>48400</v>
      </c>
      <c r="U1014" t="s">
        <v>1563</v>
      </c>
      <c r="V1014" s="578">
        <v>2283</v>
      </c>
      <c r="W1014" s="578">
        <v>826</v>
      </c>
      <c r="X1014" s="375">
        <v>0.27</v>
      </c>
    </row>
    <row r="1015" spans="1:24" x14ac:dyDescent="0.25">
      <c r="A1015" s="4">
        <v>512</v>
      </c>
      <c r="B1015" s="4" t="s">
        <v>1882</v>
      </c>
      <c r="C1015" s="6" t="s">
        <v>1889</v>
      </c>
      <c r="D1015" s="6" t="s">
        <v>1879</v>
      </c>
      <c r="E1015" s="21">
        <v>43911</v>
      </c>
      <c r="F1015" s="4" t="s">
        <v>1461</v>
      </c>
      <c r="H1015" s="4">
        <v>6777</v>
      </c>
      <c r="I1015" s="4">
        <v>4749</v>
      </c>
      <c r="J1015" s="4" t="s">
        <v>1213</v>
      </c>
      <c r="K1015" s="6" t="s">
        <v>985</v>
      </c>
      <c r="L1015" s="4">
        <v>6</v>
      </c>
      <c r="M1015" s="577">
        <v>378</v>
      </c>
      <c r="N1015" s="4" t="s">
        <v>2886</v>
      </c>
      <c r="O1015" s="577">
        <v>378</v>
      </c>
      <c r="P1015" s="577">
        <v>450</v>
      </c>
      <c r="Q1015" s="577">
        <v>2700</v>
      </c>
      <c r="R1015" s="26">
        <v>43911</v>
      </c>
      <c r="S1015" s="4" t="s">
        <v>1501</v>
      </c>
      <c r="T1015" s="577">
        <v>36800</v>
      </c>
      <c r="U1015" t="s">
        <v>1879</v>
      </c>
      <c r="V1015" t="s">
        <v>5584</v>
      </c>
      <c r="W1015" s="578">
        <v>378</v>
      </c>
      <c r="X1015" s="375">
        <v>1</v>
      </c>
    </row>
    <row r="1016" spans="1:24" x14ac:dyDescent="0.25">
      <c r="A1016" s="4">
        <v>512</v>
      </c>
      <c r="B1016" s="4" t="s">
        <v>1886</v>
      </c>
      <c r="C1016" s="6" t="s">
        <v>1891</v>
      </c>
      <c r="D1016" s="6" t="s">
        <v>1879</v>
      </c>
      <c r="E1016" s="21">
        <v>43911</v>
      </c>
      <c r="F1016" s="4" t="s">
        <v>1461</v>
      </c>
      <c r="H1016" s="4">
        <v>6777</v>
      </c>
      <c r="I1016" s="4">
        <v>4749</v>
      </c>
      <c r="J1016" s="4" t="s">
        <v>1213</v>
      </c>
      <c r="K1016" s="6" t="s">
        <v>985</v>
      </c>
      <c r="L1016" s="4">
        <v>10</v>
      </c>
      <c r="M1016" s="577">
        <v>252</v>
      </c>
      <c r="N1016" s="4" t="s">
        <v>2886</v>
      </c>
      <c r="O1016" s="577">
        <v>252</v>
      </c>
      <c r="P1016" s="577">
        <v>300</v>
      </c>
      <c r="Q1016" s="577">
        <v>3000</v>
      </c>
      <c r="R1016" s="26">
        <v>43911</v>
      </c>
      <c r="S1016" s="4" t="s">
        <v>1501</v>
      </c>
      <c r="T1016" s="577">
        <v>36800</v>
      </c>
      <c r="U1016" t="s">
        <v>1879</v>
      </c>
      <c r="V1016" s="578">
        <v>176</v>
      </c>
      <c r="W1016" s="578">
        <v>76</v>
      </c>
      <c r="X1016" s="375">
        <v>0.3</v>
      </c>
    </row>
    <row r="1017" spans="1:24" x14ac:dyDescent="0.25">
      <c r="A1017" s="4">
        <v>512</v>
      </c>
      <c r="B1017" s="4" t="s">
        <v>4637</v>
      </c>
      <c r="C1017" s="6" t="s">
        <v>4638</v>
      </c>
      <c r="D1017" s="6" t="s">
        <v>4636</v>
      </c>
      <c r="E1017" s="21">
        <v>43911</v>
      </c>
      <c r="F1017" s="4" t="s">
        <v>1461</v>
      </c>
      <c r="H1017" s="4">
        <v>6777</v>
      </c>
      <c r="I1017" s="4">
        <v>4749</v>
      </c>
      <c r="J1017" s="4" t="s">
        <v>1213</v>
      </c>
      <c r="K1017" s="6" t="s">
        <v>985</v>
      </c>
      <c r="L1017" s="4">
        <v>2</v>
      </c>
      <c r="M1017" s="577">
        <v>2143</v>
      </c>
      <c r="N1017" s="4" t="s">
        <v>2886</v>
      </c>
      <c r="O1017" s="577">
        <v>2143</v>
      </c>
      <c r="P1017" s="577">
        <v>2550</v>
      </c>
      <c r="Q1017" s="577">
        <v>5100</v>
      </c>
      <c r="R1017" s="26">
        <v>43911</v>
      </c>
      <c r="S1017" s="4" t="s">
        <v>1501</v>
      </c>
      <c r="T1017" s="577">
        <v>36800</v>
      </c>
      <c r="U1017" t="s">
        <v>4767</v>
      </c>
      <c r="V1017" s="578">
        <v>1500</v>
      </c>
      <c r="W1017" s="578">
        <v>643</v>
      </c>
      <c r="X1017" s="375">
        <v>0.3</v>
      </c>
    </row>
    <row r="1018" spans="1:24" x14ac:dyDescent="0.25">
      <c r="A1018" s="4">
        <v>512</v>
      </c>
      <c r="B1018" s="4" t="s">
        <v>4654</v>
      </c>
      <c r="C1018" s="6" t="s">
        <v>5306</v>
      </c>
      <c r="D1018" s="6" t="s">
        <v>4636</v>
      </c>
      <c r="E1018" s="21">
        <v>43911</v>
      </c>
      <c r="F1018" s="4" t="s">
        <v>1461</v>
      </c>
      <c r="H1018" s="4">
        <v>6777</v>
      </c>
      <c r="I1018" s="4">
        <v>4749</v>
      </c>
      <c r="J1018" s="4" t="s">
        <v>1213</v>
      </c>
      <c r="K1018" s="6" t="s">
        <v>985</v>
      </c>
      <c r="L1018" s="4">
        <v>3</v>
      </c>
      <c r="M1018" s="577">
        <v>924</v>
      </c>
      <c r="N1018" s="4" t="s">
        <v>2886</v>
      </c>
      <c r="O1018" s="577">
        <v>924</v>
      </c>
      <c r="P1018" s="577">
        <v>1100</v>
      </c>
      <c r="Q1018" s="577">
        <v>3300</v>
      </c>
      <c r="R1018" s="26">
        <v>43911</v>
      </c>
      <c r="S1018" s="4" t="s">
        <v>1501</v>
      </c>
      <c r="T1018" s="577">
        <v>36800</v>
      </c>
      <c r="U1018" t="s">
        <v>4767</v>
      </c>
      <c r="V1018" s="578">
        <v>625</v>
      </c>
      <c r="W1018" s="578">
        <v>299</v>
      </c>
      <c r="X1018" s="375">
        <v>0.32</v>
      </c>
    </row>
    <row r="1019" spans="1:24" x14ac:dyDescent="0.25">
      <c r="A1019" s="4">
        <v>512</v>
      </c>
      <c r="B1019" s="4" t="s">
        <v>2035</v>
      </c>
      <c r="C1019" s="6" t="s">
        <v>2206</v>
      </c>
      <c r="D1019" s="6" t="s">
        <v>2197</v>
      </c>
      <c r="E1019" s="21">
        <v>43911</v>
      </c>
      <c r="F1019" s="4" t="s">
        <v>1461</v>
      </c>
      <c r="H1019" s="4">
        <v>6777</v>
      </c>
      <c r="I1019" s="4">
        <v>4749</v>
      </c>
      <c r="J1019" s="4" t="s">
        <v>1213</v>
      </c>
      <c r="K1019" s="6" t="s">
        <v>985</v>
      </c>
      <c r="L1019" s="4">
        <v>1</v>
      </c>
      <c r="M1019" s="577">
        <v>10504</v>
      </c>
      <c r="N1019" s="4" t="s">
        <v>2886</v>
      </c>
      <c r="O1019" s="577">
        <v>10504</v>
      </c>
      <c r="P1019" s="577">
        <v>12500</v>
      </c>
      <c r="Q1019" s="577">
        <v>12500</v>
      </c>
      <c r="R1019" s="26">
        <v>43911</v>
      </c>
      <c r="S1019" s="4" t="s">
        <v>1501</v>
      </c>
      <c r="T1019" s="577">
        <v>36800</v>
      </c>
      <c r="U1019" t="s">
        <v>1572</v>
      </c>
      <c r="V1019" t="s">
        <v>5584</v>
      </c>
      <c r="W1019" s="578">
        <v>10504</v>
      </c>
      <c r="X1019" s="375">
        <v>1</v>
      </c>
    </row>
    <row r="1020" spans="1:24" x14ac:dyDescent="0.25">
      <c r="A1020" s="4">
        <v>512</v>
      </c>
      <c r="B1020" s="4" t="s">
        <v>847</v>
      </c>
      <c r="C1020" s="6" t="s">
        <v>2201</v>
      </c>
      <c r="D1020" s="6" t="s">
        <v>2198</v>
      </c>
      <c r="E1020" s="21">
        <v>43911</v>
      </c>
      <c r="F1020" s="4" t="s">
        <v>1461</v>
      </c>
      <c r="H1020" s="4">
        <v>6777</v>
      </c>
      <c r="I1020" s="4">
        <v>4749</v>
      </c>
      <c r="J1020" s="4" t="s">
        <v>1213</v>
      </c>
      <c r="K1020" s="6" t="s">
        <v>985</v>
      </c>
      <c r="L1020" s="4">
        <v>1</v>
      </c>
      <c r="M1020" s="577">
        <v>8571</v>
      </c>
      <c r="N1020" s="4" t="s">
        <v>2886</v>
      </c>
      <c r="O1020" s="577">
        <v>8571</v>
      </c>
      <c r="P1020" s="577">
        <v>10200</v>
      </c>
      <c r="Q1020" s="577">
        <v>10200</v>
      </c>
      <c r="R1020" s="26">
        <v>43911</v>
      </c>
      <c r="S1020" s="4" t="s">
        <v>1501</v>
      </c>
      <c r="T1020" s="577">
        <v>36800</v>
      </c>
      <c r="U1020" t="s">
        <v>1572</v>
      </c>
      <c r="V1020" s="578">
        <v>6436</v>
      </c>
      <c r="W1020" s="578">
        <v>2135</v>
      </c>
      <c r="X1020" s="375">
        <v>0.25</v>
      </c>
    </row>
    <row r="1021" spans="1:24" x14ac:dyDescent="0.25">
      <c r="A1021" s="4">
        <v>513</v>
      </c>
      <c r="B1021" s="4" t="s">
        <v>838</v>
      </c>
      <c r="C1021" s="6" t="s">
        <v>2062</v>
      </c>
      <c r="D1021" s="6" t="s">
        <v>840</v>
      </c>
      <c r="E1021" s="21">
        <v>43911</v>
      </c>
      <c r="F1021" s="4" t="s">
        <v>1461</v>
      </c>
      <c r="H1021" s="4">
        <v>6778</v>
      </c>
      <c r="I1021" s="4">
        <v>4750</v>
      </c>
      <c r="J1021" s="4" t="s">
        <v>5737</v>
      </c>
      <c r="K1021" s="6" t="s">
        <v>5738</v>
      </c>
      <c r="L1021" s="4">
        <v>1</v>
      </c>
      <c r="M1021" s="577">
        <v>16555</v>
      </c>
      <c r="N1021" s="4" t="s">
        <v>2886</v>
      </c>
      <c r="O1021" s="577">
        <v>16555</v>
      </c>
      <c r="P1021" s="577">
        <v>19700</v>
      </c>
      <c r="Q1021" s="577">
        <v>19700</v>
      </c>
      <c r="R1021" s="26">
        <v>43911</v>
      </c>
      <c r="S1021" s="4" t="s">
        <v>1501</v>
      </c>
      <c r="T1021" s="577">
        <v>19700</v>
      </c>
      <c r="U1021" t="s">
        <v>1572</v>
      </c>
      <c r="V1021" s="578">
        <v>12429</v>
      </c>
      <c r="W1021" s="578">
        <v>4126</v>
      </c>
      <c r="X1021" s="375">
        <v>0.25</v>
      </c>
    </row>
    <row r="1022" spans="1:24" x14ac:dyDescent="0.25">
      <c r="A1022" s="4">
        <v>514</v>
      </c>
      <c r="B1022" s="4" t="s">
        <v>5147</v>
      </c>
      <c r="C1022" s="6" t="s">
        <v>5148</v>
      </c>
      <c r="D1022" s="6" t="s">
        <v>4618</v>
      </c>
      <c r="E1022" s="21">
        <v>43914</v>
      </c>
      <c r="F1022" s="4" t="s">
        <v>1461</v>
      </c>
      <c r="H1022" s="4">
        <v>6779</v>
      </c>
      <c r="I1022" s="4">
        <v>4751</v>
      </c>
      <c r="J1022" s="4" t="s">
        <v>4791</v>
      </c>
      <c r="K1022" s="6" t="s">
        <v>4792</v>
      </c>
      <c r="L1022" s="4">
        <v>10</v>
      </c>
      <c r="M1022" s="579">
        <v>26471</v>
      </c>
      <c r="N1022" s="374">
        <v>0.03</v>
      </c>
      <c r="O1022" s="579">
        <v>25657</v>
      </c>
      <c r="P1022" s="579">
        <v>30500</v>
      </c>
      <c r="Q1022" s="579">
        <v>305000</v>
      </c>
      <c r="R1022" s="26">
        <v>43914</v>
      </c>
      <c r="S1022" s="4" t="s">
        <v>1501</v>
      </c>
      <c r="T1022" s="579">
        <v>305000</v>
      </c>
      <c r="U1022" t="s">
        <v>4602</v>
      </c>
      <c r="V1022" s="580">
        <v>21183</v>
      </c>
      <c r="W1022" s="580">
        <v>4474</v>
      </c>
      <c r="X1022" s="375">
        <v>0.17</v>
      </c>
    </row>
    <row r="1023" spans="1:24" x14ac:dyDescent="0.25">
      <c r="A1023" s="4">
        <v>515</v>
      </c>
      <c r="B1023" s="4" t="s">
        <v>838</v>
      </c>
      <c r="C1023" s="6" t="s">
        <v>2062</v>
      </c>
      <c r="D1023" s="6" t="s">
        <v>840</v>
      </c>
      <c r="E1023" s="21">
        <v>43914</v>
      </c>
      <c r="F1023" s="4" t="s">
        <v>1461</v>
      </c>
      <c r="H1023" s="4">
        <v>6780</v>
      </c>
      <c r="I1023" s="4">
        <v>4752</v>
      </c>
      <c r="J1023" s="4" t="s">
        <v>3306</v>
      </c>
      <c r="K1023" s="6" t="s">
        <v>3307</v>
      </c>
      <c r="L1023" s="4">
        <v>5</v>
      </c>
      <c r="M1023" s="579">
        <v>16555</v>
      </c>
      <c r="N1023" s="4" t="s">
        <v>2886</v>
      </c>
      <c r="O1023" s="579">
        <v>16555</v>
      </c>
      <c r="P1023" s="579">
        <v>19700</v>
      </c>
      <c r="Q1023" s="579">
        <v>98500</v>
      </c>
      <c r="R1023" s="26">
        <v>43914</v>
      </c>
      <c r="S1023" s="4" t="s">
        <v>1501</v>
      </c>
      <c r="T1023" s="579">
        <v>98500</v>
      </c>
      <c r="U1023" t="s">
        <v>1572</v>
      </c>
      <c r="V1023" s="580">
        <v>12429</v>
      </c>
      <c r="W1023" s="580">
        <v>4126</v>
      </c>
      <c r="X1023" s="375">
        <v>0.25</v>
      </c>
    </row>
    <row r="1024" spans="1:24" x14ac:dyDescent="0.25">
      <c r="A1024" s="4">
        <v>516</v>
      </c>
      <c r="B1024" s="4" t="s">
        <v>656</v>
      </c>
      <c r="C1024" s="6" t="s">
        <v>1973</v>
      </c>
      <c r="D1024" s="6" t="s">
        <v>794</v>
      </c>
      <c r="E1024" s="21">
        <v>43914</v>
      </c>
      <c r="F1024" s="4" t="s">
        <v>1461</v>
      </c>
      <c r="H1024" s="4">
        <v>6782</v>
      </c>
      <c r="I1024" s="4">
        <v>4753</v>
      </c>
      <c r="J1024" s="4" t="s">
        <v>2437</v>
      </c>
      <c r="K1024" s="6" t="s">
        <v>2438</v>
      </c>
      <c r="L1024" s="4">
        <v>2</v>
      </c>
      <c r="M1024" s="579">
        <v>20084</v>
      </c>
      <c r="N1024" s="4" t="s">
        <v>2886</v>
      </c>
      <c r="O1024" s="579">
        <v>20084</v>
      </c>
      <c r="P1024" s="579">
        <v>23900</v>
      </c>
      <c r="Q1024" s="579">
        <v>47800</v>
      </c>
      <c r="R1024" s="26">
        <v>43914</v>
      </c>
      <c r="S1024" s="4" t="s">
        <v>1501</v>
      </c>
      <c r="T1024" s="579">
        <v>47800</v>
      </c>
      <c r="U1024" t="s">
        <v>1551</v>
      </c>
      <c r="V1024" s="580">
        <v>14604</v>
      </c>
      <c r="W1024" s="580">
        <v>5480</v>
      </c>
      <c r="X1024" s="375">
        <v>0.27</v>
      </c>
    </row>
    <row r="1025" spans="1:24" x14ac:dyDescent="0.25">
      <c r="A1025" s="4">
        <v>517</v>
      </c>
      <c r="B1025" s="4" t="s">
        <v>838</v>
      </c>
      <c r="C1025" s="6" t="s">
        <v>2062</v>
      </c>
      <c r="D1025" s="6" t="s">
        <v>840</v>
      </c>
      <c r="E1025" s="21">
        <v>43914</v>
      </c>
      <c r="F1025" s="4" t="s">
        <v>1461</v>
      </c>
      <c r="H1025" s="4">
        <v>6781</v>
      </c>
      <c r="I1025" s="4">
        <v>4754</v>
      </c>
      <c r="J1025" s="4" t="s">
        <v>1276</v>
      </c>
      <c r="K1025" s="6" t="s">
        <v>1064</v>
      </c>
      <c r="L1025" s="4">
        <v>1</v>
      </c>
      <c r="M1025" s="579">
        <v>16555</v>
      </c>
      <c r="N1025" s="4" t="s">
        <v>2886</v>
      </c>
      <c r="O1025" s="579">
        <v>16555</v>
      </c>
      <c r="P1025" s="579">
        <v>19700</v>
      </c>
      <c r="Q1025" s="579">
        <v>19700</v>
      </c>
      <c r="R1025" s="26">
        <v>43914</v>
      </c>
      <c r="S1025" s="4" t="s">
        <v>1501</v>
      </c>
      <c r="T1025" s="579">
        <v>19700</v>
      </c>
      <c r="U1025" t="s">
        <v>1572</v>
      </c>
      <c r="V1025" s="580">
        <v>12429</v>
      </c>
      <c r="W1025" s="580">
        <v>4126</v>
      </c>
      <c r="X1025" s="375">
        <v>0.25</v>
      </c>
    </row>
    <row r="1026" spans="1:24" x14ac:dyDescent="0.25">
      <c r="A1026" s="4">
        <v>518</v>
      </c>
      <c r="B1026" s="4" t="s">
        <v>855</v>
      </c>
      <c r="C1026" s="6" t="s">
        <v>2499</v>
      </c>
      <c r="D1026" s="6" t="s">
        <v>857</v>
      </c>
      <c r="E1026" s="21">
        <v>43914</v>
      </c>
      <c r="F1026" s="4" t="s">
        <v>1461</v>
      </c>
      <c r="H1026" s="4">
        <v>6783</v>
      </c>
      <c r="I1026" s="4">
        <v>4755</v>
      </c>
      <c r="J1026" s="4" t="s">
        <v>3236</v>
      </c>
      <c r="K1026" s="6" t="s">
        <v>3237</v>
      </c>
      <c r="L1026" s="4">
        <v>1</v>
      </c>
      <c r="M1026" s="579">
        <v>13277</v>
      </c>
      <c r="N1026" s="4" t="s">
        <v>2886</v>
      </c>
      <c r="O1026" s="579">
        <v>13277</v>
      </c>
      <c r="P1026" s="579">
        <v>15800</v>
      </c>
      <c r="Q1026" s="579">
        <v>15800</v>
      </c>
      <c r="R1026" s="26">
        <v>43914</v>
      </c>
      <c r="S1026" s="4" t="s">
        <v>1501</v>
      </c>
      <c r="T1026" s="579">
        <v>15800</v>
      </c>
      <c r="U1026" t="s">
        <v>1551</v>
      </c>
      <c r="V1026" s="580">
        <v>9975</v>
      </c>
      <c r="W1026" s="580">
        <v>3302</v>
      </c>
      <c r="X1026" s="375">
        <v>0.25</v>
      </c>
    </row>
    <row r="1027" spans="1:24" x14ac:dyDescent="0.25">
      <c r="A1027" s="4">
        <v>519</v>
      </c>
      <c r="B1027" s="4" t="s">
        <v>3968</v>
      </c>
      <c r="C1027" s="6" t="s">
        <v>4018</v>
      </c>
      <c r="D1027" s="6" t="s">
        <v>4019</v>
      </c>
      <c r="E1027" s="21">
        <v>43914</v>
      </c>
      <c r="F1027" s="4" t="s">
        <v>1461</v>
      </c>
      <c r="H1027" s="4">
        <v>6784</v>
      </c>
      <c r="I1027" s="4">
        <v>4756</v>
      </c>
      <c r="J1027" s="4" t="s">
        <v>6023</v>
      </c>
      <c r="K1027" s="6" t="s">
        <v>6024</v>
      </c>
      <c r="L1027" s="4">
        <v>1</v>
      </c>
      <c r="M1027" s="579">
        <v>19748</v>
      </c>
      <c r="N1027" s="4" t="s">
        <v>2886</v>
      </c>
      <c r="O1027" s="579">
        <v>19748</v>
      </c>
      <c r="P1027" s="579">
        <v>23500</v>
      </c>
      <c r="Q1027" s="579">
        <v>23500</v>
      </c>
      <c r="R1027" s="26">
        <v>43914</v>
      </c>
      <c r="S1027" s="4" t="s">
        <v>1501</v>
      </c>
      <c r="T1027" s="579">
        <v>23500</v>
      </c>
      <c r="U1027" t="s">
        <v>1551</v>
      </c>
      <c r="V1027" s="580">
        <v>14122</v>
      </c>
      <c r="W1027" s="580">
        <v>5626</v>
      </c>
      <c r="X1027" s="375">
        <v>0.28000000000000003</v>
      </c>
    </row>
    <row r="1028" spans="1:24" x14ac:dyDescent="0.25">
      <c r="A1028" s="4">
        <v>520</v>
      </c>
      <c r="B1028" s="4" t="s">
        <v>656</v>
      </c>
      <c r="C1028" s="6" t="s">
        <v>1973</v>
      </c>
      <c r="D1028" s="6" t="s">
        <v>794</v>
      </c>
      <c r="E1028" s="21">
        <v>43914</v>
      </c>
      <c r="F1028" s="4" t="s">
        <v>1461</v>
      </c>
      <c r="H1028" s="4">
        <v>6785</v>
      </c>
      <c r="I1028" s="4">
        <v>4757</v>
      </c>
      <c r="J1028" s="4" t="s">
        <v>5759</v>
      </c>
      <c r="K1028" s="6" t="s">
        <v>5760</v>
      </c>
      <c r="L1028" s="4">
        <v>2</v>
      </c>
      <c r="M1028" s="579">
        <v>20084</v>
      </c>
      <c r="N1028" s="4" t="s">
        <v>2886</v>
      </c>
      <c r="O1028" s="579">
        <v>20084</v>
      </c>
      <c r="P1028" s="579">
        <v>23900</v>
      </c>
      <c r="Q1028" s="579">
        <v>47800</v>
      </c>
      <c r="R1028" s="26">
        <v>43914</v>
      </c>
      <c r="S1028" s="4" t="s">
        <v>1501</v>
      </c>
      <c r="T1028" s="579">
        <v>47800</v>
      </c>
      <c r="U1028" t="s">
        <v>1551</v>
      </c>
      <c r="V1028" s="580">
        <v>14604</v>
      </c>
      <c r="W1028" s="580">
        <v>5480</v>
      </c>
      <c r="X1028" s="375">
        <v>0.27</v>
      </c>
    </row>
    <row r="1029" spans="1:24" x14ac:dyDescent="0.25">
      <c r="A1029" s="4">
        <v>521</v>
      </c>
      <c r="B1029" s="4" t="s">
        <v>5960</v>
      </c>
      <c r="C1029" s="6" t="s">
        <v>5961</v>
      </c>
      <c r="D1029" s="6" t="s">
        <v>5962</v>
      </c>
      <c r="E1029" s="21">
        <v>43914</v>
      </c>
      <c r="F1029" s="4" t="s">
        <v>1461</v>
      </c>
      <c r="H1029" s="4">
        <v>6786</v>
      </c>
      <c r="I1029" s="4">
        <v>4758</v>
      </c>
      <c r="J1029" s="4" t="s">
        <v>4580</v>
      </c>
      <c r="K1029" s="6" t="s">
        <v>4581</v>
      </c>
      <c r="L1029" s="4">
        <v>2</v>
      </c>
      <c r="M1029" s="579">
        <v>22689</v>
      </c>
      <c r="N1029" s="4" t="s">
        <v>2886</v>
      </c>
      <c r="O1029" s="579">
        <v>22689</v>
      </c>
      <c r="P1029" s="579">
        <v>27000</v>
      </c>
      <c r="Q1029" s="579">
        <v>54000</v>
      </c>
      <c r="R1029" s="26">
        <v>43914</v>
      </c>
      <c r="S1029" s="4" t="s">
        <v>1501</v>
      </c>
      <c r="T1029" s="579">
        <v>54000</v>
      </c>
      <c r="U1029" t="s">
        <v>5955</v>
      </c>
      <c r="V1029" s="580">
        <v>18972</v>
      </c>
      <c r="W1029" s="580">
        <v>3717</v>
      </c>
      <c r="X1029" s="375">
        <v>0.16</v>
      </c>
    </row>
    <row r="1030" spans="1:24" x14ac:dyDescent="0.25">
      <c r="A1030" s="4">
        <v>522</v>
      </c>
      <c r="B1030" s="4" t="s">
        <v>5935</v>
      </c>
      <c r="C1030" s="6" t="s">
        <v>5934</v>
      </c>
      <c r="D1030" s="6" t="s">
        <v>5933</v>
      </c>
      <c r="E1030" s="21">
        <v>43914</v>
      </c>
      <c r="F1030" s="4" t="s">
        <v>1461</v>
      </c>
      <c r="H1030" s="4">
        <v>6712</v>
      </c>
      <c r="I1030" s="4">
        <v>4759</v>
      </c>
      <c r="J1030" s="4" t="s">
        <v>5740</v>
      </c>
      <c r="K1030" s="6" t="s">
        <v>5741</v>
      </c>
      <c r="L1030" s="4">
        <v>1</v>
      </c>
      <c r="M1030" s="579">
        <v>23950</v>
      </c>
      <c r="N1030" s="4" t="s">
        <v>2886</v>
      </c>
      <c r="O1030" s="579">
        <v>23950</v>
      </c>
      <c r="P1030" s="579">
        <v>28500</v>
      </c>
      <c r="Q1030" s="579">
        <v>28500</v>
      </c>
      <c r="R1030" s="26">
        <v>43914</v>
      </c>
      <c r="S1030" s="4" t="s">
        <v>1501</v>
      </c>
      <c r="T1030" s="579">
        <v>55500</v>
      </c>
      <c r="U1030" t="s">
        <v>5926</v>
      </c>
      <c r="V1030" s="580">
        <v>19000</v>
      </c>
      <c r="W1030" s="580">
        <v>4950</v>
      </c>
      <c r="X1030" s="375">
        <v>0.21</v>
      </c>
    </row>
    <row r="1031" spans="1:24" x14ac:dyDescent="0.25">
      <c r="A1031" s="4">
        <v>522</v>
      </c>
      <c r="B1031" s="4" t="s">
        <v>5960</v>
      </c>
      <c r="C1031" s="6" t="s">
        <v>5961</v>
      </c>
      <c r="D1031" s="6" t="s">
        <v>5962</v>
      </c>
      <c r="E1031" s="21">
        <v>43914</v>
      </c>
      <c r="F1031" s="4" t="s">
        <v>1461</v>
      </c>
      <c r="H1031" s="4">
        <v>6712</v>
      </c>
      <c r="I1031" s="4">
        <v>4759</v>
      </c>
      <c r="J1031" s="4" t="s">
        <v>5740</v>
      </c>
      <c r="K1031" s="6" t="s">
        <v>5741</v>
      </c>
      <c r="L1031" s="4">
        <v>1</v>
      </c>
      <c r="M1031" s="579">
        <v>22689</v>
      </c>
      <c r="N1031" s="4" t="s">
        <v>2886</v>
      </c>
      <c r="O1031" s="579">
        <v>22689</v>
      </c>
      <c r="P1031" s="579">
        <v>27000</v>
      </c>
      <c r="Q1031" s="579">
        <v>27000</v>
      </c>
      <c r="R1031" s="26">
        <v>43914</v>
      </c>
      <c r="S1031" s="4" t="s">
        <v>1501</v>
      </c>
      <c r="T1031" s="579">
        <v>55500</v>
      </c>
      <c r="U1031" t="s">
        <v>5955</v>
      </c>
      <c r="V1031" s="580">
        <v>18972</v>
      </c>
      <c r="W1031" s="580">
        <v>3717</v>
      </c>
      <c r="X1031" s="375">
        <v>0.16</v>
      </c>
    </row>
    <row r="1032" spans="1:24" x14ac:dyDescent="0.25">
      <c r="A1032" s="4">
        <v>523</v>
      </c>
      <c r="B1032" s="4" t="s">
        <v>830</v>
      </c>
      <c r="C1032" s="6" t="s">
        <v>2495</v>
      </c>
      <c r="D1032" s="6" t="s">
        <v>837</v>
      </c>
      <c r="E1032" s="21">
        <v>43914</v>
      </c>
      <c r="F1032" s="4" t="s">
        <v>1461</v>
      </c>
      <c r="H1032" s="4">
        <v>6787</v>
      </c>
      <c r="I1032" s="4">
        <v>4760</v>
      </c>
      <c r="J1032" s="4" t="s">
        <v>6026</v>
      </c>
      <c r="K1032" s="6" t="s">
        <v>6027</v>
      </c>
      <c r="L1032" s="4">
        <v>2</v>
      </c>
      <c r="M1032" s="579">
        <v>13866</v>
      </c>
      <c r="N1032" s="4" t="s">
        <v>2886</v>
      </c>
      <c r="O1032" s="579">
        <v>13866</v>
      </c>
      <c r="P1032" s="579">
        <v>16500</v>
      </c>
      <c r="Q1032" s="579">
        <v>33000</v>
      </c>
      <c r="R1032" s="26">
        <v>43914</v>
      </c>
      <c r="S1032" s="4" t="s">
        <v>1501</v>
      </c>
      <c r="T1032" s="579">
        <v>33000</v>
      </c>
      <c r="U1032" t="s">
        <v>1572</v>
      </c>
      <c r="V1032" s="580">
        <v>10390</v>
      </c>
      <c r="W1032" s="580">
        <v>3476</v>
      </c>
      <c r="X1032" s="375">
        <v>0.25</v>
      </c>
    </row>
    <row r="1033" spans="1:24" x14ac:dyDescent="0.25">
      <c r="A1033" s="4">
        <v>524</v>
      </c>
      <c r="B1033" s="4" t="s">
        <v>855</v>
      </c>
      <c r="C1033" s="6" t="s">
        <v>2499</v>
      </c>
      <c r="D1033" s="6" t="s">
        <v>857</v>
      </c>
      <c r="E1033" s="21">
        <v>43914</v>
      </c>
      <c r="F1033" s="4" t="s">
        <v>1461</v>
      </c>
      <c r="H1033" s="4">
        <v>6788</v>
      </c>
      <c r="I1033" s="4">
        <v>4761</v>
      </c>
      <c r="J1033" s="4" t="s">
        <v>6029</v>
      </c>
      <c r="K1033" s="6" t="s">
        <v>6030</v>
      </c>
      <c r="L1033" s="4">
        <v>1</v>
      </c>
      <c r="M1033" s="579">
        <v>13277</v>
      </c>
      <c r="N1033" s="4" t="s">
        <v>2886</v>
      </c>
      <c r="O1033" s="579">
        <v>13277</v>
      </c>
      <c r="P1033" s="579">
        <v>15800</v>
      </c>
      <c r="Q1033" s="579">
        <v>15800</v>
      </c>
      <c r="R1033" s="26">
        <v>43914</v>
      </c>
      <c r="S1033" s="4" t="s">
        <v>1501</v>
      </c>
      <c r="T1033" s="579">
        <v>15800</v>
      </c>
      <c r="U1033" t="s">
        <v>1551</v>
      </c>
      <c r="V1033" s="580">
        <v>9975</v>
      </c>
      <c r="W1033" s="580">
        <v>3302</v>
      </c>
      <c r="X1033" s="375">
        <v>0.25</v>
      </c>
    </row>
    <row r="1034" spans="1:24" x14ac:dyDescent="0.25">
      <c r="A1034" s="4">
        <v>525</v>
      </c>
      <c r="B1034" s="4" t="s">
        <v>1672</v>
      </c>
      <c r="C1034" s="6" t="s">
        <v>5845</v>
      </c>
      <c r="D1034" s="6" t="s">
        <v>1504</v>
      </c>
      <c r="E1034" s="21">
        <v>43915</v>
      </c>
      <c r="F1034" s="4" t="s">
        <v>1461</v>
      </c>
      <c r="H1034" s="4">
        <v>6789</v>
      </c>
      <c r="I1034" s="4">
        <v>4762</v>
      </c>
      <c r="J1034" s="4" t="s">
        <v>6032</v>
      </c>
      <c r="K1034" s="6" t="s">
        <v>6033</v>
      </c>
      <c r="L1034" s="4">
        <v>2</v>
      </c>
      <c r="M1034" s="583">
        <v>4118</v>
      </c>
      <c r="N1034" s="4" t="s">
        <v>2886</v>
      </c>
      <c r="O1034" s="583">
        <v>4118</v>
      </c>
      <c r="P1034" s="583">
        <v>4900</v>
      </c>
      <c r="Q1034" s="583">
        <v>9800</v>
      </c>
      <c r="R1034" s="26">
        <v>43915</v>
      </c>
      <c r="S1034" s="4" t="s">
        <v>1501</v>
      </c>
      <c r="T1034" s="583">
        <v>17400</v>
      </c>
      <c r="U1034" t="s">
        <v>1545</v>
      </c>
      <c r="V1034" s="584">
        <v>2250</v>
      </c>
      <c r="W1034" s="584">
        <v>1868</v>
      </c>
      <c r="X1034" s="375">
        <v>0.45</v>
      </c>
    </row>
    <row r="1035" spans="1:24" x14ac:dyDescent="0.25">
      <c r="A1035" s="4">
        <v>525</v>
      </c>
      <c r="B1035" s="4" t="s">
        <v>1503</v>
      </c>
      <c r="C1035" s="6" t="s">
        <v>1972</v>
      </c>
      <c r="D1035" s="6" t="s">
        <v>1638</v>
      </c>
      <c r="E1035" s="21">
        <v>43915</v>
      </c>
      <c r="F1035" s="4" t="s">
        <v>1461</v>
      </c>
      <c r="H1035" s="4">
        <v>6789</v>
      </c>
      <c r="I1035" s="4">
        <v>4762</v>
      </c>
      <c r="J1035" s="4" t="s">
        <v>6032</v>
      </c>
      <c r="K1035" s="6" t="s">
        <v>6033</v>
      </c>
      <c r="L1035" s="4">
        <v>2</v>
      </c>
      <c r="M1035" s="583">
        <v>3193</v>
      </c>
      <c r="N1035" s="4" t="s">
        <v>2886</v>
      </c>
      <c r="O1035" s="583">
        <v>3193</v>
      </c>
      <c r="P1035" s="583">
        <v>3800</v>
      </c>
      <c r="Q1035" s="583">
        <v>7600</v>
      </c>
      <c r="R1035" s="26">
        <v>43915</v>
      </c>
      <c r="S1035" s="4" t="s">
        <v>1501</v>
      </c>
      <c r="T1035" s="583">
        <v>17400</v>
      </c>
      <c r="U1035" t="s">
        <v>1545</v>
      </c>
      <c r="V1035" s="584">
        <v>2200</v>
      </c>
      <c r="W1035" s="584">
        <v>993</v>
      </c>
      <c r="X1035" s="375">
        <v>0.31</v>
      </c>
    </row>
    <row r="1036" spans="1:24" x14ac:dyDescent="0.25">
      <c r="A1036" s="4">
        <v>526</v>
      </c>
      <c r="B1036" s="4" t="s">
        <v>4620</v>
      </c>
      <c r="C1036" s="6" t="s">
        <v>4621</v>
      </c>
      <c r="D1036" s="6" t="s">
        <v>4622</v>
      </c>
      <c r="E1036" s="21">
        <v>43915</v>
      </c>
      <c r="F1036" s="4" t="s">
        <v>1461</v>
      </c>
      <c r="H1036" s="4">
        <v>6790</v>
      </c>
      <c r="I1036" s="4">
        <v>4763</v>
      </c>
      <c r="J1036" s="4" t="s">
        <v>4807</v>
      </c>
      <c r="K1036" s="6" t="s">
        <v>4808</v>
      </c>
      <c r="L1036" s="4">
        <v>2</v>
      </c>
      <c r="M1036" s="583">
        <v>32689</v>
      </c>
      <c r="N1036" s="4" t="s">
        <v>2886</v>
      </c>
      <c r="O1036" s="583">
        <v>32689</v>
      </c>
      <c r="P1036" s="583">
        <v>38900</v>
      </c>
      <c r="Q1036" s="583">
        <v>77800</v>
      </c>
      <c r="R1036" s="26">
        <v>43915</v>
      </c>
      <c r="S1036" s="4" t="s">
        <v>1501</v>
      </c>
      <c r="T1036" s="583">
        <v>92900</v>
      </c>
      <c r="U1036" t="s">
        <v>4602</v>
      </c>
      <c r="V1036" s="584">
        <v>26207</v>
      </c>
      <c r="W1036" s="584">
        <v>6482</v>
      </c>
      <c r="X1036" s="375">
        <v>0.2</v>
      </c>
    </row>
    <row r="1037" spans="1:24" x14ac:dyDescent="0.25">
      <c r="A1037" s="4">
        <v>526</v>
      </c>
      <c r="B1037" s="4" t="s">
        <v>1503</v>
      </c>
      <c r="C1037" s="6" t="s">
        <v>1972</v>
      </c>
      <c r="D1037" s="6" t="s">
        <v>1638</v>
      </c>
      <c r="E1037" s="21">
        <v>43915</v>
      </c>
      <c r="F1037" s="4" t="s">
        <v>1461</v>
      </c>
      <c r="H1037" s="4">
        <v>6790</v>
      </c>
      <c r="I1037" s="4">
        <v>4763</v>
      </c>
      <c r="J1037" s="4" t="s">
        <v>4807</v>
      </c>
      <c r="K1037" s="6" t="s">
        <v>4808</v>
      </c>
      <c r="L1037" s="4">
        <v>2</v>
      </c>
      <c r="M1037" s="583">
        <v>3193</v>
      </c>
      <c r="N1037" s="4" t="s">
        <v>2886</v>
      </c>
      <c r="O1037" s="583">
        <v>3193</v>
      </c>
      <c r="P1037" s="583">
        <v>3800</v>
      </c>
      <c r="Q1037" s="583">
        <v>7600</v>
      </c>
      <c r="R1037" s="26">
        <v>43915</v>
      </c>
      <c r="S1037" s="4" t="s">
        <v>1501</v>
      </c>
      <c r="T1037" s="583">
        <v>92900</v>
      </c>
      <c r="U1037" t="s">
        <v>1545</v>
      </c>
      <c r="V1037" s="584">
        <v>2200</v>
      </c>
      <c r="W1037" s="584">
        <v>993</v>
      </c>
      <c r="X1037" s="375">
        <v>0.31</v>
      </c>
    </row>
    <row r="1038" spans="1:24" x14ac:dyDescent="0.25">
      <c r="A1038" s="4">
        <v>526</v>
      </c>
      <c r="B1038" s="4" t="s">
        <v>1719</v>
      </c>
      <c r="C1038" s="6" t="s">
        <v>2365</v>
      </c>
      <c r="D1038" s="6" t="s">
        <v>1539</v>
      </c>
      <c r="E1038" s="21">
        <v>43915</v>
      </c>
      <c r="F1038" s="4" t="s">
        <v>1461</v>
      </c>
      <c r="H1038" s="4">
        <v>6790</v>
      </c>
      <c r="I1038" s="4">
        <v>4763</v>
      </c>
      <c r="J1038" s="4" t="s">
        <v>4807</v>
      </c>
      <c r="K1038" s="6" t="s">
        <v>4808</v>
      </c>
      <c r="L1038" s="4">
        <v>1</v>
      </c>
      <c r="M1038" s="583">
        <v>6303</v>
      </c>
      <c r="N1038" s="4" t="s">
        <v>2886</v>
      </c>
      <c r="O1038" s="583">
        <v>6303</v>
      </c>
      <c r="P1038" s="583">
        <v>7500</v>
      </c>
      <c r="Q1038" s="583">
        <v>7500</v>
      </c>
      <c r="R1038" s="26">
        <v>43915</v>
      </c>
      <c r="S1038" s="4" t="s">
        <v>1501</v>
      </c>
      <c r="T1038" s="583">
        <v>92900</v>
      </c>
      <c r="U1038" t="s">
        <v>1524</v>
      </c>
      <c r="V1038" s="584">
        <v>5042</v>
      </c>
      <c r="W1038" s="584">
        <v>1261</v>
      </c>
      <c r="X1038" s="375">
        <v>0.2</v>
      </c>
    </row>
    <row r="1039" spans="1:24" x14ac:dyDescent="0.25">
      <c r="A1039" s="4">
        <v>527</v>
      </c>
      <c r="B1039" s="4" t="s">
        <v>838</v>
      </c>
      <c r="C1039" s="6" t="s">
        <v>2062</v>
      </c>
      <c r="D1039" s="6" t="s">
        <v>840</v>
      </c>
      <c r="E1039" s="21">
        <v>43915</v>
      </c>
      <c r="F1039" s="4" t="s">
        <v>1461</v>
      </c>
      <c r="H1039" s="4">
        <v>6791</v>
      </c>
      <c r="I1039" s="4">
        <v>4764</v>
      </c>
      <c r="J1039" s="4" t="s">
        <v>6035</v>
      </c>
      <c r="K1039" s="6" t="s">
        <v>6036</v>
      </c>
      <c r="L1039" s="4">
        <v>1</v>
      </c>
      <c r="M1039" s="583">
        <v>16555</v>
      </c>
      <c r="N1039" s="4" t="s">
        <v>2886</v>
      </c>
      <c r="O1039" s="583">
        <v>16555</v>
      </c>
      <c r="P1039" s="583">
        <v>19700</v>
      </c>
      <c r="Q1039" s="583">
        <v>19700</v>
      </c>
      <c r="R1039" s="26">
        <v>43915</v>
      </c>
      <c r="S1039" s="4" t="s">
        <v>1501</v>
      </c>
      <c r="T1039" s="583">
        <v>19700</v>
      </c>
      <c r="U1039" t="s">
        <v>1572</v>
      </c>
      <c r="V1039" s="584">
        <v>12429</v>
      </c>
      <c r="W1039" s="584">
        <v>4126</v>
      </c>
      <c r="X1039" s="375">
        <v>0.25</v>
      </c>
    </row>
    <row r="1040" spans="1:24" x14ac:dyDescent="0.25">
      <c r="A1040" s="4">
        <v>528</v>
      </c>
      <c r="B1040" s="4" t="s">
        <v>1471</v>
      </c>
      <c r="C1040" s="6" t="s">
        <v>1655</v>
      </c>
      <c r="D1040" s="6" t="s">
        <v>1469</v>
      </c>
      <c r="E1040" s="21">
        <v>43916</v>
      </c>
      <c r="F1040" s="4" t="s">
        <v>925</v>
      </c>
      <c r="H1040" s="4">
        <v>1040256</v>
      </c>
      <c r="I1040" s="4">
        <v>4765</v>
      </c>
      <c r="J1040" s="4" t="s">
        <v>1175</v>
      </c>
      <c r="K1040" s="6" t="s">
        <v>1144</v>
      </c>
      <c r="L1040" s="4">
        <v>12</v>
      </c>
      <c r="M1040" s="585">
        <v>880</v>
      </c>
      <c r="N1040" s="374">
        <v>0.05</v>
      </c>
      <c r="O1040" s="585">
        <v>838</v>
      </c>
      <c r="P1040" s="585">
        <v>994</v>
      </c>
      <c r="Q1040" s="585">
        <v>11928</v>
      </c>
      <c r="R1040" s="26">
        <v>43916</v>
      </c>
      <c r="S1040" s="4" t="s">
        <v>2050</v>
      </c>
      <c r="T1040" s="585">
        <v>185842</v>
      </c>
      <c r="U1040" t="s">
        <v>1570</v>
      </c>
      <c r="V1040" s="586">
        <v>635</v>
      </c>
      <c r="W1040" s="586">
        <v>203</v>
      </c>
      <c r="X1040" s="375">
        <v>0.24</v>
      </c>
    </row>
    <row r="1041" spans="1:24" x14ac:dyDescent="0.25">
      <c r="A1041" s="4">
        <v>528</v>
      </c>
      <c r="B1041" s="4" t="s">
        <v>1472</v>
      </c>
      <c r="C1041" s="6" t="s">
        <v>1656</v>
      </c>
      <c r="D1041" s="6" t="s">
        <v>1469</v>
      </c>
      <c r="E1041" s="21">
        <v>43916</v>
      </c>
      <c r="F1041" s="4" t="s">
        <v>925</v>
      </c>
      <c r="H1041" s="4">
        <v>1040256</v>
      </c>
      <c r="I1041" s="4">
        <v>4765</v>
      </c>
      <c r="J1041" s="4" t="s">
        <v>1175</v>
      </c>
      <c r="K1041" s="6" t="s">
        <v>1144</v>
      </c>
      <c r="L1041" s="4">
        <v>16</v>
      </c>
      <c r="M1041" s="585">
        <v>1676</v>
      </c>
      <c r="N1041" s="374">
        <v>0.05</v>
      </c>
      <c r="O1041" s="585">
        <v>1596</v>
      </c>
      <c r="P1041" s="585">
        <v>1895</v>
      </c>
      <c r="Q1041" s="585">
        <v>30320</v>
      </c>
      <c r="R1041" s="26">
        <v>43916</v>
      </c>
      <c r="S1041" s="4" t="s">
        <v>2050</v>
      </c>
      <c r="T1041" s="585">
        <v>185842</v>
      </c>
      <c r="U1041" t="s">
        <v>1570</v>
      </c>
      <c r="V1041" s="586">
        <v>1210</v>
      </c>
      <c r="W1041" s="586">
        <v>386</v>
      </c>
      <c r="X1041" s="375">
        <v>0.24</v>
      </c>
    </row>
    <row r="1042" spans="1:24" x14ac:dyDescent="0.25">
      <c r="A1042" s="4">
        <v>528</v>
      </c>
      <c r="B1042" s="4" t="s">
        <v>1662</v>
      </c>
      <c r="C1042" s="6" t="s">
        <v>1660</v>
      </c>
      <c r="D1042" s="6" t="s">
        <v>1469</v>
      </c>
      <c r="E1042" s="21">
        <v>43916</v>
      </c>
      <c r="F1042" s="4" t="s">
        <v>925</v>
      </c>
      <c r="H1042" s="4">
        <v>1040256</v>
      </c>
      <c r="I1042" s="4">
        <v>4765</v>
      </c>
      <c r="J1042" s="4" t="s">
        <v>1175</v>
      </c>
      <c r="K1042" s="6" t="s">
        <v>1144</v>
      </c>
      <c r="L1042" s="4">
        <v>12</v>
      </c>
      <c r="M1042" s="585">
        <v>1787</v>
      </c>
      <c r="N1042" s="374">
        <v>0.05</v>
      </c>
      <c r="O1042" s="585">
        <v>1702</v>
      </c>
      <c r="P1042" s="585">
        <v>2020</v>
      </c>
      <c r="Q1042" s="585">
        <v>24240</v>
      </c>
      <c r="R1042" s="26">
        <v>43916</v>
      </c>
      <c r="S1042" s="4" t="s">
        <v>2050</v>
      </c>
      <c r="T1042" s="585">
        <v>185842</v>
      </c>
      <c r="U1042" t="s">
        <v>1570</v>
      </c>
      <c r="V1042" s="586">
        <v>1290</v>
      </c>
      <c r="W1042" s="586">
        <v>412</v>
      </c>
      <c r="X1042" s="375">
        <v>0.24</v>
      </c>
    </row>
    <row r="1043" spans="1:24" x14ac:dyDescent="0.25">
      <c r="A1043" s="4">
        <v>528</v>
      </c>
      <c r="B1043" s="4" t="s">
        <v>360</v>
      </c>
      <c r="C1043" s="6" t="s">
        <v>3514</v>
      </c>
      <c r="D1043" s="6" t="s">
        <v>409</v>
      </c>
      <c r="E1043" s="21">
        <v>43916</v>
      </c>
      <c r="F1043" s="4" t="s">
        <v>925</v>
      </c>
      <c r="H1043" s="4">
        <v>1040256</v>
      </c>
      <c r="I1043" s="4">
        <v>4765</v>
      </c>
      <c r="J1043" s="4" t="s">
        <v>1175</v>
      </c>
      <c r="K1043" s="6" t="s">
        <v>1144</v>
      </c>
      <c r="L1043" s="4">
        <v>48</v>
      </c>
      <c r="M1043" s="585">
        <v>1093</v>
      </c>
      <c r="N1043" s="374">
        <v>0.05</v>
      </c>
      <c r="O1043" s="585">
        <v>1041</v>
      </c>
      <c r="P1043" s="585">
        <v>1235</v>
      </c>
      <c r="Q1043" s="585">
        <v>59280</v>
      </c>
      <c r="R1043" s="26">
        <v>43916</v>
      </c>
      <c r="S1043" s="4" t="s">
        <v>2050</v>
      </c>
      <c r="T1043" s="585">
        <v>185842</v>
      </c>
      <c r="U1043" t="s">
        <v>1561</v>
      </c>
      <c r="V1043" s="586">
        <v>789</v>
      </c>
      <c r="W1043" s="586">
        <v>252</v>
      </c>
      <c r="X1043" s="375">
        <v>0.24</v>
      </c>
    </row>
    <row r="1044" spans="1:24" x14ac:dyDescent="0.25">
      <c r="A1044" s="4">
        <v>528</v>
      </c>
      <c r="B1044" s="4" t="s">
        <v>276</v>
      </c>
      <c r="C1044" s="6" t="s">
        <v>1687</v>
      </c>
      <c r="D1044" s="6" t="s">
        <v>2792</v>
      </c>
      <c r="E1044" s="21">
        <v>43916</v>
      </c>
      <c r="F1044" s="4" t="s">
        <v>925</v>
      </c>
      <c r="H1044" s="4">
        <v>1040256</v>
      </c>
      <c r="I1044" s="4">
        <v>4765</v>
      </c>
      <c r="J1044" s="4" t="s">
        <v>1175</v>
      </c>
      <c r="K1044" s="6" t="s">
        <v>1144</v>
      </c>
      <c r="L1044" s="4">
        <v>10</v>
      </c>
      <c r="M1044" s="585">
        <v>657</v>
      </c>
      <c r="N1044" s="374">
        <v>-0.08</v>
      </c>
      <c r="O1044" s="585">
        <v>713</v>
      </c>
      <c r="P1044" s="585">
        <v>843</v>
      </c>
      <c r="Q1044" s="585">
        <v>8430</v>
      </c>
      <c r="R1044" s="26">
        <v>43916</v>
      </c>
      <c r="S1044" s="4" t="s">
        <v>2050</v>
      </c>
      <c r="T1044" s="585">
        <v>185842</v>
      </c>
      <c r="U1044" t="s">
        <v>2755</v>
      </c>
      <c r="V1044" s="586">
        <v>474</v>
      </c>
      <c r="W1044" s="586">
        <v>239</v>
      </c>
      <c r="X1044" s="375">
        <v>0.34</v>
      </c>
    </row>
    <row r="1045" spans="1:24" x14ac:dyDescent="0.25">
      <c r="A1045" s="4">
        <v>528</v>
      </c>
      <c r="B1045" s="4" t="s">
        <v>278</v>
      </c>
      <c r="C1045" s="6" t="s">
        <v>1688</v>
      </c>
      <c r="D1045" s="6" t="s">
        <v>2792</v>
      </c>
      <c r="E1045" s="21">
        <v>43916</v>
      </c>
      <c r="F1045" s="4" t="s">
        <v>925</v>
      </c>
      <c r="H1045" s="4">
        <v>1040256</v>
      </c>
      <c r="I1045" s="4">
        <v>4765</v>
      </c>
      <c r="J1045" s="4" t="s">
        <v>1175</v>
      </c>
      <c r="K1045" s="6" t="s">
        <v>1144</v>
      </c>
      <c r="L1045" s="4">
        <v>5</v>
      </c>
      <c r="M1045" s="585">
        <v>1233</v>
      </c>
      <c r="N1045" s="374">
        <v>-0.11</v>
      </c>
      <c r="O1045" s="585">
        <v>1390</v>
      </c>
      <c r="P1045" s="585">
        <v>1633</v>
      </c>
      <c r="Q1045" s="585">
        <v>8165</v>
      </c>
      <c r="R1045" s="26">
        <v>43916</v>
      </c>
      <c r="S1045" s="4" t="s">
        <v>2050</v>
      </c>
      <c r="T1045" s="585">
        <v>185842</v>
      </c>
      <c r="U1045" t="s">
        <v>2755</v>
      </c>
      <c r="V1045" s="586">
        <v>890</v>
      </c>
      <c r="W1045" s="586">
        <v>500</v>
      </c>
      <c r="X1045" s="375">
        <v>0.36</v>
      </c>
    </row>
    <row r="1046" spans="1:24" x14ac:dyDescent="0.25">
      <c r="A1046" s="4">
        <v>528</v>
      </c>
      <c r="B1046" s="4" t="s">
        <v>280</v>
      </c>
      <c r="C1046" s="6" t="s">
        <v>1818</v>
      </c>
      <c r="D1046" s="6" t="s">
        <v>2792</v>
      </c>
      <c r="E1046" s="21">
        <v>43916</v>
      </c>
      <c r="F1046" s="4" t="s">
        <v>925</v>
      </c>
      <c r="H1046" s="4">
        <v>1040256</v>
      </c>
      <c r="I1046" s="4">
        <v>4765</v>
      </c>
      <c r="J1046" s="4" t="s">
        <v>1175</v>
      </c>
      <c r="K1046" s="6" t="s">
        <v>1144</v>
      </c>
      <c r="L1046" s="4">
        <v>40</v>
      </c>
      <c r="M1046" s="585">
        <v>360</v>
      </c>
      <c r="N1046" s="374">
        <v>-7.0000000000000007E-2</v>
      </c>
      <c r="O1046" s="585">
        <v>388</v>
      </c>
      <c r="P1046" s="585">
        <v>459</v>
      </c>
      <c r="Q1046" s="585">
        <v>18360</v>
      </c>
      <c r="R1046" s="26">
        <v>43916</v>
      </c>
      <c r="S1046" s="4" t="s">
        <v>2050</v>
      </c>
      <c r="T1046" s="585">
        <v>185842</v>
      </c>
      <c r="U1046" t="s">
        <v>2755</v>
      </c>
      <c r="V1046" s="586">
        <v>260</v>
      </c>
      <c r="W1046" s="586">
        <v>128</v>
      </c>
      <c r="X1046" s="375">
        <v>0.33</v>
      </c>
    </row>
    <row r="1047" spans="1:24" x14ac:dyDescent="0.25">
      <c r="A1047" s="4">
        <v>528</v>
      </c>
      <c r="B1047" s="4" t="s">
        <v>182</v>
      </c>
      <c r="C1047" s="6" t="s">
        <v>2139</v>
      </c>
      <c r="D1047" s="6" t="s">
        <v>2792</v>
      </c>
      <c r="E1047" s="21">
        <v>43916</v>
      </c>
      <c r="F1047" s="4" t="s">
        <v>925</v>
      </c>
      <c r="H1047" s="4">
        <v>1040256</v>
      </c>
      <c r="I1047" s="4">
        <v>4765</v>
      </c>
      <c r="J1047" s="4" t="s">
        <v>1175</v>
      </c>
      <c r="K1047" s="6" t="s">
        <v>1144</v>
      </c>
      <c r="L1047" s="4">
        <v>24</v>
      </c>
      <c r="M1047" s="585">
        <v>463</v>
      </c>
      <c r="N1047" s="374">
        <v>0.05</v>
      </c>
      <c r="O1047" s="585">
        <v>441</v>
      </c>
      <c r="P1047" s="585">
        <v>523</v>
      </c>
      <c r="Q1047" s="585">
        <v>12552</v>
      </c>
      <c r="R1047" s="26">
        <v>43916</v>
      </c>
      <c r="S1047" s="4" t="s">
        <v>2050</v>
      </c>
      <c r="T1047" s="585">
        <v>185842</v>
      </c>
      <c r="U1047" t="s">
        <v>2755</v>
      </c>
      <c r="V1047" s="586">
        <v>334</v>
      </c>
      <c r="W1047" s="586">
        <v>107</v>
      </c>
      <c r="X1047" s="375">
        <v>0.24</v>
      </c>
    </row>
    <row r="1048" spans="1:24" x14ac:dyDescent="0.25">
      <c r="A1048" s="4">
        <v>528</v>
      </c>
      <c r="B1048" s="4" t="s">
        <v>183</v>
      </c>
      <c r="C1048" s="6" t="s">
        <v>4773</v>
      </c>
      <c r="D1048" s="6" t="s">
        <v>2792</v>
      </c>
      <c r="E1048" s="21">
        <v>43916</v>
      </c>
      <c r="F1048" s="4" t="s">
        <v>925</v>
      </c>
      <c r="H1048" s="4">
        <v>1040256</v>
      </c>
      <c r="I1048" s="4">
        <v>4765</v>
      </c>
      <c r="J1048" s="4" t="s">
        <v>1175</v>
      </c>
      <c r="K1048" s="6" t="s">
        <v>1144</v>
      </c>
      <c r="L1048" s="4">
        <v>24</v>
      </c>
      <c r="M1048" s="585">
        <v>463</v>
      </c>
      <c r="N1048" s="374">
        <v>0.05</v>
      </c>
      <c r="O1048" s="585">
        <v>441</v>
      </c>
      <c r="P1048" s="585">
        <v>523</v>
      </c>
      <c r="Q1048" s="585">
        <v>12552</v>
      </c>
      <c r="R1048" s="26">
        <v>43916</v>
      </c>
      <c r="S1048" s="4" t="s">
        <v>2050</v>
      </c>
      <c r="T1048" s="585">
        <v>185842</v>
      </c>
      <c r="U1048" t="s">
        <v>2755</v>
      </c>
      <c r="V1048" s="586">
        <v>334</v>
      </c>
      <c r="W1048" s="586">
        <v>107</v>
      </c>
      <c r="X1048" s="375">
        <v>0.24</v>
      </c>
    </row>
    <row r="1049" spans="1:24" x14ac:dyDescent="0.25">
      <c r="A1049" s="4">
        <v>529</v>
      </c>
      <c r="B1049" s="4" t="s">
        <v>38</v>
      </c>
      <c r="C1049" s="6" t="s">
        <v>5843</v>
      </c>
      <c r="D1049" s="6" t="s">
        <v>1504</v>
      </c>
      <c r="E1049" s="21">
        <v>43916</v>
      </c>
      <c r="F1049" s="4" t="s">
        <v>925</v>
      </c>
      <c r="H1049" s="4" t="s">
        <v>2528</v>
      </c>
      <c r="I1049" s="4">
        <v>4766</v>
      </c>
      <c r="J1049" s="4" t="s">
        <v>1179</v>
      </c>
      <c r="K1049" s="6" t="s">
        <v>952</v>
      </c>
      <c r="L1049" s="4">
        <v>10</v>
      </c>
      <c r="M1049" s="585">
        <v>3248</v>
      </c>
      <c r="N1049" s="374">
        <v>0.09</v>
      </c>
      <c r="O1049" s="585">
        <v>2980</v>
      </c>
      <c r="P1049" s="585">
        <v>3517</v>
      </c>
      <c r="Q1049" s="585">
        <v>35170</v>
      </c>
      <c r="R1049" s="26">
        <v>43916</v>
      </c>
      <c r="S1049" s="4" t="s">
        <v>2050</v>
      </c>
      <c r="T1049" s="585">
        <v>43315</v>
      </c>
      <c r="U1049" t="s">
        <v>1563</v>
      </c>
      <c r="V1049" s="586">
        <v>2283</v>
      </c>
      <c r="W1049" s="586">
        <v>697</v>
      </c>
      <c r="X1049" s="375">
        <v>0.23</v>
      </c>
    </row>
    <row r="1050" spans="1:24" x14ac:dyDescent="0.25">
      <c r="A1050" s="4">
        <v>529</v>
      </c>
      <c r="B1050" s="4" t="s">
        <v>280</v>
      </c>
      <c r="C1050" s="6" t="s">
        <v>1818</v>
      </c>
      <c r="D1050" s="6" t="s">
        <v>2792</v>
      </c>
      <c r="E1050" s="21">
        <v>43916</v>
      </c>
      <c r="F1050" s="4" t="s">
        <v>925</v>
      </c>
      <c r="H1050" s="4" t="s">
        <v>2528</v>
      </c>
      <c r="I1050" s="4">
        <v>4766</v>
      </c>
      <c r="J1050" s="4" t="s">
        <v>1179</v>
      </c>
      <c r="K1050" s="6" t="s">
        <v>952</v>
      </c>
      <c r="L1050" s="4">
        <v>20</v>
      </c>
      <c r="M1050" s="585">
        <v>360</v>
      </c>
      <c r="N1050" s="374">
        <v>0.05</v>
      </c>
      <c r="O1050" s="585">
        <v>343</v>
      </c>
      <c r="P1050" s="585">
        <v>407</v>
      </c>
      <c r="Q1050" s="585">
        <v>8140</v>
      </c>
      <c r="R1050" s="26">
        <v>43916</v>
      </c>
      <c r="S1050" s="4" t="s">
        <v>2050</v>
      </c>
      <c r="T1050" s="585">
        <v>43315</v>
      </c>
      <c r="U1050" t="s">
        <v>2755</v>
      </c>
      <c r="V1050" s="586">
        <v>260</v>
      </c>
      <c r="W1050" s="586">
        <v>83</v>
      </c>
      <c r="X1050" s="375">
        <v>0.24</v>
      </c>
    </row>
    <row r="1051" spans="1:24" x14ac:dyDescent="0.25">
      <c r="A1051" s="4">
        <v>530</v>
      </c>
      <c r="B1051" s="4" t="s">
        <v>3968</v>
      </c>
      <c r="C1051" s="6" t="s">
        <v>4018</v>
      </c>
      <c r="D1051" s="6" t="s">
        <v>4019</v>
      </c>
      <c r="E1051" s="21">
        <v>43916</v>
      </c>
      <c r="F1051" s="4" t="s">
        <v>1461</v>
      </c>
      <c r="H1051" s="4">
        <v>6796</v>
      </c>
      <c r="I1051" s="4">
        <v>4767</v>
      </c>
      <c r="J1051" s="4" t="s">
        <v>5808</v>
      </c>
      <c r="K1051" s="6" t="s">
        <v>5809</v>
      </c>
      <c r="L1051" s="4">
        <v>2</v>
      </c>
      <c r="M1051" s="585">
        <v>19748</v>
      </c>
      <c r="N1051" s="4" t="s">
        <v>2886</v>
      </c>
      <c r="O1051" s="585">
        <v>19748</v>
      </c>
      <c r="P1051" s="585">
        <v>23500</v>
      </c>
      <c r="Q1051" s="585">
        <v>47000</v>
      </c>
      <c r="R1051" s="26">
        <v>43916</v>
      </c>
      <c r="S1051" s="4" t="s">
        <v>1501</v>
      </c>
      <c r="T1051" s="585">
        <v>47000</v>
      </c>
      <c r="U1051" t="s">
        <v>1551</v>
      </c>
      <c r="V1051" s="586">
        <v>14122</v>
      </c>
      <c r="W1051" s="586">
        <v>5626</v>
      </c>
      <c r="X1051" s="375">
        <v>0.28000000000000003</v>
      </c>
    </row>
    <row r="1052" spans="1:24" x14ac:dyDescent="0.25">
      <c r="A1052" s="4">
        <v>531</v>
      </c>
      <c r="B1052" s="4" t="s">
        <v>1503</v>
      </c>
      <c r="C1052" s="6" t="s">
        <v>1972</v>
      </c>
      <c r="D1052" s="6" t="s">
        <v>1638</v>
      </c>
      <c r="E1052" s="21">
        <v>43916</v>
      </c>
      <c r="F1052" s="4" t="s">
        <v>1461</v>
      </c>
      <c r="H1052" s="4">
        <v>6798</v>
      </c>
      <c r="I1052" s="4">
        <v>4768</v>
      </c>
      <c r="J1052" s="4" t="s">
        <v>4406</v>
      </c>
      <c r="K1052" s="6" t="s">
        <v>4407</v>
      </c>
      <c r="L1052" s="4">
        <v>20</v>
      </c>
      <c r="M1052" s="585">
        <v>3193</v>
      </c>
      <c r="N1052" s="4" t="s">
        <v>2886</v>
      </c>
      <c r="O1052" s="585">
        <v>3193</v>
      </c>
      <c r="P1052" s="585">
        <v>3800</v>
      </c>
      <c r="Q1052" s="585">
        <v>76000</v>
      </c>
      <c r="R1052" s="26">
        <v>43918</v>
      </c>
      <c r="S1052" s="4" t="s">
        <v>1445</v>
      </c>
      <c r="T1052" s="585">
        <v>76000</v>
      </c>
      <c r="U1052" t="s">
        <v>1545</v>
      </c>
      <c r="V1052" s="586">
        <v>2200</v>
      </c>
      <c r="W1052" s="586">
        <v>993</v>
      </c>
      <c r="X1052" s="375">
        <v>0.31</v>
      </c>
    </row>
    <row r="1053" spans="1:24" x14ac:dyDescent="0.25">
      <c r="A1053" s="4">
        <v>532</v>
      </c>
      <c r="B1053" s="4" t="s">
        <v>855</v>
      </c>
      <c r="C1053" s="6" t="s">
        <v>2499</v>
      </c>
      <c r="D1053" s="6" t="s">
        <v>857</v>
      </c>
      <c r="E1053" s="21">
        <v>43916</v>
      </c>
      <c r="F1053" s="4" t="s">
        <v>1461</v>
      </c>
      <c r="H1053" s="4">
        <v>6797</v>
      </c>
      <c r="I1053" s="4">
        <v>4769</v>
      </c>
      <c r="J1053" s="4" t="s">
        <v>5288</v>
      </c>
      <c r="K1053" s="6" t="s">
        <v>5289</v>
      </c>
      <c r="L1053" s="4">
        <v>1</v>
      </c>
      <c r="M1053" s="585">
        <v>13277</v>
      </c>
      <c r="N1053" s="4" t="s">
        <v>2886</v>
      </c>
      <c r="O1053" s="585">
        <v>13277</v>
      </c>
      <c r="P1053" s="585">
        <v>15800</v>
      </c>
      <c r="Q1053" s="585">
        <v>15800</v>
      </c>
      <c r="R1053" s="26">
        <v>43916</v>
      </c>
      <c r="S1053" s="4" t="s">
        <v>1501</v>
      </c>
      <c r="T1053" s="585">
        <v>38100</v>
      </c>
      <c r="U1053" t="s">
        <v>1551</v>
      </c>
      <c r="V1053" s="586">
        <v>9975</v>
      </c>
      <c r="W1053" s="586">
        <v>3302</v>
      </c>
      <c r="X1053" s="375">
        <v>0.25</v>
      </c>
    </row>
    <row r="1054" spans="1:24" x14ac:dyDescent="0.25">
      <c r="A1054" s="4">
        <v>532</v>
      </c>
      <c r="B1054" s="4" t="s">
        <v>2614</v>
      </c>
      <c r="C1054" s="6" t="s">
        <v>2644</v>
      </c>
      <c r="D1054" s="6" t="s">
        <v>1469</v>
      </c>
      <c r="E1054" s="21">
        <v>43916</v>
      </c>
      <c r="F1054" s="4" t="s">
        <v>1461</v>
      </c>
      <c r="H1054" s="4">
        <v>6797</v>
      </c>
      <c r="I1054" s="4">
        <v>4769</v>
      </c>
      <c r="J1054" s="4" t="s">
        <v>5288</v>
      </c>
      <c r="K1054" s="6" t="s">
        <v>5289</v>
      </c>
      <c r="L1054" s="4">
        <v>1</v>
      </c>
      <c r="M1054" s="585">
        <v>18739</v>
      </c>
      <c r="N1054" s="4" t="s">
        <v>2886</v>
      </c>
      <c r="O1054" s="585">
        <v>18739</v>
      </c>
      <c r="P1054" s="585">
        <v>22300</v>
      </c>
      <c r="Q1054" s="585">
        <v>22300</v>
      </c>
      <c r="R1054" s="26">
        <v>43916</v>
      </c>
      <c r="S1054" s="4" t="s">
        <v>1501</v>
      </c>
      <c r="T1054" s="585">
        <v>38100</v>
      </c>
      <c r="U1054" t="s">
        <v>1570</v>
      </c>
      <c r="V1054" s="586">
        <v>14040</v>
      </c>
      <c r="W1054" s="586">
        <v>4699</v>
      </c>
      <c r="X1054" s="375">
        <v>0.25</v>
      </c>
    </row>
    <row r="1055" spans="1:24" x14ac:dyDescent="0.25">
      <c r="A1055" s="4">
        <v>533</v>
      </c>
      <c r="B1055" s="4" t="s">
        <v>830</v>
      </c>
      <c r="C1055" s="6" t="s">
        <v>2495</v>
      </c>
      <c r="D1055" s="6" t="s">
        <v>837</v>
      </c>
      <c r="E1055" s="21">
        <v>43916</v>
      </c>
      <c r="F1055" s="4" t="s">
        <v>1461</v>
      </c>
      <c r="H1055" s="4">
        <v>6795</v>
      </c>
      <c r="I1055" s="4">
        <v>4770</v>
      </c>
      <c r="J1055" s="4" t="s">
        <v>2344</v>
      </c>
      <c r="K1055" s="6" t="s">
        <v>2345</v>
      </c>
      <c r="L1055" s="4">
        <v>2</v>
      </c>
      <c r="M1055" s="585">
        <v>13866</v>
      </c>
      <c r="N1055" s="4" t="s">
        <v>2886</v>
      </c>
      <c r="O1055" s="585">
        <v>13866</v>
      </c>
      <c r="P1055" s="585">
        <v>16500</v>
      </c>
      <c r="Q1055" s="585">
        <v>33000</v>
      </c>
      <c r="R1055" s="26">
        <v>43916</v>
      </c>
      <c r="S1055" s="4" t="s">
        <v>1501</v>
      </c>
      <c r="T1055" s="585">
        <v>33000</v>
      </c>
      <c r="U1055" t="s">
        <v>1572</v>
      </c>
      <c r="V1055" s="586">
        <v>10390</v>
      </c>
      <c r="W1055" s="586">
        <v>3476</v>
      </c>
      <c r="X1055" s="375">
        <v>0.25</v>
      </c>
    </row>
    <row r="1056" spans="1:24" x14ac:dyDescent="0.25">
      <c r="A1056" s="4">
        <v>534</v>
      </c>
      <c r="B1056" s="4" t="s">
        <v>830</v>
      </c>
      <c r="C1056" s="6" t="s">
        <v>2495</v>
      </c>
      <c r="D1056" s="6" t="s">
        <v>837</v>
      </c>
      <c r="E1056" s="21">
        <v>43916</v>
      </c>
      <c r="F1056" s="4" t="s">
        <v>1461</v>
      </c>
      <c r="H1056" s="4">
        <v>6794</v>
      </c>
      <c r="I1056" s="4">
        <v>4771</v>
      </c>
      <c r="J1056" s="4" t="s">
        <v>5743</v>
      </c>
      <c r="K1056" s="6" t="s">
        <v>5744</v>
      </c>
      <c r="L1056" s="4">
        <v>2</v>
      </c>
      <c r="M1056" s="585">
        <v>13866</v>
      </c>
      <c r="N1056" s="4" t="s">
        <v>2886</v>
      </c>
      <c r="O1056" s="585">
        <v>13866</v>
      </c>
      <c r="P1056" s="585">
        <v>16500</v>
      </c>
      <c r="Q1056" s="585">
        <v>33000</v>
      </c>
      <c r="R1056" s="26">
        <v>43916</v>
      </c>
      <c r="S1056" s="4" t="s">
        <v>1501</v>
      </c>
      <c r="T1056" s="585">
        <v>33000</v>
      </c>
      <c r="U1056" t="s">
        <v>1572</v>
      </c>
      <c r="V1056" s="586">
        <v>10390</v>
      </c>
      <c r="W1056" s="586">
        <v>3476</v>
      </c>
      <c r="X1056" s="375">
        <v>0.25</v>
      </c>
    </row>
    <row r="1057" spans="1:24" x14ac:dyDescent="0.25">
      <c r="A1057" s="4">
        <v>535</v>
      </c>
      <c r="B1057" s="4" t="s">
        <v>849</v>
      </c>
      <c r="C1057" s="6" t="s">
        <v>2492</v>
      </c>
      <c r="D1057" s="6" t="s">
        <v>851</v>
      </c>
      <c r="E1057" s="21">
        <v>43916</v>
      </c>
      <c r="F1057" s="4" t="s">
        <v>1461</v>
      </c>
      <c r="H1057" s="4">
        <v>6793</v>
      </c>
      <c r="I1057" s="4">
        <v>4772</v>
      </c>
      <c r="J1057" s="4" t="s">
        <v>5558</v>
      </c>
      <c r="K1057" s="6" t="s">
        <v>5559</v>
      </c>
      <c r="L1057" s="4">
        <v>1</v>
      </c>
      <c r="M1057" s="585">
        <v>13025</v>
      </c>
      <c r="N1057" s="4" t="s">
        <v>2886</v>
      </c>
      <c r="O1057" s="585">
        <v>13025</v>
      </c>
      <c r="P1057" s="585">
        <v>15500</v>
      </c>
      <c r="Q1057" s="585">
        <v>15500</v>
      </c>
      <c r="R1057" s="26">
        <v>43916</v>
      </c>
      <c r="S1057" s="4" t="s">
        <v>1501</v>
      </c>
      <c r="T1057" s="585">
        <v>25700</v>
      </c>
      <c r="U1057" t="s">
        <v>1572</v>
      </c>
      <c r="V1057" s="586">
        <v>9641</v>
      </c>
      <c r="W1057" s="586">
        <v>3384</v>
      </c>
      <c r="X1057" s="375">
        <v>0.26</v>
      </c>
    </row>
    <row r="1058" spans="1:24" x14ac:dyDescent="0.25">
      <c r="A1058" s="4">
        <v>535</v>
      </c>
      <c r="B1058" s="4" t="s">
        <v>847</v>
      </c>
      <c r="C1058" s="6" t="s">
        <v>2201</v>
      </c>
      <c r="D1058" s="6" t="s">
        <v>2198</v>
      </c>
      <c r="E1058" s="21">
        <v>43916</v>
      </c>
      <c r="F1058" s="4" t="s">
        <v>1461</v>
      </c>
      <c r="H1058" s="4">
        <v>6793</v>
      </c>
      <c r="I1058" s="4">
        <v>4772</v>
      </c>
      <c r="J1058" s="4" t="s">
        <v>5558</v>
      </c>
      <c r="K1058" s="6" t="s">
        <v>5559</v>
      </c>
      <c r="L1058" s="4">
        <v>1</v>
      </c>
      <c r="M1058" s="585">
        <v>8571</v>
      </c>
      <c r="N1058" s="4" t="s">
        <v>2886</v>
      </c>
      <c r="O1058" s="585">
        <v>8571</v>
      </c>
      <c r="P1058" s="585">
        <v>10200</v>
      </c>
      <c r="Q1058" s="585">
        <v>10200</v>
      </c>
      <c r="R1058" s="26">
        <v>43916</v>
      </c>
      <c r="S1058" s="4" t="s">
        <v>1501</v>
      </c>
      <c r="T1058" s="585">
        <v>25700</v>
      </c>
      <c r="U1058" t="s">
        <v>1572</v>
      </c>
      <c r="V1058" s="586">
        <v>6436</v>
      </c>
      <c r="W1058" s="586">
        <v>2135</v>
      </c>
      <c r="X1058" s="375">
        <v>0.25</v>
      </c>
    </row>
    <row r="1059" spans="1:24" x14ac:dyDescent="0.25">
      <c r="A1059" s="4">
        <v>536</v>
      </c>
      <c r="B1059" s="4" t="s">
        <v>2098</v>
      </c>
      <c r="C1059" s="6" t="s">
        <v>2288</v>
      </c>
      <c r="D1059" s="6" t="s">
        <v>1469</v>
      </c>
      <c r="E1059" s="21">
        <v>43916</v>
      </c>
      <c r="F1059" s="4" t="s">
        <v>1461</v>
      </c>
      <c r="H1059" s="4">
        <v>6792</v>
      </c>
      <c r="I1059" s="4">
        <v>4773</v>
      </c>
      <c r="J1059" s="4" t="s">
        <v>5292</v>
      </c>
      <c r="K1059" s="6" t="s">
        <v>5293</v>
      </c>
      <c r="L1059" s="4">
        <v>1</v>
      </c>
      <c r="M1059" s="585">
        <v>19496</v>
      </c>
      <c r="N1059" s="4" t="s">
        <v>2886</v>
      </c>
      <c r="O1059" s="585">
        <v>19496</v>
      </c>
      <c r="P1059" s="585">
        <v>23200</v>
      </c>
      <c r="Q1059" s="585">
        <v>23200</v>
      </c>
      <c r="R1059" s="26">
        <v>43917</v>
      </c>
      <c r="S1059" s="4" t="s">
        <v>1501</v>
      </c>
      <c r="T1059" s="585">
        <v>23200</v>
      </c>
      <c r="U1059" t="s">
        <v>1570</v>
      </c>
      <c r="V1059" s="586">
        <v>14700</v>
      </c>
      <c r="W1059" s="586">
        <v>4796</v>
      </c>
      <c r="X1059" s="375">
        <v>0.25</v>
      </c>
    </row>
    <row r="1060" spans="1:24" x14ac:dyDescent="0.25">
      <c r="A1060" s="4">
        <v>537</v>
      </c>
      <c r="B1060" s="4" t="s">
        <v>5003</v>
      </c>
      <c r="C1060" s="6" t="s">
        <v>5004</v>
      </c>
      <c r="D1060" s="6" t="s">
        <v>4980</v>
      </c>
      <c r="E1060" s="21">
        <v>43917</v>
      </c>
      <c r="F1060" s="4" t="s">
        <v>925</v>
      </c>
      <c r="H1060" s="4" t="s">
        <v>2528</v>
      </c>
      <c r="I1060" s="4">
        <v>4774</v>
      </c>
      <c r="J1060" s="4" t="s">
        <v>1259</v>
      </c>
      <c r="K1060" s="6" t="s">
        <v>2778</v>
      </c>
      <c r="L1060" s="4">
        <v>2</v>
      </c>
      <c r="M1060" s="588">
        <v>2169</v>
      </c>
      <c r="N1060" s="374">
        <v>0.1</v>
      </c>
      <c r="O1060" s="588">
        <v>1976</v>
      </c>
      <c r="P1060" s="588">
        <v>2329</v>
      </c>
      <c r="Q1060" s="588">
        <v>4658</v>
      </c>
      <c r="R1060" s="26">
        <v>43916</v>
      </c>
      <c r="S1060" s="4" t="s">
        <v>2050</v>
      </c>
      <c r="T1060" s="588">
        <v>245140</v>
      </c>
      <c r="U1060" t="s">
        <v>4977</v>
      </c>
      <c r="V1060" s="589">
        <v>1499</v>
      </c>
      <c r="W1060" s="589">
        <v>477</v>
      </c>
      <c r="X1060" s="375">
        <v>0.24</v>
      </c>
    </row>
    <row r="1061" spans="1:24" x14ac:dyDescent="0.25">
      <c r="A1061" s="4">
        <v>537</v>
      </c>
      <c r="B1061" s="4" t="s">
        <v>6039</v>
      </c>
      <c r="C1061" s="6" t="s">
        <v>6040</v>
      </c>
      <c r="D1061" s="6" t="s">
        <v>6041</v>
      </c>
      <c r="E1061" s="21">
        <v>43917</v>
      </c>
      <c r="F1061" s="4" t="s">
        <v>925</v>
      </c>
      <c r="H1061" s="4" t="s">
        <v>2528</v>
      </c>
      <c r="I1061" s="4">
        <v>4774</v>
      </c>
      <c r="J1061" s="4" t="s">
        <v>1259</v>
      </c>
      <c r="K1061" s="6" t="s">
        <v>2778</v>
      </c>
      <c r="L1061" s="4">
        <v>27</v>
      </c>
      <c r="M1061" s="588">
        <v>1784</v>
      </c>
      <c r="N1061" s="374">
        <v>0.13</v>
      </c>
      <c r="O1061" s="588">
        <v>1581</v>
      </c>
      <c r="P1061" s="588">
        <v>1850</v>
      </c>
      <c r="Q1061" s="588">
        <v>49950</v>
      </c>
      <c r="R1061" s="26">
        <v>43916</v>
      </c>
      <c r="S1061" s="4" t="s">
        <v>2050</v>
      </c>
      <c r="T1061" s="588">
        <v>245140</v>
      </c>
      <c r="U1061" t="s">
        <v>1545</v>
      </c>
      <c r="V1061" s="589">
        <v>1127</v>
      </c>
      <c r="W1061" s="589">
        <v>454</v>
      </c>
      <c r="X1061" s="375">
        <v>0.28999999999999998</v>
      </c>
    </row>
    <row r="1062" spans="1:24" x14ac:dyDescent="0.25">
      <c r="A1062" s="4">
        <v>537</v>
      </c>
      <c r="B1062" s="4" t="s">
        <v>26</v>
      </c>
      <c r="C1062" s="6" t="s">
        <v>5836</v>
      </c>
      <c r="D1062" s="6" t="s">
        <v>23</v>
      </c>
      <c r="E1062" s="21">
        <v>43917</v>
      </c>
      <c r="F1062" s="4" t="s">
        <v>925</v>
      </c>
      <c r="H1062" s="4" t="s">
        <v>2528</v>
      </c>
      <c r="I1062" s="4">
        <v>4774</v>
      </c>
      <c r="J1062" s="4" t="s">
        <v>1259</v>
      </c>
      <c r="K1062" s="6" t="s">
        <v>2778</v>
      </c>
      <c r="L1062" s="4">
        <v>12</v>
      </c>
      <c r="M1062" s="588">
        <v>729</v>
      </c>
      <c r="N1062" s="374">
        <v>-0.09</v>
      </c>
      <c r="O1062" s="588">
        <v>801</v>
      </c>
      <c r="P1062" s="588">
        <v>945</v>
      </c>
      <c r="Q1062" s="588">
        <v>11340</v>
      </c>
      <c r="R1062" s="26">
        <v>43916</v>
      </c>
      <c r="S1062" s="4" t="s">
        <v>2050</v>
      </c>
      <c r="T1062" s="588">
        <v>245140</v>
      </c>
      <c r="U1062" t="s">
        <v>2668</v>
      </c>
      <c r="V1062" s="589">
        <v>526</v>
      </c>
      <c r="W1062" s="589">
        <v>275</v>
      </c>
      <c r="X1062" s="375">
        <v>0.34</v>
      </c>
    </row>
    <row r="1063" spans="1:24" x14ac:dyDescent="0.25">
      <c r="A1063" s="4">
        <v>537</v>
      </c>
      <c r="B1063" s="4" t="s">
        <v>1634</v>
      </c>
      <c r="C1063" s="6" t="s">
        <v>3555</v>
      </c>
      <c r="D1063" s="6" t="s">
        <v>661</v>
      </c>
      <c r="E1063" s="21">
        <v>43917</v>
      </c>
      <c r="F1063" s="4" t="s">
        <v>925</v>
      </c>
      <c r="H1063" s="4" t="s">
        <v>2528</v>
      </c>
      <c r="I1063" s="4">
        <v>4774</v>
      </c>
      <c r="J1063" s="4" t="s">
        <v>1259</v>
      </c>
      <c r="K1063" s="6" t="s">
        <v>2778</v>
      </c>
      <c r="L1063" s="4">
        <v>12</v>
      </c>
      <c r="M1063" s="588">
        <v>1234</v>
      </c>
      <c r="N1063" s="374">
        <v>0.05</v>
      </c>
      <c r="O1063" s="588">
        <v>1175</v>
      </c>
      <c r="P1063" s="588">
        <v>1395</v>
      </c>
      <c r="Q1063" s="588">
        <v>16740</v>
      </c>
      <c r="R1063" s="26">
        <v>43916</v>
      </c>
      <c r="S1063" s="4" t="s">
        <v>2050</v>
      </c>
      <c r="T1063" s="588">
        <v>245140</v>
      </c>
      <c r="U1063" t="s">
        <v>1739</v>
      </c>
      <c r="V1063" s="589">
        <v>891</v>
      </c>
      <c r="W1063" s="589">
        <v>284</v>
      </c>
      <c r="X1063" s="375">
        <v>0.24</v>
      </c>
    </row>
    <row r="1064" spans="1:24" x14ac:dyDescent="0.25">
      <c r="A1064" s="4">
        <v>537</v>
      </c>
      <c r="B1064" s="4" t="s">
        <v>4051</v>
      </c>
      <c r="C1064" s="6" t="s">
        <v>4062</v>
      </c>
      <c r="D1064" s="6" t="s">
        <v>4045</v>
      </c>
      <c r="E1064" s="21">
        <v>43917</v>
      </c>
      <c r="F1064" s="4" t="s">
        <v>925</v>
      </c>
      <c r="H1064" s="4" t="s">
        <v>2528</v>
      </c>
      <c r="I1064" s="4">
        <v>4774</v>
      </c>
      <c r="J1064" s="4" t="s">
        <v>1259</v>
      </c>
      <c r="K1064" s="6" t="s">
        <v>2778</v>
      </c>
      <c r="L1064" s="4">
        <v>12</v>
      </c>
      <c r="M1064" s="588">
        <v>1558</v>
      </c>
      <c r="N1064" s="374">
        <v>-0.03</v>
      </c>
      <c r="O1064" s="588">
        <v>1613</v>
      </c>
      <c r="P1064" s="588">
        <v>1918</v>
      </c>
      <c r="Q1064" s="588">
        <v>23016</v>
      </c>
      <c r="R1064" s="26">
        <v>43916</v>
      </c>
      <c r="S1064" s="4" t="s">
        <v>2050</v>
      </c>
      <c r="T1064" s="588">
        <v>245140</v>
      </c>
      <c r="U1064" t="s">
        <v>1739</v>
      </c>
      <c r="V1064" s="589">
        <v>1125</v>
      </c>
      <c r="W1064" s="589">
        <v>488</v>
      </c>
      <c r="X1064" s="375">
        <v>0.3</v>
      </c>
    </row>
    <row r="1065" spans="1:24" x14ac:dyDescent="0.25">
      <c r="A1065" s="4">
        <v>537</v>
      </c>
      <c r="B1065" s="4" t="s">
        <v>4996</v>
      </c>
      <c r="C1065" s="6" t="s">
        <v>4997</v>
      </c>
      <c r="D1065" s="6" t="s">
        <v>4980</v>
      </c>
      <c r="E1065" s="21">
        <v>43917</v>
      </c>
      <c r="F1065" s="4" t="s">
        <v>925</v>
      </c>
      <c r="H1065" s="4" t="s">
        <v>2528</v>
      </c>
      <c r="I1065" s="4">
        <v>4774</v>
      </c>
      <c r="J1065" s="4" t="s">
        <v>1259</v>
      </c>
      <c r="K1065" s="6" t="s">
        <v>2778</v>
      </c>
      <c r="L1065" s="4">
        <v>24</v>
      </c>
      <c r="M1065" s="588">
        <v>723</v>
      </c>
      <c r="N1065" s="374">
        <v>0.1</v>
      </c>
      <c r="O1065" s="588">
        <v>659</v>
      </c>
      <c r="P1065" s="588">
        <v>777</v>
      </c>
      <c r="Q1065" s="588">
        <v>18648</v>
      </c>
      <c r="R1065" s="26">
        <v>43916</v>
      </c>
      <c r="S1065" s="4" t="s">
        <v>2050</v>
      </c>
      <c r="T1065" s="588">
        <v>245140</v>
      </c>
      <c r="U1065" t="s">
        <v>4977</v>
      </c>
      <c r="V1065" s="589">
        <v>500</v>
      </c>
      <c r="W1065" s="589">
        <v>159</v>
      </c>
      <c r="X1065" s="375">
        <v>0.24</v>
      </c>
    </row>
    <row r="1066" spans="1:24" x14ac:dyDescent="0.25">
      <c r="A1066" s="4">
        <v>537</v>
      </c>
      <c r="B1066" s="4" t="s">
        <v>4781</v>
      </c>
      <c r="C1066" s="6" t="s">
        <v>4782</v>
      </c>
      <c r="D1066" s="6" t="s">
        <v>4636</v>
      </c>
      <c r="E1066" s="21">
        <v>43917</v>
      </c>
      <c r="F1066" s="4" t="s">
        <v>925</v>
      </c>
      <c r="H1066" s="4" t="s">
        <v>2528</v>
      </c>
      <c r="I1066" s="4">
        <v>4774</v>
      </c>
      <c r="J1066" s="4" t="s">
        <v>1259</v>
      </c>
      <c r="K1066" s="6" t="s">
        <v>2778</v>
      </c>
      <c r="L1066" s="4">
        <v>6</v>
      </c>
      <c r="M1066" s="588">
        <v>4539</v>
      </c>
      <c r="N1066" s="374">
        <v>0.05</v>
      </c>
      <c r="O1066" s="588">
        <v>4323</v>
      </c>
      <c r="P1066" s="588">
        <v>5131</v>
      </c>
      <c r="Q1066" s="588">
        <v>30786</v>
      </c>
      <c r="R1066" s="26">
        <v>43916</v>
      </c>
      <c r="S1066" s="4" t="s">
        <v>2050</v>
      </c>
      <c r="T1066" s="588">
        <v>245140</v>
      </c>
      <c r="U1066" t="s">
        <v>4767</v>
      </c>
      <c r="V1066" s="589">
        <v>3277</v>
      </c>
      <c r="W1066" s="589">
        <v>1046</v>
      </c>
      <c r="X1066" s="375">
        <v>0.24</v>
      </c>
    </row>
    <row r="1067" spans="1:24" x14ac:dyDescent="0.25">
      <c r="A1067" s="4">
        <v>537</v>
      </c>
      <c r="B1067" s="4" t="s">
        <v>1719</v>
      </c>
      <c r="C1067" s="6" t="s">
        <v>2365</v>
      </c>
      <c r="D1067" s="6" t="s">
        <v>1539</v>
      </c>
      <c r="E1067" s="21">
        <v>43917</v>
      </c>
      <c r="F1067" s="4" t="s">
        <v>925</v>
      </c>
      <c r="H1067" s="4" t="s">
        <v>2528</v>
      </c>
      <c r="I1067" s="4">
        <v>4774</v>
      </c>
      <c r="J1067" s="4" t="s">
        <v>1259</v>
      </c>
      <c r="K1067" s="6" t="s">
        <v>2778</v>
      </c>
      <c r="L1067" s="4">
        <v>12</v>
      </c>
      <c r="M1067" s="588">
        <v>6983</v>
      </c>
      <c r="N1067" s="374">
        <v>0.1</v>
      </c>
      <c r="O1067" s="588">
        <v>6363</v>
      </c>
      <c r="P1067" s="588">
        <v>7500</v>
      </c>
      <c r="Q1067" s="588">
        <v>90000</v>
      </c>
      <c r="R1067" s="26">
        <v>43916</v>
      </c>
      <c r="S1067" s="4" t="s">
        <v>2050</v>
      </c>
      <c r="T1067" s="588">
        <v>245140</v>
      </c>
      <c r="U1067" t="s">
        <v>1524</v>
      </c>
      <c r="V1067" s="589">
        <v>5042</v>
      </c>
      <c r="W1067" s="589">
        <v>1321</v>
      </c>
      <c r="X1067" s="375">
        <v>0.21</v>
      </c>
    </row>
    <row r="1068" spans="1:24" x14ac:dyDescent="0.25">
      <c r="A1068" s="4">
        <v>538</v>
      </c>
      <c r="B1068" s="4" t="s">
        <v>843</v>
      </c>
      <c r="C1068" s="6" t="s">
        <v>2058</v>
      </c>
      <c r="D1068" s="6" t="s">
        <v>840</v>
      </c>
      <c r="E1068" s="21">
        <v>43917</v>
      </c>
      <c r="F1068" s="4" t="s">
        <v>1461</v>
      </c>
      <c r="H1068" s="4">
        <v>6803</v>
      </c>
      <c r="I1068" s="4">
        <v>4775</v>
      </c>
      <c r="J1068" s="4" t="s">
        <v>6042</v>
      </c>
      <c r="K1068" s="6" t="s">
        <v>6043</v>
      </c>
      <c r="L1068" s="4">
        <v>1</v>
      </c>
      <c r="M1068" s="588">
        <v>16723</v>
      </c>
      <c r="N1068" s="4" t="s">
        <v>2886</v>
      </c>
      <c r="O1068" s="588">
        <v>16723</v>
      </c>
      <c r="P1068" s="588">
        <v>19900</v>
      </c>
      <c r="Q1068" s="588">
        <v>19900</v>
      </c>
      <c r="R1068" s="26">
        <v>43917</v>
      </c>
      <c r="S1068" s="4" t="s">
        <v>1501</v>
      </c>
      <c r="T1068" s="588">
        <v>19900</v>
      </c>
      <c r="U1068" t="s">
        <v>1572</v>
      </c>
      <c r="V1068" s="589">
        <v>11888</v>
      </c>
      <c r="W1068" s="589">
        <v>4835</v>
      </c>
      <c r="X1068" s="375">
        <v>0.28999999999999998</v>
      </c>
    </row>
    <row r="1069" spans="1:24" x14ac:dyDescent="0.25">
      <c r="A1069" s="4">
        <v>539</v>
      </c>
      <c r="B1069" s="4" t="s">
        <v>2038</v>
      </c>
      <c r="C1069" s="6" t="s">
        <v>5884</v>
      </c>
      <c r="D1069" s="6" t="s">
        <v>794</v>
      </c>
      <c r="E1069" s="21">
        <v>43917</v>
      </c>
      <c r="F1069" s="4" t="s">
        <v>1461</v>
      </c>
      <c r="H1069" s="4">
        <v>6802</v>
      </c>
      <c r="I1069" s="4">
        <v>4776</v>
      </c>
      <c r="J1069" s="4" t="s">
        <v>4480</v>
      </c>
      <c r="K1069" s="6" t="s">
        <v>4481</v>
      </c>
      <c r="L1069" s="4">
        <v>1</v>
      </c>
      <c r="M1069" s="588">
        <v>10504</v>
      </c>
      <c r="N1069" s="4" t="s">
        <v>2886</v>
      </c>
      <c r="O1069" s="588">
        <v>10504</v>
      </c>
      <c r="P1069" s="588">
        <v>12500</v>
      </c>
      <c r="Q1069" s="588">
        <v>12500</v>
      </c>
      <c r="R1069" s="26">
        <v>43920</v>
      </c>
      <c r="S1069" s="4" t="s">
        <v>1501</v>
      </c>
      <c r="T1069" s="588">
        <v>12500</v>
      </c>
      <c r="U1069" t="s">
        <v>1551</v>
      </c>
      <c r="V1069" s="589">
        <v>7956</v>
      </c>
      <c r="W1069" s="589">
        <v>2548</v>
      </c>
      <c r="X1069" s="375">
        <v>0.24</v>
      </c>
    </row>
    <row r="1070" spans="1:24" x14ac:dyDescent="0.25">
      <c r="A1070" s="4">
        <v>540</v>
      </c>
      <c r="B1070" s="4" t="s">
        <v>830</v>
      </c>
      <c r="C1070" s="6" t="s">
        <v>2495</v>
      </c>
      <c r="D1070" s="6" t="s">
        <v>837</v>
      </c>
      <c r="E1070" s="21">
        <v>43917</v>
      </c>
      <c r="F1070" s="4" t="s">
        <v>1461</v>
      </c>
      <c r="H1070" s="4">
        <v>6801</v>
      </c>
      <c r="I1070" s="4">
        <v>4777</v>
      </c>
      <c r="J1070" s="4" t="s">
        <v>6045</v>
      </c>
      <c r="K1070" s="6" t="s">
        <v>6046</v>
      </c>
      <c r="L1070" s="4">
        <v>2</v>
      </c>
      <c r="M1070" s="588">
        <v>13866</v>
      </c>
      <c r="N1070" s="4" t="s">
        <v>2886</v>
      </c>
      <c r="O1070" s="588">
        <v>13866</v>
      </c>
      <c r="P1070" s="588">
        <v>16500</v>
      </c>
      <c r="Q1070" s="588">
        <v>33000</v>
      </c>
      <c r="R1070" s="26">
        <v>43917</v>
      </c>
      <c r="S1070" s="4" t="s">
        <v>1501</v>
      </c>
      <c r="T1070" s="588">
        <v>55900</v>
      </c>
      <c r="U1070" t="s">
        <v>1572</v>
      </c>
      <c r="V1070" s="589">
        <v>10390</v>
      </c>
      <c r="W1070" s="589">
        <v>3476</v>
      </c>
      <c r="X1070" s="375">
        <v>0.25</v>
      </c>
    </row>
    <row r="1071" spans="1:24" x14ac:dyDescent="0.25">
      <c r="A1071" s="4">
        <v>540</v>
      </c>
      <c r="B1071" s="4" t="s">
        <v>800</v>
      </c>
      <c r="C1071" s="6" t="s">
        <v>1927</v>
      </c>
      <c r="D1071" s="6" t="s">
        <v>802</v>
      </c>
      <c r="E1071" s="21">
        <v>43917</v>
      </c>
      <c r="F1071" s="4" t="s">
        <v>1461</v>
      </c>
      <c r="H1071" s="4">
        <v>6801</v>
      </c>
      <c r="I1071" s="4">
        <v>4777</v>
      </c>
      <c r="J1071" s="4" t="s">
        <v>6045</v>
      </c>
      <c r="K1071" s="6" t="s">
        <v>6046</v>
      </c>
      <c r="L1071" s="4">
        <v>1</v>
      </c>
      <c r="M1071" s="588">
        <v>19244</v>
      </c>
      <c r="N1071" s="4" t="s">
        <v>2886</v>
      </c>
      <c r="O1071" s="588">
        <v>19244</v>
      </c>
      <c r="P1071" s="588">
        <v>22900</v>
      </c>
      <c r="Q1071" s="588">
        <v>22900</v>
      </c>
      <c r="R1071" s="26">
        <v>43917</v>
      </c>
      <c r="S1071" s="4" t="s">
        <v>1501</v>
      </c>
      <c r="T1071" s="588">
        <v>55900</v>
      </c>
      <c r="U1071" t="s">
        <v>1551</v>
      </c>
      <c r="V1071" s="589">
        <v>14894</v>
      </c>
      <c r="W1071" s="589">
        <v>4350</v>
      </c>
      <c r="X1071" s="375">
        <v>0.23</v>
      </c>
    </row>
    <row r="1072" spans="1:24" x14ac:dyDescent="0.25">
      <c r="A1072" s="4">
        <v>541</v>
      </c>
      <c r="B1072" s="4" t="s">
        <v>799</v>
      </c>
      <c r="C1072" s="6" t="s">
        <v>1926</v>
      </c>
      <c r="D1072" s="6" t="s">
        <v>802</v>
      </c>
      <c r="E1072" s="21">
        <v>43917</v>
      </c>
      <c r="F1072" s="4" t="s">
        <v>1461</v>
      </c>
      <c r="H1072" s="4">
        <v>6800</v>
      </c>
      <c r="I1072" s="4">
        <v>4778</v>
      </c>
      <c r="J1072" s="4" t="s">
        <v>6048</v>
      </c>
      <c r="K1072" s="6" t="s">
        <v>6049</v>
      </c>
      <c r="L1072" s="4">
        <v>1</v>
      </c>
      <c r="M1072" s="588">
        <v>17815</v>
      </c>
      <c r="N1072" s="4" t="s">
        <v>2886</v>
      </c>
      <c r="O1072" s="588">
        <v>17815</v>
      </c>
      <c r="P1072" s="588">
        <v>21200</v>
      </c>
      <c r="Q1072" s="588">
        <v>21200</v>
      </c>
      <c r="R1072" s="26">
        <v>43917</v>
      </c>
      <c r="S1072" s="4" t="s">
        <v>1501</v>
      </c>
      <c r="T1072" s="588">
        <v>21200</v>
      </c>
      <c r="U1072" t="s">
        <v>1551</v>
      </c>
      <c r="V1072" s="589">
        <v>13279</v>
      </c>
      <c r="W1072" s="589">
        <v>4536</v>
      </c>
      <c r="X1072" s="375">
        <v>0.25</v>
      </c>
    </row>
    <row r="1073" spans="1:24" x14ac:dyDescent="0.25">
      <c r="A1073" s="4">
        <v>542</v>
      </c>
      <c r="B1073" s="4" t="s">
        <v>838</v>
      </c>
      <c r="C1073" s="6" t="s">
        <v>2062</v>
      </c>
      <c r="D1073" s="6" t="s">
        <v>840</v>
      </c>
      <c r="E1073" s="21">
        <v>43917</v>
      </c>
      <c r="F1073" s="4" t="s">
        <v>1461</v>
      </c>
      <c r="H1073" s="4">
        <v>6799</v>
      </c>
      <c r="I1073" s="4">
        <v>4779</v>
      </c>
      <c r="J1073" s="4" t="s">
        <v>1209</v>
      </c>
      <c r="K1073" s="6" t="s">
        <v>974</v>
      </c>
      <c r="L1073" s="4">
        <v>1</v>
      </c>
      <c r="M1073" s="588">
        <v>16555</v>
      </c>
      <c r="N1073" s="4" t="s">
        <v>2886</v>
      </c>
      <c r="O1073" s="588">
        <v>16555</v>
      </c>
      <c r="P1073" s="588">
        <v>19700</v>
      </c>
      <c r="Q1073" s="588">
        <v>19700</v>
      </c>
      <c r="R1073" s="26">
        <v>43916</v>
      </c>
      <c r="S1073" s="4" t="s">
        <v>2050</v>
      </c>
      <c r="T1073" s="588">
        <v>69600</v>
      </c>
      <c r="U1073" t="s">
        <v>1572</v>
      </c>
      <c r="V1073" s="589">
        <v>12429</v>
      </c>
      <c r="W1073" s="589">
        <v>4126</v>
      </c>
      <c r="X1073" s="375">
        <v>0.25</v>
      </c>
    </row>
    <row r="1074" spans="1:24" x14ac:dyDescent="0.25">
      <c r="A1074" s="4">
        <v>542</v>
      </c>
      <c r="B1074" s="4" t="s">
        <v>855</v>
      </c>
      <c r="C1074" s="6" t="s">
        <v>2499</v>
      </c>
      <c r="D1074" s="6" t="s">
        <v>857</v>
      </c>
      <c r="E1074" s="21">
        <v>43917</v>
      </c>
      <c r="F1074" s="4" t="s">
        <v>1461</v>
      </c>
      <c r="H1074" s="4">
        <v>6799</v>
      </c>
      <c r="I1074" s="4">
        <v>4779</v>
      </c>
      <c r="J1074" s="4" t="s">
        <v>1209</v>
      </c>
      <c r="K1074" s="6" t="s">
        <v>974</v>
      </c>
      <c r="L1074" s="4">
        <v>1</v>
      </c>
      <c r="M1074" s="588">
        <v>13277</v>
      </c>
      <c r="N1074" s="4" t="s">
        <v>2886</v>
      </c>
      <c r="O1074" s="588">
        <v>13277</v>
      </c>
      <c r="P1074" s="588">
        <v>15800</v>
      </c>
      <c r="Q1074" s="588">
        <v>15800</v>
      </c>
      <c r="R1074" s="26">
        <v>43916</v>
      </c>
      <c r="S1074" s="4" t="s">
        <v>2050</v>
      </c>
      <c r="T1074" s="588">
        <v>69600</v>
      </c>
      <c r="U1074" t="s">
        <v>1551</v>
      </c>
      <c r="V1074" s="589">
        <v>9975</v>
      </c>
      <c r="W1074" s="589">
        <v>3302</v>
      </c>
      <c r="X1074" s="375">
        <v>0.25</v>
      </c>
    </row>
    <row r="1075" spans="1:24" x14ac:dyDescent="0.25">
      <c r="A1075" s="4">
        <v>542</v>
      </c>
      <c r="B1075" s="4" t="s">
        <v>847</v>
      </c>
      <c r="C1075" s="6" t="s">
        <v>2201</v>
      </c>
      <c r="D1075" s="6" t="s">
        <v>2198</v>
      </c>
      <c r="E1075" s="21">
        <v>43917</v>
      </c>
      <c r="F1075" s="4" t="s">
        <v>1461</v>
      </c>
      <c r="H1075" s="4">
        <v>6799</v>
      </c>
      <c r="I1075" s="4">
        <v>4779</v>
      </c>
      <c r="J1075" s="4" t="s">
        <v>1209</v>
      </c>
      <c r="K1075" s="6" t="s">
        <v>974</v>
      </c>
      <c r="L1075" s="4">
        <v>1</v>
      </c>
      <c r="M1075" s="588">
        <v>8571</v>
      </c>
      <c r="N1075" s="4" t="s">
        <v>2886</v>
      </c>
      <c r="O1075" s="588">
        <v>8571</v>
      </c>
      <c r="P1075" s="588">
        <v>10200</v>
      </c>
      <c r="Q1075" s="588">
        <v>10200</v>
      </c>
      <c r="R1075" s="26">
        <v>43916</v>
      </c>
      <c r="S1075" s="4" t="s">
        <v>2050</v>
      </c>
      <c r="T1075" s="588">
        <v>69600</v>
      </c>
      <c r="U1075" t="s">
        <v>1572</v>
      </c>
      <c r="V1075" s="589">
        <v>6436</v>
      </c>
      <c r="W1075" s="589">
        <v>2135</v>
      </c>
      <c r="X1075" s="375">
        <v>0.25</v>
      </c>
    </row>
    <row r="1076" spans="1:24" x14ac:dyDescent="0.25">
      <c r="A1076" s="4">
        <v>542</v>
      </c>
      <c r="B1076" s="4" t="s">
        <v>656</v>
      </c>
      <c r="C1076" s="6" t="s">
        <v>1973</v>
      </c>
      <c r="D1076" s="6" t="s">
        <v>794</v>
      </c>
      <c r="E1076" s="21">
        <v>43917</v>
      </c>
      <c r="F1076" s="4" t="s">
        <v>1461</v>
      </c>
      <c r="H1076" s="4">
        <v>6799</v>
      </c>
      <c r="I1076" s="4">
        <v>4779</v>
      </c>
      <c r="J1076" s="4" t="s">
        <v>1209</v>
      </c>
      <c r="K1076" s="6" t="s">
        <v>974</v>
      </c>
      <c r="L1076" s="4">
        <v>1</v>
      </c>
      <c r="M1076" s="588">
        <v>20084</v>
      </c>
      <c r="N1076" s="4" t="s">
        <v>2886</v>
      </c>
      <c r="O1076" s="588">
        <v>20084</v>
      </c>
      <c r="P1076" s="588">
        <v>23900</v>
      </c>
      <c r="Q1076" s="588">
        <v>23900</v>
      </c>
      <c r="R1076" s="26">
        <v>43916</v>
      </c>
      <c r="S1076" s="4" t="s">
        <v>2050</v>
      </c>
      <c r="T1076" s="588">
        <v>69600</v>
      </c>
      <c r="U1076" t="s">
        <v>1551</v>
      </c>
      <c r="V1076" s="589">
        <v>14604</v>
      </c>
      <c r="W1076" s="589">
        <v>5480</v>
      </c>
      <c r="X1076" s="375">
        <v>0.27</v>
      </c>
    </row>
    <row r="1077" spans="1:24" x14ac:dyDescent="0.25">
      <c r="A1077" s="4">
        <v>543</v>
      </c>
      <c r="B1077" s="4" t="s">
        <v>1672</v>
      </c>
      <c r="C1077" s="6" t="s">
        <v>5845</v>
      </c>
      <c r="D1077" s="6" t="s">
        <v>1504</v>
      </c>
      <c r="E1077" s="21">
        <v>43918</v>
      </c>
      <c r="F1077" s="4" t="s">
        <v>1461</v>
      </c>
      <c r="H1077" s="4">
        <v>6805</v>
      </c>
      <c r="I1077" s="4">
        <v>4780</v>
      </c>
      <c r="J1077" s="4" t="s">
        <v>1511</v>
      </c>
      <c r="K1077" s="6" t="s">
        <v>1512</v>
      </c>
      <c r="L1077" s="4">
        <v>1</v>
      </c>
      <c r="M1077" s="588">
        <v>4118</v>
      </c>
      <c r="N1077" s="4" t="s">
        <v>2886</v>
      </c>
      <c r="O1077" s="588">
        <v>4118</v>
      </c>
      <c r="P1077" s="588">
        <v>4900</v>
      </c>
      <c r="Q1077" s="588">
        <v>4900</v>
      </c>
      <c r="R1077" s="26">
        <v>43918</v>
      </c>
      <c r="S1077" s="4" t="s">
        <v>1501</v>
      </c>
      <c r="T1077" s="588">
        <v>64900</v>
      </c>
      <c r="U1077" t="s">
        <v>1545</v>
      </c>
      <c r="V1077" s="589">
        <v>2250</v>
      </c>
      <c r="W1077" s="589">
        <v>1868</v>
      </c>
      <c r="X1077" s="375">
        <v>0.45</v>
      </c>
    </row>
    <row r="1078" spans="1:24" x14ac:dyDescent="0.25">
      <c r="A1078" s="4">
        <v>543</v>
      </c>
      <c r="B1078" s="4" t="s">
        <v>2250</v>
      </c>
      <c r="C1078" s="6" t="s">
        <v>5846</v>
      </c>
      <c r="D1078" s="6" t="s">
        <v>1638</v>
      </c>
      <c r="E1078" s="21">
        <v>43918</v>
      </c>
      <c r="F1078" s="4" t="s">
        <v>1461</v>
      </c>
      <c r="H1078" s="4">
        <v>6805</v>
      </c>
      <c r="I1078" s="4">
        <v>4780</v>
      </c>
      <c r="J1078" s="4" t="s">
        <v>1511</v>
      </c>
      <c r="K1078" s="6" t="s">
        <v>1512</v>
      </c>
      <c r="L1078" s="4">
        <v>10</v>
      </c>
      <c r="M1078" s="588">
        <v>3193</v>
      </c>
      <c r="N1078" s="4" t="s">
        <v>2886</v>
      </c>
      <c r="O1078" s="588">
        <v>3193</v>
      </c>
      <c r="P1078" s="588">
        <v>3800</v>
      </c>
      <c r="Q1078" s="588">
        <v>38000</v>
      </c>
      <c r="R1078" s="26">
        <v>43918</v>
      </c>
      <c r="S1078" s="4" t="s">
        <v>1501</v>
      </c>
      <c r="T1078" s="588">
        <v>64900</v>
      </c>
      <c r="U1078" t="s">
        <v>1545</v>
      </c>
      <c r="V1078" s="589">
        <v>2100</v>
      </c>
      <c r="W1078" s="589">
        <v>1093</v>
      </c>
      <c r="X1078" s="375">
        <v>0.34</v>
      </c>
    </row>
    <row r="1079" spans="1:24" x14ac:dyDescent="0.25">
      <c r="A1079" s="4">
        <v>543</v>
      </c>
      <c r="B1079" s="4" t="s">
        <v>1653</v>
      </c>
      <c r="C1079" s="6" t="s">
        <v>2112</v>
      </c>
      <c r="D1079" s="6" t="s">
        <v>1504</v>
      </c>
      <c r="E1079" s="21">
        <v>43918</v>
      </c>
      <c r="F1079" s="4" t="s">
        <v>1461</v>
      </c>
      <c r="H1079" s="4">
        <v>6805</v>
      </c>
      <c r="I1079" s="4">
        <v>4780</v>
      </c>
      <c r="J1079" s="4" t="s">
        <v>1511</v>
      </c>
      <c r="K1079" s="6" t="s">
        <v>1512</v>
      </c>
      <c r="L1079" s="4">
        <v>2</v>
      </c>
      <c r="M1079" s="588">
        <v>1261</v>
      </c>
      <c r="N1079" s="4" t="s">
        <v>2886</v>
      </c>
      <c r="O1079" s="588">
        <v>1261</v>
      </c>
      <c r="P1079" s="588">
        <v>1500</v>
      </c>
      <c r="Q1079" s="588">
        <v>3000</v>
      </c>
      <c r="R1079" s="26">
        <v>43918</v>
      </c>
      <c r="S1079" s="4" t="s">
        <v>1501</v>
      </c>
      <c r="T1079" s="588">
        <v>64900</v>
      </c>
      <c r="U1079" t="s">
        <v>1545</v>
      </c>
      <c r="V1079" s="589">
        <v>545</v>
      </c>
      <c r="W1079" s="589">
        <v>716</v>
      </c>
      <c r="X1079" s="375">
        <v>0.56999999999999995</v>
      </c>
    </row>
    <row r="1080" spans="1:24" x14ac:dyDescent="0.25">
      <c r="A1080" s="4">
        <v>543</v>
      </c>
      <c r="B1080" s="4" t="s">
        <v>1503</v>
      </c>
      <c r="C1080" s="6" t="s">
        <v>1972</v>
      </c>
      <c r="D1080" s="6" t="s">
        <v>1638</v>
      </c>
      <c r="E1080" s="21">
        <v>43918</v>
      </c>
      <c r="F1080" s="4" t="s">
        <v>1461</v>
      </c>
      <c r="H1080" s="4">
        <v>6805</v>
      </c>
      <c r="I1080" s="4">
        <v>4780</v>
      </c>
      <c r="J1080" s="4" t="s">
        <v>1511</v>
      </c>
      <c r="K1080" s="6" t="s">
        <v>1512</v>
      </c>
      <c r="L1080" s="4">
        <v>5</v>
      </c>
      <c r="M1080" s="588">
        <v>3193</v>
      </c>
      <c r="N1080" s="4" t="s">
        <v>2886</v>
      </c>
      <c r="O1080" s="588">
        <v>3193</v>
      </c>
      <c r="P1080" s="588">
        <v>3800</v>
      </c>
      <c r="Q1080" s="588">
        <v>19000</v>
      </c>
      <c r="R1080" s="26">
        <v>43918</v>
      </c>
      <c r="S1080" s="4" t="s">
        <v>1501</v>
      </c>
      <c r="T1080" s="588">
        <v>64900</v>
      </c>
      <c r="U1080" t="s">
        <v>1545</v>
      </c>
      <c r="V1080" s="589">
        <v>2200</v>
      </c>
      <c r="W1080" s="589">
        <v>993</v>
      </c>
      <c r="X1080" s="375">
        <v>0.31</v>
      </c>
    </row>
    <row r="1081" spans="1:24" x14ac:dyDescent="0.25">
      <c r="A1081" s="4">
        <v>544</v>
      </c>
      <c r="B1081" s="4" t="s">
        <v>855</v>
      </c>
      <c r="C1081" s="6" t="s">
        <v>2499</v>
      </c>
      <c r="D1081" s="6" t="s">
        <v>857</v>
      </c>
      <c r="E1081" s="21">
        <v>43918</v>
      </c>
      <c r="F1081" s="4" t="s">
        <v>1461</v>
      </c>
      <c r="H1081" s="4">
        <v>6804</v>
      </c>
      <c r="I1081" s="4">
        <v>4781</v>
      </c>
      <c r="J1081" s="4" t="s">
        <v>5419</v>
      </c>
      <c r="K1081" s="6" t="s">
        <v>5420</v>
      </c>
      <c r="L1081" s="4">
        <v>2</v>
      </c>
      <c r="M1081" s="588">
        <v>13277</v>
      </c>
      <c r="N1081" s="4" t="s">
        <v>2886</v>
      </c>
      <c r="O1081" s="588">
        <v>13277</v>
      </c>
      <c r="P1081" s="588">
        <v>15800</v>
      </c>
      <c r="Q1081" s="588">
        <v>31600</v>
      </c>
      <c r="R1081" s="26">
        <v>43918</v>
      </c>
      <c r="S1081" s="4" t="s">
        <v>1501</v>
      </c>
      <c r="T1081" s="588">
        <v>55500</v>
      </c>
      <c r="U1081" t="s">
        <v>1551</v>
      </c>
      <c r="V1081" s="589">
        <v>9975</v>
      </c>
      <c r="W1081" s="589">
        <v>3302</v>
      </c>
      <c r="X1081" s="375">
        <v>0.25</v>
      </c>
    </row>
    <row r="1082" spans="1:24" x14ac:dyDescent="0.25">
      <c r="A1082" s="4">
        <v>544</v>
      </c>
      <c r="B1082" s="4" t="s">
        <v>656</v>
      </c>
      <c r="C1082" s="6" t="s">
        <v>1973</v>
      </c>
      <c r="D1082" s="6" t="s">
        <v>794</v>
      </c>
      <c r="E1082" s="21">
        <v>43918</v>
      </c>
      <c r="F1082" s="4" t="s">
        <v>1461</v>
      </c>
      <c r="H1082" s="4">
        <v>6804</v>
      </c>
      <c r="I1082" s="4">
        <v>4781</v>
      </c>
      <c r="J1082" s="4" t="s">
        <v>5419</v>
      </c>
      <c r="K1082" s="6" t="s">
        <v>5420</v>
      </c>
      <c r="L1082" s="4">
        <v>1</v>
      </c>
      <c r="M1082" s="588">
        <v>20084</v>
      </c>
      <c r="N1082" s="4" t="s">
        <v>2886</v>
      </c>
      <c r="O1082" s="588">
        <v>20084</v>
      </c>
      <c r="P1082" s="588">
        <v>23900</v>
      </c>
      <c r="Q1082" s="588">
        <v>23900</v>
      </c>
      <c r="R1082" s="26">
        <v>43918</v>
      </c>
      <c r="S1082" s="4" t="s">
        <v>1501</v>
      </c>
      <c r="T1082" s="588">
        <v>55500</v>
      </c>
      <c r="U1082" t="s">
        <v>1551</v>
      </c>
      <c r="V1082" s="589">
        <v>14604</v>
      </c>
      <c r="W1082" s="589">
        <v>5480</v>
      </c>
      <c r="X1082" s="375">
        <v>0.27</v>
      </c>
    </row>
    <row r="1083" spans="1:24" x14ac:dyDescent="0.25">
      <c r="A1083" s="4">
        <v>545</v>
      </c>
      <c r="B1083" s="4" t="s">
        <v>38</v>
      </c>
      <c r="C1083" s="6" t="s">
        <v>5843</v>
      </c>
      <c r="D1083" s="6" t="s">
        <v>1504</v>
      </c>
      <c r="E1083" s="21">
        <v>43918</v>
      </c>
      <c r="F1083" s="4" t="s">
        <v>925</v>
      </c>
      <c r="H1083" s="4" t="s">
        <v>2528</v>
      </c>
      <c r="I1083" s="4">
        <v>4782</v>
      </c>
      <c r="J1083" s="4" t="s">
        <v>1207</v>
      </c>
      <c r="K1083" s="6" t="s">
        <v>963</v>
      </c>
      <c r="L1083" s="4">
        <v>10</v>
      </c>
      <c r="M1083" s="588">
        <v>3162</v>
      </c>
      <c r="N1083" s="374">
        <v>0.05</v>
      </c>
      <c r="O1083" s="588">
        <v>3011</v>
      </c>
      <c r="P1083" s="588">
        <v>3575</v>
      </c>
      <c r="Q1083" s="588">
        <v>35750</v>
      </c>
      <c r="R1083" s="26" t="s">
        <v>6096</v>
      </c>
      <c r="S1083" s="4" t="s">
        <v>1445</v>
      </c>
      <c r="T1083" s="588">
        <v>35747</v>
      </c>
      <c r="U1083" t="s">
        <v>1563</v>
      </c>
      <c r="V1083" s="589">
        <v>2283</v>
      </c>
      <c r="W1083" s="589">
        <v>728</v>
      </c>
      <c r="X1083" s="375">
        <v>0.24</v>
      </c>
    </row>
    <row r="1084" spans="1:24" x14ac:dyDescent="0.25">
      <c r="A1084" s="4">
        <v>546</v>
      </c>
      <c r="B1084" s="4" t="s">
        <v>2250</v>
      </c>
      <c r="C1084" s="6" t="s">
        <v>5846</v>
      </c>
      <c r="D1084" s="6" t="s">
        <v>1638</v>
      </c>
      <c r="E1084" s="21">
        <v>43918</v>
      </c>
      <c r="F1084" s="4" t="s">
        <v>1461</v>
      </c>
      <c r="H1084" s="4">
        <v>6806</v>
      </c>
      <c r="I1084" s="4">
        <v>4783</v>
      </c>
      <c r="J1084" s="4" t="s">
        <v>6051</v>
      </c>
      <c r="K1084" s="6" t="s">
        <v>6052</v>
      </c>
      <c r="L1084" s="4">
        <v>2</v>
      </c>
      <c r="M1084" s="588">
        <v>3193</v>
      </c>
      <c r="N1084" s="4" t="s">
        <v>2886</v>
      </c>
      <c r="O1084" s="588">
        <v>3193</v>
      </c>
      <c r="P1084" s="588">
        <v>3800</v>
      </c>
      <c r="Q1084" s="588">
        <v>7600</v>
      </c>
      <c r="R1084" s="26">
        <v>43918</v>
      </c>
      <c r="S1084" s="4" t="s">
        <v>1501</v>
      </c>
      <c r="T1084" s="588">
        <v>14600</v>
      </c>
      <c r="U1084" t="s">
        <v>1545</v>
      </c>
      <c r="V1084" s="589">
        <v>2100</v>
      </c>
      <c r="W1084" s="589">
        <v>1093</v>
      </c>
      <c r="X1084" s="375">
        <v>0.34</v>
      </c>
    </row>
    <row r="1085" spans="1:24" x14ac:dyDescent="0.25">
      <c r="A1085" s="4">
        <v>546</v>
      </c>
      <c r="B1085" s="4" t="s">
        <v>1755</v>
      </c>
      <c r="C1085" s="6" t="s">
        <v>1925</v>
      </c>
      <c r="D1085" s="6" t="s">
        <v>1504</v>
      </c>
      <c r="E1085" s="21">
        <v>43918</v>
      </c>
      <c r="F1085" s="4" t="s">
        <v>1461</v>
      </c>
      <c r="H1085" s="4">
        <v>6806</v>
      </c>
      <c r="I1085" s="4">
        <v>4783</v>
      </c>
      <c r="J1085" s="4" t="s">
        <v>6051</v>
      </c>
      <c r="K1085" s="6" t="s">
        <v>6052</v>
      </c>
      <c r="L1085" s="4">
        <v>2</v>
      </c>
      <c r="M1085" s="588">
        <v>2941</v>
      </c>
      <c r="N1085" s="4" t="s">
        <v>2886</v>
      </c>
      <c r="O1085" s="588">
        <v>2941</v>
      </c>
      <c r="P1085" s="588">
        <v>3500</v>
      </c>
      <c r="Q1085" s="588">
        <v>7000</v>
      </c>
      <c r="R1085" s="26">
        <v>43918</v>
      </c>
      <c r="S1085" s="4" t="s">
        <v>1501</v>
      </c>
      <c r="T1085" s="588">
        <v>14600</v>
      </c>
      <c r="U1085" t="s">
        <v>1545</v>
      </c>
      <c r="V1085" s="589">
        <v>2119</v>
      </c>
      <c r="W1085" s="589">
        <v>822</v>
      </c>
      <c r="X1085" s="375">
        <v>0.28000000000000003</v>
      </c>
    </row>
    <row r="1086" spans="1:24" x14ac:dyDescent="0.25">
      <c r="A1086" s="4">
        <v>547</v>
      </c>
      <c r="B1086" s="4" t="s">
        <v>858</v>
      </c>
      <c r="C1086" s="6" t="s">
        <v>2501</v>
      </c>
      <c r="D1086" s="6" t="s">
        <v>861</v>
      </c>
      <c r="E1086" s="21">
        <v>43920</v>
      </c>
      <c r="F1086" s="4" t="s">
        <v>925</v>
      </c>
      <c r="H1086" s="4" t="s">
        <v>2528</v>
      </c>
      <c r="I1086" s="4">
        <v>4784</v>
      </c>
      <c r="J1086" s="4" t="s">
        <v>5914</v>
      </c>
      <c r="K1086" s="6" t="s">
        <v>5915</v>
      </c>
      <c r="L1086" s="4">
        <v>100</v>
      </c>
      <c r="M1086" s="593">
        <v>4639</v>
      </c>
      <c r="N1086" s="4" t="s">
        <v>2886</v>
      </c>
      <c r="O1086" s="593">
        <v>4639</v>
      </c>
      <c r="P1086" s="593">
        <v>5520</v>
      </c>
      <c r="Q1086" s="593">
        <v>552000</v>
      </c>
      <c r="R1086" s="26">
        <v>43920</v>
      </c>
      <c r="S1086" s="4" t="s">
        <v>1445</v>
      </c>
      <c r="T1086" s="593">
        <v>898777</v>
      </c>
      <c r="U1086" t="s">
        <v>1572</v>
      </c>
      <c r="V1086" t="s">
        <v>5584</v>
      </c>
      <c r="W1086" s="594">
        <v>4639</v>
      </c>
      <c r="X1086" s="375">
        <v>1</v>
      </c>
    </row>
    <row r="1087" spans="1:24" x14ac:dyDescent="0.25">
      <c r="A1087" s="4">
        <v>547</v>
      </c>
      <c r="B1087" s="4" t="s">
        <v>6053</v>
      </c>
      <c r="C1087" s="6" t="s">
        <v>6054</v>
      </c>
      <c r="D1087" s="6" t="s">
        <v>1504</v>
      </c>
      <c r="E1087" s="21">
        <v>43920</v>
      </c>
      <c r="F1087" s="4" t="s">
        <v>925</v>
      </c>
      <c r="H1087" s="4" t="s">
        <v>2528</v>
      </c>
      <c r="I1087" s="4">
        <v>4784</v>
      </c>
      <c r="J1087" s="4" t="s">
        <v>5914</v>
      </c>
      <c r="K1087" s="6" t="s">
        <v>5915</v>
      </c>
      <c r="L1087" s="4">
        <v>1</v>
      </c>
      <c r="M1087" s="593">
        <v>64058</v>
      </c>
      <c r="N1087" s="374">
        <v>0.1</v>
      </c>
      <c r="O1087" s="593">
        <v>58367</v>
      </c>
      <c r="P1087" s="593">
        <v>68797</v>
      </c>
      <c r="Q1087" s="593">
        <v>68797</v>
      </c>
      <c r="R1087" s="26">
        <v>43920</v>
      </c>
      <c r="S1087" s="4" t="s">
        <v>1445</v>
      </c>
      <c r="T1087" s="593">
        <v>898777</v>
      </c>
      <c r="U1087" t="s">
        <v>5619</v>
      </c>
      <c r="V1087" s="594">
        <v>46250</v>
      </c>
      <c r="W1087" s="594">
        <v>12117</v>
      </c>
      <c r="X1087" s="375">
        <v>0.21</v>
      </c>
    </row>
    <row r="1088" spans="1:24" x14ac:dyDescent="0.25">
      <c r="A1088" s="4">
        <v>547</v>
      </c>
      <c r="B1088" s="4" t="s">
        <v>6055</v>
      </c>
      <c r="C1088" s="6" t="s">
        <v>6056</v>
      </c>
      <c r="D1088" s="6" t="s">
        <v>1504</v>
      </c>
      <c r="E1088" s="21">
        <v>43920</v>
      </c>
      <c r="F1088" s="4" t="s">
        <v>925</v>
      </c>
      <c r="H1088" s="4" t="s">
        <v>2528</v>
      </c>
      <c r="I1088" s="4">
        <v>4784</v>
      </c>
      <c r="J1088" s="4" t="s">
        <v>5914</v>
      </c>
      <c r="K1088" s="6" t="s">
        <v>5915</v>
      </c>
      <c r="L1088" s="4">
        <v>1</v>
      </c>
      <c r="M1088" s="593">
        <v>83102</v>
      </c>
      <c r="N1088" s="374">
        <v>0.1</v>
      </c>
      <c r="O1088" s="593">
        <v>75719</v>
      </c>
      <c r="P1088" s="593">
        <v>89250</v>
      </c>
      <c r="Q1088" s="593">
        <v>89250</v>
      </c>
      <c r="R1088" s="26">
        <v>43920</v>
      </c>
      <c r="S1088" s="4" t="s">
        <v>1445</v>
      </c>
      <c r="T1088" s="593">
        <v>898777</v>
      </c>
      <c r="U1088" t="s">
        <v>5619</v>
      </c>
      <c r="V1088" s="594">
        <v>60000</v>
      </c>
      <c r="W1088" s="594">
        <v>15719</v>
      </c>
      <c r="X1088" s="375">
        <v>0.21</v>
      </c>
    </row>
    <row r="1089" spans="1:24" x14ac:dyDescent="0.25">
      <c r="A1089" s="4">
        <v>547</v>
      </c>
      <c r="B1089" s="4" t="s">
        <v>6057</v>
      </c>
      <c r="C1089" s="6" t="s">
        <v>6058</v>
      </c>
      <c r="D1089" s="6" t="s">
        <v>1504</v>
      </c>
      <c r="E1089" s="21">
        <v>43920</v>
      </c>
      <c r="F1089" s="4" t="s">
        <v>925</v>
      </c>
      <c r="H1089" s="4" t="s">
        <v>2528</v>
      </c>
      <c r="I1089" s="4">
        <v>4784</v>
      </c>
      <c r="J1089" s="4" t="s">
        <v>5914</v>
      </c>
      <c r="K1089" s="6" t="s">
        <v>5915</v>
      </c>
      <c r="L1089" s="4">
        <v>1</v>
      </c>
      <c r="M1089" s="593">
        <v>65789</v>
      </c>
      <c r="N1089" s="374">
        <v>0.1</v>
      </c>
      <c r="O1089" s="593">
        <v>59944</v>
      </c>
      <c r="P1089" s="593">
        <v>70656</v>
      </c>
      <c r="Q1089" s="593">
        <v>70656</v>
      </c>
      <c r="R1089" s="26">
        <v>43920</v>
      </c>
      <c r="S1089" s="4" t="s">
        <v>1445</v>
      </c>
      <c r="T1089" s="593">
        <v>898777</v>
      </c>
      <c r="U1089" t="s">
        <v>5619</v>
      </c>
      <c r="V1089" s="594">
        <v>47500</v>
      </c>
      <c r="W1089" s="594">
        <v>12444</v>
      </c>
      <c r="X1089" s="375">
        <v>0.21</v>
      </c>
    </row>
    <row r="1090" spans="1:24" x14ac:dyDescent="0.25">
      <c r="A1090" s="4">
        <v>547</v>
      </c>
      <c r="B1090" s="4" t="s">
        <v>6059</v>
      </c>
      <c r="C1090" s="6" t="s">
        <v>6060</v>
      </c>
      <c r="D1090" s="6" t="s">
        <v>1504</v>
      </c>
      <c r="E1090" s="21">
        <v>43920</v>
      </c>
      <c r="F1090" s="4" t="s">
        <v>925</v>
      </c>
      <c r="H1090" s="4" t="s">
        <v>2528</v>
      </c>
      <c r="I1090" s="4">
        <v>4784</v>
      </c>
      <c r="J1090" s="4" t="s">
        <v>5914</v>
      </c>
      <c r="K1090" s="6" t="s">
        <v>5915</v>
      </c>
      <c r="L1090" s="4">
        <v>1</v>
      </c>
      <c r="M1090" s="593">
        <v>68906</v>
      </c>
      <c r="N1090" s="374">
        <v>0.1</v>
      </c>
      <c r="O1090" s="593">
        <v>62785</v>
      </c>
      <c r="P1090" s="593">
        <v>74003</v>
      </c>
      <c r="Q1090" s="593">
        <v>74003</v>
      </c>
      <c r="R1090" s="26">
        <v>43920</v>
      </c>
      <c r="S1090" s="4" t="s">
        <v>1445</v>
      </c>
      <c r="T1090" s="593">
        <v>898777</v>
      </c>
      <c r="U1090" t="s">
        <v>5619</v>
      </c>
      <c r="V1090" s="594">
        <v>49750</v>
      </c>
      <c r="W1090" s="594">
        <v>13035</v>
      </c>
      <c r="X1090" s="375">
        <v>0.21</v>
      </c>
    </row>
    <row r="1091" spans="1:24" x14ac:dyDescent="0.25">
      <c r="A1091" s="4">
        <v>547</v>
      </c>
      <c r="B1091" s="4" t="s">
        <v>6061</v>
      </c>
      <c r="C1091" s="6" t="s">
        <v>6062</v>
      </c>
      <c r="D1091" s="6" t="s">
        <v>1504</v>
      </c>
      <c r="E1091" s="21">
        <v>43920</v>
      </c>
      <c r="F1091" s="4" t="s">
        <v>925</v>
      </c>
      <c r="H1091" s="4" t="s">
        <v>2528</v>
      </c>
      <c r="I1091" s="4">
        <v>4784</v>
      </c>
      <c r="J1091" s="4" t="s">
        <v>5914</v>
      </c>
      <c r="K1091" s="6" t="s">
        <v>5915</v>
      </c>
      <c r="L1091" s="4">
        <v>1</v>
      </c>
      <c r="M1091" s="593">
        <v>40997</v>
      </c>
      <c r="N1091" s="374">
        <v>0.1</v>
      </c>
      <c r="O1091" s="593">
        <v>37355</v>
      </c>
      <c r="P1091" s="593">
        <v>44030</v>
      </c>
      <c r="Q1091" s="593">
        <v>44030</v>
      </c>
      <c r="R1091" s="26">
        <v>43920</v>
      </c>
      <c r="S1091" s="4" t="s">
        <v>1445</v>
      </c>
      <c r="T1091" s="593">
        <v>898777</v>
      </c>
      <c r="U1091" t="s">
        <v>5619</v>
      </c>
      <c r="V1091" s="594">
        <v>29600</v>
      </c>
      <c r="W1091" s="594">
        <v>7755</v>
      </c>
      <c r="X1091" s="375">
        <v>0.21</v>
      </c>
    </row>
    <row r="1092" spans="1:24" x14ac:dyDescent="0.25">
      <c r="A1092" s="4">
        <v>548</v>
      </c>
      <c r="B1092" s="4" t="s">
        <v>30</v>
      </c>
      <c r="C1092" s="6" t="s">
        <v>5839</v>
      </c>
      <c r="D1092" s="6" t="s">
        <v>33</v>
      </c>
      <c r="E1092" s="21">
        <v>43920</v>
      </c>
      <c r="F1092" s="4" t="s">
        <v>925</v>
      </c>
      <c r="H1092" s="4" t="s">
        <v>2528</v>
      </c>
      <c r="I1092" s="4">
        <v>4785</v>
      </c>
      <c r="J1092" s="4" t="s">
        <v>1189</v>
      </c>
      <c r="K1092" s="6" t="s">
        <v>940</v>
      </c>
      <c r="L1092" s="4">
        <v>48</v>
      </c>
      <c r="M1092" s="593">
        <v>741</v>
      </c>
      <c r="N1092" s="374">
        <v>0.05</v>
      </c>
      <c r="O1092" s="593">
        <v>706</v>
      </c>
      <c r="P1092" s="593">
        <v>838</v>
      </c>
      <c r="Q1092" s="593">
        <v>40224</v>
      </c>
      <c r="R1092" s="26">
        <v>43920</v>
      </c>
      <c r="S1092" s="4" t="s">
        <v>1445</v>
      </c>
      <c r="T1092" s="593">
        <v>166573</v>
      </c>
      <c r="U1092" t="s">
        <v>1563</v>
      </c>
      <c r="V1092" s="594">
        <v>535</v>
      </c>
      <c r="W1092" s="594">
        <v>171</v>
      </c>
      <c r="X1092" s="375">
        <v>0.24</v>
      </c>
    </row>
    <row r="1093" spans="1:24" x14ac:dyDescent="0.25">
      <c r="A1093" s="4">
        <v>548</v>
      </c>
      <c r="B1093" s="4" t="s">
        <v>5771</v>
      </c>
      <c r="C1093" s="6" t="s">
        <v>5772</v>
      </c>
      <c r="D1093" s="6" t="s">
        <v>5753</v>
      </c>
      <c r="E1093" s="21">
        <v>43920</v>
      </c>
      <c r="F1093" s="4" t="s">
        <v>925</v>
      </c>
      <c r="H1093" s="4" t="s">
        <v>2528</v>
      </c>
      <c r="I1093" s="4">
        <v>4785</v>
      </c>
      <c r="J1093" s="4" t="s">
        <v>1189</v>
      </c>
      <c r="K1093" s="6" t="s">
        <v>940</v>
      </c>
      <c r="L1093" s="4">
        <v>48</v>
      </c>
      <c r="M1093" s="593">
        <v>932</v>
      </c>
      <c r="N1093" s="374">
        <v>0.05</v>
      </c>
      <c r="O1093" s="593">
        <v>888</v>
      </c>
      <c r="P1093" s="593">
        <v>1054</v>
      </c>
      <c r="Q1093" s="593">
        <v>50592</v>
      </c>
      <c r="R1093" s="26">
        <v>43920</v>
      </c>
      <c r="S1093" s="4" t="s">
        <v>1445</v>
      </c>
      <c r="T1093" s="593">
        <v>166573</v>
      </c>
      <c r="U1093" t="s">
        <v>4767</v>
      </c>
      <c r="V1093" s="594">
        <v>673</v>
      </c>
      <c r="W1093" s="594">
        <v>215</v>
      </c>
      <c r="X1093" s="375">
        <v>0.24</v>
      </c>
    </row>
    <row r="1094" spans="1:24" x14ac:dyDescent="0.25">
      <c r="A1094" s="4">
        <v>548</v>
      </c>
      <c r="B1094" s="4" t="s">
        <v>5751</v>
      </c>
      <c r="C1094" s="6" t="s">
        <v>5752</v>
      </c>
      <c r="D1094" s="6" t="s">
        <v>5753</v>
      </c>
      <c r="E1094" s="21">
        <v>43920</v>
      </c>
      <c r="F1094" s="4" t="s">
        <v>925</v>
      </c>
      <c r="H1094" s="4" t="s">
        <v>2528</v>
      </c>
      <c r="I1094" s="4">
        <v>4785</v>
      </c>
      <c r="J1094" s="4" t="s">
        <v>1189</v>
      </c>
      <c r="K1094" s="6" t="s">
        <v>940</v>
      </c>
      <c r="L1094" s="4">
        <v>48</v>
      </c>
      <c r="M1094" s="593">
        <v>971</v>
      </c>
      <c r="N1094" s="374">
        <v>0.05</v>
      </c>
      <c r="O1094" s="593">
        <v>925</v>
      </c>
      <c r="P1094" s="593">
        <v>1098</v>
      </c>
      <c r="Q1094" s="593">
        <v>52704</v>
      </c>
      <c r="R1094" s="26">
        <v>43920</v>
      </c>
      <c r="S1094" s="4" t="s">
        <v>1445</v>
      </c>
      <c r="T1094" s="593">
        <v>166573</v>
      </c>
      <c r="U1094" t="s">
        <v>4767</v>
      </c>
      <c r="V1094" s="594">
        <v>701</v>
      </c>
      <c r="W1094" s="594">
        <v>224</v>
      </c>
      <c r="X1094" s="375">
        <v>0.24</v>
      </c>
    </row>
    <row r="1095" spans="1:24" x14ac:dyDescent="0.25">
      <c r="A1095" s="4">
        <v>548</v>
      </c>
      <c r="B1095" s="4" t="s">
        <v>31</v>
      </c>
      <c r="C1095" s="6" t="s">
        <v>5840</v>
      </c>
      <c r="D1095" s="6" t="s">
        <v>2854</v>
      </c>
      <c r="E1095" s="21">
        <v>43920</v>
      </c>
      <c r="F1095" s="4" t="s">
        <v>925</v>
      </c>
      <c r="H1095" s="4" t="s">
        <v>2528</v>
      </c>
      <c r="I1095" s="4">
        <v>4785</v>
      </c>
      <c r="J1095" s="4" t="s">
        <v>1189</v>
      </c>
      <c r="K1095" s="6" t="s">
        <v>940</v>
      </c>
      <c r="L1095" s="4">
        <v>12</v>
      </c>
      <c r="M1095" s="593">
        <v>551</v>
      </c>
      <c r="N1095" s="374">
        <v>0.05</v>
      </c>
      <c r="O1095" s="593">
        <v>525</v>
      </c>
      <c r="P1095" s="593">
        <v>623</v>
      </c>
      <c r="Q1095" s="593">
        <v>7476</v>
      </c>
      <c r="R1095" s="26">
        <v>43920</v>
      </c>
      <c r="S1095" s="4" t="s">
        <v>1445</v>
      </c>
      <c r="T1095" s="593">
        <v>166573</v>
      </c>
      <c r="U1095" t="s">
        <v>1563</v>
      </c>
      <c r="V1095" s="594">
        <v>398</v>
      </c>
      <c r="W1095" s="594">
        <v>127</v>
      </c>
      <c r="X1095" s="375">
        <v>0.24</v>
      </c>
    </row>
    <row r="1096" spans="1:24" x14ac:dyDescent="0.25">
      <c r="A1096" s="4">
        <v>548</v>
      </c>
      <c r="B1096" s="4" t="s">
        <v>855</v>
      </c>
      <c r="C1096" s="6" t="s">
        <v>2499</v>
      </c>
      <c r="D1096" s="6" t="s">
        <v>857</v>
      </c>
      <c r="E1096" s="21">
        <v>43920</v>
      </c>
      <c r="F1096" s="4" t="s">
        <v>925</v>
      </c>
      <c r="H1096" s="4" t="s">
        <v>2528</v>
      </c>
      <c r="I1096" s="4">
        <v>4785</v>
      </c>
      <c r="J1096" s="4" t="s">
        <v>1189</v>
      </c>
      <c r="K1096" s="6" t="s">
        <v>940</v>
      </c>
      <c r="L1096" s="4">
        <v>1</v>
      </c>
      <c r="M1096" s="593">
        <v>13816</v>
      </c>
      <c r="N1096" s="374">
        <v>0.05</v>
      </c>
      <c r="O1096" s="593">
        <v>13158</v>
      </c>
      <c r="P1096" s="593">
        <v>15619</v>
      </c>
      <c r="Q1096" s="593">
        <v>15619</v>
      </c>
      <c r="R1096" s="26">
        <v>43920</v>
      </c>
      <c r="S1096" s="4" t="s">
        <v>1445</v>
      </c>
      <c r="T1096" s="593">
        <v>166573</v>
      </c>
      <c r="U1096" t="s">
        <v>1551</v>
      </c>
      <c r="V1096" s="594">
        <v>9975</v>
      </c>
      <c r="W1096" s="594">
        <v>3183</v>
      </c>
      <c r="X1096" s="375">
        <v>0.24</v>
      </c>
    </row>
    <row r="1097" spans="1:24" x14ac:dyDescent="0.25">
      <c r="A1097" s="4">
        <v>549</v>
      </c>
      <c r="B1097" s="4" t="s">
        <v>6039</v>
      </c>
      <c r="C1097" s="6" t="s">
        <v>6040</v>
      </c>
      <c r="D1097" s="6" t="s">
        <v>6041</v>
      </c>
      <c r="E1097" s="21">
        <v>43920</v>
      </c>
      <c r="F1097" s="4" t="s">
        <v>925</v>
      </c>
      <c r="H1097" s="4" t="s">
        <v>2528</v>
      </c>
      <c r="I1097" s="4">
        <v>4786</v>
      </c>
      <c r="J1097" s="4" t="s">
        <v>1189</v>
      </c>
      <c r="K1097" s="6" t="s">
        <v>940</v>
      </c>
      <c r="L1097" s="4">
        <v>3</v>
      </c>
      <c r="M1097" s="593">
        <v>1784</v>
      </c>
      <c r="N1097" s="4" t="s">
        <v>2886</v>
      </c>
      <c r="O1097" s="593">
        <v>1784</v>
      </c>
      <c r="P1097" s="593">
        <v>2123</v>
      </c>
      <c r="Q1097" s="593">
        <v>6369</v>
      </c>
      <c r="R1097" s="26">
        <v>43920</v>
      </c>
      <c r="S1097" s="4" t="s">
        <v>1445</v>
      </c>
      <c r="T1097" s="593">
        <v>26544</v>
      </c>
      <c r="U1097" t="s">
        <v>1545</v>
      </c>
      <c r="V1097" s="594">
        <v>1127</v>
      </c>
      <c r="W1097" s="594">
        <v>657</v>
      </c>
      <c r="X1097" s="375">
        <v>0.37</v>
      </c>
    </row>
    <row r="1098" spans="1:24" x14ac:dyDescent="0.25">
      <c r="A1098" s="4">
        <v>549</v>
      </c>
      <c r="B1098" s="4" t="s">
        <v>24</v>
      </c>
      <c r="C1098" s="6" t="s">
        <v>5834</v>
      </c>
      <c r="D1098" s="6" t="s">
        <v>23</v>
      </c>
      <c r="E1098" s="21">
        <v>43920</v>
      </c>
      <c r="F1098" s="4" t="s">
        <v>925</v>
      </c>
      <c r="H1098" s="4" t="s">
        <v>2528</v>
      </c>
      <c r="I1098" s="4">
        <v>4786</v>
      </c>
      <c r="J1098" s="4" t="s">
        <v>1189</v>
      </c>
      <c r="K1098" s="6" t="s">
        <v>940</v>
      </c>
      <c r="L1098" s="4">
        <v>12</v>
      </c>
      <c r="M1098" s="593">
        <v>578</v>
      </c>
      <c r="N1098" s="374">
        <v>0.05</v>
      </c>
      <c r="O1098" s="593">
        <v>550</v>
      </c>
      <c r="P1098" s="593">
        <v>653</v>
      </c>
      <c r="Q1098" s="593">
        <v>7836</v>
      </c>
      <c r="R1098" s="26">
        <v>43920</v>
      </c>
      <c r="S1098" s="4" t="s">
        <v>1445</v>
      </c>
      <c r="T1098" s="593">
        <v>26544</v>
      </c>
      <c r="U1098" t="s">
        <v>2668</v>
      </c>
      <c r="V1098" s="594">
        <v>417</v>
      </c>
      <c r="W1098" s="594">
        <v>133</v>
      </c>
      <c r="X1098" s="375">
        <v>0.24</v>
      </c>
    </row>
    <row r="1099" spans="1:24" x14ac:dyDescent="0.25">
      <c r="A1099" s="4">
        <v>549</v>
      </c>
      <c r="B1099" s="4" t="s">
        <v>38</v>
      </c>
      <c r="C1099" s="6" t="s">
        <v>5843</v>
      </c>
      <c r="D1099" s="6" t="s">
        <v>1504</v>
      </c>
      <c r="E1099" s="21">
        <v>43920</v>
      </c>
      <c r="F1099" s="4" t="s">
        <v>925</v>
      </c>
      <c r="H1099" s="4" t="s">
        <v>2528</v>
      </c>
      <c r="I1099" s="4">
        <v>4786</v>
      </c>
      <c r="J1099" s="4" t="s">
        <v>1189</v>
      </c>
      <c r="K1099" s="6" t="s">
        <v>940</v>
      </c>
      <c r="L1099" s="4">
        <v>2</v>
      </c>
      <c r="M1099" s="593">
        <v>3162</v>
      </c>
      <c r="N1099" s="374">
        <v>0.05</v>
      </c>
      <c r="O1099" s="593">
        <v>3011</v>
      </c>
      <c r="P1099" s="593">
        <v>3575</v>
      </c>
      <c r="Q1099" s="593">
        <v>7150</v>
      </c>
      <c r="R1099" s="26">
        <v>43920</v>
      </c>
      <c r="S1099" s="4" t="s">
        <v>1445</v>
      </c>
      <c r="T1099" s="593">
        <v>26544</v>
      </c>
      <c r="U1099" t="s">
        <v>1563</v>
      </c>
      <c r="V1099" s="594">
        <v>2283</v>
      </c>
      <c r="W1099" s="594">
        <v>728</v>
      </c>
      <c r="X1099" s="375">
        <v>0.24</v>
      </c>
    </row>
    <row r="1100" spans="1:24" x14ac:dyDescent="0.25">
      <c r="A1100" s="4">
        <v>549</v>
      </c>
      <c r="B1100" s="4" t="s">
        <v>4755</v>
      </c>
      <c r="C1100" s="6" t="s">
        <v>4756</v>
      </c>
      <c r="D1100" s="6" t="s">
        <v>4746</v>
      </c>
      <c r="E1100" s="21">
        <v>43920</v>
      </c>
      <c r="F1100" s="4" t="s">
        <v>925</v>
      </c>
      <c r="H1100" s="4" t="s">
        <v>2528</v>
      </c>
      <c r="I1100" s="4">
        <v>4786</v>
      </c>
      <c r="J1100" s="4" t="s">
        <v>1189</v>
      </c>
      <c r="K1100" s="6" t="s">
        <v>940</v>
      </c>
      <c r="L1100" s="4">
        <v>1</v>
      </c>
      <c r="M1100" s="593">
        <v>4833</v>
      </c>
      <c r="N1100" s="374">
        <v>0.1</v>
      </c>
      <c r="O1100" s="593">
        <v>4404</v>
      </c>
      <c r="P1100" s="593">
        <v>5191</v>
      </c>
      <c r="Q1100" s="593">
        <v>5191</v>
      </c>
      <c r="R1100" s="26">
        <v>43920</v>
      </c>
      <c r="S1100" s="4" t="s">
        <v>1445</v>
      </c>
      <c r="T1100" s="593">
        <v>26544</v>
      </c>
      <c r="U1100" t="s">
        <v>2787</v>
      </c>
      <c r="V1100" s="594">
        <v>3385</v>
      </c>
      <c r="W1100" s="594">
        <v>1019</v>
      </c>
      <c r="X1100" s="375">
        <v>0.23</v>
      </c>
    </row>
    <row r="1101" spans="1:24" x14ac:dyDescent="0.25">
      <c r="A1101" s="4">
        <v>550</v>
      </c>
      <c r="B1101" s="4" t="s">
        <v>838</v>
      </c>
      <c r="C1101" s="6" t="s">
        <v>2062</v>
      </c>
      <c r="D1101" s="6" t="s">
        <v>840</v>
      </c>
      <c r="E1101" s="21">
        <v>43920</v>
      </c>
      <c r="F1101" s="4" t="s">
        <v>1461</v>
      </c>
      <c r="H1101" s="4">
        <v>6810</v>
      </c>
      <c r="I1101" s="4">
        <v>4787</v>
      </c>
      <c r="J1101" s="4" t="s">
        <v>5538</v>
      </c>
      <c r="K1101" s="6" t="s">
        <v>5539</v>
      </c>
      <c r="L1101" s="4">
        <v>1</v>
      </c>
      <c r="M1101" s="593">
        <v>16555</v>
      </c>
      <c r="N1101" s="4" t="s">
        <v>2886</v>
      </c>
      <c r="O1101" s="593">
        <v>16555</v>
      </c>
      <c r="P1101" s="593">
        <v>19700</v>
      </c>
      <c r="Q1101" s="593">
        <v>19700</v>
      </c>
      <c r="R1101" s="26">
        <v>43921</v>
      </c>
      <c r="S1101" s="4" t="s">
        <v>1501</v>
      </c>
      <c r="T1101" s="593">
        <v>37100</v>
      </c>
      <c r="U1101" t="s">
        <v>1572</v>
      </c>
      <c r="V1101" s="594">
        <v>12429</v>
      </c>
      <c r="W1101" s="594">
        <v>4126</v>
      </c>
      <c r="X1101" s="375">
        <v>0.25</v>
      </c>
    </row>
    <row r="1102" spans="1:24" x14ac:dyDescent="0.25">
      <c r="A1102" s="4">
        <v>550</v>
      </c>
      <c r="B1102" s="4" t="s">
        <v>1755</v>
      </c>
      <c r="C1102" s="6" t="s">
        <v>1925</v>
      </c>
      <c r="D1102" s="6" t="s">
        <v>1504</v>
      </c>
      <c r="E1102" s="21">
        <v>43920</v>
      </c>
      <c r="F1102" s="4" t="s">
        <v>1461</v>
      </c>
      <c r="H1102" s="4">
        <v>6810</v>
      </c>
      <c r="I1102" s="4">
        <v>4787</v>
      </c>
      <c r="J1102" s="4" t="s">
        <v>5538</v>
      </c>
      <c r="K1102" s="6" t="s">
        <v>5539</v>
      </c>
      <c r="L1102" s="4">
        <v>2</v>
      </c>
      <c r="M1102" s="593">
        <v>2941</v>
      </c>
      <c r="N1102" s="4" t="s">
        <v>2886</v>
      </c>
      <c r="O1102" s="593">
        <v>2941</v>
      </c>
      <c r="P1102" s="593">
        <v>3500</v>
      </c>
      <c r="Q1102" s="593">
        <v>7000</v>
      </c>
      <c r="R1102" s="26">
        <v>43921</v>
      </c>
      <c r="S1102" s="4" t="s">
        <v>1501</v>
      </c>
      <c r="T1102" s="593">
        <v>37100</v>
      </c>
      <c r="U1102" t="s">
        <v>1545</v>
      </c>
      <c r="V1102" s="594">
        <v>2119</v>
      </c>
      <c r="W1102" s="594">
        <v>822</v>
      </c>
      <c r="X1102" s="375">
        <v>0.28000000000000003</v>
      </c>
    </row>
    <row r="1103" spans="1:24" x14ac:dyDescent="0.25">
      <c r="A1103" s="4">
        <v>550</v>
      </c>
      <c r="B1103" s="4" t="s">
        <v>1503</v>
      </c>
      <c r="C1103" s="6" t="s">
        <v>1972</v>
      </c>
      <c r="D1103" s="6" t="s">
        <v>1638</v>
      </c>
      <c r="E1103" s="21">
        <v>43920</v>
      </c>
      <c r="F1103" s="4" t="s">
        <v>1461</v>
      </c>
      <c r="H1103" s="4">
        <v>6810</v>
      </c>
      <c r="I1103" s="4">
        <v>4787</v>
      </c>
      <c r="J1103" s="4" t="s">
        <v>5538</v>
      </c>
      <c r="K1103" s="6" t="s">
        <v>5539</v>
      </c>
      <c r="L1103" s="4">
        <v>1</v>
      </c>
      <c r="M1103" s="593">
        <v>3193</v>
      </c>
      <c r="N1103" s="4" t="s">
        <v>2886</v>
      </c>
      <c r="O1103" s="593">
        <v>3193</v>
      </c>
      <c r="P1103" s="593">
        <v>3800</v>
      </c>
      <c r="Q1103" s="593">
        <v>3800</v>
      </c>
      <c r="R1103" s="26">
        <v>43921</v>
      </c>
      <c r="S1103" s="4" t="s">
        <v>1501</v>
      </c>
      <c r="T1103" s="593">
        <v>37100</v>
      </c>
      <c r="U1103" t="s">
        <v>1545</v>
      </c>
      <c r="V1103" s="594">
        <v>2200</v>
      </c>
      <c r="W1103" s="594">
        <v>993</v>
      </c>
      <c r="X1103" s="375">
        <v>0.31</v>
      </c>
    </row>
    <row r="1104" spans="1:24" x14ac:dyDescent="0.25">
      <c r="A1104" s="4">
        <v>550</v>
      </c>
      <c r="B1104" s="4" t="s">
        <v>2250</v>
      </c>
      <c r="C1104" s="6" t="s">
        <v>5846</v>
      </c>
      <c r="D1104" s="6" t="s">
        <v>1638</v>
      </c>
      <c r="E1104" s="21">
        <v>43920</v>
      </c>
      <c r="F1104" s="4" t="s">
        <v>1461</v>
      </c>
      <c r="H1104" s="4">
        <v>6810</v>
      </c>
      <c r="I1104" s="4">
        <v>4787</v>
      </c>
      <c r="J1104" s="4" t="s">
        <v>5538</v>
      </c>
      <c r="K1104" s="6" t="s">
        <v>5539</v>
      </c>
      <c r="L1104" s="4">
        <v>1</v>
      </c>
      <c r="M1104" s="593">
        <v>3193</v>
      </c>
      <c r="N1104" s="4" t="s">
        <v>2886</v>
      </c>
      <c r="O1104" s="593">
        <v>3193</v>
      </c>
      <c r="P1104" s="593">
        <v>3800</v>
      </c>
      <c r="Q1104" s="593">
        <v>3800</v>
      </c>
      <c r="R1104" s="26">
        <v>43921</v>
      </c>
      <c r="S1104" s="4" t="s">
        <v>1501</v>
      </c>
      <c r="T1104" s="593">
        <v>37100</v>
      </c>
      <c r="U1104" t="s">
        <v>1545</v>
      </c>
      <c r="V1104" s="594">
        <v>2100</v>
      </c>
      <c r="W1104" s="594">
        <v>1093</v>
      </c>
      <c r="X1104" s="375">
        <v>0.34</v>
      </c>
    </row>
    <row r="1105" spans="1:24" x14ac:dyDescent="0.25">
      <c r="A1105" s="4">
        <v>550</v>
      </c>
      <c r="B1105" s="4" t="s">
        <v>6039</v>
      </c>
      <c r="C1105" s="6" t="s">
        <v>6040</v>
      </c>
      <c r="D1105" s="6" t="s">
        <v>6041</v>
      </c>
      <c r="E1105" s="21">
        <v>43920</v>
      </c>
      <c r="F1105" s="4" t="s">
        <v>1461</v>
      </c>
      <c r="H1105" s="4">
        <v>6810</v>
      </c>
      <c r="I1105" s="4">
        <v>4787</v>
      </c>
      <c r="J1105" s="4" t="s">
        <v>5538</v>
      </c>
      <c r="K1105" s="6" t="s">
        <v>5539</v>
      </c>
      <c r="L1105" s="4">
        <v>1</v>
      </c>
      <c r="M1105" s="593">
        <v>2353</v>
      </c>
      <c r="N1105" s="4" t="s">
        <v>2886</v>
      </c>
      <c r="O1105" s="593">
        <v>2353</v>
      </c>
      <c r="P1105" s="593">
        <v>2800</v>
      </c>
      <c r="Q1105" s="593">
        <v>2800</v>
      </c>
      <c r="R1105" s="26">
        <v>43921</v>
      </c>
      <c r="S1105" s="4" t="s">
        <v>1501</v>
      </c>
      <c r="T1105" s="593">
        <v>37100</v>
      </c>
      <c r="U1105" t="s">
        <v>1545</v>
      </c>
      <c r="V1105" s="594">
        <v>1127</v>
      </c>
      <c r="W1105" s="594">
        <v>1226</v>
      </c>
      <c r="X1105" s="375">
        <v>0.52</v>
      </c>
    </row>
    <row r="1106" spans="1:24" x14ac:dyDescent="0.25">
      <c r="A1106" s="4">
        <v>551</v>
      </c>
      <c r="B1106" s="4" t="s">
        <v>5147</v>
      </c>
      <c r="C1106" s="6" t="s">
        <v>5148</v>
      </c>
      <c r="D1106" s="6" t="s">
        <v>4618</v>
      </c>
      <c r="E1106" s="21">
        <v>43920</v>
      </c>
      <c r="F1106" s="4" t="s">
        <v>1461</v>
      </c>
      <c r="H1106" s="4">
        <v>6809</v>
      </c>
      <c r="I1106" s="4">
        <v>4788</v>
      </c>
      <c r="J1106" s="4" t="s">
        <v>6063</v>
      </c>
      <c r="K1106" s="6" t="s">
        <v>6064</v>
      </c>
      <c r="L1106" s="4">
        <v>1</v>
      </c>
      <c r="M1106" s="593">
        <v>26471</v>
      </c>
      <c r="N1106" s="4" t="s">
        <v>2886</v>
      </c>
      <c r="O1106" s="593">
        <v>26471</v>
      </c>
      <c r="P1106" s="593">
        <v>31500</v>
      </c>
      <c r="Q1106" s="593">
        <v>31500</v>
      </c>
      <c r="R1106" s="26">
        <v>43921</v>
      </c>
      <c r="S1106" s="4" t="s">
        <v>1501</v>
      </c>
      <c r="T1106" s="593">
        <v>31500</v>
      </c>
      <c r="U1106" t="s">
        <v>4602</v>
      </c>
      <c r="V1106" s="594">
        <v>21183</v>
      </c>
      <c r="W1106" s="594">
        <v>5288</v>
      </c>
      <c r="X1106" s="375">
        <v>0.2</v>
      </c>
    </row>
    <row r="1107" spans="1:24" x14ac:dyDescent="0.25">
      <c r="A1107" s="4">
        <v>552</v>
      </c>
      <c r="B1107" s="4" t="s">
        <v>658</v>
      </c>
      <c r="C1107" s="6" t="s">
        <v>1974</v>
      </c>
      <c r="D1107" s="6" t="s">
        <v>794</v>
      </c>
      <c r="E1107" s="21">
        <v>43920</v>
      </c>
      <c r="F1107" s="4" t="s">
        <v>1461</v>
      </c>
      <c r="H1107" s="4">
        <v>6808</v>
      </c>
      <c r="I1107" s="4">
        <v>4789</v>
      </c>
      <c r="J1107" s="4" t="s">
        <v>4040</v>
      </c>
      <c r="K1107" s="6" t="s">
        <v>4038</v>
      </c>
      <c r="L1107" s="4">
        <v>2</v>
      </c>
      <c r="M1107" s="593">
        <v>20084</v>
      </c>
      <c r="N1107" s="4" t="s">
        <v>2886</v>
      </c>
      <c r="O1107" s="593">
        <v>20084</v>
      </c>
      <c r="P1107" s="593">
        <v>23900</v>
      </c>
      <c r="Q1107" s="593">
        <v>47800</v>
      </c>
      <c r="R1107" s="26">
        <v>43920</v>
      </c>
      <c r="S1107" s="4" t="s">
        <v>1501</v>
      </c>
      <c r="T1107" s="593">
        <v>47800</v>
      </c>
      <c r="U1107" t="s">
        <v>1551</v>
      </c>
      <c r="V1107" s="594">
        <v>14604</v>
      </c>
      <c r="W1107" s="594">
        <v>5480</v>
      </c>
      <c r="X1107" s="375">
        <v>0.27</v>
      </c>
    </row>
    <row r="1108" spans="1:24" x14ac:dyDescent="0.25">
      <c r="A1108" s="4">
        <v>553</v>
      </c>
      <c r="B1108" s="4" t="s">
        <v>838</v>
      </c>
      <c r="C1108" s="6" t="s">
        <v>2062</v>
      </c>
      <c r="D1108" s="6" t="s">
        <v>840</v>
      </c>
      <c r="E1108" s="21">
        <v>43920</v>
      </c>
      <c r="F1108" s="4" t="s">
        <v>1461</v>
      </c>
      <c r="H1108" s="4">
        <v>6807</v>
      </c>
      <c r="I1108" s="4">
        <v>4790</v>
      </c>
      <c r="J1108" s="4" t="s">
        <v>4953</v>
      </c>
      <c r="K1108" s="6" t="s">
        <v>4954</v>
      </c>
      <c r="L1108" s="4">
        <v>1</v>
      </c>
      <c r="M1108" s="593">
        <v>16555</v>
      </c>
      <c r="N1108" s="4" t="s">
        <v>2886</v>
      </c>
      <c r="O1108" s="593">
        <v>16555</v>
      </c>
      <c r="P1108" s="593">
        <v>19700</v>
      </c>
      <c r="Q1108" s="593">
        <v>19700</v>
      </c>
      <c r="R1108" s="26">
        <v>43920</v>
      </c>
      <c r="S1108" s="4" t="s">
        <v>1501</v>
      </c>
      <c r="T1108" s="593">
        <v>40100</v>
      </c>
      <c r="U1108" t="s">
        <v>1572</v>
      </c>
      <c r="V1108" s="594">
        <v>12429</v>
      </c>
      <c r="W1108" s="594">
        <v>4126</v>
      </c>
      <c r="X1108" s="375">
        <v>0.25</v>
      </c>
    </row>
    <row r="1109" spans="1:24" x14ac:dyDescent="0.25">
      <c r="A1109" s="4">
        <v>553</v>
      </c>
      <c r="B1109" s="4" t="s">
        <v>847</v>
      </c>
      <c r="C1109" s="6" t="s">
        <v>2201</v>
      </c>
      <c r="D1109" s="6" t="s">
        <v>2198</v>
      </c>
      <c r="E1109" s="21">
        <v>43920</v>
      </c>
      <c r="F1109" s="4" t="s">
        <v>1461</v>
      </c>
      <c r="H1109" s="4">
        <v>6807</v>
      </c>
      <c r="I1109" s="4">
        <v>4790</v>
      </c>
      <c r="J1109" s="4" t="s">
        <v>4953</v>
      </c>
      <c r="K1109" s="6" t="s">
        <v>4954</v>
      </c>
      <c r="L1109" s="4">
        <v>2</v>
      </c>
      <c r="M1109" s="593">
        <v>8571</v>
      </c>
      <c r="N1109" s="4" t="s">
        <v>2886</v>
      </c>
      <c r="O1109" s="593">
        <v>8571</v>
      </c>
      <c r="P1109" s="593">
        <v>10200</v>
      </c>
      <c r="Q1109" s="593">
        <v>20400</v>
      </c>
      <c r="R1109" s="26">
        <v>43920</v>
      </c>
      <c r="S1109" s="4" t="s">
        <v>1501</v>
      </c>
      <c r="T1109" s="593">
        <v>40100</v>
      </c>
      <c r="U1109" t="s">
        <v>1572</v>
      </c>
      <c r="V1109" s="594">
        <v>6436</v>
      </c>
      <c r="W1109" s="594">
        <v>2135</v>
      </c>
      <c r="X1109" s="375">
        <v>0.25</v>
      </c>
    </row>
    <row r="1110" spans="1:24" x14ac:dyDescent="0.25">
      <c r="A1110" s="4">
        <v>554</v>
      </c>
      <c r="B1110" s="4" t="s">
        <v>4609</v>
      </c>
      <c r="C1110" s="6" t="s">
        <v>5649</v>
      </c>
      <c r="D1110" s="6" t="s">
        <v>4604</v>
      </c>
      <c r="E1110" s="21">
        <v>43921</v>
      </c>
      <c r="F1110" s="4" t="s">
        <v>1461</v>
      </c>
      <c r="H1110" s="4">
        <v>6812</v>
      </c>
      <c r="I1110" s="4">
        <v>4791</v>
      </c>
      <c r="J1110" s="4" t="s">
        <v>4962</v>
      </c>
      <c r="K1110" s="6" t="s">
        <v>4963</v>
      </c>
      <c r="L1110" s="4">
        <v>1</v>
      </c>
      <c r="M1110" s="599">
        <v>40756</v>
      </c>
      <c r="N1110" s="4" t="s">
        <v>2886</v>
      </c>
      <c r="O1110" s="599">
        <v>40756</v>
      </c>
      <c r="P1110" s="599">
        <v>48500</v>
      </c>
      <c r="Q1110" s="599">
        <v>48500</v>
      </c>
      <c r="R1110" s="26">
        <v>43921</v>
      </c>
      <c r="S1110" s="4" t="s">
        <v>1501</v>
      </c>
      <c r="T1110" s="599">
        <v>97000</v>
      </c>
      <c r="U1110" t="s">
        <v>4602</v>
      </c>
      <c r="V1110" s="600">
        <v>33701</v>
      </c>
      <c r="W1110" s="600">
        <v>7055</v>
      </c>
      <c r="X1110" s="375">
        <v>0.17</v>
      </c>
    </row>
    <row r="1111" spans="1:24" x14ac:dyDescent="0.25">
      <c r="A1111" s="4">
        <v>554</v>
      </c>
      <c r="B1111" s="4" t="s">
        <v>4608</v>
      </c>
      <c r="C1111" s="6" t="s">
        <v>5648</v>
      </c>
      <c r="D1111" s="6" t="s">
        <v>4604</v>
      </c>
      <c r="E1111" s="21">
        <v>43921</v>
      </c>
      <c r="F1111" s="4" t="s">
        <v>1461</v>
      </c>
      <c r="H1111" s="4">
        <v>6812</v>
      </c>
      <c r="I1111" s="4">
        <v>4791</v>
      </c>
      <c r="J1111" s="4" t="s">
        <v>4962</v>
      </c>
      <c r="K1111" s="6" t="s">
        <v>4963</v>
      </c>
      <c r="L1111" s="4">
        <v>1</v>
      </c>
      <c r="M1111" s="599">
        <v>40756</v>
      </c>
      <c r="N1111" s="4" t="s">
        <v>2886</v>
      </c>
      <c r="O1111" s="599">
        <v>40756</v>
      </c>
      <c r="P1111" s="599">
        <v>48500</v>
      </c>
      <c r="Q1111" s="599">
        <v>48500</v>
      </c>
      <c r="R1111" s="26">
        <v>43921</v>
      </c>
      <c r="S1111" s="4" t="s">
        <v>1501</v>
      </c>
      <c r="T1111" s="599">
        <v>97000</v>
      </c>
      <c r="U1111" t="s">
        <v>4602</v>
      </c>
      <c r="V1111" s="600">
        <v>33701</v>
      </c>
      <c r="W1111" s="600">
        <v>7055</v>
      </c>
      <c r="X1111" s="375">
        <v>0.17</v>
      </c>
    </row>
    <row r="1112" spans="1:24" x14ac:dyDescent="0.25">
      <c r="A1112" s="4">
        <v>555</v>
      </c>
      <c r="B1112" s="4" t="s">
        <v>855</v>
      </c>
      <c r="C1112" s="6" t="s">
        <v>2499</v>
      </c>
      <c r="D1112" s="6" t="s">
        <v>857</v>
      </c>
      <c r="E1112" s="21">
        <v>43921</v>
      </c>
      <c r="F1112" s="4" t="s">
        <v>1461</v>
      </c>
      <c r="H1112" s="4">
        <v>6811</v>
      </c>
      <c r="I1112" s="4">
        <v>4792</v>
      </c>
      <c r="J1112" s="4" t="s">
        <v>4403</v>
      </c>
      <c r="K1112" s="6" t="s">
        <v>4405</v>
      </c>
      <c r="L1112" s="4">
        <v>3</v>
      </c>
      <c r="M1112" s="599">
        <v>13277</v>
      </c>
      <c r="N1112" s="4" t="s">
        <v>2886</v>
      </c>
      <c r="O1112" s="599">
        <v>13277</v>
      </c>
      <c r="P1112" s="599">
        <v>15800</v>
      </c>
      <c r="Q1112" s="599">
        <v>47400</v>
      </c>
      <c r="R1112" s="26">
        <v>43921</v>
      </c>
      <c r="S1112" s="4" t="s">
        <v>1501</v>
      </c>
      <c r="T1112" s="599">
        <v>47400</v>
      </c>
      <c r="U1112" t="s">
        <v>1551</v>
      </c>
      <c r="V1112" s="600">
        <v>9975</v>
      </c>
      <c r="W1112" s="600">
        <v>3302</v>
      </c>
      <c r="X1112" s="375">
        <v>0.25</v>
      </c>
    </row>
    <row r="1113" spans="1:24" x14ac:dyDescent="0.25">
      <c r="A1113" s="4">
        <v>556</v>
      </c>
      <c r="B1113" s="4" t="s">
        <v>799</v>
      </c>
      <c r="C1113" s="6" t="s">
        <v>1926</v>
      </c>
      <c r="D1113" s="6" t="s">
        <v>802</v>
      </c>
      <c r="E1113" s="21">
        <v>43921</v>
      </c>
      <c r="F1113" s="4" t="s">
        <v>1461</v>
      </c>
      <c r="H1113" s="4">
        <v>6813</v>
      </c>
      <c r="I1113" s="4">
        <v>4793</v>
      </c>
      <c r="J1113" s="4" t="s">
        <v>5535</v>
      </c>
      <c r="K1113" s="6" t="s">
        <v>5536</v>
      </c>
      <c r="L1113" s="4">
        <v>4</v>
      </c>
      <c r="M1113" s="599">
        <v>17815</v>
      </c>
      <c r="N1113" s="4" t="s">
        <v>2886</v>
      </c>
      <c r="O1113" s="599">
        <v>17815</v>
      </c>
      <c r="P1113" s="599">
        <v>21200</v>
      </c>
      <c r="Q1113" s="599">
        <v>84800</v>
      </c>
      <c r="R1113" s="26">
        <v>43921</v>
      </c>
      <c r="S1113" s="4" t="s">
        <v>1501</v>
      </c>
      <c r="T1113" s="599">
        <v>84800</v>
      </c>
      <c r="U1113" t="s">
        <v>1551</v>
      </c>
      <c r="V1113" s="600">
        <v>13279</v>
      </c>
      <c r="W1113" s="600">
        <v>4536</v>
      </c>
      <c r="X1113" s="375">
        <v>0.25</v>
      </c>
    </row>
    <row r="1114" spans="1:24" x14ac:dyDescent="0.25">
      <c r="A1114" s="4">
        <v>557</v>
      </c>
      <c r="B1114" s="4" t="s">
        <v>3968</v>
      </c>
      <c r="C1114" s="6" t="s">
        <v>4018</v>
      </c>
      <c r="D1114" s="6" t="s">
        <v>4019</v>
      </c>
      <c r="E1114" s="21">
        <v>43921</v>
      </c>
      <c r="F1114" s="4" t="s">
        <v>1461</v>
      </c>
      <c r="H1114" s="4">
        <v>6818</v>
      </c>
      <c r="I1114" s="4">
        <v>4794</v>
      </c>
      <c r="J1114" s="4" t="s">
        <v>2632</v>
      </c>
      <c r="K1114" s="6" t="s">
        <v>2633</v>
      </c>
      <c r="L1114" s="4">
        <v>2</v>
      </c>
      <c r="M1114" s="599">
        <v>19748</v>
      </c>
      <c r="N1114" s="4" t="s">
        <v>2886</v>
      </c>
      <c r="O1114" s="599">
        <v>19748</v>
      </c>
      <c r="P1114" s="599">
        <v>23500</v>
      </c>
      <c r="Q1114" s="599">
        <v>47000</v>
      </c>
      <c r="R1114" s="26">
        <v>43924</v>
      </c>
      <c r="S1114" s="4" t="s">
        <v>1445</v>
      </c>
      <c r="T1114" s="599">
        <v>47000</v>
      </c>
      <c r="U1114" t="s">
        <v>1551</v>
      </c>
      <c r="V1114" s="600">
        <v>14122</v>
      </c>
      <c r="W1114" s="600">
        <v>5626</v>
      </c>
      <c r="X1114" s="375">
        <v>0.28000000000000003</v>
      </c>
    </row>
    <row r="1115" spans="1:24" x14ac:dyDescent="0.25">
      <c r="A1115" s="4">
        <v>558</v>
      </c>
      <c r="B1115" s="4" t="s">
        <v>830</v>
      </c>
      <c r="C1115" s="6" t="s">
        <v>2495</v>
      </c>
      <c r="D1115" s="6" t="s">
        <v>837</v>
      </c>
      <c r="E1115" s="21">
        <v>43921</v>
      </c>
      <c r="F1115" s="4" t="s">
        <v>1461</v>
      </c>
      <c r="H1115" s="4">
        <v>6817</v>
      </c>
      <c r="I1115" s="4">
        <v>4795</v>
      </c>
      <c r="J1115" s="4" t="s">
        <v>5399</v>
      </c>
      <c r="K1115" s="6" t="s">
        <v>5400</v>
      </c>
      <c r="L1115" s="4">
        <v>2</v>
      </c>
      <c r="M1115" s="599">
        <v>13866</v>
      </c>
      <c r="N1115" s="4" t="s">
        <v>2886</v>
      </c>
      <c r="O1115" s="599">
        <v>13866</v>
      </c>
      <c r="P1115" s="599">
        <v>16500</v>
      </c>
      <c r="Q1115" s="599">
        <v>33000</v>
      </c>
      <c r="R1115" s="26">
        <v>43922</v>
      </c>
      <c r="S1115" s="4" t="s">
        <v>2050</v>
      </c>
      <c r="T1115" s="599">
        <v>33000</v>
      </c>
      <c r="U1115" t="s">
        <v>1572</v>
      </c>
      <c r="V1115" s="600">
        <v>10390</v>
      </c>
      <c r="W1115" s="600">
        <v>3476</v>
      </c>
      <c r="X1115" s="375">
        <v>0.25</v>
      </c>
    </row>
    <row r="1116" spans="1:24" x14ac:dyDescent="0.25">
      <c r="A1116" s="4">
        <v>559</v>
      </c>
      <c r="B1116" s="4" t="s">
        <v>830</v>
      </c>
      <c r="C1116" s="6" t="s">
        <v>2495</v>
      </c>
      <c r="D1116" s="6" t="s">
        <v>837</v>
      </c>
      <c r="E1116" s="21">
        <v>43921</v>
      </c>
      <c r="F1116" s="4" t="s">
        <v>1461</v>
      </c>
      <c r="H1116" s="4">
        <v>6816</v>
      </c>
      <c r="I1116" s="4">
        <v>4796</v>
      </c>
      <c r="J1116" s="4" t="s">
        <v>4542</v>
      </c>
      <c r="K1116" s="6" t="s">
        <v>4543</v>
      </c>
      <c r="L1116" s="4">
        <v>3</v>
      </c>
      <c r="M1116" s="599">
        <v>13866</v>
      </c>
      <c r="N1116" s="4" t="s">
        <v>2886</v>
      </c>
      <c r="O1116" s="599">
        <v>13866</v>
      </c>
      <c r="P1116" s="599">
        <v>16500</v>
      </c>
      <c r="Q1116" s="599">
        <v>49500</v>
      </c>
      <c r="R1116" s="26">
        <v>43921</v>
      </c>
      <c r="S1116" s="4" t="s">
        <v>1501</v>
      </c>
      <c r="T1116" s="599">
        <v>49500</v>
      </c>
      <c r="U1116" t="s">
        <v>1572</v>
      </c>
      <c r="V1116" s="600">
        <v>10390</v>
      </c>
      <c r="W1116" s="600">
        <v>3476</v>
      </c>
      <c r="X1116" s="375">
        <v>0.25</v>
      </c>
    </row>
    <row r="1117" spans="1:24" x14ac:dyDescent="0.25">
      <c r="A1117" s="4">
        <v>560</v>
      </c>
      <c r="B1117" s="4" t="s">
        <v>855</v>
      </c>
      <c r="C1117" s="6" t="s">
        <v>2499</v>
      </c>
      <c r="D1117" s="6" t="s">
        <v>857</v>
      </c>
      <c r="E1117" s="21">
        <v>43921</v>
      </c>
      <c r="F1117" s="4" t="s">
        <v>1461</v>
      </c>
      <c r="H1117" s="4">
        <v>6815</v>
      </c>
      <c r="I1117" s="4">
        <v>4797</v>
      </c>
      <c r="J1117" s="4" t="s">
        <v>6029</v>
      </c>
      <c r="K1117" s="6" t="s">
        <v>6030</v>
      </c>
      <c r="L1117" s="4">
        <v>2</v>
      </c>
      <c r="M1117" s="599">
        <v>13277</v>
      </c>
      <c r="N1117" s="4" t="s">
        <v>2886</v>
      </c>
      <c r="O1117" s="599">
        <v>13277</v>
      </c>
      <c r="P1117" s="599">
        <v>15800</v>
      </c>
      <c r="Q1117" s="599">
        <v>31600</v>
      </c>
      <c r="R1117" s="26">
        <v>43921</v>
      </c>
      <c r="S1117" s="4" t="s">
        <v>1501</v>
      </c>
      <c r="T1117" s="599">
        <v>31600</v>
      </c>
      <c r="U1117" t="s">
        <v>1551</v>
      </c>
      <c r="V1117" s="600">
        <v>9975</v>
      </c>
      <c r="W1117" s="600">
        <v>3302</v>
      </c>
      <c r="X1117" s="375">
        <v>0.25</v>
      </c>
    </row>
    <row r="1118" spans="1:24" x14ac:dyDescent="0.25">
      <c r="A1118" s="4">
        <v>561</v>
      </c>
      <c r="B1118" s="4" t="s">
        <v>2250</v>
      </c>
      <c r="C1118" s="6" t="s">
        <v>5846</v>
      </c>
      <c r="D1118" s="6" t="s">
        <v>1638</v>
      </c>
      <c r="E1118" s="21">
        <v>43921</v>
      </c>
      <c r="F1118" s="4" t="s">
        <v>1461</v>
      </c>
      <c r="H1118" s="4">
        <v>6814</v>
      </c>
      <c r="I1118" s="4">
        <v>4798</v>
      </c>
      <c r="J1118" s="4" t="s">
        <v>5207</v>
      </c>
      <c r="K1118" s="6" t="s">
        <v>5208</v>
      </c>
      <c r="L1118" s="4">
        <v>4</v>
      </c>
      <c r="M1118" s="599">
        <v>3193</v>
      </c>
      <c r="N1118" s="4" t="s">
        <v>2886</v>
      </c>
      <c r="O1118" s="599">
        <v>3193</v>
      </c>
      <c r="P1118" s="599">
        <v>3800</v>
      </c>
      <c r="Q1118" s="599">
        <v>15200</v>
      </c>
      <c r="R1118" s="26">
        <v>43921</v>
      </c>
      <c r="S1118" s="4" t="s">
        <v>1501</v>
      </c>
      <c r="T1118" s="599">
        <v>45700</v>
      </c>
      <c r="U1118" t="s">
        <v>1545</v>
      </c>
      <c r="V1118" s="600">
        <v>2100</v>
      </c>
      <c r="W1118" s="600">
        <v>1093</v>
      </c>
      <c r="X1118" s="375">
        <v>0.34</v>
      </c>
    </row>
    <row r="1119" spans="1:24" x14ac:dyDescent="0.25">
      <c r="A1119" s="4">
        <v>561</v>
      </c>
      <c r="B1119" s="4" t="s">
        <v>1755</v>
      </c>
      <c r="C1119" s="6" t="s">
        <v>1925</v>
      </c>
      <c r="D1119" s="6" t="s">
        <v>1504</v>
      </c>
      <c r="E1119" s="21">
        <v>43921</v>
      </c>
      <c r="F1119" s="4" t="s">
        <v>1461</v>
      </c>
      <c r="H1119" s="4">
        <v>6814</v>
      </c>
      <c r="I1119" s="4">
        <v>4798</v>
      </c>
      <c r="J1119" s="4" t="s">
        <v>5207</v>
      </c>
      <c r="K1119" s="6" t="s">
        <v>5208</v>
      </c>
      <c r="L1119" s="4">
        <v>4</v>
      </c>
      <c r="M1119" s="599">
        <v>2941</v>
      </c>
      <c r="N1119" s="4" t="s">
        <v>2886</v>
      </c>
      <c r="O1119" s="599">
        <v>2941</v>
      </c>
      <c r="P1119" s="599">
        <v>3500</v>
      </c>
      <c r="Q1119" s="599">
        <v>14000</v>
      </c>
      <c r="R1119" s="26">
        <v>43921</v>
      </c>
      <c r="S1119" s="4" t="s">
        <v>1501</v>
      </c>
      <c r="T1119" s="599">
        <v>45700</v>
      </c>
      <c r="U1119" t="s">
        <v>1545</v>
      </c>
      <c r="V1119" s="600">
        <v>2119</v>
      </c>
      <c r="W1119" s="600">
        <v>822</v>
      </c>
      <c r="X1119" s="375">
        <v>0.28000000000000003</v>
      </c>
    </row>
    <row r="1120" spans="1:24" x14ac:dyDescent="0.25">
      <c r="A1120" s="4">
        <v>561</v>
      </c>
      <c r="B1120" s="4" t="s">
        <v>1515</v>
      </c>
      <c r="C1120" s="6" t="s">
        <v>5844</v>
      </c>
      <c r="D1120" s="6" t="s">
        <v>1638</v>
      </c>
      <c r="E1120" s="21">
        <v>43921</v>
      </c>
      <c r="F1120" s="4" t="s">
        <v>1461</v>
      </c>
      <c r="H1120" s="4">
        <v>6814</v>
      </c>
      <c r="I1120" s="4">
        <v>4798</v>
      </c>
      <c r="J1120" s="4" t="s">
        <v>5207</v>
      </c>
      <c r="K1120" s="6" t="s">
        <v>5208</v>
      </c>
      <c r="L1120" s="4">
        <v>2</v>
      </c>
      <c r="M1120" s="599">
        <v>4874</v>
      </c>
      <c r="N1120" s="4" t="s">
        <v>2886</v>
      </c>
      <c r="O1120" s="599">
        <v>4874</v>
      </c>
      <c r="P1120" s="599">
        <v>5800</v>
      </c>
      <c r="Q1120" s="599">
        <v>11600</v>
      </c>
      <c r="R1120" s="26">
        <v>43921</v>
      </c>
      <c r="S1120" s="4" t="s">
        <v>1501</v>
      </c>
      <c r="T1120" s="599">
        <v>45700</v>
      </c>
      <c r="U1120" t="s">
        <v>1545</v>
      </c>
      <c r="V1120" s="600">
        <v>2400</v>
      </c>
      <c r="W1120" s="600">
        <v>2474</v>
      </c>
      <c r="X1120" s="375">
        <v>0.51</v>
      </c>
    </row>
    <row r="1121" spans="1:24" x14ac:dyDescent="0.25">
      <c r="A1121" s="4">
        <v>561</v>
      </c>
      <c r="B1121" s="4" t="s">
        <v>1672</v>
      </c>
      <c r="C1121" s="6" t="s">
        <v>5845</v>
      </c>
      <c r="D1121" s="6" t="s">
        <v>1504</v>
      </c>
      <c r="E1121" s="21">
        <v>43921</v>
      </c>
      <c r="F1121" s="4" t="s">
        <v>1461</v>
      </c>
      <c r="H1121" s="4">
        <v>6814</v>
      </c>
      <c r="I1121" s="4">
        <v>4798</v>
      </c>
      <c r="J1121" s="4" t="s">
        <v>5207</v>
      </c>
      <c r="K1121" s="6" t="s">
        <v>5208</v>
      </c>
      <c r="L1121" s="4">
        <v>1</v>
      </c>
      <c r="M1121" s="599">
        <v>4118</v>
      </c>
      <c r="N1121" s="4" t="s">
        <v>2886</v>
      </c>
      <c r="O1121" s="599">
        <v>4118</v>
      </c>
      <c r="P1121" s="599">
        <v>4900</v>
      </c>
      <c r="Q1121" s="599">
        <v>4900</v>
      </c>
      <c r="R1121" s="26">
        <v>43921</v>
      </c>
      <c r="S1121" s="4" t="s">
        <v>1501</v>
      </c>
      <c r="T1121" s="599">
        <v>45700</v>
      </c>
      <c r="U1121" t="s">
        <v>1545</v>
      </c>
      <c r="V1121" s="600">
        <v>2250</v>
      </c>
      <c r="W1121" s="600">
        <v>1868</v>
      </c>
      <c r="X1121" s="375">
        <v>0.45</v>
      </c>
    </row>
    <row r="1122" spans="1:24" x14ac:dyDescent="0.25">
      <c r="A1122" s="4">
        <v>562</v>
      </c>
      <c r="B1122" s="4" t="s">
        <v>1471</v>
      </c>
      <c r="C1122" s="6" t="s">
        <v>1655</v>
      </c>
      <c r="D1122" s="6" t="s">
        <v>1469</v>
      </c>
      <c r="E1122" s="21">
        <v>43922</v>
      </c>
      <c r="F1122" s="4" t="s">
        <v>925</v>
      </c>
      <c r="H1122" s="4" t="s">
        <v>2528</v>
      </c>
      <c r="I1122" s="4">
        <v>4799</v>
      </c>
      <c r="J1122" s="4" t="s">
        <v>1177</v>
      </c>
      <c r="K1122" s="6" t="s">
        <v>1060</v>
      </c>
      <c r="L1122" s="4">
        <v>36</v>
      </c>
      <c r="M1122" s="604">
        <v>853</v>
      </c>
      <c r="N1122" s="374">
        <v>0.05</v>
      </c>
      <c r="O1122" s="604">
        <v>812</v>
      </c>
      <c r="P1122" s="604">
        <v>965</v>
      </c>
      <c r="Q1122" s="604">
        <v>34740</v>
      </c>
      <c r="R1122" s="26">
        <v>43922</v>
      </c>
      <c r="S1122" s="4" t="s">
        <v>2050</v>
      </c>
      <c r="T1122" s="604">
        <v>405340</v>
      </c>
      <c r="U1122" t="s">
        <v>1570</v>
      </c>
      <c r="V1122" s="608">
        <v>616</v>
      </c>
      <c r="W1122" s="608">
        <v>196</v>
      </c>
      <c r="X1122" s="375">
        <v>0.24</v>
      </c>
    </row>
    <row r="1123" spans="1:24" x14ac:dyDescent="0.25">
      <c r="A1123" s="4">
        <v>562</v>
      </c>
      <c r="B1123" s="4" t="s">
        <v>922</v>
      </c>
      <c r="C1123" s="6" t="s">
        <v>1654</v>
      </c>
      <c r="D1123" s="6" t="s">
        <v>1469</v>
      </c>
      <c r="E1123" s="21">
        <v>43922</v>
      </c>
      <c r="F1123" s="4" t="s">
        <v>925</v>
      </c>
      <c r="H1123" s="4" t="s">
        <v>2528</v>
      </c>
      <c r="I1123" s="4">
        <v>4799</v>
      </c>
      <c r="J1123" s="4" t="s">
        <v>1177</v>
      </c>
      <c r="K1123" s="6" t="s">
        <v>1060</v>
      </c>
      <c r="L1123" s="4">
        <v>24</v>
      </c>
      <c r="M1123" s="604">
        <v>2216</v>
      </c>
      <c r="N1123" s="374">
        <v>0.05</v>
      </c>
      <c r="O1123" s="604">
        <v>2110</v>
      </c>
      <c r="P1123" s="604">
        <v>2505</v>
      </c>
      <c r="Q1123" s="604">
        <v>60120</v>
      </c>
      <c r="R1123" s="26">
        <v>43922</v>
      </c>
      <c r="S1123" s="4" t="s">
        <v>2050</v>
      </c>
      <c r="T1123" s="604">
        <v>405340</v>
      </c>
      <c r="U1123" t="s">
        <v>1570</v>
      </c>
      <c r="V1123" s="608">
        <v>1600</v>
      </c>
      <c r="W1123" s="608">
        <v>510</v>
      </c>
      <c r="X1123" s="375">
        <v>0.24</v>
      </c>
    </row>
    <row r="1124" spans="1:24" x14ac:dyDescent="0.25">
      <c r="A1124" s="4">
        <v>562</v>
      </c>
      <c r="B1124" s="4" t="s">
        <v>1662</v>
      </c>
      <c r="C1124" s="6" t="s">
        <v>1660</v>
      </c>
      <c r="D1124" s="6" t="s">
        <v>1469</v>
      </c>
      <c r="E1124" s="21">
        <v>43922</v>
      </c>
      <c r="F1124" s="4" t="s">
        <v>925</v>
      </c>
      <c r="H1124" s="4" t="s">
        <v>2528</v>
      </c>
      <c r="I1124" s="4">
        <v>4799</v>
      </c>
      <c r="J1124" s="4" t="s">
        <v>1177</v>
      </c>
      <c r="K1124" s="6" t="s">
        <v>1060</v>
      </c>
      <c r="L1124" s="4">
        <v>24</v>
      </c>
      <c r="M1124" s="604">
        <v>1734</v>
      </c>
      <c r="N1124" s="374">
        <v>0.05</v>
      </c>
      <c r="O1124" s="604">
        <v>1651</v>
      </c>
      <c r="P1124" s="604">
        <v>1960</v>
      </c>
      <c r="Q1124" s="604">
        <v>47040</v>
      </c>
      <c r="R1124" s="26">
        <v>43922</v>
      </c>
      <c r="S1124" s="4" t="s">
        <v>2050</v>
      </c>
      <c r="T1124" s="604">
        <v>405340</v>
      </c>
      <c r="U1124" t="s">
        <v>1570</v>
      </c>
      <c r="V1124" s="608">
        <v>1252</v>
      </c>
      <c r="W1124" s="608">
        <v>399</v>
      </c>
      <c r="X1124" s="375">
        <v>0.24</v>
      </c>
    </row>
    <row r="1125" spans="1:24" x14ac:dyDescent="0.25">
      <c r="A1125" s="4">
        <v>562</v>
      </c>
      <c r="B1125" s="4" t="s">
        <v>1663</v>
      </c>
      <c r="C1125" s="6" t="s">
        <v>1661</v>
      </c>
      <c r="D1125" s="6" t="s">
        <v>1469</v>
      </c>
      <c r="E1125" s="21">
        <v>43922</v>
      </c>
      <c r="F1125" s="4" t="s">
        <v>925</v>
      </c>
      <c r="H1125" s="4" t="s">
        <v>2528</v>
      </c>
      <c r="I1125" s="4">
        <v>4799</v>
      </c>
      <c r="J1125" s="4" t="s">
        <v>1177</v>
      </c>
      <c r="K1125" s="6" t="s">
        <v>1060</v>
      </c>
      <c r="L1125" s="4">
        <v>12</v>
      </c>
      <c r="M1125" s="604">
        <v>3327</v>
      </c>
      <c r="N1125" s="374">
        <v>0.05</v>
      </c>
      <c r="O1125" s="604">
        <v>3169</v>
      </c>
      <c r="P1125" s="604">
        <v>3761</v>
      </c>
      <c r="Q1125" s="604">
        <v>45132</v>
      </c>
      <c r="R1125" s="26">
        <v>43922</v>
      </c>
      <c r="S1125" s="4" t="s">
        <v>2050</v>
      </c>
      <c r="T1125" s="604">
        <v>405340</v>
      </c>
      <c r="U1125" t="s">
        <v>1570</v>
      </c>
      <c r="V1125" s="608">
        <v>2402</v>
      </c>
      <c r="W1125" s="608">
        <v>767</v>
      </c>
      <c r="X1125" s="375">
        <v>0.24</v>
      </c>
    </row>
    <row r="1126" spans="1:24" x14ac:dyDescent="0.25">
      <c r="A1126" s="4">
        <v>562</v>
      </c>
      <c r="B1126" s="4" t="s">
        <v>2034</v>
      </c>
      <c r="C1126" s="6" t="s">
        <v>2064</v>
      </c>
      <c r="D1126" s="6" t="s">
        <v>840</v>
      </c>
      <c r="E1126" s="21">
        <v>43922</v>
      </c>
      <c r="F1126" s="4" t="s">
        <v>925</v>
      </c>
      <c r="H1126" s="4" t="s">
        <v>2528</v>
      </c>
      <c r="I1126" s="4">
        <v>4799</v>
      </c>
      <c r="J1126" s="4" t="s">
        <v>1177</v>
      </c>
      <c r="K1126" s="6" t="s">
        <v>1060</v>
      </c>
      <c r="L1126" s="4">
        <v>28</v>
      </c>
      <c r="M1126" s="604">
        <v>1515</v>
      </c>
      <c r="N1126" s="374">
        <v>0.05</v>
      </c>
      <c r="O1126" s="604">
        <v>1443</v>
      </c>
      <c r="P1126" s="604">
        <v>1713</v>
      </c>
      <c r="Q1126" s="604">
        <v>47964</v>
      </c>
      <c r="R1126" s="26">
        <v>43922</v>
      </c>
      <c r="S1126" s="4" t="s">
        <v>2050</v>
      </c>
      <c r="T1126" s="604">
        <v>405340</v>
      </c>
      <c r="U1126" t="s">
        <v>1572</v>
      </c>
      <c r="V1126" t="s">
        <v>5584</v>
      </c>
      <c r="W1126" s="608">
        <v>1443</v>
      </c>
      <c r="X1126" s="375">
        <v>1</v>
      </c>
    </row>
    <row r="1127" spans="1:24" x14ac:dyDescent="0.25">
      <c r="A1127" s="4">
        <v>562</v>
      </c>
      <c r="B1127" s="4" t="s">
        <v>842</v>
      </c>
      <c r="C1127" s="6" t="s">
        <v>2060</v>
      </c>
      <c r="D1127" s="6" t="s">
        <v>840</v>
      </c>
      <c r="E1127" s="21">
        <v>43922</v>
      </c>
      <c r="F1127" s="4" t="s">
        <v>925</v>
      </c>
      <c r="H1127" s="4" t="s">
        <v>2528</v>
      </c>
      <c r="I1127" s="4">
        <v>4799</v>
      </c>
      <c r="J1127" s="4" t="s">
        <v>1177</v>
      </c>
      <c r="K1127" s="6" t="s">
        <v>1060</v>
      </c>
      <c r="L1127" s="4">
        <v>16</v>
      </c>
      <c r="M1127" s="604">
        <v>7540</v>
      </c>
      <c r="N1127" s="374">
        <v>0.05</v>
      </c>
      <c r="O1127" s="604">
        <v>7181</v>
      </c>
      <c r="P1127" s="604">
        <v>8524</v>
      </c>
      <c r="Q1127" s="604">
        <v>136384</v>
      </c>
      <c r="R1127" s="26">
        <v>43922</v>
      </c>
      <c r="S1127" s="4" t="s">
        <v>2050</v>
      </c>
      <c r="T1127" s="604">
        <v>405340</v>
      </c>
      <c r="U1127" t="s">
        <v>1572</v>
      </c>
      <c r="V1127" s="608">
        <v>5444</v>
      </c>
      <c r="W1127" s="608">
        <v>1737</v>
      </c>
      <c r="X1127" s="375">
        <v>0.24</v>
      </c>
    </row>
    <row r="1128" spans="1:24" x14ac:dyDescent="0.25">
      <c r="A1128" s="4">
        <v>562</v>
      </c>
      <c r="B1128" s="4" t="s">
        <v>38</v>
      </c>
      <c r="C1128" s="6" t="s">
        <v>5843</v>
      </c>
      <c r="D1128" s="6" t="s">
        <v>1504</v>
      </c>
      <c r="E1128" s="21">
        <v>43922</v>
      </c>
      <c r="F1128" s="4" t="s">
        <v>925</v>
      </c>
      <c r="H1128" s="4" t="s">
        <v>2528</v>
      </c>
      <c r="I1128" s="4">
        <v>4799</v>
      </c>
      <c r="J1128" s="4" t="s">
        <v>1177</v>
      </c>
      <c r="K1128" s="6" t="s">
        <v>1060</v>
      </c>
      <c r="L1128" s="4">
        <v>10</v>
      </c>
      <c r="M1128" s="604">
        <v>3162</v>
      </c>
      <c r="N1128" s="374">
        <v>0.1</v>
      </c>
      <c r="O1128" s="604">
        <v>2881</v>
      </c>
      <c r="P1128" s="604">
        <v>3396</v>
      </c>
      <c r="Q1128" s="604">
        <v>33960</v>
      </c>
      <c r="R1128" s="26">
        <v>43922</v>
      </c>
      <c r="S1128" s="4" t="s">
        <v>2050</v>
      </c>
      <c r="T1128" s="604">
        <v>405340</v>
      </c>
      <c r="U1128" t="s">
        <v>1563</v>
      </c>
      <c r="V1128" s="608">
        <v>2283</v>
      </c>
      <c r="W1128" s="608">
        <v>598</v>
      </c>
      <c r="X1128" s="375">
        <v>0.21</v>
      </c>
    </row>
    <row r="1129" spans="1:24" x14ac:dyDescent="0.25">
      <c r="A1129" s="4">
        <v>563</v>
      </c>
      <c r="B1129" s="4" t="s">
        <v>6039</v>
      </c>
      <c r="C1129" s="6" t="s">
        <v>6040</v>
      </c>
      <c r="D1129" s="6" t="s">
        <v>6041</v>
      </c>
      <c r="E1129" s="21">
        <v>43922</v>
      </c>
      <c r="F1129" s="4" t="s">
        <v>925</v>
      </c>
      <c r="H1129" s="4" t="s">
        <v>2528</v>
      </c>
      <c r="I1129" s="4">
        <v>4800</v>
      </c>
      <c r="J1129" s="4" t="s">
        <v>1175</v>
      </c>
      <c r="K1129" s="6" t="s">
        <v>1144</v>
      </c>
      <c r="L1129" s="4">
        <v>108</v>
      </c>
      <c r="M1129" s="604">
        <v>1529</v>
      </c>
      <c r="N1129" s="374">
        <v>0.04</v>
      </c>
      <c r="O1129" s="604">
        <v>1473</v>
      </c>
      <c r="P1129" s="604">
        <v>1750</v>
      </c>
      <c r="Q1129" s="604">
        <v>189000</v>
      </c>
      <c r="R1129" s="26">
        <v>43922</v>
      </c>
      <c r="S1129" s="4" t="s">
        <v>2050</v>
      </c>
      <c r="T1129" s="604">
        <v>189000</v>
      </c>
      <c r="U1129" t="s">
        <v>1545</v>
      </c>
      <c r="V1129" s="608">
        <v>1104</v>
      </c>
      <c r="W1129" s="608">
        <v>369</v>
      </c>
      <c r="X1129" s="375">
        <v>0.25</v>
      </c>
    </row>
    <row r="1130" spans="1:24" x14ac:dyDescent="0.25">
      <c r="A1130" s="4">
        <v>564</v>
      </c>
      <c r="B1130" s="4" t="s">
        <v>799</v>
      </c>
      <c r="C1130" s="6" t="s">
        <v>1926</v>
      </c>
      <c r="D1130" s="6" t="s">
        <v>802</v>
      </c>
      <c r="E1130" s="21">
        <v>43922</v>
      </c>
      <c r="F1130" s="4" t="s">
        <v>1461</v>
      </c>
      <c r="H1130" s="4">
        <v>6819</v>
      </c>
      <c r="I1130" s="4">
        <v>4801</v>
      </c>
      <c r="J1130" s="4" t="s">
        <v>1347</v>
      </c>
      <c r="K1130" s="6" t="s">
        <v>1069</v>
      </c>
      <c r="L1130" s="4">
        <v>1</v>
      </c>
      <c r="M1130" s="622">
        <v>17815</v>
      </c>
      <c r="N1130" s="4" t="s">
        <v>2886</v>
      </c>
      <c r="O1130" s="622">
        <v>17815</v>
      </c>
      <c r="P1130" s="622">
        <v>21200</v>
      </c>
      <c r="Q1130" s="622">
        <v>21200</v>
      </c>
      <c r="R1130" s="26">
        <v>43921</v>
      </c>
      <c r="S1130" s="4" t="s">
        <v>1501</v>
      </c>
      <c r="T1130" s="622">
        <v>21200</v>
      </c>
      <c r="U1130" t="s">
        <v>1551</v>
      </c>
      <c r="V1130" s="623">
        <v>13279</v>
      </c>
      <c r="W1130" s="623">
        <v>4536</v>
      </c>
      <c r="X1130" s="375">
        <v>0.25</v>
      </c>
    </row>
    <row r="1131" spans="1:24" x14ac:dyDescent="0.25">
      <c r="A1131" s="4">
        <v>568</v>
      </c>
      <c r="B1131" s="4" t="s">
        <v>855</v>
      </c>
      <c r="C1131" s="6" t="s">
        <v>2499</v>
      </c>
      <c r="D1131" s="6" t="s">
        <v>857</v>
      </c>
      <c r="E1131" s="21">
        <v>43924</v>
      </c>
      <c r="F1131" s="4" t="s">
        <v>1461</v>
      </c>
      <c r="H1131" s="4">
        <v>6820</v>
      </c>
      <c r="I1131" s="4">
        <v>4805</v>
      </c>
      <c r="J1131" s="4" t="s">
        <v>3303</v>
      </c>
      <c r="K1131" s="6" t="s">
        <v>3304</v>
      </c>
      <c r="L1131" s="4">
        <v>1</v>
      </c>
      <c r="M1131" s="628">
        <v>13277</v>
      </c>
      <c r="N1131" s="4" t="s">
        <v>2886</v>
      </c>
      <c r="O1131" s="628">
        <v>13277</v>
      </c>
      <c r="P1131" s="628">
        <v>15800</v>
      </c>
      <c r="Q1131" s="628">
        <v>15800</v>
      </c>
      <c r="R1131" s="26">
        <v>43924</v>
      </c>
      <c r="S1131" s="4" t="s">
        <v>1501</v>
      </c>
      <c r="T1131" s="628">
        <v>15800</v>
      </c>
      <c r="U1131" t="s">
        <v>1551</v>
      </c>
      <c r="V1131" s="629">
        <v>9975</v>
      </c>
      <c r="W1131" s="629">
        <v>3302</v>
      </c>
      <c r="X1131" s="375">
        <v>0.25</v>
      </c>
    </row>
    <row r="1132" spans="1:24" x14ac:dyDescent="0.25">
      <c r="A1132" s="4">
        <v>569</v>
      </c>
      <c r="B1132" s="4" t="s">
        <v>2250</v>
      </c>
      <c r="C1132" s="6" t="s">
        <v>5846</v>
      </c>
      <c r="D1132" s="6" t="s">
        <v>1638</v>
      </c>
      <c r="E1132" s="21">
        <v>43924</v>
      </c>
      <c r="F1132" s="4" t="s">
        <v>1461</v>
      </c>
      <c r="H1132" s="4">
        <v>6821</v>
      </c>
      <c r="I1132" s="4">
        <v>4806</v>
      </c>
      <c r="J1132" s="4" t="s">
        <v>3491</v>
      </c>
      <c r="K1132" s="6" t="s">
        <v>4841</v>
      </c>
      <c r="L1132" s="4">
        <v>5</v>
      </c>
      <c r="M1132" s="628">
        <v>3193</v>
      </c>
      <c r="N1132" s="4" t="s">
        <v>2886</v>
      </c>
      <c r="O1132" s="628">
        <v>3193</v>
      </c>
      <c r="P1132" s="628">
        <v>3800</v>
      </c>
      <c r="Q1132" s="628">
        <v>19000</v>
      </c>
      <c r="R1132" s="26">
        <v>43924</v>
      </c>
      <c r="S1132" s="4" t="s">
        <v>1445</v>
      </c>
      <c r="T1132" s="628">
        <v>36500</v>
      </c>
      <c r="U1132" t="s">
        <v>1545</v>
      </c>
      <c r="V1132" s="629">
        <v>2100</v>
      </c>
      <c r="W1132" s="629">
        <v>1093</v>
      </c>
      <c r="X1132" s="375">
        <v>0.34</v>
      </c>
    </row>
    <row r="1133" spans="1:24" x14ac:dyDescent="0.25">
      <c r="A1133" s="4">
        <v>569</v>
      </c>
      <c r="B1133" s="4" t="s">
        <v>1755</v>
      </c>
      <c r="C1133" s="6" t="s">
        <v>1925</v>
      </c>
      <c r="D1133" s="6" t="s">
        <v>1504</v>
      </c>
      <c r="E1133" s="21">
        <v>43924</v>
      </c>
      <c r="F1133" s="4" t="s">
        <v>1461</v>
      </c>
      <c r="H1133" s="4">
        <v>6821</v>
      </c>
      <c r="I1133" s="4">
        <v>4806</v>
      </c>
      <c r="J1133" s="4" t="s">
        <v>3491</v>
      </c>
      <c r="K1133" s="6" t="s">
        <v>4841</v>
      </c>
      <c r="L1133" s="4">
        <v>5</v>
      </c>
      <c r="M1133" s="628">
        <v>2941</v>
      </c>
      <c r="N1133" s="4" t="s">
        <v>2886</v>
      </c>
      <c r="O1133" s="628">
        <v>2941</v>
      </c>
      <c r="P1133" s="628">
        <v>3500</v>
      </c>
      <c r="Q1133" s="628">
        <v>17500</v>
      </c>
      <c r="R1133" s="26">
        <v>43924</v>
      </c>
      <c r="S1133" s="4" t="s">
        <v>1445</v>
      </c>
      <c r="T1133" s="628">
        <v>36500</v>
      </c>
      <c r="U1133" t="s">
        <v>1545</v>
      </c>
      <c r="V1133" s="629">
        <v>2119</v>
      </c>
      <c r="W1133" s="629">
        <v>822</v>
      </c>
      <c r="X1133" s="375">
        <v>0.28000000000000003</v>
      </c>
    </row>
    <row r="1134" spans="1:24" x14ac:dyDescent="0.25">
      <c r="A1134" s="4">
        <v>570</v>
      </c>
      <c r="B1134" s="4" t="s">
        <v>2098</v>
      </c>
      <c r="C1134" s="6" t="s">
        <v>2288</v>
      </c>
      <c r="D1134" s="6" t="s">
        <v>1469</v>
      </c>
      <c r="E1134" s="21">
        <v>43924</v>
      </c>
      <c r="F1134" s="4" t="s">
        <v>1461</v>
      </c>
      <c r="H1134" s="4">
        <v>6822</v>
      </c>
      <c r="I1134" s="4">
        <v>4807</v>
      </c>
      <c r="J1134" s="4" t="s">
        <v>1205</v>
      </c>
      <c r="K1134" s="6" t="s">
        <v>2171</v>
      </c>
      <c r="L1134" s="4">
        <v>2</v>
      </c>
      <c r="M1134" s="628">
        <v>19496</v>
      </c>
      <c r="N1134" s="4" t="s">
        <v>2886</v>
      </c>
      <c r="O1134" s="628">
        <v>19496</v>
      </c>
      <c r="P1134" s="628">
        <v>23200</v>
      </c>
      <c r="Q1134" s="628">
        <v>46400</v>
      </c>
      <c r="R1134" s="26">
        <v>43924</v>
      </c>
      <c r="S1134" s="4" t="s">
        <v>1445</v>
      </c>
      <c r="T1134" s="628">
        <v>73200</v>
      </c>
      <c r="U1134" t="s">
        <v>1570</v>
      </c>
      <c r="V1134" s="629">
        <v>14700</v>
      </c>
      <c r="W1134" s="629">
        <v>4796</v>
      </c>
      <c r="X1134" s="375">
        <v>0.25</v>
      </c>
    </row>
    <row r="1135" spans="1:24" x14ac:dyDescent="0.25">
      <c r="A1135" s="4">
        <v>570</v>
      </c>
      <c r="B1135" s="4" t="s">
        <v>855</v>
      </c>
      <c r="C1135" s="6" t="s">
        <v>2499</v>
      </c>
      <c r="D1135" s="6" t="s">
        <v>857</v>
      </c>
      <c r="E1135" s="21">
        <v>43924</v>
      </c>
      <c r="F1135" s="4" t="s">
        <v>1461</v>
      </c>
      <c r="H1135" s="4">
        <v>6822</v>
      </c>
      <c r="I1135" s="4">
        <v>4807</v>
      </c>
      <c r="J1135" s="4" t="s">
        <v>1205</v>
      </c>
      <c r="K1135" s="6" t="s">
        <v>2171</v>
      </c>
      <c r="L1135" s="4">
        <v>1</v>
      </c>
      <c r="M1135" s="628">
        <v>13277</v>
      </c>
      <c r="N1135" s="4" t="s">
        <v>2886</v>
      </c>
      <c r="O1135" s="628">
        <v>13277</v>
      </c>
      <c r="P1135" s="628">
        <v>15800</v>
      </c>
      <c r="Q1135" s="628">
        <v>15800</v>
      </c>
      <c r="R1135" s="26">
        <v>43924</v>
      </c>
      <c r="S1135" s="4" t="s">
        <v>1445</v>
      </c>
      <c r="T1135" s="628">
        <v>73200</v>
      </c>
      <c r="U1135" t="s">
        <v>1551</v>
      </c>
      <c r="V1135" s="629">
        <v>9975</v>
      </c>
      <c r="W1135" s="629">
        <v>3302</v>
      </c>
      <c r="X1135" s="375">
        <v>0.25</v>
      </c>
    </row>
    <row r="1136" spans="1:24" x14ac:dyDescent="0.25">
      <c r="A1136" s="4">
        <v>570</v>
      </c>
      <c r="B1136" s="4" t="s">
        <v>4352</v>
      </c>
      <c r="C1136" s="6" t="s">
        <v>4453</v>
      </c>
      <c r="D1136" s="6" t="s">
        <v>4454</v>
      </c>
      <c r="E1136" s="21">
        <v>43924</v>
      </c>
      <c r="F1136" s="4" t="s">
        <v>1461</v>
      </c>
      <c r="H1136" s="4">
        <v>6822</v>
      </c>
      <c r="I1136" s="4">
        <v>4807</v>
      </c>
      <c r="J1136" s="4" t="s">
        <v>1205</v>
      </c>
      <c r="K1136" s="6" t="s">
        <v>2171</v>
      </c>
      <c r="L1136" s="4">
        <v>2</v>
      </c>
      <c r="M1136" s="628">
        <v>4622</v>
      </c>
      <c r="N1136" s="4" t="s">
        <v>2886</v>
      </c>
      <c r="O1136" s="628">
        <v>4622</v>
      </c>
      <c r="P1136" s="628">
        <v>5500</v>
      </c>
      <c r="Q1136" s="628">
        <v>11000</v>
      </c>
      <c r="R1136" s="26">
        <v>43924</v>
      </c>
      <c r="S1136" s="4" t="s">
        <v>1445</v>
      </c>
      <c r="T1136" s="628">
        <v>73200</v>
      </c>
      <c r="U1136" t="s">
        <v>1551</v>
      </c>
      <c r="V1136" s="629">
        <v>2695</v>
      </c>
      <c r="W1136" s="629">
        <v>1927</v>
      </c>
      <c r="X1136" s="375">
        <v>0.42</v>
      </c>
    </row>
    <row r="1137" spans="1:24" x14ac:dyDescent="0.25">
      <c r="A1137" s="4">
        <v>571</v>
      </c>
      <c r="B1137" s="4" t="s">
        <v>855</v>
      </c>
      <c r="C1137" s="6" t="s">
        <v>2499</v>
      </c>
      <c r="D1137" s="6" t="s">
        <v>857</v>
      </c>
      <c r="E1137" s="21">
        <v>43924</v>
      </c>
      <c r="F1137" s="4" t="s">
        <v>1461</v>
      </c>
      <c r="H1137" s="4">
        <v>6823</v>
      </c>
      <c r="I1137" s="4">
        <v>4808</v>
      </c>
      <c r="J1137" s="4" t="s">
        <v>1247</v>
      </c>
      <c r="K1137" s="6" t="s">
        <v>1943</v>
      </c>
      <c r="L1137" s="4">
        <v>1</v>
      </c>
      <c r="M1137" s="628">
        <v>13277</v>
      </c>
      <c r="N1137" s="4" t="s">
        <v>2886</v>
      </c>
      <c r="O1137" s="628">
        <v>13277</v>
      </c>
      <c r="P1137" s="628">
        <v>15800</v>
      </c>
      <c r="Q1137" s="628">
        <v>15800</v>
      </c>
      <c r="R1137" s="26">
        <v>43924</v>
      </c>
      <c r="S1137" s="4" t="s">
        <v>1445</v>
      </c>
      <c r="T1137" s="628">
        <v>26000</v>
      </c>
      <c r="U1137" t="s">
        <v>1551</v>
      </c>
      <c r="V1137" s="629">
        <v>9975</v>
      </c>
      <c r="W1137" s="629">
        <v>3302</v>
      </c>
      <c r="X1137" s="375">
        <v>0.25</v>
      </c>
    </row>
    <row r="1138" spans="1:24" x14ac:dyDescent="0.25">
      <c r="A1138" s="4">
        <v>571</v>
      </c>
      <c r="B1138" s="4" t="s">
        <v>847</v>
      </c>
      <c r="C1138" s="6" t="s">
        <v>2201</v>
      </c>
      <c r="D1138" s="6" t="s">
        <v>2198</v>
      </c>
      <c r="E1138" s="21">
        <v>43924</v>
      </c>
      <c r="F1138" s="4" t="s">
        <v>1461</v>
      </c>
      <c r="H1138" s="4">
        <v>6823</v>
      </c>
      <c r="I1138" s="4">
        <v>4808</v>
      </c>
      <c r="J1138" s="4" t="s">
        <v>1247</v>
      </c>
      <c r="K1138" s="6" t="s">
        <v>1943</v>
      </c>
      <c r="L1138" s="4">
        <v>1</v>
      </c>
      <c r="M1138" s="628">
        <v>8571</v>
      </c>
      <c r="N1138" s="4" t="s">
        <v>2886</v>
      </c>
      <c r="O1138" s="628">
        <v>8571</v>
      </c>
      <c r="P1138" s="628">
        <v>10200</v>
      </c>
      <c r="Q1138" s="628">
        <v>10200</v>
      </c>
      <c r="R1138" s="26">
        <v>43924</v>
      </c>
      <c r="S1138" s="4" t="s">
        <v>1445</v>
      </c>
      <c r="T1138" s="628">
        <v>26000</v>
      </c>
      <c r="U1138" t="s">
        <v>1572</v>
      </c>
      <c r="V1138" s="629">
        <v>6436</v>
      </c>
      <c r="W1138" s="629">
        <v>2135</v>
      </c>
      <c r="X1138" s="375">
        <v>0.25</v>
      </c>
    </row>
    <row r="1139" spans="1:24" x14ac:dyDescent="0.25">
      <c r="A1139" s="4">
        <v>572</v>
      </c>
      <c r="B1139" s="4" t="s">
        <v>4974</v>
      </c>
      <c r="C1139" s="6" t="s">
        <v>4571</v>
      </c>
      <c r="D1139" s="6" t="s">
        <v>4973</v>
      </c>
      <c r="E1139" s="21">
        <v>43924</v>
      </c>
      <c r="F1139" s="4" t="s">
        <v>1461</v>
      </c>
      <c r="H1139" s="4">
        <v>6824</v>
      </c>
      <c r="I1139" s="4">
        <v>4809</v>
      </c>
      <c r="J1139" s="4" t="s">
        <v>6082</v>
      </c>
      <c r="K1139" s="6" t="s">
        <v>6083</v>
      </c>
      <c r="L1139" s="4">
        <v>1</v>
      </c>
      <c r="M1139" s="628">
        <v>8824</v>
      </c>
      <c r="N1139" s="4" t="s">
        <v>2886</v>
      </c>
      <c r="O1139" s="628">
        <v>8824</v>
      </c>
      <c r="P1139" s="628">
        <v>10500</v>
      </c>
      <c r="Q1139" s="628">
        <v>10500</v>
      </c>
      <c r="R1139" s="26">
        <v>43924</v>
      </c>
      <c r="S1139" s="4" t="s">
        <v>1501</v>
      </c>
      <c r="T1139" s="628">
        <v>19000</v>
      </c>
      <c r="U1139" t="s">
        <v>4965</v>
      </c>
      <c r="V1139" s="629">
        <v>6303</v>
      </c>
      <c r="W1139" s="629">
        <v>2521</v>
      </c>
      <c r="X1139" s="375">
        <v>0.28999999999999998</v>
      </c>
    </row>
    <row r="1140" spans="1:24" x14ac:dyDescent="0.25">
      <c r="A1140" s="4">
        <v>572</v>
      </c>
      <c r="B1140" s="4" t="s">
        <v>4437</v>
      </c>
      <c r="C1140" s="6" t="s">
        <v>4438</v>
      </c>
      <c r="D1140" s="6" t="s">
        <v>1504</v>
      </c>
      <c r="E1140" s="21">
        <v>43924</v>
      </c>
      <c r="F1140" s="4" t="s">
        <v>1461</v>
      </c>
      <c r="H1140" s="4">
        <v>6824</v>
      </c>
      <c r="I1140" s="4">
        <v>4809</v>
      </c>
      <c r="J1140" s="4" t="s">
        <v>6082</v>
      </c>
      <c r="K1140" s="6" t="s">
        <v>6083</v>
      </c>
      <c r="L1140" s="4">
        <v>1</v>
      </c>
      <c r="M1140" s="628">
        <v>7143</v>
      </c>
      <c r="N1140" s="4" t="s">
        <v>2886</v>
      </c>
      <c r="O1140" s="628">
        <v>7143</v>
      </c>
      <c r="P1140" s="628">
        <v>8500</v>
      </c>
      <c r="Q1140" s="628">
        <v>8500</v>
      </c>
      <c r="R1140" s="26">
        <v>43924</v>
      </c>
      <c r="S1140" s="4" t="s">
        <v>1501</v>
      </c>
      <c r="T1140" s="628">
        <v>19000</v>
      </c>
      <c r="U1140" t="s">
        <v>4524</v>
      </c>
      <c r="V1140" s="629">
        <v>4622</v>
      </c>
      <c r="W1140" s="629">
        <v>2521</v>
      </c>
      <c r="X1140" s="375">
        <v>0.35</v>
      </c>
    </row>
    <row r="1141" spans="1:24" x14ac:dyDescent="0.25">
      <c r="A1141" s="4">
        <v>573</v>
      </c>
      <c r="B1141" s="4" t="s">
        <v>5941</v>
      </c>
      <c r="C1141" s="6" t="s">
        <v>5942</v>
      </c>
      <c r="D1141" s="6" t="s">
        <v>5936</v>
      </c>
      <c r="E1141" s="21">
        <v>43924</v>
      </c>
      <c r="F1141" s="4" t="s">
        <v>1461</v>
      </c>
      <c r="H1141" s="4">
        <v>6826</v>
      </c>
      <c r="I1141" s="4">
        <v>4810</v>
      </c>
      <c r="J1141" s="4" t="s">
        <v>5228</v>
      </c>
      <c r="K1141" s="6" t="s">
        <v>5229</v>
      </c>
      <c r="L1141" s="4">
        <v>1</v>
      </c>
      <c r="M1141" s="628">
        <v>33529</v>
      </c>
      <c r="N1141" s="4" t="s">
        <v>2886</v>
      </c>
      <c r="O1141" s="628">
        <v>33529</v>
      </c>
      <c r="P1141" s="628">
        <v>39900</v>
      </c>
      <c r="Q1141" s="628">
        <v>39900</v>
      </c>
      <c r="R1141" s="26">
        <v>43924</v>
      </c>
      <c r="S1141" s="4" t="s">
        <v>1501</v>
      </c>
      <c r="T1141" s="628">
        <v>39900</v>
      </c>
      <c r="U1141" t="s">
        <v>5926</v>
      </c>
      <c r="V1141" s="629">
        <v>28500</v>
      </c>
      <c r="W1141" s="629">
        <v>5029</v>
      </c>
      <c r="X1141" s="375">
        <v>0.15</v>
      </c>
    </row>
    <row r="1142" spans="1:24" x14ac:dyDescent="0.25">
      <c r="A1142" s="4">
        <v>574</v>
      </c>
      <c r="B1142" s="4" t="s">
        <v>656</v>
      </c>
      <c r="C1142" s="6" t="s">
        <v>1973</v>
      </c>
      <c r="D1142" s="6" t="s">
        <v>794</v>
      </c>
      <c r="E1142" s="21">
        <v>43924</v>
      </c>
      <c r="F1142" s="4" t="s">
        <v>1461</v>
      </c>
      <c r="H1142" s="4">
        <v>6827</v>
      </c>
      <c r="I1142" s="4">
        <v>4811</v>
      </c>
      <c r="J1142" s="4" t="s">
        <v>5789</v>
      </c>
      <c r="K1142" s="6" t="s">
        <v>5790</v>
      </c>
      <c r="L1142" s="4">
        <v>1</v>
      </c>
      <c r="M1142" s="628">
        <v>20084</v>
      </c>
      <c r="N1142" s="4" t="s">
        <v>2886</v>
      </c>
      <c r="O1142" s="628">
        <v>20084</v>
      </c>
      <c r="P1142" s="628">
        <v>23900</v>
      </c>
      <c r="Q1142" s="628">
        <v>23900</v>
      </c>
      <c r="R1142" s="26">
        <v>43924</v>
      </c>
      <c r="S1142" s="4" t="s">
        <v>1501</v>
      </c>
      <c r="T1142" s="628">
        <v>47800</v>
      </c>
      <c r="U1142" t="s">
        <v>1551</v>
      </c>
      <c r="V1142" s="629">
        <v>14604</v>
      </c>
      <c r="W1142" s="629">
        <v>5480</v>
      </c>
      <c r="X1142" s="375">
        <v>0.27</v>
      </c>
    </row>
    <row r="1143" spans="1:24" x14ac:dyDescent="0.25">
      <c r="A1143" s="4">
        <v>574</v>
      </c>
      <c r="B1143" s="4" t="s">
        <v>658</v>
      </c>
      <c r="C1143" s="6" t="s">
        <v>1974</v>
      </c>
      <c r="D1143" s="6" t="s">
        <v>794</v>
      </c>
      <c r="E1143" s="21">
        <v>43924</v>
      </c>
      <c r="F1143" s="4" t="s">
        <v>1461</v>
      </c>
      <c r="H1143" s="4">
        <v>6827</v>
      </c>
      <c r="I1143" s="4">
        <v>4811</v>
      </c>
      <c r="J1143" s="4" t="s">
        <v>5789</v>
      </c>
      <c r="K1143" s="6" t="s">
        <v>5790</v>
      </c>
      <c r="L1143" s="4">
        <v>1</v>
      </c>
      <c r="M1143" s="628">
        <v>20084</v>
      </c>
      <c r="N1143" s="4" t="s">
        <v>2886</v>
      </c>
      <c r="O1143" s="628">
        <v>20084</v>
      </c>
      <c r="P1143" s="628">
        <v>23900</v>
      </c>
      <c r="Q1143" s="628">
        <v>23900</v>
      </c>
      <c r="R1143" s="26">
        <v>43924</v>
      </c>
      <c r="S1143" s="4" t="s">
        <v>1501</v>
      </c>
      <c r="T1143" s="628">
        <v>47800</v>
      </c>
      <c r="U1143" t="s">
        <v>1551</v>
      </c>
      <c r="V1143" s="629">
        <v>14604</v>
      </c>
      <c r="W1143" s="629">
        <v>5480</v>
      </c>
      <c r="X1143" s="375">
        <v>0.27</v>
      </c>
    </row>
    <row r="1144" spans="1:24" x14ac:dyDescent="0.25">
      <c r="A1144" s="4">
        <v>575</v>
      </c>
      <c r="B1144" s="4" t="s">
        <v>2414</v>
      </c>
      <c r="C1144" s="6" t="s">
        <v>2453</v>
      </c>
      <c r="D1144" s="6" t="s">
        <v>2454</v>
      </c>
      <c r="E1144" s="21">
        <v>43924</v>
      </c>
      <c r="F1144" s="4" t="s">
        <v>1461</v>
      </c>
      <c r="H1144" s="4">
        <v>6825</v>
      </c>
      <c r="I1144" s="4">
        <v>4812</v>
      </c>
      <c r="J1144" s="4" t="s">
        <v>1204</v>
      </c>
      <c r="K1144" s="6" t="s">
        <v>1052</v>
      </c>
      <c r="L1144" s="4">
        <v>1</v>
      </c>
      <c r="M1144" s="628">
        <v>4874</v>
      </c>
      <c r="N1144" s="4" t="s">
        <v>2886</v>
      </c>
      <c r="O1144" s="628">
        <v>4874</v>
      </c>
      <c r="P1144" s="628">
        <v>5800</v>
      </c>
      <c r="Q1144" s="628">
        <v>5800</v>
      </c>
      <c r="R1144" s="26">
        <v>43924</v>
      </c>
      <c r="S1144" s="4" t="s">
        <v>1501</v>
      </c>
      <c r="T1144" s="628">
        <v>5800</v>
      </c>
      <c r="U1144" t="s">
        <v>1561</v>
      </c>
      <c r="V1144" s="629">
        <v>2312</v>
      </c>
      <c r="W1144" s="629">
        <v>2562</v>
      </c>
      <c r="X1144" s="375">
        <v>0.53</v>
      </c>
    </row>
    <row r="1145" spans="1:24" x14ac:dyDescent="0.25">
      <c r="A1145" s="4">
        <v>576</v>
      </c>
      <c r="B1145" s="4" t="s">
        <v>1777</v>
      </c>
      <c r="C1145" s="6" t="s">
        <v>5477</v>
      </c>
      <c r="D1145" s="6" t="s">
        <v>89</v>
      </c>
      <c r="E1145" s="21">
        <v>43924</v>
      </c>
      <c r="F1145" s="4" t="s">
        <v>925</v>
      </c>
      <c r="H1145" s="4" t="s">
        <v>2528</v>
      </c>
      <c r="I1145" s="4">
        <v>4813</v>
      </c>
      <c r="J1145" s="4" t="s">
        <v>1275</v>
      </c>
      <c r="K1145" s="6" t="s">
        <v>2218</v>
      </c>
      <c r="L1145" s="4">
        <v>2</v>
      </c>
      <c r="M1145" s="628">
        <v>13645</v>
      </c>
      <c r="N1145" s="374">
        <v>0.05</v>
      </c>
      <c r="O1145" s="628">
        <v>12995</v>
      </c>
      <c r="P1145" s="628">
        <v>15426</v>
      </c>
      <c r="Q1145" s="628">
        <v>30852</v>
      </c>
      <c r="R1145" s="26">
        <v>43924</v>
      </c>
      <c r="S1145" s="4" t="s">
        <v>1445</v>
      </c>
      <c r="T1145" s="628">
        <v>30851</v>
      </c>
      <c r="U1145" t="s">
        <v>1569</v>
      </c>
      <c r="V1145" s="629">
        <v>9526</v>
      </c>
      <c r="W1145" s="629">
        <v>3469</v>
      </c>
      <c r="X1145" s="375">
        <v>0.27</v>
      </c>
    </row>
    <row r="1146" spans="1:24" x14ac:dyDescent="0.25">
      <c r="A1146" s="4">
        <v>577</v>
      </c>
      <c r="B1146" s="4" t="s">
        <v>792</v>
      </c>
      <c r="C1146" s="6" t="s">
        <v>1928</v>
      </c>
      <c r="D1146" s="6" t="s">
        <v>794</v>
      </c>
      <c r="E1146" s="21">
        <v>43925</v>
      </c>
      <c r="F1146" s="4" t="s">
        <v>1461</v>
      </c>
      <c r="H1146" s="4">
        <v>6828</v>
      </c>
      <c r="I1146" s="4">
        <v>4814</v>
      </c>
      <c r="J1146" s="4" t="s">
        <v>3998</v>
      </c>
      <c r="K1146" s="6" t="s">
        <v>3999</v>
      </c>
      <c r="L1146" s="4">
        <v>1</v>
      </c>
      <c r="M1146" s="628">
        <v>20084</v>
      </c>
      <c r="N1146" s="4" t="s">
        <v>2886</v>
      </c>
      <c r="O1146" s="628">
        <v>20084</v>
      </c>
      <c r="P1146" s="628">
        <v>23900</v>
      </c>
      <c r="Q1146" s="628">
        <v>23900</v>
      </c>
      <c r="R1146" s="26">
        <v>43925</v>
      </c>
      <c r="S1146" s="4" t="s">
        <v>1501</v>
      </c>
      <c r="T1146" s="628">
        <v>23900</v>
      </c>
      <c r="U1146" t="s">
        <v>1551</v>
      </c>
      <c r="V1146" s="629">
        <v>14604</v>
      </c>
      <c r="W1146" s="629">
        <v>5480</v>
      </c>
      <c r="X1146" s="375">
        <v>0.27</v>
      </c>
    </row>
    <row r="1147" spans="1:24" x14ac:dyDescent="0.25">
      <c r="A1147" s="4">
        <v>578</v>
      </c>
      <c r="B1147" s="4" t="s">
        <v>4218</v>
      </c>
      <c r="C1147" s="6" t="s">
        <v>4219</v>
      </c>
      <c r="D1147" s="6" t="s">
        <v>3950</v>
      </c>
      <c r="E1147" s="21">
        <v>43925</v>
      </c>
      <c r="F1147" s="4" t="s">
        <v>925</v>
      </c>
      <c r="H1147" s="4" t="s">
        <v>2528</v>
      </c>
      <c r="I1147" s="4">
        <v>4815</v>
      </c>
      <c r="J1147" s="4" t="s">
        <v>3460</v>
      </c>
      <c r="K1147" s="6" t="s">
        <v>3461</v>
      </c>
      <c r="L1147" s="4">
        <v>3</v>
      </c>
      <c r="M1147" s="628">
        <v>8310</v>
      </c>
      <c r="N1147" s="4" t="s">
        <v>2886</v>
      </c>
      <c r="O1147" s="628">
        <v>8310</v>
      </c>
      <c r="P1147" s="628">
        <v>9889</v>
      </c>
      <c r="Q1147" s="628">
        <v>29667</v>
      </c>
      <c r="R1147" s="26">
        <v>43925</v>
      </c>
      <c r="S1147" s="4" t="s">
        <v>1501</v>
      </c>
      <c r="T1147" s="628">
        <v>29668</v>
      </c>
      <c r="U1147" t="s">
        <v>3934</v>
      </c>
      <c r="V1147" s="629">
        <v>6000</v>
      </c>
      <c r="W1147" s="629">
        <v>2310</v>
      </c>
      <c r="X1147" s="375">
        <v>0.28000000000000003</v>
      </c>
    </row>
    <row r="1148" spans="1:24" x14ac:dyDescent="0.25">
      <c r="A1148" s="4">
        <v>579</v>
      </c>
      <c r="B1148" s="4" t="s">
        <v>656</v>
      </c>
      <c r="C1148" s="6" t="s">
        <v>1973</v>
      </c>
      <c r="D1148" s="6" t="s">
        <v>794</v>
      </c>
      <c r="E1148" s="21">
        <v>43927</v>
      </c>
      <c r="F1148" s="4" t="s">
        <v>1461</v>
      </c>
      <c r="H1148" s="4">
        <v>6829</v>
      </c>
      <c r="I1148" s="4">
        <v>4816</v>
      </c>
      <c r="J1148" s="4" t="s">
        <v>5781</v>
      </c>
      <c r="K1148" s="6" t="s">
        <v>5782</v>
      </c>
      <c r="L1148" s="4">
        <v>1</v>
      </c>
      <c r="M1148" s="634">
        <v>20084</v>
      </c>
      <c r="N1148" s="4" t="s">
        <v>2886</v>
      </c>
      <c r="O1148" s="634">
        <v>20084</v>
      </c>
      <c r="P1148" s="634">
        <v>23900</v>
      </c>
      <c r="Q1148" s="634">
        <v>23900</v>
      </c>
      <c r="R1148" s="26">
        <v>43927</v>
      </c>
      <c r="S1148" s="4" t="s">
        <v>1501</v>
      </c>
      <c r="T1148" s="634">
        <v>23900</v>
      </c>
      <c r="U1148" t="s">
        <v>1551</v>
      </c>
      <c r="V1148" s="635">
        <v>14604</v>
      </c>
      <c r="W1148" s="635">
        <v>5480</v>
      </c>
      <c r="X1148" s="375">
        <v>0.27</v>
      </c>
    </row>
    <row r="1149" spans="1:24" x14ac:dyDescent="0.25">
      <c r="A1149" s="4">
        <v>580</v>
      </c>
      <c r="B1149" s="4" t="s">
        <v>799</v>
      </c>
      <c r="C1149" s="6" t="s">
        <v>1926</v>
      </c>
      <c r="D1149" s="6" t="s">
        <v>802</v>
      </c>
      <c r="E1149" s="21">
        <v>43927</v>
      </c>
      <c r="F1149" s="4" t="s">
        <v>1461</v>
      </c>
      <c r="H1149" s="4">
        <v>6830</v>
      </c>
      <c r="I1149" s="4">
        <v>4817</v>
      </c>
      <c r="J1149" s="4" t="s">
        <v>1320</v>
      </c>
      <c r="K1149" s="6" t="s">
        <v>3394</v>
      </c>
      <c r="L1149" s="4">
        <v>1</v>
      </c>
      <c r="M1149" s="634">
        <v>17815</v>
      </c>
      <c r="N1149" s="4" t="s">
        <v>2886</v>
      </c>
      <c r="O1149" s="634">
        <v>17815</v>
      </c>
      <c r="P1149" s="634">
        <v>21200</v>
      </c>
      <c r="Q1149" s="634">
        <v>21200</v>
      </c>
      <c r="R1149" s="26">
        <v>43927</v>
      </c>
      <c r="S1149" s="4" t="s">
        <v>1501</v>
      </c>
      <c r="T1149" s="634">
        <v>33700</v>
      </c>
      <c r="U1149" t="s">
        <v>1551</v>
      </c>
      <c r="V1149" s="635">
        <v>13279</v>
      </c>
      <c r="W1149" s="635">
        <v>4536</v>
      </c>
      <c r="X1149" s="375">
        <v>0.25</v>
      </c>
    </row>
    <row r="1150" spans="1:24" x14ac:dyDescent="0.25">
      <c r="A1150" s="4">
        <v>580</v>
      </c>
      <c r="B1150" s="4" t="s">
        <v>2038</v>
      </c>
      <c r="C1150" s="6" t="s">
        <v>5884</v>
      </c>
      <c r="D1150" s="6" t="s">
        <v>794</v>
      </c>
      <c r="E1150" s="21">
        <v>43927</v>
      </c>
      <c r="F1150" s="4" t="s">
        <v>1461</v>
      </c>
      <c r="H1150" s="4">
        <v>6830</v>
      </c>
      <c r="I1150" s="4">
        <v>4817</v>
      </c>
      <c r="J1150" s="4" t="s">
        <v>1320</v>
      </c>
      <c r="K1150" s="6" t="s">
        <v>3394</v>
      </c>
      <c r="L1150" s="4">
        <v>1</v>
      </c>
      <c r="M1150" s="634">
        <v>10504</v>
      </c>
      <c r="N1150" s="4" t="s">
        <v>2886</v>
      </c>
      <c r="O1150" s="634">
        <v>10504</v>
      </c>
      <c r="P1150" s="634">
        <v>12500</v>
      </c>
      <c r="Q1150" s="634">
        <v>12500</v>
      </c>
      <c r="R1150" s="26">
        <v>43927</v>
      </c>
      <c r="S1150" s="4" t="s">
        <v>1501</v>
      </c>
      <c r="T1150" s="634">
        <v>33700</v>
      </c>
      <c r="U1150" t="s">
        <v>1551</v>
      </c>
      <c r="V1150" s="635">
        <v>7956</v>
      </c>
      <c r="W1150" s="635">
        <v>2548</v>
      </c>
      <c r="X1150" s="375">
        <v>0.24</v>
      </c>
    </row>
    <row r="1151" spans="1:24" x14ac:dyDescent="0.25">
      <c r="A1151" s="4">
        <v>581</v>
      </c>
      <c r="B1151" s="4" t="s">
        <v>798</v>
      </c>
      <c r="C1151" s="6" t="s">
        <v>1975</v>
      </c>
      <c r="D1151" s="6" t="s">
        <v>1976</v>
      </c>
      <c r="E1151" s="21">
        <v>43927</v>
      </c>
      <c r="F1151" s="4" t="s">
        <v>1461</v>
      </c>
      <c r="H1151" s="4">
        <v>6831</v>
      </c>
      <c r="I1151" s="4">
        <v>4818</v>
      </c>
      <c r="J1151" s="4" t="s">
        <v>6085</v>
      </c>
      <c r="K1151" s="6" t="s">
        <v>6086</v>
      </c>
      <c r="L1151" s="4">
        <v>1</v>
      </c>
      <c r="M1151" s="634">
        <v>28151</v>
      </c>
      <c r="N1151" s="4" t="s">
        <v>2886</v>
      </c>
      <c r="O1151" s="634">
        <v>28151</v>
      </c>
      <c r="P1151" s="634">
        <v>33500</v>
      </c>
      <c r="Q1151" s="634">
        <v>33500</v>
      </c>
      <c r="R1151" s="26">
        <v>43927</v>
      </c>
      <c r="S1151" s="4" t="s">
        <v>1501</v>
      </c>
      <c r="T1151" s="634">
        <v>33500</v>
      </c>
      <c r="U1151" t="s">
        <v>1551</v>
      </c>
      <c r="V1151" s="635">
        <v>21094</v>
      </c>
      <c r="W1151" s="635">
        <v>7057</v>
      </c>
      <c r="X1151" s="375">
        <v>0.25</v>
      </c>
    </row>
    <row r="1152" spans="1:24" x14ac:dyDescent="0.25">
      <c r="A1152" s="4">
        <v>582</v>
      </c>
      <c r="B1152" s="4" t="s">
        <v>855</v>
      </c>
      <c r="C1152" s="6" t="s">
        <v>2499</v>
      </c>
      <c r="D1152" s="6" t="s">
        <v>857</v>
      </c>
      <c r="E1152" s="21">
        <v>43927</v>
      </c>
      <c r="F1152" s="4" t="s">
        <v>1461</v>
      </c>
      <c r="H1152" s="4">
        <v>6832</v>
      </c>
      <c r="I1152" s="4">
        <v>4819</v>
      </c>
      <c r="J1152" s="4" t="s">
        <v>3990</v>
      </c>
      <c r="K1152" s="6" t="s">
        <v>3993</v>
      </c>
      <c r="L1152" s="4">
        <v>1</v>
      </c>
      <c r="M1152" s="634">
        <v>13277</v>
      </c>
      <c r="N1152" s="4" t="s">
        <v>2886</v>
      </c>
      <c r="O1152" s="634">
        <v>13277</v>
      </c>
      <c r="P1152" s="634">
        <v>15800</v>
      </c>
      <c r="Q1152" s="634">
        <v>15800</v>
      </c>
      <c r="R1152" s="26">
        <v>43927</v>
      </c>
      <c r="S1152" s="4" t="s">
        <v>1501</v>
      </c>
      <c r="T1152" s="634">
        <v>15800</v>
      </c>
      <c r="U1152" t="s">
        <v>1551</v>
      </c>
      <c r="V1152" s="635">
        <v>9975</v>
      </c>
      <c r="W1152" s="635">
        <v>3302</v>
      </c>
      <c r="X1152" s="375">
        <v>0.25</v>
      </c>
    </row>
    <row r="1153" spans="1:24" x14ac:dyDescent="0.25">
      <c r="A1153" s="4">
        <v>583</v>
      </c>
      <c r="B1153" s="4" t="s">
        <v>838</v>
      </c>
      <c r="C1153" s="6" t="s">
        <v>2062</v>
      </c>
      <c r="D1153" s="6" t="s">
        <v>840</v>
      </c>
      <c r="E1153" s="21">
        <v>43927</v>
      </c>
      <c r="F1153" s="4" t="s">
        <v>1461</v>
      </c>
      <c r="H1153" s="4">
        <v>6833</v>
      </c>
      <c r="I1153" s="4">
        <v>4820</v>
      </c>
      <c r="J1153" s="4" t="s">
        <v>3200</v>
      </c>
      <c r="K1153" s="6" t="s">
        <v>3201</v>
      </c>
      <c r="L1153" s="4">
        <v>1</v>
      </c>
      <c r="M1153" s="634">
        <v>16555</v>
      </c>
      <c r="N1153" s="4" t="s">
        <v>2886</v>
      </c>
      <c r="O1153" s="634">
        <v>16555</v>
      </c>
      <c r="P1153" s="634">
        <v>19700</v>
      </c>
      <c r="Q1153" s="634">
        <v>19700</v>
      </c>
      <c r="R1153" s="26">
        <v>43927</v>
      </c>
      <c r="S1153" s="4" t="s">
        <v>1501</v>
      </c>
      <c r="T1153" s="634">
        <v>19700</v>
      </c>
      <c r="U1153" t="s">
        <v>1572</v>
      </c>
      <c r="V1153" s="635">
        <v>12429</v>
      </c>
      <c r="W1153" s="635">
        <v>4126</v>
      </c>
      <c r="X1153" s="375">
        <v>0.25</v>
      </c>
    </row>
    <row r="1154" spans="1:24" x14ac:dyDescent="0.25">
      <c r="A1154" s="4">
        <v>584</v>
      </c>
      <c r="B1154" s="4" t="s">
        <v>2411</v>
      </c>
      <c r="C1154" s="6" t="s">
        <v>2424</v>
      </c>
      <c r="D1154" s="6" t="s">
        <v>2425</v>
      </c>
      <c r="E1154" s="21">
        <v>43928</v>
      </c>
      <c r="F1154" s="4" t="s">
        <v>925</v>
      </c>
      <c r="H1154" s="4" t="s">
        <v>2528</v>
      </c>
      <c r="I1154" s="4">
        <v>4821</v>
      </c>
      <c r="J1154" s="4" t="s">
        <v>1282</v>
      </c>
      <c r="K1154" s="6" t="s">
        <v>2389</v>
      </c>
      <c r="L1154" s="4">
        <v>12</v>
      </c>
      <c r="M1154" s="634">
        <v>645</v>
      </c>
      <c r="N1154" s="374">
        <v>0.23</v>
      </c>
      <c r="O1154" s="634">
        <v>524</v>
      </c>
      <c r="P1154" s="634">
        <v>590</v>
      </c>
      <c r="Q1154" s="634">
        <v>7080</v>
      </c>
      <c r="R1154" s="26">
        <v>43930</v>
      </c>
      <c r="S1154" s="4" t="s">
        <v>1445</v>
      </c>
      <c r="T1154" s="634">
        <v>178105</v>
      </c>
      <c r="U1154" t="s">
        <v>1561</v>
      </c>
      <c r="V1154" s="635">
        <v>466</v>
      </c>
      <c r="W1154" s="635">
        <v>58</v>
      </c>
      <c r="X1154" s="375">
        <v>0.11</v>
      </c>
    </row>
    <row r="1155" spans="1:24" x14ac:dyDescent="0.25">
      <c r="A1155" s="4">
        <v>584</v>
      </c>
      <c r="B1155" s="4" t="s">
        <v>4416</v>
      </c>
      <c r="C1155" s="6" t="s">
        <v>4417</v>
      </c>
      <c r="D1155" s="6" t="s">
        <v>1504</v>
      </c>
      <c r="E1155" s="21">
        <v>43928</v>
      </c>
      <c r="F1155" s="4" t="s">
        <v>925</v>
      </c>
      <c r="H1155" s="4" t="s">
        <v>2528</v>
      </c>
      <c r="I1155" s="4">
        <v>4821</v>
      </c>
      <c r="J1155" s="4" t="s">
        <v>1282</v>
      </c>
      <c r="K1155" s="6" t="s">
        <v>2389</v>
      </c>
      <c r="L1155" s="4">
        <v>24</v>
      </c>
      <c r="M1155" s="634">
        <v>336</v>
      </c>
      <c r="N1155" s="374">
        <v>0.05</v>
      </c>
      <c r="O1155" s="634">
        <v>320</v>
      </c>
      <c r="P1155" s="634">
        <v>379</v>
      </c>
      <c r="Q1155" s="634">
        <v>9096</v>
      </c>
      <c r="R1155" s="26">
        <v>43930</v>
      </c>
      <c r="S1155" s="4" t="s">
        <v>1445</v>
      </c>
      <c r="T1155" s="634">
        <v>178105</v>
      </c>
      <c r="U1155" t="s">
        <v>4410</v>
      </c>
      <c r="V1155" s="635">
        <v>212</v>
      </c>
      <c r="W1155" s="635">
        <v>108</v>
      </c>
      <c r="X1155" s="375">
        <v>0.34</v>
      </c>
    </row>
    <row r="1156" spans="1:24" x14ac:dyDescent="0.25">
      <c r="A1156" s="4">
        <v>584</v>
      </c>
      <c r="B1156" s="4" t="s">
        <v>4418</v>
      </c>
      <c r="C1156" s="6" t="s">
        <v>4419</v>
      </c>
      <c r="D1156" s="6" t="s">
        <v>1504</v>
      </c>
      <c r="E1156" s="21">
        <v>43928</v>
      </c>
      <c r="F1156" s="4" t="s">
        <v>925</v>
      </c>
      <c r="H1156" s="4" t="s">
        <v>2528</v>
      </c>
      <c r="I1156" s="4">
        <v>4821</v>
      </c>
      <c r="J1156" s="4" t="s">
        <v>1282</v>
      </c>
      <c r="K1156" s="6" t="s">
        <v>2389</v>
      </c>
      <c r="L1156" s="4">
        <v>6</v>
      </c>
      <c r="M1156" s="634">
        <v>1314</v>
      </c>
      <c r="N1156" s="374">
        <v>0.05</v>
      </c>
      <c r="O1156" s="634">
        <v>1251</v>
      </c>
      <c r="P1156" s="634">
        <v>1485</v>
      </c>
      <c r="Q1156" s="634">
        <v>8910</v>
      </c>
      <c r="R1156" s="26">
        <v>43930</v>
      </c>
      <c r="S1156" s="4" t="s">
        <v>1445</v>
      </c>
      <c r="T1156" s="634">
        <v>178105</v>
      </c>
      <c r="U1156" t="s">
        <v>4410</v>
      </c>
      <c r="V1156" s="635">
        <v>830</v>
      </c>
      <c r="W1156" s="635">
        <v>421</v>
      </c>
      <c r="X1156" s="375">
        <v>0.34</v>
      </c>
    </row>
    <row r="1157" spans="1:24" x14ac:dyDescent="0.25">
      <c r="A1157" s="4">
        <v>584</v>
      </c>
      <c r="B1157" s="4" t="s">
        <v>1634</v>
      </c>
      <c r="C1157" s="6" t="s">
        <v>3555</v>
      </c>
      <c r="D1157" s="6" t="s">
        <v>661</v>
      </c>
      <c r="E1157" s="21">
        <v>43928</v>
      </c>
      <c r="F1157" s="4" t="s">
        <v>925</v>
      </c>
      <c r="H1157" s="4" t="s">
        <v>2528</v>
      </c>
      <c r="I1157" s="4">
        <v>4821</v>
      </c>
      <c r="J1157" s="4" t="s">
        <v>1282</v>
      </c>
      <c r="K1157" s="6" t="s">
        <v>2389</v>
      </c>
      <c r="L1157" s="4">
        <v>24</v>
      </c>
      <c r="M1157" s="634">
        <v>1234</v>
      </c>
      <c r="N1157" s="374">
        <v>0.05</v>
      </c>
      <c r="O1157" s="634">
        <v>1175</v>
      </c>
      <c r="P1157" s="634">
        <v>1395</v>
      </c>
      <c r="Q1157" s="634">
        <v>33480</v>
      </c>
      <c r="R1157" s="26">
        <v>43930</v>
      </c>
      <c r="S1157" s="4" t="s">
        <v>1445</v>
      </c>
      <c r="T1157" s="634">
        <v>178105</v>
      </c>
      <c r="U1157" t="s">
        <v>1739</v>
      </c>
      <c r="V1157" s="635">
        <v>891</v>
      </c>
      <c r="W1157" s="635">
        <v>284</v>
      </c>
      <c r="X1157" s="375">
        <v>0.24</v>
      </c>
    </row>
    <row r="1158" spans="1:24" x14ac:dyDescent="0.25">
      <c r="A1158" s="4">
        <v>584</v>
      </c>
      <c r="B1158" s="4" t="s">
        <v>739</v>
      </c>
      <c r="C1158" s="6" t="s">
        <v>3667</v>
      </c>
      <c r="D1158" s="6" t="s">
        <v>661</v>
      </c>
      <c r="E1158" s="21">
        <v>43928</v>
      </c>
      <c r="F1158" s="4" t="s">
        <v>925</v>
      </c>
      <c r="H1158" s="4" t="s">
        <v>2528</v>
      </c>
      <c r="I1158" s="4">
        <v>4821</v>
      </c>
      <c r="J1158" s="4" t="s">
        <v>1282</v>
      </c>
      <c r="K1158" s="6" t="s">
        <v>2389</v>
      </c>
      <c r="L1158" s="4">
        <v>24</v>
      </c>
      <c r="M1158" s="634">
        <v>748</v>
      </c>
      <c r="N1158" s="374">
        <v>0.05</v>
      </c>
      <c r="O1158" s="634">
        <v>712</v>
      </c>
      <c r="P1158" s="634">
        <v>846</v>
      </c>
      <c r="Q1158" s="634">
        <v>20304</v>
      </c>
      <c r="R1158" s="26">
        <v>43930</v>
      </c>
      <c r="S1158" s="4" t="s">
        <v>1445</v>
      </c>
      <c r="T1158" s="634">
        <v>178105</v>
      </c>
      <c r="U1158" t="s">
        <v>1739</v>
      </c>
      <c r="V1158" s="635">
        <v>540</v>
      </c>
      <c r="W1158" s="635">
        <v>172</v>
      </c>
      <c r="X1158" s="375">
        <v>0.24</v>
      </c>
    </row>
    <row r="1159" spans="1:24" x14ac:dyDescent="0.25">
      <c r="A1159" s="4">
        <v>584</v>
      </c>
      <c r="B1159" s="4" t="s">
        <v>922</v>
      </c>
      <c r="C1159" s="6" t="s">
        <v>1654</v>
      </c>
      <c r="D1159" s="6" t="s">
        <v>1469</v>
      </c>
      <c r="E1159" s="21">
        <v>43928</v>
      </c>
      <c r="F1159" s="4" t="s">
        <v>925</v>
      </c>
      <c r="H1159" s="4" t="s">
        <v>2528</v>
      </c>
      <c r="I1159" s="4">
        <v>4821</v>
      </c>
      <c r="J1159" s="4" t="s">
        <v>1282</v>
      </c>
      <c r="K1159" s="6" t="s">
        <v>2389</v>
      </c>
      <c r="L1159" s="4">
        <v>12</v>
      </c>
      <c r="M1159" s="634">
        <v>2216</v>
      </c>
      <c r="N1159" s="374">
        <v>0.1</v>
      </c>
      <c r="O1159" s="634">
        <v>2019</v>
      </c>
      <c r="P1159" s="634">
        <v>2380</v>
      </c>
      <c r="Q1159" s="634">
        <v>28560</v>
      </c>
      <c r="R1159" s="26">
        <v>43930</v>
      </c>
      <c r="S1159" s="4" t="s">
        <v>1445</v>
      </c>
      <c r="T1159" s="634">
        <v>178105</v>
      </c>
      <c r="U1159" t="s">
        <v>1570</v>
      </c>
      <c r="V1159" s="635">
        <v>1600</v>
      </c>
      <c r="W1159" s="635">
        <v>419</v>
      </c>
      <c r="X1159" s="375">
        <v>0.21</v>
      </c>
    </row>
    <row r="1160" spans="1:24" x14ac:dyDescent="0.25">
      <c r="A1160" s="4">
        <v>584</v>
      </c>
      <c r="B1160" s="4" t="s">
        <v>1662</v>
      </c>
      <c r="C1160" s="6" t="s">
        <v>1660</v>
      </c>
      <c r="D1160" s="6" t="s">
        <v>1469</v>
      </c>
      <c r="E1160" s="21">
        <v>43928</v>
      </c>
      <c r="F1160" s="4" t="s">
        <v>925</v>
      </c>
      <c r="H1160" s="4" t="s">
        <v>2528</v>
      </c>
      <c r="I1160" s="4">
        <v>4821</v>
      </c>
      <c r="J1160" s="4" t="s">
        <v>1282</v>
      </c>
      <c r="K1160" s="6" t="s">
        <v>2389</v>
      </c>
      <c r="L1160" s="4">
        <v>12</v>
      </c>
      <c r="M1160" s="634">
        <v>1734</v>
      </c>
      <c r="N1160" s="374">
        <v>0.1</v>
      </c>
      <c r="O1160" s="634">
        <v>1580</v>
      </c>
      <c r="P1160" s="634">
        <v>1862</v>
      </c>
      <c r="Q1160" s="634">
        <v>22344</v>
      </c>
      <c r="R1160" s="26">
        <v>43930</v>
      </c>
      <c r="S1160" s="4" t="s">
        <v>1445</v>
      </c>
      <c r="T1160" s="634">
        <v>178105</v>
      </c>
      <c r="U1160" t="s">
        <v>1570</v>
      </c>
      <c r="V1160" s="635">
        <v>1252</v>
      </c>
      <c r="W1160" s="635">
        <v>328</v>
      </c>
      <c r="X1160" s="375">
        <v>0.21</v>
      </c>
    </row>
    <row r="1161" spans="1:24" x14ac:dyDescent="0.25">
      <c r="A1161" s="4">
        <v>584</v>
      </c>
      <c r="B1161" s="4" t="s">
        <v>1663</v>
      </c>
      <c r="C1161" s="6" t="s">
        <v>1661</v>
      </c>
      <c r="D1161" s="6" t="s">
        <v>1469</v>
      </c>
      <c r="E1161" s="21">
        <v>43928</v>
      </c>
      <c r="F1161" s="4" t="s">
        <v>925</v>
      </c>
      <c r="H1161" s="4" t="s">
        <v>2528</v>
      </c>
      <c r="I1161" s="4">
        <v>4821</v>
      </c>
      <c r="J1161" s="4" t="s">
        <v>1282</v>
      </c>
      <c r="K1161" s="6" t="s">
        <v>2389</v>
      </c>
      <c r="L1161" s="4">
        <v>6</v>
      </c>
      <c r="M1161" s="634">
        <v>3327</v>
      </c>
      <c r="N1161" s="374">
        <v>0.1</v>
      </c>
      <c r="O1161" s="634">
        <v>3031</v>
      </c>
      <c r="P1161" s="634">
        <v>3573</v>
      </c>
      <c r="Q1161" s="634">
        <v>21438</v>
      </c>
      <c r="R1161" s="26">
        <v>43930</v>
      </c>
      <c r="S1161" s="4" t="s">
        <v>1445</v>
      </c>
      <c r="T1161" s="634">
        <v>178105</v>
      </c>
      <c r="U1161" t="s">
        <v>1570</v>
      </c>
      <c r="V1161" s="635">
        <v>2402</v>
      </c>
      <c r="W1161" s="635">
        <v>629</v>
      </c>
      <c r="X1161" s="375">
        <v>0.21</v>
      </c>
    </row>
    <row r="1162" spans="1:24" x14ac:dyDescent="0.25">
      <c r="A1162" s="4">
        <v>584</v>
      </c>
      <c r="B1162" s="4" t="s">
        <v>1471</v>
      </c>
      <c r="C1162" s="6" t="s">
        <v>1655</v>
      </c>
      <c r="D1162" s="6" t="s">
        <v>1469</v>
      </c>
      <c r="E1162" s="21">
        <v>43928</v>
      </c>
      <c r="F1162" s="4" t="s">
        <v>925</v>
      </c>
      <c r="H1162" s="4" t="s">
        <v>2528</v>
      </c>
      <c r="I1162" s="4">
        <v>4821</v>
      </c>
      <c r="J1162" s="4" t="s">
        <v>1282</v>
      </c>
      <c r="K1162" s="6" t="s">
        <v>2389</v>
      </c>
      <c r="L1162" s="4">
        <v>18</v>
      </c>
      <c r="M1162" s="634">
        <v>853</v>
      </c>
      <c r="N1162" s="374">
        <v>0.1</v>
      </c>
      <c r="O1162" s="634">
        <v>777</v>
      </c>
      <c r="P1162" s="634">
        <v>916</v>
      </c>
      <c r="Q1162" s="634">
        <v>16488</v>
      </c>
      <c r="R1162" s="26">
        <v>43930</v>
      </c>
      <c r="S1162" s="4" t="s">
        <v>1445</v>
      </c>
      <c r="T1162" s="634">
        <v>178105</v>
      </c>
      <c r="U1162" t="s">
        <v>1570</v>
      </c>
      <c r="V1162" s="635">
        <v>616</v>
      </c>
      <c r="W1162" s="635">
        <v>161</v>
      </c>
      <c r="X1162" s="375">
        <v>0.21</v>
      </c>
    </row>
    <row r="1163" spans="1:24" x14ac:dyDescent="0.25">
      <c r="A1163" s="4">
        <v>584</v>
      </c>
      <c r="B1163" s="4" t="s">
        <v>4420</v>
      </c>
      <c r="C1163" s="6" t="s">
        <v>4421</v>
      </c>
      <c r="D1163" s="6" t="s">
        <v>1504</v>
      </c>
      <c r="E1163" s="21">
        <v>43928</v>
      </c>
      <c r="F1163" s="4" t="s">
        <v>925</v>
      </c>
      <c r="H1163" s="4" t="s">
        <v>2528</v>
      </c>
      <c r="I1163" s="4">
        <v>4821</v>
      </c>
      <c r="J1163" s="4" t="s">
        <v>1282</v>
      </c>
      <c r="K1163" s="6" t="s">
        <v>2389</v>
      </c>
      <c r="L1163" s="4">
        <v>22</v>
      </c>
      <c r="M1163" s="634">
        <v>418</v>
      </c>
      <c r="N1163" s="374">
        <v>0.05</v>
      </c>
      <c r="O1163" s="634">
        <v>398</v>
      </c>
      <c r="P1163" s="634">
        <v>472</v>
      </c>
      <c r="Q1163" s="634">
        <v>10384</v>
      </c>
      <c r="R1163" s="26">
        <v>43930</v>
      </c>
      <c r="S1163" s="4" t="s">
        <v>1445</v>
      </c>
      <c r="T1163" s="634">
        <v>178105</v>
      </c>
      <c r="U1163" t="s">
        <v>4410</v>
      </c>
      <c r="V1163" s="635">
        <v>264</v>
      </c>
      <c r="W1163" s="635">
        <v>134</v>
      </c>
      <c r="X1163" s="375">
        <v>0.34</v>
      </c>
    </row>
    <row r="1164" spans="1:24" x14ac:dyDescent="0.25">
      <c r="A1164" s="4">
        <v>585</v>
      </c>
      <c r="B1164" s="4" t="s">
        <v>1755</v>
      </c>
      <c r="C1164" s="6" t="s">
        <v>1925</v>
      </c>
      <c r="D1164" s="6" t="s">
        <v>1504</v>
      </c>
      <c r="E1164" s="21">
        <v>43928</v>
      </c>
      <c r="F1164" s="4" t="s">
        <v>925</v>
      </c>
      <c r="H1164" s="4" t="s">
        <v>2528</v>
      </c>
      <c r="I1164" s="4">
        <v>4822</v>
      </c>
      <c r="J1164" s="4" t="s">
        <v>1282</v>
      </c>
      <c r="K1164" s="6" t="s">
        <v>2389</v>
      </c>
      <c r="L1164" s="4">
        <v>20</v>
      </c>
      <c r="M1164" s="634">
        <v>3089</v>
      </c>
      <c r="N1164" s="374">
        <v>0.1</v>
      </c>
      <c r="O1164" s="634">
        <v>2815</v>
      </c>
      <c r="P1164" s="634">
        <v>3318</v>
      </c>
      <c r="Q1164" s="634">
        <v>66360</v>
      </c>
      <c r="R1164" t="s">
        <v>6088</v>
      </c>
      <c r="S1164" s="4" t="s">
        <v>1445</v>
      </c>
      <c r="T1164" s="634">
        <v>426361</v>
      </c>
      <c r="U1164" t="s">
        <v>1545</v>
      </c>
      <c r="V1164" s="635">
        <v>2119</v>
      </c>
      <c r="W1164" s="635">
        <v>696</v>
      </c>
      <c r="X1164" s="375">
        <v>0.25</v>
      </c>
    </row>
    <row r="1165" spans="1:24" x14ac:dyDescent="0.25">
      <c r="A1165" s="4">
        <v>585</v>
      </c>
      <c r="B1165" s="4" t="s">
        <v>1647</v>
      </c>
      <c r="C1165" s="6" t="s">
        <v>1670</v>
      </c>
      <c r="D1165" s="6" t="s">
        <v>1504</v>
      </c>
      <c r="E1165" s="21">
        <v>43928</v>
      </c>
      <c r="F1165" s="4" t="s">
        <v>925</v>
      </c>
      <c r="H1165" s="4" t="s">
        <v>2528</v>
      </c>
      <c r="I1165" s="4">
        <v>4822</v>
      </c>
      <c r="J1165" s="4" t="s">
        <v>1282</v>
      </c>
      <c r="K1165" s="6" t="s">
        <v>2389</v>
      </c>
      <c r="L1165" s="4">
        <v>20</v>
      </c>
      <c r="M1165" s="634">
        <v>3040</v>
      </c>
      <c r="N1165" s="374">
        <v>0.1</v>
      </c>
      <c r="O1165" s="634">
        <v>2770</v>
      </c>
      <c r="P1165" s="634">
        <v>3265</v>
      </c>
      <c r="Q1165" s="634">
        <v>65300</v>
      </c>
      <c r="R1165" t="s">
        <v>6088</v>
      </c>
      <c r="S1165" s="4" t="s">
        <v>1445</v>
      </c>
      <c r="T1165" s="634">
        <v>426361</v>
      </c>
      <c r="U1165" t="s">
        <v>1545</v>
      </c>
      <c r="V1165" s="635">
        <v>2085</v>
      </c>
      <c r="W1165" s="635">
        <v>685</v>
      </c>
      <c r="X1165" s="375">
        <v>0.25</v>
      </c>
    </row>
    <row r="1166" spans="1:24" x14ac:dyDescent="0.25">
      <c r="A1166" s="4">
        <v>585</v>
      </c>
      <c r="B1166" s="4" t="s">
        <v>847</v>
      </c>
      <c r="C1166" s="6" t="s">
        <v>2201</v>
      </c>
      <c r="D1166" s="6" t="s">
        <v>2198</v>
      </c>
      <c r="E1166" s="21">
        <v>43928</v>
      </c>
      <c r="F1166" s="4" t="s">
        <v>925</v>
      </c>
      <c r="H1166" s="4" t="s">
        <v>2528</v>
      </c>
      <c r="I1166" s="4">
        <v>4822</v>
      </c>
      <c r="J1166" s="4" t="s">
        <v>1282</v>
      </c>
      <c r="K1166" s="6" t="s">
        <v>2389</v>
      </c>
      <c r="L1166" s="4">
        <v>5</v>
      </c>
      <c r="M1166" s="634">
        <v>8914</v>
      </c>
      <c r="N1166" s="374">
        <v>0.05</v>
      </c>
      <c r="O1166" s="634">
        <v>8490</v>
      </c>
      <c r="P1166" s="634">
        <v>10077</v>
      </c>
      <c r="Q1166" s="634">
        <v>50385</v>
      </c>
      <c r="R1166" t="s">
        <v>6088</v>
      </c>
      <c r="S1166" s="4" t="s">
        <v>1445</v>
      </c>
      <c r="T1166" s="634">
        <v>426361</v>
      </c>
      <c r="U1166" t="s">
        <v>1572</v>
      </c>
      <c r="V1166" s="635">
        <v>6436</v>
      </c>
      <c r="W1166" s="635">
        <v>2054</v>
      </c>
      <c r="X1166" s="375">
        <v>0.24</v>
      </c>
    </row>
    <row r="1167" spans="1:24" x14ac:dyDescent="0.25">
      <c r="A1167" s="4">
        <v>585</v>
      </c>
      <c r="B1167" s="4" t="s">
        <v>2303</v>
      </c>
      <c r="C1167" s="6" t="s">
        <v>2205</v>
      </c>
      <c r="D1167" s="6" t="s">
        <v>2197</v>
      </c>
      <c r="E1167" s="21">
        <v>43928</v>
      </c>
      <c r="F1167" s="4" t="s">
        <v>925</v>
      </c>
      <c r="H1167" s="4" t="s">
        <v>2528</v>
      </c>
      <c r="I1167" s="4">
        <v>4822</v>
      </c>
      <c r="J1167" s="4" t="s">
        <v>1282</v>
      </c>
      <c r="K1167" s="6" t="s">
        <v>2389</v>
      </c>
      <c r="L1167" s="4">
        <v>10</v>
      </c>
      <c r="M1167" s="634">
        <v>4366</v>
      </c>
      <c r="N1167" s="374">
        <v>0.05</v>
      </c>
      <c r="O1167" s="634">
        <v>4158</v>
      </c>
      <c r="P1167" s="634">
        <v>4935</v>
      </c>
      <c r="Q1167" s="634">
        <v>49350</v>
      </c>
      <c r="R1167" t="s">
        <v>6088</v>
      </c>
      <c r="S1167" s="4" t="s">
        <v>1445</v>
      </c>
      <c r="T1167" s="634">
        <v>426361</v>
      </c>
      <c r="U1167" t="s">
        <v>1572</v>
      </c>
      <c r="V1167" s="635">
        <v>3152</v>
      </c>
      <c r="W1167" s="635">
        <v>1006</v>
      </c>
      <c r="X1167" s="375">
        <v>0.24</v>
      </c>
    </row>
    <row r="1168" spans="1:24" x14ac:dyDescent="0.25">
      <c r="A1168" s="4">
        <v>585</v>
      </c>
      <c r="B1168" s="4" t="s">
        <v>4568</v>
      </c>
      <c r="C1168" s="6" t="s">
        <v>4569</v>
      </c>
      <c r="D1168" s="6" t="s">
        <v>4570</v>
      </c>
      <c r="E1168" s="21">
        <v>43928</v>
      </c>
      <c r="F1168" s="4" t="s">
        <v>925</v>
      </c>
      <c r="H1168" s="4" t="s">
        <v>2528</v>
      </c>
      <c r="I1168" s="4">
        <v>4822</v>
      </c>
      <c r="J1168" s="4" t="s">
        <v>1282</v>
      </c>
      <c r="K1168" s="6" t="s">
        <v>2389</v>
      </c>
      <c r="L1168" s="4">
        <v>75</v>
      </c>
      <c r="M1168" s="634">
        <v>817</v>
      </c>
      <c r="N1168" s="374">
        <v>0.05</v>
      </c>
      <c r="O1168" s="634">
        <v>778</v>
      </c>
      <c r="P1168" s="634">
        <v>924</v>
      </c>
      <c r="Q1168" s="634">
        <v>69300</v>
      </c>
      <c r="R1168" t="s">
        <v>6088</v>
      </c>
      <c r="S1168" s="4" t="s">
        <v>1445</v>
      </c>
      <c r="T1168" s="634">
        <v>426361</v>
      </c>
      <c r="U1168" t="s">
        <v>1563</v>
      </c>
      <c r="V1168" t="s">
        <v>5584</v>
      </c>
      <c r="W1168" s="635">
        <v>778</v>
      </c>
      <c r="X1168" s="375">
        <v>1</v>
      </c>
    </row>
    <row r="1169" spans="1:24" x14ac:dyDescent="0.25">
      <c r="A1169" s="4">
        <v>585</v>
      </c>
      <c r="B1169" s="4" t="s">
        <v>6039</v>
      </c>
      <c r="C1169" s="6" t="s">
        <v>6040</v>
      </c>
      <c r="D1169" s="6" t="s">
        <v>6041</v>
      </c>
      <c r="E1169" s="21">
        <v>43928</v>
      </c>
      <c r="F1169" s="4" t="s">
        <v>925</v>
      </c>
      <c r="H1169" s="4" t="s">
        <v>2528</v>
      </c>
      <c r="I1169" s="4">
        <v>4822</v>
      </c>
      <c r="J1169" s="4" t="s">
        <v>1282</v>
      </c>
      <c r="K1169" s="6" t="s">
        <v>2389</v>
      </c>
      <c r="L1169" s="4">
        <v>45</v>
      </c>
      <c r="M1169" s="634">
        <v>1529</v>
      </c>
      <c r="N1169" s="4" t="s">
        <v>2886</v>
      </c>
      <c r="O1169" s="634">
        <v>1529</v>
      </c>
      <c r="P1169" s="634">
        <v>1820</v>
      </c>
      <c r="Q1169" s="634">
        <v>81900</v>
      </c>
      <c r="R1169" t="s">
        <v>6088</v>
      </c>
      <c r="S1169" s="4" t="s">
        <v>1445</v>
      </c>
      <c r="T1169" s="634">
        <v>426361</v>
      </c>
      <c r="U1169" t="s">
        <v>1545</v>
      </c>
      <c r="V1169" s="635">
        <v>1104</v>
      </c>
      <c r="W1169" s="635">
        <v>425</v>
      </c>
      <c r="X1169" s="375">
        <v>0.28000000000000003</v>
      </c>
    </row>
    <row r="1170" spans="1:24" x14ac:dyDescent="0.25">
      <c r="A1170" s="4">
        <v>585</v>
      </c>
      <c r="B1170" s="4" t="s">
        <v>4659</v>
      </c>
      <c r="C1170" s="6" t="s">
        <v>4660</v>
      </c>
      <c r="D1170" s="6" t="s">
        <v>4636</v>
      </c>
      <c r="E1170" s="21">
        <v>43928</v>
      </c>
      <c r="F1170" s="4" t="s">
        <v>925</v>
      </c>
      <c r="H1170" s="4" t="s">
        <v>2528</v>
      </c>
      <c r="I1170" s="4">
        <v>4822</v>
      </c>
      <c r="J1170" s="4" t="s">
        <v>1282</v>
      </c>
      <c r="K1170" s="6" t="s">
        <v>2389</v>
      </c>
      <c r="L1170" s="4">
        <v>60</v>
      </c>
      <c r="M1170" s="634">
        <v>613</v>
      </c>
      <c r="N1170" s="4" t="s">
        <v>2886</v>
      </c>
      <c r="O1170" s="634">
        <v>613</v>
      </c>
      <c r="P1170" s="634">
        <v>730</v>
      </c>
      <c r="Q1170" s="634">
        <v>43800</v>
      </c>
      <c r="R1170" t="s">
        <v>6088</v>
      </c>
      <c r="S1170" s="4" t="s">
        <v>1445</v>
      </c>
      <c r="T1170" s="634">
        <v>426361</v>
      </c>
      <c r="U1170" t="s">
        <v>4767</v>
      </c>
      <c r="V1170" s="635">
        <v>611</v>
      </c>
      <c r="W1170" s="635">
        <v>2</v>
      </c>
      <c r="X1170" t="s">
        <v>2886</v>
      </c>
    </row>
    <row r="1171" spans="1:24" x14ac:dyDescent="0.25">
      <c r="A1171" s="4">
        <v>586</v>
      </c>
      <c r="B1171" s="4" t="s">
        <v>838</v>
      </c>
      <c r="C1171" s="6" t="s">
        <v>2062</v>
      </c>
      <c r="D1171" s="6" t="s">
        <v>840</v>
      </c>
      <c r="E1171" s="21">
        <v>43928</v>
      </c>
      <c r="F1171" s="4" t="s">
        <v>925</v>
      </c>
      <c r="H1171" s="4" t="s">
        <v>2528</v>
      </c>
      <c r="I1171" s="4">
        <v>4823</v>
      </c>
      <c r="J1171" s="4" t="s">
        <v>1239</v>
      </c>
      <c r="K1171" s="6" t="s">
        <v>3501</v>
      </c>
      <c r="L1171" s="4">
        <v>1</v>
      </c>
      <c r="M1171" s="634">
        <v>17215</v>
      </c>
      <c r="N1171" s="4" t="s">
        <v>2886</v>
      </c>
      <c r="O1171" s="634">
        <v>17215</v>
      </c>
      <c r="P1171" s="634">
        <v>20485</v>
      </c>
      <c r="Q1171" s="634">
        <v>20485</v>
      </c>
      <c r="R1171" s="26">
        <v>43928</v>
      </c>
      <c r="S1171" s="4" t="s">
        <v>1849</v>
      </c>
      <c r="T1171" s="634">
        <v>20485</v>
      </c>
      <c r="U1171" t="s">
        <v>1572</v>
      </c>
      <c r="V1171" s="635">
        <v>12429</v>
      </c>
      <c r="W1171" s="635">
        <v>4786</v>
      </c>
      <c r="X1171" s="375">
        <v>0.28000000000000003</v>
      </c>
    </row>
    <row r="1172" spans="1:24" x14ac:dyDescent="0.25">
      <c r="A1172" s="4">
        <v>587</v>
      </c>
      <c r="B1172" s="4" t="s">
        <v>2303</v>
      </c>
      <c r="C1172" s="6" t="s">
        <v>2205</v>
      </c>
      <c r="D1172" s="6" t="s">
        <v>2197</v>
      </c>
      <c r="E1172" s="21">
        <v>43928</v>
      </c>
      <c r="F1172" s="4" t="s">
        <v>1461</v>
      </c>
      <c r="H1172" s="4">
        <v>6835</v>
      </c>
      <c r="I1172" s="4">
        <v>4824</v>
      </c>
      <c r="J1172" s="4" t="s">
        <v>4898</v>
      </c>
      <c r="K1172" s="6" t="s">
        <v>4899</v>
      </c>
      <c r="L1172" s="4">
        <v>3</v>
      </c>
      <c r="M1172" s="634">
        <v>4622</v>
      </c>
      <c r="N1172" s="374">
        <v>0.09</v>
      </c>
      <c r="O1172" s="634">
        <v>4237</v>
      </c>
      <c r="P1172" s="634">
        <v>5000</v>
      </c>
      <c r="Q1172" s="634">
        <v>15000</v>
      </c>
      <c r="R1172" s="26">
        <v>43928</v>
      </c>
      <c r="S1172" s="4" t="s">
        <v>1501</v>
      </c>
      <c r="T1172" s="634">
        <v>15000</v>
      </c>
      <c r="U1172" t="s">
        <v>1572</v>
      </c>
      <c r="V1172" s="635">
        <v>3152</v>
      </c>
      <c r="W1172" s="635">
        <v>1085</v>
      </c>
      <c r="X1172" s="375">
        <v>0.26</v>
      </c>
    </row>
    <row r="1173" spans="1:24" x14ac:dyDescent="0.25">
      <c r="A1173" s="4">
        <v>588</v>
      </c>
      <c r="B1173" s="4" t="s">
        <v>6097</v>
      </c>
      <c r="C1173" s="6" t="s">
        <v>6098</v>
      </c>
      <c r="D1173" s="6" t="s">
        <v>5962</v>
      </c>
      <c r="E1173" s="21">
        <v>43928</v>
      </c>
      <c r="F1173" s="4" t="s">
        <v>1461</v>
      </c>
      <c r="H1173" s="4">
        <v>6834</v>
      </c>
      <c r="I1173" s="4">
        <v>4825</v>
      </c>
      <c r="J1173" s="4" t="s">
        <v>5919</v>
      </c>
      <c r="K1173" s="6" t="s">
        <v>5920</v>
      </c>
      <c r="L1173" s="4">
        <v>1</v>
      </c>
      <c r="M1173" s="634">
        <v>15794</v>
      </c>
      <c r="N1173" s="374">
        <v>7.0000000000000007E-2</v>
      </c>
      <c r="O1173" s="634">
        <v>14703</v>
      </c>
      <c r="P1173" s="634">
        <v>17400</v>
      </c>
      <c r="Q1173" s="634">
        <v>17400</v>
      </c>
      <c r="R1173" s="26">
        <v>43928</v>
      </c>
      <c r="S1173" s="4" t="s">
        <v>1501</v>
      </c>
      <c r="T1173" s="634">
        <v>17400</v>
      </c>
      <c r="U1173" t="s">
        <v>5955</v>
      </c>
      <c r="V1173" s="635">
        <v>12635</v>
      </c>
      <c r="W1173" s="635">
        <v>2068</v>
      </c>
      <c r="X1173" s="375">
        <v>0.14000000000000001</v>
      </c>
    </row>
    <row r="1174" spans="1:24" x14ac:dyDescent="0.25">
      <c r="A1174" s="4">
        <v>589</v>
      </c>
      <c r="B1174" s="4" t="s">
        <v>2098</v>
      </c>
      <c r="C1174" s="6" t="s">
        <v>2288</v>
      </c>
      <c r="D1174" s="6" t="s">
        <v>1469</v>
      </c>
      <c r="E1174" s="21">
        <v>43928</v>
      </c>
      <c r="F1174" s="4" t="s">
        <v>1461</v>
      </c>
      <c r="H1174" s="4">
        <v>6836</v>
      </c>
      <c r="I1174" s="4">
        <v>4826</v>
      </c>
      <c r="J1174" s="4" t="s">
        <v>6099</v>
      </c>
      <c r="K1174" s="6" t="s">
        <v>6100</v>
      </c>
      <c r="L1174" s="4">
        <v>2</v>
      </c>
      <c r="M1174" s="634">
        <v>19496</v>
      </c>
      <c r="N1174" s="4" t="s">
        <v>2886</v>
      </c>
      <c r="O1174" s="634">
        <v>19496</v>
      </c>
      <c r="P1174" s="634">
        <v>23200</v>
      </c>
      <c r="Q1174" s="634">
        <v>46400</v>
      </c>
      <c r="R1174" s="26">
        <v>43928</v>
      </c>
      <c r="S1174" s="4" t="s">
        <v>1501</v>
      </c>
      <c r="T1174" s="634">
        <v>46400</v>
      </c>
      <c r="U1174" t="s">
        <v>1570</v>
      </c>
      <c r="V1174" s="635">
        <v>14700</v>
      </c>
      <c r="W1174" s="635">
        <v>4796</v>
      </c>
      <c r="X1174" s="375">
        <v>0.25</v>
      </c>
    </row>
    <row r="1175" spans="1:24" x14ac:dyDescent="0.25">
      <c r="A1175" s="4">
        <v>590</v>
      </c>
      <c r="B1175" s="4" t="s">
        <v>5960</v>
      </c>
      <c r="C1175" s="6" t="s">
        <v>5961</v>
      </c>
      <c r="D1175" s="6" t="s">
        <v>5962</v>
      </c>
      <c r="E1175" s="21">
        <v>43928</v>
      </c>
      <c r="F1175" s="4" t="s">
        <v>1461</v>
      </c>
      <c r="H1175" s="4">
        <v>6837</v>
      </c>
      <c r="I1175" s="4">
        <v>4827</v>
      </c>
      <c r="J1175" s="4" t="s">
        <v>6102</v>
      </c>
      <c r="K1175" s="6" t="s">
        <v>6103</v>
      </c>
      <c r="L1175" s="4">
        <v>1</v>
      </c>
      <c r="M1175" s="634">
        <v>22689</v>
      </c>
      <c r="N1175" s="4" t="s">
        <v>2886</v>
      </c>
      <c r="O1175" s="634">
        <v>22689</v>
      </c>
      <c r="P1175" s="634">
        <v>27000</v>
      </c>
      <c r="Q1175" s="634">
        <v>27000</v>
      </c>
      <c r="R1175" s="26">
        <v>43928</v>
      </c>
      <c r="S1175" s="4" t="s">
        <v>1501</v>
      </c>
      <c r="T1175" s="634">
        <v>27000</v>
      </c>
      <c r="U1175" t="s">
        <v>5955</v>
      </c>
      <c r="V1175" s="635">
        <v>18972</v>
      </c>
      <c r="W1175" s="635">
        <v>3717</v>
      </c>
      <c r="X1175" s="375">
        <v>0.16</v>
      </c>
    </row>
    <row r="1176" spans="1:24" x14ac:dyDescent="0.25">
      <c r="A1176" s="4">
        <v>591</v>
      </c>
      <c r="B1176" s="4" t="s">
        <v>830</v>
      </c>
      <c r="C1176" s="6" t="s">
        <v>2495</v>
      </c>
      <c r="D1176" s="6" t="s">
        <v>837</v>
      </c>
      <c r="E1176" s="21">
        <v>43928</v>
      </c>
      <c r="F1176" s="4" t="s">
        <v>1461</v>
      </c>
      <c r="H1176" s="4">
        <v>6838</v>
      </c>
      <c r="I1176" s="4">
        <v>4828</v>
      </c>
      <c r="J1176" s="4" t="s">
        <v>6026</v>
      </c>
      <c r="K1176" s="6" t="s">
        <v>6027</v>
      </c>
      <c r="L1176" s="4">
        <v>4</v>
      </c>
      <c r="M1176" s="634">
        <v>13866</v>
      </c>
      <c r="N1176" s="4" t="s">
        <v>2886</v>
      </c>
      <c r="O1176" s="634">
        <v>13866</v>
      </c>
      <c r="P1176" s="634">
        <v>16500</v>
      </c>
      <c r="Q1176" s="634">
        <v>66000</v>
      </c>
      <c r="R1176" s="26">
        <v>43928</v>
      </c>
      <c r="S1176" s="4" t="s">
        <v>1501</v>
      </c>
      <c r="T1176" s="634">
        <v>66000</v>
      </c>
      <c r="U1176" t="s">
        <v>1572</v>
      </c>
      <c r="V1176" s="635">
        <v>10390</v>
      </c>
      <c r="W1176" s="635">
        <v>3476</v>
      </c>
      <c r="X1176" s="375">
        <v>0.25</v>
      </c>
    </row>
    <row r="1177" spans="1:24" x14ac:dyDescent="0.25">
      <c r="A1177" s="4">
        <v>592</v>
      </c>
      <c r="B1177" s="4" t="s">
        <v>656</v>
      </c>
      <c r="C1177" s="6" t="s">
        <v>1973</v>
      </c>
      <c r="D1177" s="6" t="s">
        <v>794</v>
      </c>
      <c r="E1177" s="21">
        <v>43928</v>
      </c>
      <c r="F1177" s="4" t="s">
        <v>1461</v>
      </c>
      <c r="H1177" s="4">
        <v>6839</v>
      </c>
      <c r="I1177" s="4">
        <v>4829</v>
      </c>
      <c r="J1177" s="4" t="s">
        <v>5759</v>
      </c>
      <c r="K1177" s="6" t="s">
        <v>5760</v>
      </c>
      <c r="L1177" s="4">
        <v>2</v>
      </c>
      <c r="M1177" s="634">
        <v>20084</v>
      </c>
      <c r="N1177" s="4" t="s">
        <v>2886</v>
      </c>
      <c r="O1177" s="634">
        <v>20084</v>
      </c>
      <c r="P1177" s="634">
        <v>23900</v>
      </c>
      <c r="Q1177" s="634">
        <v>47800</v>
      </c>
      <c r="R1177" s="26">
        <v>43928</v>
      </c>
      <c r="S1177" s="4" t="s">
        <v>1501</v>
      </c>
      <c r="T1177" s="634">
        <v>47800</v>
      </c>
      <c r="U1177" t="s">
        <v>1551</v>
      </c>
      <c r="V1177" s="635">
        <v>14604</v>
      </c>
      <c r="W1177" s="635">
        <v>5480</v>
      </c>
      <c r="X1177" s="375">
        <v>0.27</v>
      </c>
    </row>
    <row r="1178" spans="1:24" x14ac:dyDescent="0.25">
      <c r="A1178" s="4">
        <v>593</v>
      </c>
      <c r="B1178" s="4" t="s">
        <v>30</v>
      </c>
      <c r="C1178" s="6" t="s">
        <v>5839</v>
      </c>
      <c r="D1178" s="6" t="s">
        <v>33</v>
      </c>
      <c r="E1178" s="21">
        <v>43929</v>
      </c>
      <c r="F1178" s="4" t="s">
        <v>925</v>
      </c>
      <c r="H1178" s="4" t="s">
        <v>2528</v>
      </c>
      <c r="I1178" s="4">
        <v>4830</v>
      </c>
      <c r="J1178" s="4" t="s">
        <v>1179</v>
      </c>
      <c r="K1178" s="6" t="s">
        <v>952</v>
      </c>
      <c r="L1178" s="4">
        <v>120</v>
      </c>
      <c r="M1178" s="641">
        <v>759</v>
      </c>
      <c r="N1178" s="374">
        <v>0.05</v>
      </c>
      <c r="O1178" s="641">
        <v>723</v>
      </c>
      <c r="P1178" s="641">
        <v>858</v>
      </c>
      <c r="Q1178" s="641">
        <v>102960</v>
      </c>
      <c r="R1178" s="26">
        <v>43929</v>
      </c>
      <c r="S1178" s="4" t="s">
        <v>2050</v>
      </c>
      <c r="T1178" s="641">
        <v>145449</v>
      </c>
      <c r="U1178" t="s">
        <v>1563</v>
      </c>
      <c r="V1178" s="642">
        <v>548</v>
      </c>
      <c r="W1178" s="642">
        <v>175</v>
      </c>
      <c r="X1178" s="375">
        <v>0.24</v>
      </c>
    </row>
    <row r="1179" spans="1:24" x14ac:dyDescent="0.25">
      <c r="A1179" s="4">
        <v>593</v>
      </c>
      <c r="B1179" s="4" t="s">
        <v>1779</v>
      </c>
      <c r="C1179" s="6" t="s">
        <v>5971</v>
      </c>
      <c r="D1179" s="6" t="s">
        <v>94</v>
      </c>
      <c r="E1179" s="21">
        <v>43929</v>
      </c>
      <c r="F1179" s="4" t="s">
        <v>925</v>
      </c>
      <c r="H1179" s="4" t="s">
        <v>2528</v>
      </c>
      <c r="I1179" s="4">
        <v>4830</v>
      </c>
      <c r="J1179" s="4" t="s">
        <v>1179</v>
      </c>
      <c r="K1179" s="6" t="s">
        <v>952</v>
      </c>
      <c r="L1179" s="4">
        <v>24</v>
      </c>
      <c r="M1179" s="641">
        <v>1648</v>
      </c>
      <c r="N1179" s="374">
        <v>0.1</v>
      </c>
      <c r="O1179" s="641">
        <v>1502</v>
      </c>
      <c r="P1179" s="641">
        <v>1770</v>
      </c>
      <c r="Q1179" s="641">
        <v>42480</v>
      </c>
      <c r="R1179" s="26">
        <v>43929</v>
      </c>
      <c r="S1179" s="4" t="s">
        <v>2050</v>
      </c>
      <c r="T1179" s="641">
        <v>145449</v>
      </c>
      <c r="U1179" t="s">
        <v>1569</v>
      </c>
      <c r="V1179" s="642">
        <v>1190</v>
      </c>
      <c r="W1179" s="642">
        <v>312</v>
      </c>
      <c r="X1179" s="375">
        <v>0.21</v>
      </c>
    </row>
    <row r="1180" spans="1:24" x14ac:dyDescent="0.25">
      <c r="A1180" s="4">
        <v>594</v>
      </c>
      <c r="B1180" s="4" t="s">
        <v>6039</v>
      </c>
      <c r="C1180" s="6" t="s">
        <v>6040</v>
      </c>
      <c r="D1180" s="6" t="s">
        <v>6041</v>
      </c>
      <c r="E1180" s="21">
        <v>43929</v>
      </c>
      <c r="F1180" s="4" t="s">
        <v>925</v>
      </c>
      <c r="H1180" s="4" t="s">
        <v>2528</v>
      </c>
      <c r="I1180" s="4">
        <v>4831</v>
      </c>
      <c r="J1180" s="4" t="s">
        <v>1177</v>
      </c>
      <c r="K1180" s="6" t="s">
        <v>1060</v>
      </c>
      <c r="L1180" s="4">
        <v>45</v>
      </c>
      <c r="M1180" s="641">
        <v>1529</v>
      </c>
      <c r="N1180" s="4" t="s">
        <v>2886</v>
      </c>
      <c r="O1180" s="641">
        <v>1529</v>
      </c>
      <c r="P1180" s="641">
        <v>1820</v>
      </c>
      <c r="Q1180" s="641">
        <v>81900</v>
      </c>
      <c r="R1180" s="26">
        <v>43929</v>
      </c>
      <c r="S1180" s="4" t="s">
        <v>2050</v>
      </c>
      <c r="T1180" s="641">
        <v>81883</v>
      </c>
      <c r="U1180" t="s">
        <v>1545</v>
      </c>
      <c r="V1180" s="642">
        <v>1104</v>
      </c>
      <c r="W1180" s="642">
        <v>425</v>
      </c>
      <c r="X1180" s="375">
        <v>0.28000000000000003</v>
      </c>
    </row>
    <row r="1181" spans="1:24" x14ac:dyDescent="0.25">
      <c r="A1181" s="4">
        <v>595</v>
      </c>
      <c r="B1181" s="4" t="s">
        <v>6105</v>
      </c>
      <c r="C1181" s="6" t="s">
        <v>6106</v>
      </c>
      <c r="D1181" s="6" t="s">
        <v>5116</v>
      </c>
      <c r="E1181" s="21">
        <v>43929</v>
      </c>
      <c r="F1181" s="4" t="s">
        <v>925</v>
      </c>
      <c r="H1181" s="4" t="s">
        <v>2528</v>
      </c>
      <c r="I1181" s="4">
        <v>4832</v>
      </c>
      <c r="J1181" s="4" t="s">
        <v>1175</v>
      </c>
      <c r="K1181" s="6" t="s">
        <v>1144</v>
      </c>
      <c r="L1181" s="4">
        <v>24</v>
      </c>
      <c r="M1181" s="641">
        <v>814</v>
      </c>
      <c r="N1181" s="4" t="s">
        <v>2886</v>
      </c>
      <c r="O1181" s="641">
        <v>816</v>
      </c>
      <c r="P1181" s="641">
        <v>971</v>
      </c>
      <c r="Q1181" s="641">
        <v>23304</v>
      </c>
      <c r="R1181" s="26">
        <v>43929</v>
      </c>
      <c r="S1181" s="4" t="s">
        <v>2050</v>
      </c>
      <c r="T1181" s="641">
        <v>23304</v>
      </c>
      <c r="U1181" t="s">
        <v>1576</v>
      </c>
      <c r="V1181" s="642">
        <v>588</v>
      </c>
      <c r="W1181" s="642">
        <v>228</v>
      </c>
      <c r="X1181" s="375">
        <v>0.28000000000000003</v>
      </c>
    </row>
    <row r="1182" spans="1:24" x14ac:dyDescent="0.25">
      <c r="A1182" s="4">
        <v>596</v>
      </c>
      <c r="B1182" s="4" t="s">
        <v>6039</v>
      </c>
      <c r="C1182" s="6" t="s">
        <v>6040</v>
      </c>
      <c r="D1182" s="6" t="s">
        <v>6041</v>
      </c>
      <c r="E1182" s="21">
        <v>43929</v>
      </c>
      <c r="F1182" s="4" t="s">
        <v>925</v>
      </c>
      <c r="H1182" s="4">
        <v>1040492</v>
      </c>
      <c r="I1182" s="4">
        <v>4833</v>
      </c>
      <c r="J1182" s="4" t="s">
        <v>1175</v>
      </c>
      <c r="K1182" s="6" t="s">
        <v>1144</v>
      </c>
      <c r="L1182" s="4">
        <v>117</v>
      </c>
      <c r="M1182" s="641">
        <v>1529</v>
      </c>
      <c r="N1182" s="374">
        <v>0.04</v>
      </c>
      <c r="O1182" s="641">
        <v>1473</v>
      </c>
      <c r="P1182" s="641">
        <v>1750</v>
      </c>
      <c r="Q1182" s="641">
        <v>204750</v>
      </c>
      <c r="R1182" s="26">
        <v>43929</v>
      </c>
      <c r="S1182" s="4" t="s">
        <v>2050</v>
      </c>
      <c r="T1182" s="641">
        <v>204750</v>
      </c>
      <c r="U1182" t="s">
        <v>1545</v>
      </c>
      <c r="V1182" s="642">
        <v>1104</v>
      </c>
      <c r="W1182" s="642">
        <v>369</v>
      </c>
      <c r="X1182" s="375">
        <v>0.25</v>
      </c>
    </row>
    <row r="1183" spans="1:24" x14ac:dyDescent="0.25">
      <c r="A1183" s="4">
        <v>597</v>
      </c>
      <c r="B1183" s="4" t="s">
        <v>6094</v>
      </c>
      <c r="C1183" s="6" t="s">
        <v>6095</v>
      </c>
      <c r="D1183" s="6" t="s">
        <v>1504</v>
      </c>
      <c r="E1183" s="21">
        <v>43929</v>
      </c>
      <c r="F1183" s="4" t="s">
        <v>925</v>
      </c>
      <c r="H1183" s="4" t="s">
        <v>2528</v>
      </c>
      <c r="I1183" s="4">
        <v>4834</v>
      </c>
      <c r="J1183" s="4" t="s">
        <v>1259</v>
      </c>
      <c r="K1183" s="6" t="s">
        <v>2778</v>
      </c>
      <c r="L1183" s="4">
        <v>1</v>
      </c>
      <c r="M1183" s="641">
        <v>11872</v>
      </c>
      <c r="N1183" s="374">
        <v>0.05</v>
      </c>
      <c r="O1183" s="641">
        <v>11307</v>
      </c>
      <c r="P1183" s="641">
        <v>13421</v>
      </c>
      <c r="Q1183" s="641">
        <v>13421</v>
      </c>
      <c r="R1183" s="26">
        <v>43929</v>
      </c>
      <c r="S1183" s="4" t="s">
        <v>2050</v>
      </c>
      <c r="T1183" s="641">
        <v>197925</v>
      </c>
      <c r="U1183" t="s">
        <v>6089</v>
      </c>
      <c r="V1183" s="642">
        <v>7500</v>
      </c>
      <c r="W1183" s="642">
        <v>3807</v>
      </c>
      <c r="X1183" s="375">
        <v>0.34</v>
      </c>
    </row>
    <row r="1184" spans="1:24" x14ac:dyDescent="0.25">
      <c r="A1184" s="4">
        <v>597</v>
      </c>
      <c r="B1184" s="4" t="s">
        <v>5114</v>
      </c>
      <c r="C1184" s="6" t="s">
        <v>5115</v>
      </c>
      <c r="D1184" s="6" t="s">
        <v>5116</v>
      </c>
      <c r="E1184" s="21">
        <v>43929</v>
      </c>
      <c r="F1184" s="4" t="s">
        <v>925</v>
      </c>
      <c r="H1184" s="4" t="s">
        <v>2528</v>
      </c>
      <c r="I1184" s="4">
        <v>4834</v>
      </c>
      <c r="J1184" s="4" t="s">
        <v>1259</v>
      </c>
      <c r="K1184" s="6" t="s">
        <v>2778</v>
      </c>
      <c r="L1184" s="4">
        <v>20</v>
      </c>
      <c r="M1184" s="641">
        <v>3061</v>
      </c>
      <c r="N1184" s="374">
        <v>0.1</v>
      </c>
      <c r="O1184" s="641">
        <v>2789</v>
      </c>
      <c r="P1184" s="641">
        <v>3287</v>
      </c>
      <c r="Q1184" s="641">
        <v>65740</v>
      </c>
      <c r="R1184" s="26">
        <v>43929</v>
      </c>
      <c r="S1184" s="4" t="s">
        <v>2050</v>
      </c>
      <c r="T1184" s="641">
        <v>197925</v>
      </c>
      <c r="U1184" t="s">
        <v>1576</v>
      </c>
      <c r="V1184" s="642">
        <v>2210</v>
      </c>
      <c r="W1184" s="642">
        <v>579</v>
      </c>
      <c r="X1184" s="375">
        <v>0.21</v>
      </c>
    </row>
    <row r="1185" spans="1:24" x14ac:dyDescent="0.25">
      <c r="A1185" s="4">
        <v>597</v>
      </c>
      <c r="B1185" s="4" t="s">
        <v>5489</v>
      </c>
      <c r="C1185" s="6" t="s">
        <v>2372</v>
      </c>
      <c r="D1185" s="6" t="s">
        <v>5493</v>
      </c>
      <c r="E1185" s="21">
        <v>43929</v>
      </c>
      <c r="F1185" s="4" t="s">
        <v>925</v>
      </c>
      <c r="H1185" s="4" t="s">
        <v>2528</v>
      </c>
      <c r="I1185" s="4">
        <v>4834</v>
      </c>
      <c r="J1185" s="4" t="s">
        <v>1259</v>
      </c>
      <c r="K1185" s="6" t="s">
        <v>2778</v>
      </c>
      <c r="L1185" s="4">
        <v>12</v>
      </c>
      <c r="M1185" s="641">
        <v>1371</v>
      </c>
      <c r="N1185" s="374">
        <v>0.1</v>
      </c>
      <c r="O1185" s="641">
        <v>1249</v>
      </c>
      <c r="P1185" s="641">
        <v>1473</v>
      </c>
      <c r="Q1185" s="641">
        <v>17676</v>
      </c>
      <c r="R1185" s="26">
        <v>43929</v>
      </c>
      <c r="S1185" s="4" t="s">
        <v>2050</v>
      </c>
      <c r="T1185" s="641">
        <v>197925</v>
      </c>
      <c r="U1185" t="s">
        <v>1569</v>
      </c>
      <c r="V1185" s="642">
        <v>990</v>
      </c>
      <c r="W1185" s="642">
        <v>259</v>
      </c>
      <c r="X1185" s="375">
        <v>0.21</v>
      </c>
    </row>
    <row r="1186" spans="1:24" x14ac:dyDescent="0.25">
      <c r="A1186" s="4">
        <v>597</v>
      </c>
      <c r="B1186" s="4" t="s">
        <v>1780</v>
      </c>
      <c r="C1186" s="6" t="s">
        <v>5972</v>
      </c>
      <c r="D1186" s="6" t="s">
        <v>94</v>
      </c>
      <c r="E1186" s="21">
        <v>43929</v>
      </c>
      <c r="F1186" s="4" t="s">
        <v>925</v>
      </c>
      <c r="H1186" s="4" t="s">
        <v>2528</v>
      </c>
      <c r="I1186" s="4">
        <v>4834</v>
      </c>
      <c r="J1186" s="4" t="s">
        <v>1259</v>
      </c>
      <c r="K1186" s="6" t="s">
        <v>2778</v>
      </c>
      <c r="L1186" s="4">
        <v>12</v>
      </c>
      <c r="M1186" s="641">
        <v>2909</v>
      </c>
      <c r="N1186" s="374">
        <v>0.1</v>
      </c>
      <c r="O1186" s="641">
        <v>2651</v>
      </c>
      <c r="P1186" s="641">
        <v>3124</v>
      </c>
      <c r="Q1186" s="641">
        <v>37488</v>
      </c>
      <c r="R1186" s="26">
        <v>43929</v>
      </c>
      <c r="S1186" s="4" t="s">
        <v>2050</v>
      </c>
      <c r="T1186" s="641">
        <v>197925</v>
      </c>
      <c r="U1186" t="s">
        <v>1569</v>
      </c>
      <c r="V1186" s="642">
        <v>2100</v>
      </c>
      <c r="W1186" s="642">
        <v>551</v>
      </c>
      <c r="X1186" s="375">
        <v>0.21</v>
      </c>
    </row>
    <row r="1187" spans="1:24" x14ac:dyDescent="0.25">
      <c r="A1187" s="4">
        <v>597</v>
      </c>
      <c r="B1187" s="4" t="s">
        <v>4320</v>
      </c>
      <c r="C1187" s="6" t="s">
        <v>4843</v>
      </c>
      <c r="D1187" s="6" t="s">
        <v>119</v>
      </c>
      <c r="E1187" s="21">
        <v>43929</v>
      </c>
      <c r="F1187" s="4" t="s">
        <v>925</v>
      </c>
      <c r="H1187" s="4" t="s">
        <v>2528</v>
      </c>
      <c r="I1187" s="4">
        <v>4834</v>
      </c>
      <c r="J1187" s="4" t="s">
        <v>1259</v>
      </c>
      <c r="K1187" s="6" t="s">
        <v>2778</v>
      </c>
      <c r="L1187" s="4">
        <v>12</v>
      </c>
      <c r="M1187" s="641">
        <v>2265</v>
      </c>
      <c r="N1187" s="374">
        <v>0.1</v>
      </c>
      <c r="O1187" s="641">
        <v>2064</v>
      </c>
      <c r="P1187" s="641">
        <v>2432</v>
      </c>
      <c r="Q1187" s="641">
        <v>29184</v>
      </c>
      <c r="R1187" s="26">
        <v>43929</v>
      </c>
      <c r="S1187" s="4" t="s">
        <v>2050</v>
      </c>
      <c r="T1187" s="641">
        <v>197925</v>
      </c>
      <c r="U1187" t="s">
        <v>1626</v>
      </c>
      <c r="V1187" s="642">
        <v>1635</v>
      </c>
      <c r="W1187" s="642">
        <v>429</v>
      </c>
      <c r="X1187" s="375">
        <v>0.21</v>
      </c>
    </row>
    <row r="1188" spans="1:24" x14ac:dyDescent="0.25">
      <c r="A1188" s="4">
        <v>597</v>
      </c>
      <c r="B1188" s="4" t="s">
        <v>67</v>
      </c>
      <c r="C1188" s="6" t="s">
        <v>4089</v>
      </c>
      <c r="D1188" s="6" t="s">
        <v>117</v>
      </c>
      <c r="E1188" s="21">
        <v>43929</v>
      </c>
      <c r="F1188" s="4" t="s">
        <v>925</v>
      </c>
      <c r="H1188" s="4" t="s">
        <v>2528</v>
      </c>
      <c r="I1188" s="4">
        <v>4834</v>
      </c>
      <c r="J1188" s="4" t="s">
        <v>1259</v>
      </c>
      <c r="K1188" s="6" t="s">
        <v>2778</v>
      </c>
      <c r="L1188" s="4">
        <v>12</v>
      </c>
      <c r="M1188" s="641">
        <v>2670</v>
      </c>
      <c r="N1188" s="374">
        <v>0.1</v>
      </c>
      <c r="O1188" s="641">
        <v>2433</v>
      </c>
      <c r="P1188" s="641">
        <v>2868</v>
      </c>
      <c r="Q1188" s="641">
        <v>34416</v>
      </c>
      <c r="R1188" s="26">
        <v>43929</v>
      </c>
      <c r="S1188" s="4" t="s">
        <v>2050</v>
      </c>
      <c r="T1188" s="641">
        <v>197925</v>
      </c>
      <c r="U1188" t="s">
        <v>1626</v>
      </c>
      <c r="V1188" s="642">
        <v>1928</v>
      </c>
      <c r="W1188" s="642">
        <v>505</v>
      </c>
      <c r="X1188" s="375">
        <v>0.21</v>
      </c>
    </row>
    <row r="1189" spans="1:24" x14ac:dyDescent="0.25">
      <c r="A1189" s="4">
        <v>598</v>
      </c>
      <c r="B1189" s="4" t="s">
        <v>30</v>
      </c>
      <c r="C1189" s="6" t="s">
        <v>5839</v>
      </c>
      <c r="D1189" s="6" t="s">
        <v>33</v>
      </c>
      <c r="E1189" s="21">
        <v>43929</v>
      </c>
      <c r="F1189" s="4" t="s">
        <v>925</v>
      </c>
      <c r="H1189" s="4" t="s">
        <v>2528</v>
      </c>
      <c r="I1189" s="4">
        <v>4835</v>
      </c>
      <c r="J1189" s="4" t="s">
        <v>4907</v>
      </c>
      <c r="K1189" s="6" t="s">
        <v>4908</v>
      </c>
      <c r="L1189" s="4">
        <v>72</v>
      </c>
      <c r="M1189" s="641">
        <v>759</v>
      </c>
      <c r="N1189" s="374">
        <v>0.09</v>
      </c>
      <c r="O1189" s="641">
        <v>696</v>
      </c>
      <c r="P1189" s="641">
        <v>822</v>
      </c>
      <c r="Q1189" s="641">
        <v>59184</v>
      </c>
      <c r="R1189" s="26">
        <v>43930</v>
      </c>
      <c r="S1189" s="4" t="s">
        <v>1445</v>
      </c>
      <c r="T1189" s="641">
        <v>76332</v>
      </c>
      <c r="U1189" t="s">
        <v>1563</v>
      </c>
      <c r="V1189" s="642">
        <v>548</v>
      </c>
      <c r="W1189" s="642">
        <v>148</v>
      </c>
      <c r="X1189" s="375">
        <v>0.21</v>
      </c>
    </row>
    <row r="1190" spans="1:24" x14ac:dyDescent="0.25">
      <c r="A1190" s="4">
        <v>598</v>
      </c>
      <c r="B1190" s="4" t="s">
        <v>1471</v>
      </c>
      <c r="C1190" s="6" t="s">
        <v>1655</v>
      </c>
      <c r="D1190" s="6" t="s">
        <v>1469</v>
      </c>
      <c r="E1190" s="21">
        <v>43929</v>
      </c>
      <c r="F1190" s="4" t="s">
        <v>925</v>
      </c>
      <c r="H1190" s="4" t="s">
        <v>2528</v>
      </c>
      <c r="I1190" s="4">
        <v>4835</v>
      </c>
      <c r="J1190" s="4" t="s">
        <v>4907</v>
      </c>
      <c r="K1190" s="6" t="s">
        <v>4908</v>
      </c>
      <c r="L1190" s="4">
        <v>18</v>
      </c>
      <c r="M1190" s="641">
        <v>880</v>
      </c>
      <c r="N1190" s="374">
        <v>0.09</v>
      </c>
      <c r="O1190" s="641">
        <v>807</v>
      </c>
      <c r="P1190" s="641">
        <v>953</v>
      </c>
      <c r="Q1190" s="641">
        <v>17154</v>
      </c>
      <c r="R1190" s="26">
        <v>43930</v>
      </c>
      <c r="S1190" s="4" t="s">
        <v>1445</v>
      </c>
      <c r="T1190" s="641">
        <v>76332</v>
      </c>
      <c r="U1190" t="s">
        <v>1570</v>
      </c>
      <c r="V1190" s="642">
        <v>616</v>
      </c>
      <c r="W1190" s="642">
        <v>191</v>
      </c>
      <c r="X1190" s="375">
        <v>0.24</v>
      </c>
    </row>
    <row r="1191" spans="1:24" x14ac:dyDescent="0.25">
      <c r="A1191" s="4">
        <v>599</v>
      </c>
      <c r="B1191" s="4" t="s">
        <v>830</v>
      </c>
      <c r="C1191" s="6" t="s">
        <v>2495</v>
      </c>
      <c r="D1191" s="6" t="s">
        <v>837</v>
      </c>
      <c r="E1191" s="21">
        <v>43929</v>
      </c>
      <c r="F1191" s="4" t="s">
        <v>1461</v>
      </c>
      <c r="H1191" s="4">
        <v>6840</v>
      </c>
      <c r="I1191" s="4">
        <v>4836</v>
      </c>
      <c r="J1191" s="4" t="s">
        <v>4462</v>
      </c>
      <c r="K1191" s="6" t="s">
        <v>4463</v>
      </c>
      <c r="L1191" s="4">
        <v>1</v>
      </c>
      <c r="M1191" s="652">
        <v>13866</v>
      </c>
      <c r="N1191" s="4" t="s">
        <v>2886</v>
      </c>
      <c r="O1191" s="652">
        <v>13866</v>
      </c>
      <c r="P1191" s="652">
        <v>16500</v>
      </c>
      <c r="Q1191" s="652">
        <v>16500</v>
      </c>
      <c r="R1191" s="26">
        <v>43929</v>
      </c>
      <c r="S1191" s="4" t="s">
        <v>1501</v>
      </c>
      <c r="T1191" s="652">
        <v>26700</v>
      </c>
      <c r="U1191" t="s">
        <v>1572</v>
      </c>
      <c r="V1191" s="653">
        <v>10390</v>
      </c>
      <c r="W1191" s="653">
        <v>3476</v>
      </c>
      <c r="X1191" s="375">
        <v>0.25</v>
      </c>
    </row>
    <row r="1192" spans="1:24" x14ac:dyDescent="0.25">
      <c r="A1192" s="4">
        <v>599</v>
      </c>
      <c r="B1192" s="4" t="s">
        <v>847</v>
      </c>
      <c r="C1192" s="6" t="s">
        <v>2201</v>
      </c>
      <c r="D1192" s="6" t="s">
        <v>2198</v>
      </c>
      <c r="E1192" s="21">
        <v>43929</v>
      </c>
      <c r="F1192" s="4" t="s">
        <v>1461</v>
      </c>
      <c r="H1192" s="4">
        <v>6840</v>
      </c>
      <c r="I1192" s="4">
        <v>4836</v>
      </c>
      <c r="J1192" s="4" t="s">
        <v>4462</v>
      </c>
      <c r="K1192" s="6" t="s">
        <v>4463</v>
      </c>
      <c r="L1192" s="4">
        <v>1</v>
      </c>
      <c r="M1192" s="652">
        <v>8571</v>
      </c>
      <c r="N1192" s="4" t="s">
        <v>2886</v>
      </c>
      <c r="O1192" s="652">
        <v>8571</v>
      </c>
      <c r="P1192" s="652">
        <v>10200</v>
      </c>
      <c r="Q1192" s="652">
        <v>10200</v>
      </c>
      <c r="R1192" s="26">
        <v>43929</v>
      </c>
      <c r="S1192" s="4" t="s">
        <v>1501</v>
      </c>
      <c r="T1192" s="652">
        <v>26700</v>
      </c>
      <c r="U1192" t="s">
        <v>1572</v>
      </c>
      <c r="V1192" s="653">
        <v>6436</v>
      </c>
      <c r="W1192" s="653">
        <v>2135</v>
      </c>
      <c r="X1192" s="375">
        <v>0.25</v>
      </c>
    </row>
    <row r="1193" spans="1:24" x14ac:dyDescent="0.25">
      <c r="A1193" s="4">
        <v>600</v>
      </c>
      <c r="B1193" s="4" t="s">
        <v>838</v>
      </c>
      <c r="C1193" s="6" t="s">
        <v>2062</v>
      </c>
      <c r="D1193" s="6" t="s">
        <v>840</v>
      </c>
      <c r="E1193" s="21">
        <v>43929</v>
      </c>
      <c r="F1193" s="4" t="s">
        <v>1461</v>
      </c>
      <c r="H1193" s="4">
        <v>6842</v>
      </c>
      <c r="I1193" s="4">
        <v>4837</v>
      </c>
      <c r="J1193" s="4" t="s">
        <v>4545</v>
      </c>
      <c r="K1193" s="6" t="s">
        <v>4546</v>
      </c>
      <c r="L1193" s="4">
        <v>2</v>
      </c>
      <c r="M1193" s="652">
        <v>16555</v>
      </c>
      <c r="N1193" s="4" t="s">
        <v>2886</v>
      </c>
      <c r="O1193" s="652">
        <v>16555</v>
      </c>
      <c r="P1193" s="652">
        <v>19700</v>
      </c>
      <c r="Q1193" s="652">
        <v>39400</v>
      </c>
      <c r="R1193" s="26">
        <v>43929</v>
      </c>
      <c r="S1193" s="4" t="s">
        <v>1501</v>
      </c>
      <c r="T1193" s="652">
        <v>39400</v>
      </c>
      <c r="U1193" t="s">
        <v>1572</v>
      </c>
      <c r="V1193" s="653">
        <v>12429</v>
      </c>
      <c r="W1193" s="653">
        <v>4126</v>
      </c>
      <c r="X1193" s="375">
        <v>0.25</v>
      </c>
    </row>
    <row r="1194" spans="1:24" x14ac:dyDescent="0.25">
      <c r="A1194" s="4">
        <v>601</v>
      </c>
      <c r="B1194" s="4" t="s">
        <v>1503</v>
      </c>
      <c r="C1194" s="6" t="s">
        <v>1972</v>
      </c>
      <c r="D1194" s="6" t="s">
        <v>1638</v>
      </c>
      <c r="E1194" s="21">
        <v>43929</v>
      </c>
      <c r="F1194" s="4" t="s">
        <v>1461</v>
      </c>
      <c r="H1194" s="4">
        <v>6842</v>
      </c>
      <c r="I1194" s="4">
        <v>4838</v>
      </c>
      <c r="J1194" s="4" t="s">
        <v>4545</v>
      </c>
      <c r="K1194" s="6" t="s">
        <v>4546</v>
      </c>
      <c r="L1194" s="4">
        <v>1</v>
      </c>
      <c r="M1194" s="652">
        <v>3193</v>
      </c>
      <c r="N1194" s="4" t="s">
        <v>2886</v>
      </c>
      <c r="O1194" s="652">
        <v>3193</v>
      </c>
      <c r="P1194" s="652">
        <v>3800</v>
      </c>
      <c r="Q1194" s="652">
        <v>3800</v>
      </c>
      <c r="R1194" s="26">
        <v>43929</v>
      </c>
      <c r="S1194" s="4" t="s">
        <v>1501</v>
      </c>
      <c r="T1194" s="652">
        <v>3800</v>
      </c>
      <c r="U1194" t="s">
        <v>1545</v>
      </c>
      <c r="V1194" s="653">
        <v>2200</v>
      </c>
      <c r="W1194" s="653">
        <v>993</v>
      </c>
      <c r="X1194" s="375">
        <v>0.31</v>
      </c>
    </row>
    <row r="1195" spans="1:24" x14ac:dyDescent="0.25">
      <c r="A1195" s="4">
        <v>602</v>
      </c>
      <c r="B1195" s="4" t="s">
        <v>2250</v>
      </c>
      <c r="C1195" s="6" t="s">
        <v>5846</v>
      </c>
      <c r="D1195" s="6" t="s">
        <v>1638</v>
      </c>
      <c r="E1195" s="21">
        <v>43929</v>
      </c>
      <c r="F1195" s="4" t="s">
        <v>1461</v>
      </c>
      <c r="H1195" s="4">
        <v>6843</v>
      </c>
      <c r="I1195" s="4">
        <v>4839</v>
      </c>
      <c r="J1195" s="4" t="s">
        <v>5265</v>
      </c>
      <c r="K1195" s="6" t="s">
        <v>5266</v>
      </c>
      <c r="L1195" s="4">
        <v>2</v>
      </c>
      <c r="M1195" s="652">
        <v>3193</v>
      </c>
      <c r="N1195" s="4" t="s">
        <v>2886</v>
      </c>
      <c r="O1195" s="652">
        <v>3193</v>
      </c>
      <c r="P1195" s="652">
        <v>3800</v>
      </c>
      <c r="Q1195" s="652">
        <v>7600</v>
      </c>
      <c r="R1195" s="26">
        <v>43929</v>
      </c>
      <c r="S1195" s="4" t="s">
        <v>1501</v>
      </c>
      <c r="T1195" s="652">
        <v>28300</v>
      </c>
      <c r="U1195" t="s">
        <v>1545</v>
      </c>
      <c r="V1195" s="653">
        <v>2100</v>
      </c>
      <c r="W1195" s="653">
        <v>1093</v>
      </c>
      <c r="X1195" s="375">
        <v>0.34</v>
      </c>
    </row>
    <row r="1196" spans="1:24" x14ac:dyDescent="0.25">
      <c r="A1196" s="4">
        <v>602</v>
      </c>
      <c r="B1196" s="4" t="s">
        <v>1515</v>
      </c>
      <c r="C1196" s="6" t="s">
        <v>5844</v>
      </c>
      <c r="D1196" s="6" t="s">
        <v>1638</v>
      </c>
      <c r="E1196" s="21">
        <v>43929</v>
      </c>
      <c r="F1196" s="4" t="s">
        <v>1461</v>
      </c>
      <c r="H1196" s="4">
        <v>6843</v>
      </c>
      <c r="I1196" s="4">
        <v>4839</v>
      </c>
      <c r="J1196" s="4" t="s">
        <v>5265</v>
      </c>
      <c r="K1196" s="6" t="s">
        <v>5266</v>
      </c>
      <c r="L1196" s="4">
        <v>2</v>
      </c>
      <c r="M1196" s="652">
        <v>4874</v>
      </c>
      <c r="N1196" s="4" t="s">
        <v>2886</v>
      </c>
      <c r="O1196" s="652">
        <v>4874</v>
      </c>
      <c r="P1196" s="652">
        <v>5800</v>
      </c>
      <c r="Q1196" s="652">
        <v>11600</v>
      </c>
      <c r="R1196" s="26">
        <v>43929</v>
      </c>
      <c r="S1196" s="4" t="s">
        <v>1501</v>
      </c>
      <c r="T1196" s="652">
        <v>28300</v>
      </c>
      <c r="U1196" t="s">
        <v>1545</v>
      </c>
      <c r="V1196" s="653">
        <v>2400</v>
      </c>
      <c r="W1196" s="653">
        <v>2474</v>
      </c>
      <c r="X1196" s="375">
        <v>0.51</v>
      </c>
    </row>
    <row r="1197" spans="1:24" x14ac:dyDescent="0.25">
      <c r="A1197" s="4">
        <v>602</v>
      </c>
      <c r="B1197" s="4" t="s">
        <v>1503</v>
      </c>
      <c r="C1197" s="6" t="s">
        <v>1972</v>
      </c>
      <c r="D1197" s="6" t="s">
        <v>1638</v>
      </c>
      <c r="E1197" s="21">
        <v>43929</v>
      </c>
      <c r="F1197" s="4" t="s">
        <v>1461</v>
      </c>
      <c r="H1197" s="4">
        <v>6843</v>
      </c>
      <c r="I1197" s="4">
        <v>4839</v>
      </c>
      <c r="J1197" s="4" t="s">
        <v>5265</v>
      </c>
      <c r="K1197" s="6" t="s">
        <v>5266</v>
      </c>
      <c r="L1197" s="4">
        <v>2</v>
      </c>
      <c r="M1197" s="652">
        <v>3193</v>
      </c>
      <c r="N1197" s="4" t="s">
        <v>2886</v>
      </c>
      <c r="O1197" s="652">
        <v>3193</v>
      </c>
      <c r="P1197" s="652">
        <v>3800</v>
      </c>
      <c r="Q1197" s="652">
        <v>7600</v>
      </c>
      <c r="R1197" s="26">
        <v>43929</v>
      </c>
      <c r="S1197" s="4" t="s">
        <v>1501</v>
      </c>
      <c r="T1197" s="652">
        <v>28300</v>
      </c>
      <c r="U1197" t="s">
        <v>1545</v>
      </c>
      <c r="V1197" s="653">
        <v>2200</v>
      </c>
      <c r="W1197" s="653">
        <v>993</v>
      </c>
      <c r="X1197" s="375">
        <v>0.31</v>
      </c>
    </row>
    <row r="1198" spans="1:24" x14ac:dyDescent="0.25">
      <c r="A1198" s="4">
        <v>602</v>
      </c>
      <c r="B1198" s="4" t="s">
        <v>1653</v>
      </c>
      <c r="C1198" s="6" t="s">
        <v>2112</v>
      </c>
      <c r="D1198" s="6" t="s">
        <v>1504</v>
      </c>
      <c r="E1198" s="21">
        <v>43929</v>
      </c>
      <c r="F1198" s="4" t="s">
        <v>1461</v>
      </c>
      <c r="H1198" s="4">
        <v>6843</v>
      </c>
      <c r="I1198" s="4">
        <v>4839</v>
      </c>
      <c r="J1198" s="4" t="s">
        <v>5265</v>
      </c>
      <c r="K1198" s="6" t="s">
        <v>5266</v>
      </c>
      <c r="L1198" s="4">
        <v>1</v>
      </c>
      <c r="M1198" s="652">
        <v>1261</v>
      </c>
      <c r="N1198" s="4" t="s">
        <v>2886</v>
      </c>
      <c r="O1198" s="652">
        <v>1261</v>
      </c>
      <c r="P1198" s="652">
        <v>1500</v>
      </c>
      <c r="Q1198" s="652">
        <v>1500</v>
      </c>
      <c r="R1198" s="26">
        <v>43929</v>
      </c>
      <c r="S1198" s="4" t="s">
        <v>1501</v>
      </c>
      <c r="T1198" s="652">
        <v>28300</v>
      </c>
      <c r="U1198" t="s">
        <v>1545</v>
      </c>
      <c r="V1198" s="653">
        <v>545</v>
      </c>
      <c r="W1198" s="653">
        <v>716</v>
      </c>
      <c r="X1198" s="375">
        <v>0.56999999999999995</v>
      </c>
    </row>
    <row r="1199" spans="1:24" x14ac:dyDescent="0.25">
      <c r="A1199" s="4">
        <v>603</v>
      </c>
      <c r="B1199" s="4" t="s">
        <v>847</v>
      </c>
      <c r="C1199" s="6" t="s">
        <v>2201</v>
      </c>
      <c r="D1199" s="6" t="s">
        <v>2198</v>
      </c>
      <c r="E1199" s="21">
        <v>43929</v>
      </c>
      <c r="F1199" s="4" t="s">
        <v>1461</v>
      </c>
      <c r="H1199" s="4">
        <v>6844</v>
      </c>
      <c r="I1199" s="4">
        <v>4840</v>
      </c>
      <c r="J1199" s="4" t="s">
        <v>2108</v>
      </c>
      <c r="K1199" s="6" t="s">
        <v>2214</v>
      </c>
      <c r="L1199" s="4">
        <v>1</v>
      </c>
      <c r="M1199" s="652">
        <v>8571</v>
      </c>
      <c r="N1199" s="4" t="s">
        <v>2886</v>
      </c>
      <c r="O1199" s="652">
        <v>8571</v>
      </c>
      <c r="P1199" s="652">
        <v>10200</v>
      </c>
      <c r="Q1199" s="652">
        <v>10200</v>
      </c>
      <c r="R1199" s="26">
        <v>43929</v>
      </c>
      <c r="S1199" s="4" t="s">
        <v>1501</v>
      </c>
      <c r="T1199" s="652">
        <v>10200</v>
      </c>
      <c r="U1199" t="s">
        <v>1572</v>
      </c>
      <c r="V1199" s="653">
        <v>6436</v>
      </c>
      <c r="W1199" s="653">
        <v>2135</v>
      </c>
      <c r="X1199" s="375">
        <v>0.25</v>
      </c>
    </row>
    <row r="1200" spans="1:24" x14ac:dyDescent="0.25">
      <c r="A1200" s="4">
        <v>604</v>
      </c>
      <c r="B1200" s="4" t="s">
        <v>5328</v>
      </c>
      <c r="C1200" s="6" t="s">
        <v>5327</v>
      </c>
      <c r="D1200" s="6" t="s">
        <v>5326</v>
      </c>
      <c r="E1200" s="21">
        <v>43929</v>
      </c>
      <c r="F1200" s="4" t="s">
        <v>1461</v>
      </c>
      <c r="H1200" s="4">
        <v>6845</v>
      </c>
      <c r="I1200" s="4">
        <v>4841</v>
      </c>
      <c r="J1200" s="4" t="s">
        <v>6108</v>
      </c>
      <c r="K1200" s="6" t="s">
        <v>6109</v>
      </c>
      <c r="L1200" s="4">
        <v>2</v>
      </c>
      <c r="M1200" s="652">
        <v>30924</v>
      </c>
      <c r="N1200" s="374">
        <v>0.03</v>
      </c>
      <c r="O1200" s="652">
        <v>30106</v>
      </c>
      <c r="P1200" s="652">
        <v>35800</v>
      </c>
      <c r="Q1200" s="652">
        <v>71600</v>
      </c>
      <c r="R1200" s="26">
        <v>43929</v>
      </c>
      <c r="S1200" s="4" t="s">
        <v>1501</v>
      </c>
      <c r="T1200" s="652">
        <v>71600</v>
      </c>
      <c r="U1200" t="s">
        <v>1551</v>
      </c>
      <c r="V1200" s="653">
        <v>25803</v>
      </c>
      <c r="W1200" s="653">
        <v>4303</v>
      </c>
      <c r="X1200" s="375">
        <v>0.14000000000000001</v>
      </c>
    </row>
    <row r="1201" spans="1:24" x14ac:dyDescent="0.25">
      <c r="A1201" s="4">
        <v>605</v>
      </c>
      <c r="B1201" s="4" t="s">
        <v>6070</v>
      </c>
      <c r="C1201" s="6" t="s">
        <v>6071</v>
      </c>
      <c r="D1201" s="6" t="s">
        <v>1504</v>
      </c>
      <c r="E1201" s="21">
        <v>43929</v>
      </c>
      <c r="F1201" s="4" t="s">
        <v>1461</v>
      </c>
      <c r="H1201" s="4">
        <v>6846</v>
      </c>
      <c r="I1201" s="4">
        <v>4842</v>
      </c>
      <c r="J1201" s="4" t="s">
        <v>6111</v>
      </c>
      <c r="K1201" s="6" t="s">
        <v>6112</v>
      </c>
      <c r="L1201" s="4">
        <v>1</v>
      </c>
      <c r="M1201" s="652">
        <v>8405</v>
      </c>
      <c r="N1201" s="374">
        <v>0.15</v>
      </c>
      <c r="O1201" s="652">
        <v>7308</v>
      </c>
      <c r="P1201" s="652">
        <v>8500</v>
      </c>
      <c r="Q1201" s="652">
        <v>8500</v>
      </c>
      <c r="R1201" s="26">
        <v>43929</v>
      </c>
      <c r="S1201" s="4" t="s">
        <v>1501</v>
      </c>
      <c r="T1201" s="652">
        <v>8500</v>
      </c>
      <c r="U1201" t="s">
        <v>4524</v>
      </c>
      <c r="V1201" s="653">
        <v>5043</v>
      </c>
      <c r="W1201" s="653">
        <v>2265</v>
      </c>
      <c r="X1201" s="375">
        <v>0.31</v>
      </c>
    </row>
    <row r="1202" spans="1:24" x14ac:dyDescent="0.25">
      <c r="A1202" s="4">
        <v>606</v>
      </c>
      <c r="B1202" s="4" t="s">
        <v>6113</v>
      </c>
      <c r="C1202" s="6" t="s">
        <v>6114</v>
      </c>
      <c r="D1202" s="6" t="s">
        <v>661</v>
      </c>
      <c r="E1202" s="21">
        <v>43930</v>
      </c>
      <c r="F1202" s="4" t="s">
        <v>925</v>
      </c>
      <c r="H1202" s="4" t="s">
        <v>2528</v>
      </c>
      <c r="I1202" s="4">
        <v>4843</v>
      </c>
      <c r="J1202" s="4" t="s">
        <v>1259</v>
      </c>
      <c r="K1202" s="6" t="s">
        <v>2778</v>
      </c>
      <c r="L1202" s="4">
        <v>24</v>
      </c>
      <c r="M1202" s="654">
        <v>416</v>
      </c>
      <c r="N1202" s="374">
        <v>0.1</v>
      </c>
      <c r="O1202" s="654">
        <v>379</v>
      </c>
      <c r="P1202" s="654">
        <v>446</v>
      </c>
      <c r="Q1202" s="654">
        <v>10704</v>
      </c>
      <c r="R1202" s="26">
        <v>43930</v>
      </c>
      <c r="S1202" s="4" t="s">
        <v>2050</v>
      </c>
      <c r="T1202" s="654">
        <v>10710</v>
      </c>
      <c r="U1202" t="s">
        <v>1739</v>
      </c>
      <c r="V1202" s="655">
        <v>300</v>
      </c>
      <c r="W1202" s="655">
        <v>79</v>
      </c>
      <c r="X1202" s="375">
        <v>0.21</v>
      </c>
    </row>
    <row r="1203" spans="1:24" x14ac:dyDescent="0.25">
      <c r="A1203" s="4">
        <v>607</v>
      </c>
      <c r="B1203" s="4" t="s">
        <v>6066</v>
      </c>
      <c r="C1203" s="6" t="s">
        <v>6067</v>
      </c>
      <c r="D1203" s="6" t="s">
        <v>6068</v>
      </c>
      <c r="E1203" s="21">
        <v>43930</v>
      </c>
      <c r="F1203" s="4" t="s">
        <v>925</v>
      </c>
      <c r="H1203" s="4" t="s">
        <v>2528</v>
      </c>
      <c r="I1203" s="4">
        <v>4844</v>
      </c>
      <c r="J1203" s="4" t="s">
        <v>5409</v>
      </c>
      <c r="K1203" s="6" t="s">
        <v>5410</v>
      </c>
      <c r="L1203" s="4">
        <v>2</v>
      </c>
      <c r="M1203" s="654">
        <v>12497</v>
      </c>
      <c r="N1203" s="374">
        <v>0.05</v>
      </c>
      <c r="O1203" s="654">
        <v>11902</v>
      </c>
      <c r="P1203" s="654">
        <v>14127</v>
      </c>
      <c r="Q1203" s="654">
        <v>28254</v>
      </c>
      <c r="R1203" s="26">
        <v>43930</v>
      </c>
      <c r="S1203" s="4" t="s">
        <v>1445</v>
      </c>
      <c r="T1203" s="654">
        <v>28255</v>
      </c>
      <c r="U1203" t="s">
        <v>6069</v>
      </c>
      <c r="V1203" s="655">
        <v>7500</v>
      </c>
      <c r="W1203" s="655">
        <v>4402</v>
      </c>
      <c r="X1203" s="375">
        <v>0.37</v>
      </c>
    </row>
    <row r="1204" spans="1:24" x14ac:dyDescent="0.25">
      <c r="A1204" s="4">
        <v>608</v>
      </c>
      <c r="B1204" s="4" t="s">
        <v>30</v>
      </c>
      <c r="C1204" s="6" t="s">
        <v>5839</v>
      </c>
      <c r="D1204" s="6" t="s">
        <v>33</v>
      </c>
      <c r="E1204" s="21">
        <v>43930</v>
      </c>
      <c r="F1204" s="4" t="s">
        <v>1461</v>
      </c>
      <c r="H1204" s="4">
        <v>6841</v>
      </c>
      <c r="I1204" s="4">
        <v>4845</v>
      </c>
      <c r="J1204" s="4" t="s">
        <v>1242</v>
      </c>
      <c r="K1204" s="6" t="s">
        <v>958</v>
      </c>
      <c r="L1204" s="4">
        <v>12</v>
      </c>
      <c r="M1204" s="654">
        <v>756</v>
      </c>
      <c r="N1204" s="4" t="s">
        <v>2886</v>
      </c>
      <c r="O1204" s="654">
        <v>756</v>
      </c>
      <c r="P1204" s="654">
        <v>900</v>
      </c>
      <c r="Q1204" s="654">
        <v>10800</v>
      </c>
      <c r="R1204" s="26">
        <v>43930</v>
      </c>
      <c r="S1204" s="4" t="s">
        <v>1501</v>
      </c>
      <c r="T1204" s="654">
        <v>52900</v>
      </c>
      <c r="U1204" t="s">
        <v>1563</v>
      </c>
      <c r="V1204" s="655">
        <v>548</v>
      </c>
      <c r="W1204" s="655">
        <v>208</v>
      </c>
      <c r="X1204" s="375">
        <v>0.28000000000000003</v>
      </c>
    </row>
    <row r="1205" spans="1:24" x14ac:dyDescent="0.25">
      <c r="A1205" s="4">
        <v>608</v>
      </c>
      <c r="B1205" s="4" t="s">
        <v>2860</v>
      </c>
      <c r="C1205" s="6" t="s">
        <v>5854</v>
      </c>
      <c r="D1205" s="6" t="s">
        <v>33</v>
      </c>
      <c r="E1205" s="21">
        <v>43930</v>
      </c>
      <c r="F1205" s="4" t="s">
        <v>1461</v>
      </c>
      <c r="H1205" s="4">
        <v>6841</v>
      </c>
      <c r="I1205" s="4">
        <v>4845</v>
      </c>
      <c r="J1205" s="4" t="s">
        <v>1242</v>
      </c>
      <c r="K1205" s="6" t="s">
        <v>958</v>
      </c>
      <c r="L1205" s="4">
        <v>3</v>
      </c>
      <c r="M1205" s="654">
        <v>1681</v>
      </c>
      <c r="N1205" s="4" t="s">
        <v>2886</v>
      </c>
      <c r="O1205" s="654">
        <v>1681</v>
      </c>
      <c r="P1205" s="654">
        <v>2000</v>
      </c>
      <c r="Q1205" s="654">
        <v>6000</v>
      </c>
      <c r="R1205" s="26">
        <v>43930</v>
      </c>
      <c r="S1205" s="4" t="s">
        <v>1501</v>
      </c>
      <c r="T1205" s="654">
        <v>52900</v>
      </c>
      <c r="U1205" t="s">
        <v>1563</v>
      </c>
      <c r="V1205" s="655">
        <v>1198</v>
      </c>
      <c r="W1205" s="655">
        <v>483</v>
      </c>
      <c r="X1205" s="375">
        <v>0.28999999999999998</v>
      </c>
    </row>
    <row r="1206" spans="1:24" x14ac:dyDescent="0.25">
      <c r="A1206" s="4">
        <v>608</v>
      </c>
      <c r="B1206" s="4" t="s">
        <v>6039</v>
      </c>
      <c r="C1206" s="6" t="s">
        <v>6040</v>
      </c>
      <c r="D1206" s="6" t="s">
        <v>6041</v>
      </c>
      <c r="E1206" s="21">
        <v>43930</v>
      </c>
      <c r="F1206" s="4" t="s">
        <v>1461</v>
      </c>
      <c r="H1206" s="4">
        <v>6841</v>
      </c>
      <c r="I1206" s="4">
        <v>4845</v>
      </c>
      <c r="J1206" s="4" t="s">
        <v>1242</v>
      </c>
      <c r="K1206" s="6" t="s">
        <v>958</v>
      </c>
      <c r="L1206" s="4">
        <v>1</v>
      </c>
      <c r="M1206" s="654">
        <v>2353</v>
      </c>
      <c r="N1206" s="4" t="s">
        <v>2886</v>
      </c>
      <c r="O1206" s="654">
        <v>2353</v>
      </c>
      <c r="P1206" s="654">
        <v>2800</v>
      </c>
      <c r="Q1206" s="654">
        <v>2800</v>
      </c>
      <c r="R1206" s="26">
        <v>43930</v>
      </c>
      <c r="S1206" s="4" t="s">
        <v>1501</v>
      </c>
      <c r="T1206" s="654">
        <v>52900</v>
      </c>
      <c r="U1206" t="s">
        <v>1545</v>
      </c>
      <c r="V1206" s="655">
        <v>1104</v>
      </c>
      <c r="W1206" s="655">
        <v>1249</v>
      </c>
      <c r="X1206" s="375">
        <v>0.53</v>
      </c>
    </row>
    <row r="1207" spans="1:24" x14ac:dyDescent="0.25">
      <c r="A1207" s="4">
        <v>608</v>
      </c>
      <c r="B1207" s="4" t="s">
        <v>2467</v>
      </c>
      <c r="C1207" s="6" t="s">
        <v>2468</v>
      </c>
      <c r="D1207" s="6" t="s">
        <v>2469</v>
      </c>
      <c r="E1207" s="21">
        <v>43930</v>
      </c>
      <c r="F1207" s="4" t="s">
        <v>1461</v>
      </c>
      <c r="H1207" s="4">
        <v>6841</v>
      </c>
      <c r="I1207" s="4">
        <v>4845</v>
      </c>
      <c r="J1207" s="4" t="s">
        <v>1242</v>
      </c>
      <c r="K1207" s="6" t="s">
        <v>958</v>
      </c>
      <c r="L1207" s="4">
        <v>2</v>
      </c>
      <c r="M1207" s="654">
        <v>840</v>
      </c>
      <c r="N1207" s="4" t="s">
        <v>2886</v>
      </c>
      <c r="O1207" s="654">
        <v>840</v>
      </c>
      <c r="P1207" s="654">
        <v>1000</v>
      </c>
      <c r="Q1207" s="654">
        <v>2000</v>
      </c>
      <c r="R1207" s="26">
        <v>43930</v>
      </c>
      <c r="S1207" s="4" t="s">
        <v>1501</v>
      </c>
      <c r="T1207" s="654">
        <v>52900</v>
      </c>
      <c r="U1207" t="s">
        <v>1561</v>
      </c>
      <c r="V1207" s="655">
        <v>510</v>
      </c>
      <c r="W1207" s="655">
        <v>330</v>
      </c>
      <c r="X1207" s="375">
        <v>0.39</v>
      </c>
    </row>
    <row r="1208" spans="1:24" x14ac:dyDescent="0.25">
      <c r="A1208" s="4">
        <v>608</v>
      </c>
      <c r="B1208" s="4" t="s">
        <v>27</v>
      </c>
      <c r="C1208" s="6" t="s">
        <v>5837</v>
      </c>
      <c r="D1208" s="6" t="s">
        <v>23</v>
      </c>
      <c r="E1208" s="21">
        <v>43930</v>
      </c>
      <c r="F1208" s="4" t="s">
        <v>1461</v>
      </c>
      <c r="H1208" s="4">
        <v>6841</v>
      </c>
      <c r="I1208" s="4">
        <v>4845</v>
      </c>
      <c r="J1208" s="4" t="s">
        <v>1242</v>
      </c>
      <c r="K1208" s="6" t="s">
        <v>958</v>
      </c>
      <c r="L1208" s="4">
        <v>1</v>
      </c>
      <c r="M1208" s="654">
        <v>1008</v>
      </c>
      <c r="N1208" s="4" t="s">
        <v>2886</v>
      </c>
      <c r="O1208" s="654">
        <v>1008</v>
      </c>
      <c r="P1208" s="654">
        <v>1200</v>
      </c>
      <c r="Q1208" s="654">
        <v>1200</v>
      </c>
      <c r="R1208" s="26">
        <v>43930</v>
      </c>
      <c r="S1208" s="4" t="s">
        <v>1501</v>
      </c>
      <c r="T1208" s="654">
        <v>52900</v>
      </c>
      <c r="U1208" t="s">
        <v>2668</v>
      </c>
      <c r="V1208" t="s">
        <v>5584</v>
      </c>
      <c r="W1208" s="655">
        <v>1008</v>
      </c>
      <c r="X1208" s="375">
        <v>1</v>
      </c>
    </row>
    <row r="1209" spans="1:24" x14ac:dyDescent="0.25">
      <c r="A1209" s="4">
        <v>608</v>
      </c>
      <c r="B1209" s="4" t="s">
        <v>8</v>
      </c>
      <c r="C1209" s="6" t="s">
        <v>5825</v>
      </c>
      <c r="D1209" s="6" t="s">
        <v>9</v>
      </c>
      <c r="E1209" s="21">
        <v>43930</v>
      </c>
      <c r="F1209" s="4" t="s">
        <v>1461</v>
      </c>
      <c r="H1209" s="4">
        <v>6841</v>
      </c>
      <c r="I1209" s="4">
        <v>4845</v>
      </c>
      <c r="J1209" s="4" t="s">
        <v>1242</v>
      </c>
      <c r="K1209" s="6" t="s">
        <v>958</v>
      </c>
      <c r="L1209" s="4">
        <v>2</v>
      </c>
      <c r="M1209" s="654">
        <v>672</v>
      </c>
      <c r="N1209" s="4" t="s">
        <v>2886</v>
      </c>
      <c r="O1209" s="654">
        <v>672</v>
      </c>
      <c r="P1209" s="654">
        <v>800</v>
      </c>
      <c r="Q1209" s="654">
        <v>1600</v>
      </c>
      <c r="R1209" s="26">
        <v>43930</v>
      </c>
      <c r="S1209" s="4" t="s">
        <v>1501</v>
      </c>
      <c r="T1209" s="654">
        <v>52900</v>
      </c>
      <c r="U1209" t="s">
        <v>1486</v>
      </c>
      <c r="V1209" s="655">
        <v>366</v>
      </c>
      <c r="W1209" s="655">
        <v>306</v>
      </c>
      <c r="X1209" s="375">
        <v>0.46</v>
      </c>
    </row>
    <row r="1210" spans="1:24" x14ac:dyDescent="0.25">
      <c r="A1210" s="4">
        <v>608</v>
      </c>
      <c r="B1210" s="4" t="s">
        <v>4218</v>
      </c>
      <c r="C1210" s="6" t="s">
        <v>4219</v>
      </c>
      <c r="D1210" s="6" t="s">
        <v>3950</v>
      </c>
      <c r="E1210" s="21">
        <v>43930</v>
      </c>
      <c r="F1210" s="4" t="s">
        <v>1461</v>
      </c>
      <c r="H1210" s="4">
        <v>6841</v>
      </c>
      <c r="I1210" s="4">
        <v>4845</v>
      </c>
      <c r="J1210" s="4" t="s">
        <v>1242</v>
      </c>
      <c r="K1210" s="6" t="s">
        <v>958</v>
      </c>
      <c r="L1210" s="4">
        <v>1</v>
      </c>
      <c r="M1210" s="654">
        <v>10084</v>
      </c>
      <c r="N1210" s="4" t="s">
        <v>2886</v>
      </c>
      <c r="O1210" s="654">
        <v>10084</v>
      </c>
      <c r="P1210" s="654">
        <v>12000</v>
      </c>
      <c r="Q1210" s="654">
        <v>12000</v>
      </c>
      <c r="R1210" s="26">
        <v>43930</v>
      </c>
      <c r="S1210" s="4" t="s">
        <v>1501</v>
      </c>
      <c r="T1210" s="654">
        <v>52900</v>
      </c>
      <c r="U1210" t="s">
        <v>3934</v>
      </c>
      <c r="V1210" s="655">
        <v>6000</v>
      </c>
      <c r="W1210" s="655">
        <v>4084</v>
      </c>
      <c r="X1210" s="375">
        <v>0.4</v>
      </c>
    </row>
    <row r="1211" spans="1:24" x14ac:dyDescent="0.25">
      <c r="A1211" s="4">
        <v>608</v>
      </c>
      <c r="B1211" s="4" t="s">
        <v>830</v>
      </c>
      <c r="C1211" s="6" t="s">
        <v>2495</v>
      </c>
      <c r="D1211" s="6" t="s">
        <v>837</v>
      </c>
      <c r="E1211" s="21">
        <v>43930</v>
      </c>
      <c r="F1211" s="4" t="s">
        <v>1461</v>
      </c>
      <c r="H1211" s="4">
        <v>6841</v>
      </c>
      <c r="I1211" s="4">
        <v>4845</v>
      </c>
      <c r="J1211" s="4" t="s">
        <v>1242</v>
      </c>
      <c r="K1211" s="6" t="s">
        <v>958</v>
      </c>
      <c r="L1211" s="4">
        <v>1</v>
      </c>
      <c r="M1211" s="654">
        <v>13866</v>
      </c>
      <c r="N1211" s="4" t="s">
        <v>2886</v>
      </c>
      <c r="O1211" s="654">
        <v>13866</v>
      </c>
      <c r="P1211" s="654">
        <v>16500</v>
      </c>
      <c r="Q1211" s="654">
        <v>16500</v>
      </c>
      <c r="R1211" s="26">
        <v>43930</v>
      </c>
      <c r="S1211" s="4" t="s">
        <v>1501</v>
      </c>
      <c r="T1211" s="654">
        <v>52900</v>
      </c>
      <c r="U1211" t="s">
        <v>1572</v>
      </c>
      <c r="V1211" s="655">
        <v>10390</v>
      </c>
      <c r="W1211" s="655">
        <v>3476</v>
      </c>
      <c r="X1211" s="375">
        <v>0.25</v>
      </c>
    </row>
    <row r="1212" spans="1:24" x14ac:dyDescent="0.25">
      <c r="A1212" s="4">
        <v>609</v>
      </c>
      <c r="B1212" s="4" t="s">
        <v>5486</v>
      </c>
      <c r="C1212" s="6" t="s">
        <v>5979</v>
      </c>
      <c r="D1212" s="6" t="s">
        <v>94</v>
      </c>
      <c r="E1212" s="21">
        <v>43930</v>
      </c>
      <c r="F1212" s="4" t="s">
        <v>925</v>
      </c>
      <c r="H1212" s="4">
        <v>6847</v>
      </c>
      <c r="I1212" s="4">
        <v>4846</v>
      </c>
      <c r="J1212" s="4" t="s">
        <v>6115</v>
      </c>
      <c r="K1212" s="6" t="s">
        <v>6116</v>
      </c>
      <c r="L1212" s="4">
        <v>1</v>
      </c>
      <c r="M1212" s="654">
        <v>19244</v>
      </c>
      <c r="N1212" s="4" t="s">
        <v>2886</v>
      </c>
      <c r="O1212" s="654">
        <v>19244</v>
      </c>
      <c r="P1212" s="654">
        <v>22900</v>
      </c>
      <c r="Q1212" s="654">
        <v>22900</v>
      </c>
      <c r="R1212" s="26">
        <v>43930</v>
      </c>
      <c r="S1212" s="4" t="s">
        <v>1501</v>
      </c>
      <c r="T1212" s="654">
        <v>22900</v>
      </c>
      <c r="U1212" t="s">
        <v>1569</v>
      </c>
      <c r="V1212" s="655">
        <v>15000</v>
      </c>
      <c r="W1212" s="655">
        <v>4244</v>
      </c>
      <c r="X1212" s="375">
        <v>0.22</v>
      </c>
    </row>
    <row r="1213" spans="1:24" x14ac:dyDescent="0.25">
      <c r="A1213" s="4">
        <v>610</v>
      </c>
      <c r="B1213" s="4" t="s">
        <v>838</v>
      </c>
      <c r="C1213" s="6" t="s">
        <v>2062</v>
      </c>
      <c r="D1213" s="6" t="s">
        <v>840</v>
      </c>
      <c r="E1213" s="21">
        <v>43930</v>
      </c>
      <c r="F1213" s="4" t="s">
        <v>1461</v>
      </c>
      <c r="H1213" s="4">
        <v>6848</v>
      </c>
      <c r="I1213" s="4">
        <v>4847</v>
      </c>
      <c r="J1213" s="4" t="s">
        <v>1322</v>
      </c>
      <c r="K1213" s="6" t="s">
        <v>2317</v>
      </c>
      <c r="L1213" s="4">
        <v>1</v>
      </c>
      <c r="M1213" s="654">
        <v>16555</v>
      </c>
      <c r="N1213" s="4" t="s">
        <v>2886</v>
      </c>
      <c r="O1213" s="654">
        <v>16555</v>
      </c>
      <c r="P1213" s="654">
        <v>19700</v>
      </c>
      <c r="Q1213" s="654">
        <v>19700</v>
      </c>
      <c r="R1213" s="26">
        <v>43930</v>
      </c>
      <c r="S1213" s="4" t="s">
        <v>1501</v>
      </c>
      <c r="T1213" s="654">
        <v>19700</v>
      </c>
      <c r="U1213" t="s">
        <v>1572</v>
      </c>
      <c r="V1213" s="655">
        <v>12429</v>
      </c>
      <c r="W1213" s="655">
        <v>4126</v>
      </c>
      <c r="X1213" s="375">
        <v>0.25</v>
      </c>
    </row>
    <row r="1214" spans="1:24" x14ac:dyDescent="0.25">
      <c r="A1214" s="4">
        <v>611</v>
      </c>
      <c r="B1214" s="4" t="s">
        <v>656</v>
      </c>
      <c r="C1214" s="6" t="s">
        <v>1973</v>
      </c>
      <c r="D1214" s="6" t="s">
        <v>794</v>
      </c>
      <c r="E1214" s="21">
        <v>43930</v>
      </c>
      <c r="F1214" s="4" t="s">
        <v>1461</v>
      </c>
      <c r="H1214" s="4">
        <v>6849</v>
      </c>
      <c r="I1214" s="4">
        <v>4848</v>
      </c>
      <c r="J1214" s="4" t="s">
        <v>6119</v>
      </c>
      <c r="K1214" s="6" t="s">
        <v>6120</v>
      </c>
      <c r="L1214" s="4">
        <v>1</v>
      </c>
      <c r="M1214" s="654">
        <v>20084</v>
      </c>
      <c r="N1214" s="4" t="s">
        <v>2886</v>
      </c>
      <c r="O1214" s="654">
        <v>20084</v>
      </c>
      <c r="P1214" s="654">
        <v>23900</v>
      </c>
      <c r="Q1214" s="654">
        <v>23900</v>
      </c>
      <c r="R1214" s="26">
        <v>43930</v>
      </c>
      <c r="S1214" s="4" t="s">
        <v>1501</v>
      </c>
      <c r="T1214" s="654">
        <v>23900</v>
      </c>
      <c r="U1214" t="s">
        <v>1551</v>
      </c>
      <c r="V1214" s="655">
        <v>14604</v>
      </c>
      <c r="W1214" s="655">
        <v>5480</v>
      </c>
      <c r="X1214" s="375">
        <v>0.27</v>
      </c>
    </row>
    <row r="1215" spans="1:24" x14ac:dyDescent="0.25">
      <c r="A1215" s="4">
        <v>612</v>
      </c>
      <c r="B1215" s="4" t="s">
        <v>853</v>
      </c>
      <c r="C1215" s="6" t="s">
        <v>2494</v>
      </c>
      <c r="D1215" s="6" t="s">
        <v>851</v>
      </c>
      <c r="E1215" s="21">
        <v>43930</v>
      </c>
      <c r="F1215" s="4" t="s">
        <v>1461</v>
      </c>
      <c r="H1215" s="4">
        <v>6850</v>
      </c>
      <c r="I1215" s="4">
        <v>4849</v>
      </c>
      <c r="J1215" s="4" t="s">
        <v>4947</v>
      </c>
      <c r="K1215" s="6" t="s">
        <v>4948</v>
      </c>
      <c r="L1215" s="4">
        <v>3</v>
      </c>
      <c r="M1215" s="654">
        <v>4622</v>
      </c>
      <c r="N1215" s="4" t="s">
        <v>2886</v>
      </c>
      <c r="O1215" s="654">
        <v>4622</v>
      </c>
      <c r="P1215" s="654">
        <v>5500</v>
      </c>
      <c r="Q1215" s="654">
        <v>16500</v>
      </c>
      <c r="R1215" s="26">
        <v>43930</v>
      </c>
      <c r="S1215" s="4" t="s">
        <v>1501</v>
      </c>
      <c r="T1215" s="654">
        <v>16500</v>
      </c>
      <c r="U1215" t="s">
        <v>1572</v>
      </c>
      <c r="V1215" s="655">
        <v>4135</v>
      </c>
      <c r="W1215" s="655">
        <v>487</v>
      </c>
      <c r="X1215" s="375">
        <v>0.11</v>
      </c>
    </row>
    <row r="1216" spans="1:24" x14ac:dyDescent="0.25">
      <c r="A1216" s="4">
        <v>613</v>
      </c>
      <c r="B1216" s="4" t="s">
        <v>847</v>
      </c>
      <c r="C1216" s="6" t="s">
        <v>2201</v>
      </c>
      <c r="D1216" s="6" t="s">
        <v>2198</v>
      </c>
      <c r="E1216" s="21">
        <v>43930</v>
      </c>
      <c r="F1216" s="4" t="s">
        <v>1461</v>
      </c>
      <c r="H1216" s="4">
        <v>6851</v>
      </c>
      <c r="I1216" s="4">
        <v>4850</v>
      </c>
      <c r="J1216" s="4" t="s">
        <v>1399</v>
      </c>
      <c r="K1216" s="6" t="s">
        <v>1004</v>
      </c>
      <c r="L1216" s="4">
        <v>1</v>
      </c>
      <c r="M1216" s="654">
        <v>8571</v>
      </c>
      <c r="N1216" s="4" t="s">
        <v>2886</v>
      </c>
      <c r="O1216" s="654">
        <v>8571</v>
      </c>
      <c r="P1216" s="654">
        <v>10200</v>
      </c>
      <c r="Q1216" s="654">
        <v>10200</v>
      </c>
      <c r="R1216" s="26">
        <v>43930</v>
      </c>
      <c r="S1216" s="4" t="s">
        <v>1501</v>
      </c>
      <c r="T1216" s="654">
        <v>10200</v>
      </c>
      <c r="U1216" t="s">
        <v>1572</v>
      </c>
      <c r="V1216" s="655">
        <v>6436</v>
      </c>
      <c r="W1216" s="655">
        <v>2135</v>
      </c>
      <c r="X1216" s="375">
        <v>0.25</v>
      </c>
    </row>
    <row r="1217" spans="1:24" x14ac:dyDescent="0.25">
      <c r="A1217" s="4">
        <v>614</v>
      </c>
      <c r="B1217" s="4" t="s">
        <v>38</v>
      </c>
      <c r="C1217" s="6" t="s">
        <v>5843</v>
      </c>
      <c r="D1217" s="6" t="s">
        <v>1504</v>
      </c>
      <c r="E1217" s="21">
        <v>43930</v>
      </c>
      <c r="F1217" s="4" t="s">
        <v>925</v>
      </c>
      <c r="H1217" s="4" t="s">
        <v>2528</v>
      </c>
      <c r="I1217" s="4">
        <v>4851</v>
      </c>
      <c r="J1217" s="4" t="s">
        <v>1182</v>
      </c>
      <c r="K1217" s="6" t="s">
        <v>1044</v>
      </c>
      <c r="L1217" s="4">
        <v>6</v>
      </c>
      <c r="M1217" s="657">
        <v>3248</v>
      </c>
      <c r="N1217" s="374">
        <v>0.1</v>
      </c>
      <c r="O1217" s="657">
        <v>2959</v>
      </c>
      <c r="P1217" s="657">
        <v>3488</v>
      </c>
      <c r="Q1217" s="657">
        <v>20928</v>
      </c>
      <c r="R1217" s="26">
        <v>43930</v>
      </c>
      <c r="S1217" s="4" t="s">
        <v>1445</v>
      </c>
      <c r="T1217" s="657">
        <v>90409</v>
      </c>
      <c r="U1217" t="s">
        <v>1563</v>
      </c>
      <c r="V1217" s="658">
        <v>2200</v>
      </c>
      <c r="W1217" s="658">
        <v>759</v>
      </c>
      <c r="X1217" s="375">
        <v>0.26</v>
      </c>
    </row>
    <row r="1218" spans="1:24" x14ac:dyDescent="0.25">
      <c r="A1218" s="4">
        <v>614</v>
      </c>
      <c r="B1218" s="4" t="s">
        <v>922</v>
      </c>
      <c r="C1218" s="6" t="s">
        <v>1654</v>
      </c>
      <c r="D1218" s="6" t="s">
        <v>1469</v>
      </c>
      <c r="E1218" s="21">
        <v>43930</v>
      </c>
      <c r="F1218" s="4" t="s">
        <v>925</v>
      </c>
      <c r="H1218" s="4" t="s">
        <v>2528</v>
      </c>
      <c r="I1218" s="4">
        <v>4851</v>
      </c>
      <c r="J1218" s="4" t="s">
        <v>1182</v>
      </c>
      <c r="K1218" s="6" t="s">
        <v>1044</v>
      </c>
      <c r="L1218" s="4">
        <v>12</v>
      </c>
      <c r="M1218" s="657">
        <v>2216</v>
      </c>
      <c r="N1218" s="374">
        <v>0.1</v>
      </c>
      <c r="O1218" s="657">
        <v>2019</v>
      </c>
      <c r="P1218" s="657">
        <v>2380</v>
      </c>
      <c r="Q1218" s="657">
        <v>28560</v>
      </c>
      <c r="R1218" s="26">
        <v>43930</v>
      </c>
      <c r="S1218" s="4" t="s">
        <v>1445</v>
      </c>
      <c r="T1218" s="657">
        <v>90409</v>
      </c>
      <c r="U1218" t="s">
        <v>1570</v>
      </c>
      <c r="V1218" s="658">
        <v>1600</v>
      </c>
      <c r="W1218" s="658">
        <v>419</v>
      </c>
      <c r="X1218" s="375">
        <v>0.21</v>
      </c>
    </row>
    <row r="1219" spans="1:24" x14ac:dyDescent="0.25">
      <c r="A1219" s="4">
        <v>614</v>
      </c>
      <c r="B1219" s="4" t="s">
        <v>656</v>
      </c>
      <c r="C1219" s="6" t="s">
        <v>1973</v>
      </c>
      <c r="D1219" s="6" t="s">
        <v>794</v>
      </c>
      <c r="E1219" s="21">
        <v>43930</v>
      </c>
      <c r="F1219" s="4" t="s">
        <v>925</v>
      </c>
      <c r="H1219" s="4" t="s">
        <v>2528</v>
      </c>
      <c r="I1219" s="4">
        <v>4851</v>
      </c>
      <c r="J1219" s="4" t="s">
        <v>1182</v>
      </c>
      <c r="K1219" s="6" t="s">
        <v>1044</v>
      </c>
      <c r="L1219" s="4">
        <v>2</v>
      </c>
      <c r="M1219" s="657">
        <v>20227</v>
      </c>
      <c r="N1219" s="374">
        <v>0.15</v>
      </c>
      <c r="O1219" s="657">
        <v>17589</v>
      </c>
      <c r="P1219" s="657">
        <v>20460</v>
      </c>
      <c r="Q1219" s="657">
        <v>40920</v>
      </c>
      <c r="R1219" s="26">
        <v>43930</v>
      </c>
      <c r="S1219" s="4" t="s">
        <v>1445</v>
      </c>
      <c r="T1219" s="657">
        <v>90409</v>
      </c>
      <c r="U1219" t="s">
        <v>1551</v>
      </c>
      <c r="V1219" s="658">
        <v>14604</v>
      </c>
      <c r="W1219" s="658">
        <v>2985</v>
      </c>
      <c r="X1219" s="375">
        <v>0.17</v>
      </c>
    </row>
    <row r="1220" spans="1:24" x14ac:dyDescent="0.25">
      <c r="A1220" s="4">
        <v>615</v>
      </c>
      <c r="B1220" s="4" t="s">
        <v>838</v>
      </c>
      <c r="C1220" s="6" t="s">
        <v>2062</v>
      </c>
      <c r="D1220" s="6" t="s">
        <v>840</v>
      </c>
      <c r="E1220" s="21">
        <v>43930</v>
      </c>
      <c r="F1220" s="4" t="s">
        <v>1461</v>
      </c>
      <c r="H1220" s="4">
        <v>6852</v>
      </c>
      <c r="I1220" s="4">
        <v>4852</v>
      </c>
      <c r="J1220" s="4" t="s">
        <v>2656</v>
      </c>
      <c r="K1220" s="6" t="s">
        <v>3362</v>
      </c>
      <c r="L1220" s="4">
        <v>1</v>
      </c>
      <c r="M1220" s="657">
        <v>16555</v>
      </c>
      <c r="N1220" s="4" t="s">
        <v>2886</v>
      </c>
      <c r="O1220" s="657">
        <v>16555</v>
      </c>
      <c r="P1220" s="657">
        <v>19700</v>
      </c>
      <c r="Q1220" s="657">
        <v>19700</v>
      </c>
      <c r="R1220" s="26">
        <v>43930</v>
      </c>
      <c r="S1220" s="4" t="s">
        <v>1501</v>
      </c>
      <c r="T1220" s="657">
        <v>19700</v>
      </c>
      <c r="U1220" t="s">
        <v>1572</v>
      </c>
      <c r="V1220" s="658">
        <v>12429</v>
      </c>
      <c r="W1220" s="658">
        <v>4126</v>
      </c>
      <c r="X1220" s="375">
        <v>0.25</v>
      </c>
    </row>
  </sheetData>
  <autoFilter ref="A2:Y1220">
    <sortState ref="A3:Y1171">
      <sortCondition ref="E2:E1171"/>
    </sortState>
  </autoFilter>
  <phoneticPr fontId="32" type="noConversion"/>
  <pageMargins left="0.7" right="0.7" top="0.75" bottom="0.75" header="0.3" footer="0.3"/>
  <pageSetup scale="86" orientation="landscape" horizontalDpi="4294967293" r:id="rId1"/>
  <colBreaks count="1" manualBreakCount="1">
    <brk id="2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90"/>
  <sheetViews>
    <sheetView showGridLines="0" workbookViewId="0">
      <pane ySplit="2" topLeftCell="A3" activePane="bottomLeft" state="frozen"/>
      <selection pane="bottomLeft" activeCell="C6" sqref="C6"/>
    </sheetView>
  </sheetViews>
  <sheetFormatPr baseColWidth="10" defaultColWidth="10.7109375" defaultRowHeight="15" x14ac:dyDescent="0.25"/>
  <cols>
    <col min="1" max="1" width="6.140625" style="4" bestFit="1" customWidth="1"/>
    <col min="2" max="2" width="14.140625" style="4" bestFit="1" customWidth="1"/>
    <col min="3" max="3" width="34" customWidth="1"/>
    <col min="4" max="4" width="13.140625" style="21" bestFit="1" customWidth="1"/>
    <col min="5" max="5" width="8.5703125" style="4" bestFit="1" customWidth="1"/>
    <col min="6" max="6" width="9.5703125" style="4" bestFit="1" customWidth="1"/>
    <col min="7" max="7" width="9.140625" style="4" bestFit="1" customWidth="1"/>
    <col min="8" max="8" width="39.140625" customWidth="1"/>
    <col min="9" max="9" width="8.85546875" style="4" bestFit="1" customWidth="1"/>
    <col min="10" max="10" width="10.85546875" style="4" bestFit="1" customWidth="1"/>
    <col min="11" max="11" width="11.85546875" bestFit="1" customWidth="1"/>
  </cols>
  <sheetData>
    <row r="1" spans="1:11" ht="33" customHeight="1" x14ac:dyDescent="0.2"/>
    <row r="2" spans="1:11" x14ac:dyDescent="0.25">
      <c r="A2" s="1" t="s">
        <v>1446</v>
      </c>
      <c r="B2" s="1" t="s">
        <v>1522</v>
      </c>
      <c r="C2" s="1" t="s">
        <v>1452</v>
      </c>
      <c r="D2" s="22" t="s">
        <v>1449</v>
      </c>
      <c r="E2" s="1" t="s">
        <v>1450</v>
      </c>
      <c r="F2" s="1" t="s">
        <v>1451</v>
      </c>
      <c r="G2" s="1" t="s">
        <v>1447</v>
      </c>
      <c r="H2" s="12" t="s">
        <v>1448</v>
      </c>
      <c r="I2" s="1" t="s">
        <v>1453</v>
      </c>
      <c r="J2" s="1" t="s">
        <v>1454</v>
      </c>
      <c r="K2" s="1" t="s">
        <v>1826</v>
      </c>
    </row>
    <row r="3" spans="1:11" x14ac:dyDescent="0.25">
      <c r="A3" s="4">
        <v>1</v>
      </c>
      <c r="B3" s="4" t="s">
        <v>1595</v>
      </c>
      <c r="C3" t="s">
        <v>1645</v>
      </c>
      <c r="E3" s="4" t="s">
        <v>925</v>
      </c>
      <c r="F3" s="4">
        <v>73740</v>
      </c>
      <c r="G3" s="4" t="s">
        <v>3907</v>
      </c>
      <c r="H3" t="s">
        <v>3814</v>
      </c>
      <c r="I3" s="4" t="s">
        <v>5601</v>
      </c>
      <c r="J3" s="379">
        <v>16760</v>
      </c>
      <c r="K3" t="s">
        <v>1646</v>
      </c>
    </row>
    <row r="4" spans="1:11" x14ac:dyDescent="0.25">
      <c r="A4" s="4">
        <v>2</v>
      </c>
      <c r="B4" s="4" t="s">
        <v>1595</v>
      </c>
      <c r="C4" t="s">
        <v>1645</v>
      </c>
      <c r="E4" s="4" t="s">
        <v>925</v>
      </c>
      <c r="F4" s="4">
        <v>73740</v>
      </c>
      <c r="G4" s="4" t="s">
        <v>4218</v>
      </c>
      <c r="H4" t="s">
        <v>4219</v>
      </c>
      <c r="I4" s="4">
        <v>20</v>
      </c>
      <c r="J4" s="379">
        <v>6000</v>
      </c>
      <c r="K4" t="s">
        <v>3950</v>
      </c>
    </row>
    <row r="5" spans="1:11" x14ac:dyDescent="0.25">
      <c r="A5" s="4">
        <v>3</v>
      </c>
      <c r="B5" s="4" t="s">
        <v>1595</v>
      </c>
      <c r="C5" t="s">
        <v>1645</v>
      </c>
      <c r="E5" s="4" t="s">
        <v>925</v>
      </c>
      <c r="F5" s="4">
        <v>73740</v>
      </c>
      <c r="G5" s="4" t="s">
        <v>3906</v>
      </c>
      <c r="H5" t="s">
        <v>3813</v>
      </c>
      <c r="I5" s="4">
        <v>15</v>
      </c>
      <c r="J5" s="379">
        <v>2408</v>
      </c>
      <c r="K5" t="s">
        <v>1646</v>
      </c>
    </row>
    <row r="6" spans="1:11" x14ac:dyDescent="0.25">
      <c r="A6" s="4">
        <v>4</v>
      </c>
      <c r="B6" s="4" t="s">
        <v>1595</v>
      </c>
      <c r="C6" t="s">
        <v>1645</v>
      </c>
      <c r="E6" s="4" t="s">
        <v>925</v>
      </c>
      <c r="F6" s="4">
        <v>73740</v>
      </c>
      <c r="G6" s="4" t="s">
        <v>3907</v>
      </c>
      <c r="H6" t="s">
        <v>3814</v>
      </c>
      <c r="I6" s="4">
        <v>15</v>
      </c>
      <c r="J6" s="379">
        <v>13408</v>
      </c>
      <c r="K6" t="s">
        <v>1646</v>
      </c>
    </row>
    <row r="7" spans="1:11" x14ac:dyDescent="0.25">
      <c r="A7" s="4">
        <v>5</v>
      </c>
      <c r="B7" s="4" t="s">
        <v>1597</v>
      </c>
      <c r="C7" t="s">
        <v>1562</v>
      </c>
      <c r="D7" s="21">
        <v>43471</v>
      </c>
      <c r="E7" s="4" t="s">
        <v>925</v>
      </c>
      <c r="F7" s="4">
        <v>134503</v>
      </c>
      <c r="G7" s="4" t="s">
        <v>2207</v>
      </c>
      <c r="H7" t="s">
        <v>3697</v>
      </c>
      <c r="I7" s="4">
        <v>80</v>
      </c>
      <c r="J7" s="379">
        <v>327</v>
      </c>
      <c r="K7" t="s">
        <v>1900</v>
      </c>
    </row>
    <row r="8" spans="1:11" x14ac:dyDescent="0.25">
      <c r="A8" s="4">
        <v>6</v>
      </c>
      <c r="B8" s="4" t="s">
        <v>1597</v>
      </c>
      <c r="C8" t="s">
        <v>1562</v>
      </c>
      <c r="D8" s="21">
        <v>43471</v>
      </c>
      <c r="E8" s="4" t="s">
        <v>925</v>
      </c>
      <c r="F8" s="4">
        <v>134503</v>
      </c>
      <c r="G8" s="4" t="s">
        <v>1888</v>
      </c>
      <c r="H8" t="s">
        <v>3508</v>
      </c>
      <c r="I8" s="4">
        <v>12</v>
      </c>
      <c r="J8" s="379">
        <v>1297</v>
      </c>
      <c r="K8" t="s">
        <v>1900</v>
      </c>
    </row>
    <row r="9" spans="1:11" x14ac:dyDescent="0.25">
      <c r="A9" s="4">
        <v>7</v>
      </c>
      <c r="B9" s="4" t="s">
        <v>4388</v>
      </c>
      <c r="C9" t="s">
        <v>4410</v>
      </c>
      <c r="D9" s="21">
        <v>43475</v>
      </c>
      <c r="E9" s="4" t="s">
        <v>925</v>
      </c>
      <c r="F9" s="4">
        <v>1293092</v>
      </c>
      <c r="G9" s="4" t="s">
        <v>4414</v>
      </c>
      <c r="H9" t="s">
        <v>4415</v>
      </c>
      <c r="I9" s="4">
        <v>24</v>
      </c>
      <c r="J9" s="387">
        <v>509</v>
      </c>
      <c r="K9" t="s">
        <v>1504</v>
      </c>
    </row>
    <row r="10" spans="1:11" x14ac:dyDescent="0.25">
      <c r="A10" s="4">
        <v>8</v>
      </c>
      <c r="B10" s="4" t="s">
        <v>4388</v>
      </c>
      <c r="C10" t="s">
        <v>4410</v>
      </c>
      <c r="D10" s="21">
        <v>43475</v>
      </c>
      <c r="E10" s="4" t="s">
        <v>925</v>
      </c>
      <c r="F10" s="4">
        <v>1293092</v>
      </c>
      <c r="G10" s="4" t="s">
        <v>4416</v>
      </c>
      <c r="H10" t="s">
        <v>4417</v>
      </c>
      <c r="I10" s="4">
        <v>144</v>
      </c>
      <c r="J10" s="387">
        <v>212</v>
      </c>
      <c r="K10" t="s">
        <v>1504</v>
      </c>
    </row>
    <row r="11" spans="1:11" x14ac:dyDescent="0.25">
      <c r="A11" s="4">
        <v>9</v>
      </c>
      <c r="B11" s="4" t="s">
        <v>4388</v>
      </c>
      <c r="C11" t="s">
        <v>4410</v>
      </c>
      <c r="D11" s="21">
        <v>43475</v>
      </c>
      <c r="E11" s="4" t="s">
        <v>925</v>
      </c>
      <c r="F11" s="4">
        <v>1293092</v>
      </c>
      <c r="G11" s="4" t="s">
        <v>4418</v>
      </c>
      <c r="H11" t="s">
        <v>4419</v>
      </c>
      <c r="I11" s="4">
        <v>6</v>
      </c>
      <c r="J11" s="387">
        <v>830</v>
      </c>
      <c r="K11" t="s">
        <v>1504</v>
      </c>
    </row>
    <row r="12" spans="1:11" x14ac:dyDescent="0.25">
      <c r="A12" s="4">
        <v>10</v>
      </c>
      <c r="B12" s="4" t="s">
        <v>4388</v>
      </c>
      <c r="C12" t="s">
        <v>4410</v>
      </c>
      <c r="D12" s="21">
        <v>43475</v>
      </c>
      <c r="E12" s="4" t="s">
        <v>925</v>
      </c>
      <c r="F12" s="4">
        <v>1293092</v>
      </c>
      <c r="G12" s="4" t="s">
        <v>4420</v>
      </c>
      <c r="H12" t="s">
        <v>4421</v>
      </c>
      <c r="I12" s="4">
        <v>220</v>
      </c>
      <c r="J12" s="387">
        <v>264</v>
      </c>
      <c r="K12" t="s">
        <v>1504</v>
      </c>
    </row>
    <row r="13" spans="1:11" x14ac:dyDescent="0.25">
      <c r="A13" s="4">
        <v>11</v>
      </c>
      <c r="B13" s="4" t="s">
        <v>4388</v>
      </c>
      <c r="C13" t="s">
        <v>4410</v>
      </c>
      <c r="D13" s="21">
        <v>43475</v>
      </c>
      <c r="E13" s="4" t="s">
        <v>925</v>
      </c>
      <c r="F13" s="4">
        <v>1293092</v>
      </c>
      <c r="G13" s="4" t="s">
        <v>4422</v>
      </c>
      <c r="H13" t="s">
        <v>4423</v>
      </c>
      <c r="I13" s="4">
        <v>364</v>
      </c>
      <c r="J13" s="387">
        <v>45</v>
      </c>
      <c r="K13" t="s">
        <v>1504</v>
      </c>
    </row>
    <row r="14" spans="1:11" x14ac:dyDescent="0.25">
      <c r="A14" s="4">
        <v>12</v>
      </c>
      <c r="B14" s="4" t="s">
        <v>4388</v>
      </c>
      <c r="C14" t="s">
        <v>4410</v>
      </c>
      <c r="D14" s="21">
        <v>43475</v>
      </c>
      <c r="E14" s="4" t="s">
        <v>925</v>
      </c>
      <c r="F14" s="4">
        <v>1293092</v>
      </c>
      <c r="G14" s="4" t="s">
        <v>4424</v>
      </c>
      <c r="H14" t="s">
        <v>4425</v>
      </c>
      <c r="I14" s="4">
        <v>30</v>
      </c>
      <c r="J14" s="387">
        <v>116</v>
      </c>
      <c r="K14" t="s">
        <v>1504</v>
      </c>
    </row>
    <row r="15" spans="1:11" x14ac:dyDescent="0.25">
      <c r="A15" s="4">
        <v>13</v>
      </c>
      <c r="B15" s="4" t="s">
        <v>1532</v>
      </c>
      <c r="C15" t="s">
        <v>1551</v>
      </c>
      <c r="D15" s="21">
        <v>43840</v>
      </c>
      <c r="E15" s="4" t="s">
        <v>925</v>
      </c>
      <c r="F15" s="4">
        <v>2062777</v>
      </c>
      <c r="G15" s="4" t="s">
        <v>799</v>
      </c>
      <c r="H15" t="s">
        <v>1926</v>
      </c>
      <c r="I15" s="4">
        <v>10</v>
      </c>
      <c r="J15" s="387">
        <v>13279</v>
      </c>
      <c r="K15" t="s">
        <v>802</v>
      </c>
    </row>
    <row r="16" spans="1:11" x14ac:dyDescent="0.25">
      <c r="A16" s="4">
        <v>14</v>
      </c>
      <c r="B16" s="4" t="s">
        <v>1532</v>
      </c>
      <c r="C16" t="s">
        <v>1551</v>
      </c>
      <c r="D16" s="21">
        <v>43840</v>
      </c>
      <c r="E16" s="4" t="s">
        <v>925</v>
      </c>
      <c r="F16" s="4">
        <v>2062777</v>
      </c>
      <c r="G16" s="4" t="s">
        <v>2038</v>
      </c>
      <c r="H16" t="s">
        <v>2097</v>
      </c>
      <c r="I16" s="4">
        <v>10</v>
      </c>
      <c r="J16" s="387">
        <v>7956</v>
      </c>
      <c r="K16" t="s">
        <v>794</v>
      </c>
    </row>
    <row r="17" spans="1:11" x14ac:dyDescent="0.25">
      <c r="A17" s="4">
        <v>15</v>
      </c>
      <c r="B17" s="4" t="s">
        <v>1532</v>
      </c>
      <c r="C17" t="s">
        <v>1551</v>
      </c>
      <c r="D17" s="21">
        <v>43840</v>
      </c>
      <c r="E17" s="4" t="s">
        <v>925</v>
      </c>
      <c r="F17" s="4">
        <v>2062777</v>
      </c>
      <c r="G17" s="4" t="s">
        <v>855</v>
      </c>
      <c r="H17" t="s">
        <v>2499</v>
      </c>
      <c r="I17" s="4">
        <v>50</v>
      </c>
      <c r="J17" s="387">
        <v>9975</v>
      </c>
      <c r="K17" t="s">
        <v>857</v>
      </c>
    </row>
    <row r="18" spans="1:11" x14ac:dyDescent="0.25">
      <c r="A18" s="4">
        <v>16</v>
      </c>
      <c r="B18" s="4" t="s">
        <v>1532</v>
      </c>
      <c r="C18" t="s">
        <v>1551</v>
      </c>
      <c r="D18" s="21">
        <v>43840</v>
      </c>
      <c r="E18" s="4" t="s">
        <v>925</v>
      </c>
      <c r="F18" s="4">
        <v>2062777</v>
      </c>
      <c r="G18" s="4" t="s">
        <v>4352</v>
      </c>
      <c r="H18" t="s">
        <v>4453</v>
      </c>
      <c r="I18" s="4">
        <v>5</v>
      </c>
      <c r="J18" s="387">
        <v>2695</v>
      </c>
      <c r="K18" t="s">
        <v>4454</v>
      </c>
    </row>
    <row r="19" spans="1:11" x14ac:dyDescent="0.25">
      <c r="A19" s="4">
        <v>17</v>
      </c>
      <c r="B19" s="4" t="s">
        <v>1532</v>
      </c>
      <c r="C19" t="s">
        <v>1551</v>
      </c>
      <c r="D19" s="21">
        <v>43840</v>
      </c>
      <c r="E19" s="4" t="s">
        <v>925</v>
      </c>
      <c r="F19" s="4">
        <v>2062777</v>
      </c>
      <c r="G19" s="4" t="s">
        <v>800</v>
      </c>
      <c r="H19" t="s">
        <v>1927</v>
      </c>
      <c r="I19" s="4">
        <v>5</v>
      </c>
      <c r="J19" s="387">
        <v>14894</v>
      </c>
      <c r="K19" t="s">
        <v>802</v>
      </c>
    </row>
    <row r="20" spans="1:11" x14ac:dyDescent="0.25">
      <c r="A20" s="4">
        <v>18</v>
      </c>
      <c r="B20" s="4" t="s">
        <v>1532</v>
      </c>
      <c r="C20" t="s">
        <v>1551</v>
      </c>
      <c r="D20" s="21">
        <v>43840</v>
      </c>
      <c r="E20" s="4" t="s">
        <v>925</v>
      </c>
      <c r="F20" s="4">
        <v>2062777</v>
      </c>
      <c r="G20" s="4" t="s">
        <v>3082</v>
      </c>
      <c r="H20" t="s">
        <v>4498</v>
      </c>
      <c r="I20" s="4">
        <v>10</v>
      </c>
      <c r="J20" s="387">
        <v>1163</v>
      </c>
      <c r="K20" t="s">
        <v>3202</v>
      </c>
    </row>
    <row r="21" spans="1:11" x14ac:dyDescent="0.25">
      <c r="A21" s="4">
        <v>19</v>
      </c>
      <c r="B21" s="4" t="s">
        <v>1532</v>
      </c>
      <c r="C21" t="s">
        <v>1551</v>
      </c>
      <c r="D21" s="21">
        <v>43840</v>
      </c>
      <c r="E21" s="4" t="s">
        <v>925</v>
      </c>
      <c r="F21" s="4">
        <v>2062776</v>
      </c>
      <c r="G21" s="4" t="s">
        <v>800</v>
      </c>
      <c r="H21" t="s">
        <v>1927</v>
      </c>
      <c r="I21" s="4">
        <v>5</v>
      </c>
      <c r="J21" s="387">
        <v>14894</v>
      </c>
      <c r="K21" t="s">
        <v>802</v>
      </c>
    </row>
    <row r="22" spans="1:11" x14ac:dyDescent="0.25">
      <c r="A22" s="4">
        <v>20</v>
      </c>
      <c r="B22" s="4" t="s">
        <v>1595</v>
      </c>
      <c r="C22" t="s">
        <v>1645</v>
      </c>
      <c r="D22" s="21">
        <v>43840</v>
      </c>
      <c r="E22" s="4" t="s">
        <v>925</v>
      </c>
      <c r="F22" s="4">
        <v>73959</v>
      </c>
      <c r="G22" s="4" t="s">
        <v>3863</v>
      </c>
      <c r="H22" t="s">
        <v>3771</v>
      </c>
      <c r="I22" s="4">
        <v>10</v>
      </c>
      <c r="J22" s="387">
        <v>1787</v>
      </c>
      <c r="K22" t="s">
        <v>1646</v>
      </c>
    </row>
    <row r="23" spans="1:11" x14ac:dyDescent="0.25">
      <c r="A23" s="4">
        <v>21</v>
      </c>
      <c r="B23" s="4" t="s">
        <v>1595</v>
      </c>
      <c r="C23" t="s">
        <v>1645</v>
      </c>
      <c r="D23" s="21">
        <v>43840</v>
      </c>
      <c r="E23" s="4" t="s">
        <v>925</v>
      </c>
      <c r="F23" s="4">
        <v>73959</v>
      </c>
      <c r="G23" s="4" t="s">
        <v>4086</v>
      </c>
      <c r="H23" t="s">
        <v>5576</v>
      </c>
      <c r="I23" s="4">
        <v>10</v>
      </c>
      <c r="J23" s="387">
        <v>2408</v>
      </c>
      <c r="K23" t="s">
        <v>1646</v>
      </c>
    </row>
    <row r="24" spans="1:11" x14ac:dyDescent="0.25">
      <c r="A24" s="4">
        <v>22</v>
      </c>
      <c r="B24" s="4" t="s">
        <v>4388</v>
      </c>
      <c r="C24" t="s">
        <v>5619</v>
      </c>
      <c r="D24" s="21">
        <v>43843</v>
      </c>
      <c r="E24" s="4" t="s">
        <v>925</v>
      </c>
      <c r="F24" s="4">
        <v>59673</v>
      </c>
      <c r="G24" s="4" t="s">
        <v>5340</v>
      </c>
      <c r="H24" t="s">
        <v>5629</v>
      </c>
      <c r="I24" s="4">
        <v>12</v>
      </c>
      <c r="J24" s="387">
        <v>2400</v>
      </c>
      <c r="K24" t="s">
        <v>5630</v>
      </c>
    </row>
    <row r="25" spans="1:11" x14ac:dyDescent="0.25">
      <c r="A25" s="4">
        <v>23</v>
      </c>
      <c r="B25" s="4" t="s">
        <v>4388</v>
      </c>
      <c r="C25" t="s">
        <v>5619</v>
      </c>
      <c r="D25" s="21">
        <v>43843</v>
      </c>
      <c r="E25" s="4" t="s">
        <v>925</v>
      </c>
      <c r="F25" s="4">
        <v>59673</v>
      </c>
      <c r="G25" s="4" t="s">
        <v>5316</v>
      </c>
      <c r="H25" t="s">
        <v>5624</v>
      </c>
      <c r="I25" s="4">
        <v>6</v>
      </c>
      <c r="J25" s="387">
        <v>3690</v>
      </c>
      <c r="K25" t="s">
        <v>5625</v>
      </c>
    </row>
    <row r="26" spans="1:11" x14ac:dyDescent="0.25">
      <c r="A26" s="4">
        <v>24</v>
      </c>
      <c r="B26" s="4" t="s">
        <v>4388</v>
      </c>
      <c r="C26" t="s">
        <v>5619</v>
      </c>
      <c r="D26" s="21">
        <v>43843</v>
      </c>
      <c r="E26" s="4" t="s">
        <v>925</v>
      </c>
      <c r="F26" s="4">
        <v>59673</v>
      </c>
      <c r="G26" s="4" t="s">
        <v>5328</v>
      </c>
      <c r="H26" t="s">
        <v>5627</v>
      </c>
      <c r="I26" s="4">
        <v>12</v>
      </c>
      <c r="J26" s="387">
        <v>1290</v>
      </c>
      <c r="K26" t="s">
        <v>5625</v>
      </c>
    </row>
    <row r="27" spans="1:11" x14ac:dyDescent="0.25">
      <c r="A27" s="4">
        <v>25</v>
      </c>
      <c r="B27" s="4" t="s">
        <v>1467</v>
      </c>
      <c r="C27" t="s">
        <v>5634</v>
      </c>
      <c r="D27" s="21">
        <v>43843</v>
      </c>
      <c r="E27" s="4" t="s">
        <v>925</v>
      </c>
      <c r="F27" s="4">
        <v>28895008</v>
      </c>
      <c r="G27" s="4" t="s">
        <v>4874</v>
      </c>
      <c r="H27" t="s">
        <v>4876</v>
      </c>
      <c r="I27" s="4">
        <v>80</v>
      </c>
      <c r="J27" s="387">
        <v>138</v>
      </c>
      <c r="K27" t="s">
        <v>4875</v>
      </c>
    </row>
    <row r="28" spans="1:11" x14ac:dyDescent="0.25">
      <c r="A28" s="4">
        <v>26</v>
      </c>
      <c r="B28" s="4" t="s">
        <v>1613</v>
      </c>
      <c r="C28" t="s">
        <v>1572</v>
      </c>
      <c r="D28" s="21">
        <v>43844</v>
      </c>
      <c r="E28" s="4" t="s">
        <v>925</v>
      </c>
      <c r="F28" s="4">
        <v>17353</v>
      </c>
      <c r="G28" s="4" t="s">
        <v>830</v>
      </c>
      <c r="H28" t="s">
        <v>2495</v>
      </c>
      <c r="I28" s="4">
        <v>10</v>
      </c>
      <c r="J28" s="387">
        <v>10390</v>
      </c>
      <c r="K28" t="s">
        <v>837</v>
      </c>
    </row>
    <row r="29" spans="1:11" x14ac:dyDescent="0.25">
      <c r="A29" s="4">
        <v>27</v>
      </c>
      <c r="B29" s="4" t="s">
        <v>1613</v>
      </c>
      <c r="C29" t="s">
        <v>1572</v>
      </c>
      <c r="D29" s="21">
        <v>43844</v>
      </c>
      <c r="E29" s="4" t="s">
        <v>925</v>
      </c>
      <c r="F29" s="4">
        <v>17353</v>
      </c>
      <c r="G29" s="4" t="s">
        <v>838</v>
      </c>
      <c r="H29" t="s">
        <v>2062</v>
      </c>
      <c r="I29" s="4">
        <v>15</v>
      </c>
      <c r="J29" s="387">
        <v>11808</v>
      </c>
      <c r="K29" t="s">
        <v>840</v>
      </c>
    </row>
    <row r="30" spans="1:11" x14ac:dyDescent="0.25">
      <c r="A30" s="4">
        <v>28</v>
      </c>
      <c r="B30" s="4" t="s">
        <v>1613</v>
      </c>
      <c r="C30" t="s">
        <v>1572</v>
      </c>
      <c r="D30" s="21">
        <v>43844</v>
      </c>
      <c r="E30" s="4" t="s">
        <v>925</v>
      </c>
      <c r="F30" s="4">
        <v>17353</v>
      </c>
      <c r="G30" s="4" t="s">
        <v>1964</v>
      </c>
      <c r="H30" t="s">
        <v>2202</v>
      </c>
      <c r="I30" s="4">
        <v>100</v>
      </c>
      <c r="J30" s="387">
        <v>778</v>
      </c>
      <c r="K30" t="s">
        <v>2198</v>
      </c>
    </row>
    <row r="31" spans="1:11" x14ac:dyDescent="0.25">
      <c r="A31" s="4">
        <v>29</v>
      </c>
      <c r="B31" s="4" t="s">
        <v>1613</v>
      </c>
      <c r="C31" t="s">
        <v>1572</v>
      </c>
      <c r="D31" s="21">
        <v>43844</v>
      </c>
      <c r="E31" s="4" t="s">
        <v>925</v>
      </c>
      <c r="F31" s="4">
        <v>17353</v>
      </c>
      <c r="G31" s="4" t="s">
        <v>845</v>
      </c>
      <c r="H31" t="s">
        <v>2199</v>
      </c>
      <c r="I31" s="4">
        <v>10</v>
      </c>
      <c r="J31" s="387">
        <v>14112</v>
      </c>
      <c r="K31" t="s">
        <v>2198</v>
      </c>
    </row>
    <row r="32" spans="1:11" x14ac:dyDescent="0.25">
      <c r="A32" s="4">
        <v>30</v>
      </c>
      <c r="B32" s="4" t="s">
        <v>1613</v>
      </c>
      <c r="C32" t="s">
        <v>1572</v>
      </c>
      <c r="D32" s="21">
        <v>43844</v>
      </c>
      <c r="E32" s="4" t="s">
        <v>925</v>
      </c>
      <c r="F32" s="4">
        <v>17353</v>
      </c>
      <c r="G32" s="4" t="s">
        <v>849</v>
      </c>
      <c r="H32" t="s">
        <v>2492</v>
      </c>
      <c r="I32" s="4">
        <v>6</v>
      </c>
      <c r="J32" s="387">
        <v>9641</v>
      </c>
      <c r="K32" t="s">
        <v>851</v>
      </c>
    </row>
    <row r="33" spans="1:11" x14ac:dyDescent="0.25">
      <c r="A33" s="4">
        <v>31</v>
      </c>
      <c r="B33" s="4" t="s">
        <v>4765</v>
      </c>
      <c r="C33" t="s">
        <v>4767</v>
      </c>
      <c r="D33" s="21" t="s">
        <v>5638</v>
      </c>
      <c r="E33" s="4" t="s">
        <v>925</v>
      </c>
      <c r="F33" s="4">
        <v>86516</v>
      </c>
      <c r="G33" s="4" t="s">
        <v>4664</v>
      </c>
      <c r="H33" t="s">
        <v>5016</v>
      </c>
      <c r="I33" s="4">
        <v>20</v>
      </c>
      <c r="J33" s="387">
        <v>1096</v>
      </c>
      <c r="K33" t="s">
        <v>2783</v>
      </c>
    </row>
    <row r="34" spans="1:11" x14ac:dyDescent="0.25">
      <c r="A34" s="4">
        <v>32</v>
      </c>
      <c r="B34" s="4" t="s">
        <v>4765</v>
      </c>
      <c r="C34" t="s">
        <v>4767</v>
      </c>
      <c r="D34" s="21" t="s">
        <v>5638</v>
      </c>
      <c r="E34" s="4" t="s">
        <v>925</v>
      </c>
      <c r="F34" s="4">
        <v>86516</v>
      </c>
      <c r="G34" s="4" t="s">
        <v>5328</v>
      </c>
      <c r="H34" t="s">
        <v>5311</v>
      </c>
      <c r="I34" s="4">
        <v>12</v>
      </c>
      <c r="J34" s="387">
        <v>974</v>
      </c>
      <c r="K34" t="s">
        <v>4636</v>
      </c>
    </row>
    <row r="35" spans="1:11" x14ac:dyDescent="0.25">
      <c r="A35" s="4">
        <v>33</v>
      </c>
      <c r="B35" s="4" t="s">
        <v>4765</v>
      </c>
      <c r="C35" t="s">
        <v>4767</v>
      </c>
      <c r="D35" s="21" t="s">
        <v>5638</v>
      </c>
      <c r="E35" s="4" t="s">
        <v>925</v>
      </c>
      <c r="F35" s="4">
        <v>86516</v>
      </c>
      <c r="G35" s="4" t="s">
        <v>5340</v>
      </c>
      <c r="H35" t="s">
        <v>5637</v>
      </c>
      <c r="I35" s="4">
        <v>24</v>
      </c>
      <c r="J35" s="387">
        <v>754</v>
      </c>
      <c r="K35" t="s">
        <v>4636</v>
      </c>
    </row>
    <row r="36" spans="1:11" x14ac:dyDescent="0.25">
      <c r="A36" s="4">
        <v>34</v>
      </c>
      <c r="B36" s="4" t="s">
        <v>1467</v>
      </c>
      <c r="C36" t="s">
        <v>1645</v>
      </c>
      <c r="D36" s="21">
        <v>43844</v>
      </c>
      <c r="E36" s="4" t="s">
        <v>925</v>
      </c>
      <c r="F36" s="4">
        <v>164767</v>
      </c>
      <c r="G36" s="4" t="s">
        <v>3905</v>
      </c>
      <c r="H36" t="s">
        <v>3814</v>
      </c>
      <c r="I36" s="4" t="s">
        <v>5640</v>
      </c>
      <c r="J36" s="387">
        <v>13408</v>
      </c>
      <c r="K36" t="s">
        <v>1646</v>
      </c>
    </row>
    <row r="37" spans="1:11" x14ac:dyDescent="0.25">
      <c r="A37" s="4">
        <v>35</v>
      </c>
      <c r="B37" s="4" t="s">
        <v>1467</v>
      </c>
      <c r="C37" t="s">
        <v>1645</v>
      </c>
      <c r="D37" s="21">
        <v>43844</v>
      </c>
      <c r="E37" s="4" t="s">
        <v>925</v>
      </c>
      <c r="F37" s="4">
        <v>164767</v>
      </c>
      <c r="G37" s="4" t="s">
        <v>3904</v>
      </c>
      <c r="H37" t="s">
        <v>3813</v>
      </c>
      <c r="I37" s="4">
        <v>15</v>
      </c>
      <c r="J37" s="387">
        <v>2408</v>
      </c>
      <c r="K37" t="s">
        <v>1646</v>
      </c>
    </row>
    <row r="38" spans="1:11" x14ac:dyDescent="0.25">
      <c r="A38" s="4">
        <v>36</v>
      </c>
      <c r="B38" s="4" t="s">
        <v>1467</v>
      </c>
      <c r="C38" t="s">
        <v>1645</v>
      </c>
      <c r="D38" s="21">
        <v>43844</v>
      </c>
      <c r="E38" s="4" t="s">
        <v>925</v>
      </c>
      <c r="F38" s="4">
        <v>164767</v>
      </c>
      <c r="G38" s="4" t="s">
        <v>3860</v>
      </c>
      <c r="H38" t="s">
        <v>3770</v>
      </c>
      <c r="I38" s="4">
        <v>10</v>
      </c>
      <c r="J38" s="387">
        <v>1787</v>
      </c>
      <c r="K38" t="s">
        <v>1646</v>
      </c>
    </row>
    <row r="39" spans="1:11" x14ac:dyDescent="0.25">
      <c r="A39" s="4">
        <v>37</v>
      </c>
      <c r="B39" s="4" t="s">
        <v>5095</v>
      </c>
      <c r="C39" t="s">
        <v>4977</v>
      </c>
      <c r="D39" s="21">
        <v>43479</v>
      </c>
      <c r="E39" s="4" t="s">
        <v>925</v>
      </c>
      <c r="F39" s="4">
        <v>15652</v>
      </c>
      <c r="G39" s="4" t="s">
        <v>4996</v>
      </c>
      <c r="H39" t="s">
        <v>4997</v>
      </c>
      <c r="I39" s="4">
        <v>48</v>
      </c>
      <c r="J39" s="387">
        <v>500</v>
      </c>
      <c r="K39" t="s">
        <v>4980</v>
      </c>
    </row>
    <row r="40" spans="1:11" x14ac:dyDescent="0.25">
      <c r="A40" s="4">
        <v>38</v>
      </c>
      <c r="B40" s="4" t="s">
        <v>5095</v>
      </c>
      <c r="C40" t="s">
        <v>4977</v>
      </c>
      <c r="D40" s="21">
        <v>43479</v>
      </c>
      <c r="E40" s="4" t="s">
        <v>925</v>
      </c>
      <c r="F40" s="4">
        <v>15652</v>
      </c>
      <c r="G40" s="4" t="s">
        <v>5000</v>
      </c>
      <c r="H40" t="s">
        <v>5341</v>
      </c>
      <c r="I40" s="4">
        <v>24</v>
      </c>
      <c r="J40" s="387">
        <v>682</v>
      </c>
      <c r="K40" t="s">
        <v>4980</v>
      </c>
    </row>
    <row r="41" spans="1:11" x14ac:dyDescent="0.25">
      <c r="A41" s="4">
        <v>39</v>
      </c>
      <c r="B41" s="4" t="s">
        <v>1613</v>
      </c>
      <c r="C41" t="s">
        <v>1572</v>
      </c>
      <c r="D41" s="21">
        <v>43858</v>
      </c>
      <c r="E41" s="4" t="s">
        <v>925</v>
      </c>
      <c r="F41" s="4">
        <v>17478</v>
      </c>
      <c r="G41" s="4" t="s">
        <v>832</v>
      </c>
      <c r="H41" t="s">
        <v>2495</v>
      </c>
      <c r="I41" s="4">
        <v>10</v>
      </c>
      <c r="J41" s="410">
        <v>10390</v>
      </c>
      <c r="K41" t="s">
        <v>837</v>
      </c>
    </row>
    <row r="42" spans="1:11" x14ac:dyDescent="0.25">
      <c r="A42" s="4">
        <v>40</v>
      </c>
      <c r="B42" s="4" t="s">
        <v>1613</v>
      </c>
      <c r="C42" t="s">
        <v>1572</v>
      </c>
      <c r="D42" s="21">
        <v>43858</v>
      </c>
      <c r="E42" s="4" t="s">
        <v>925</v>
      </c>
      <c r="F42" s="4">
        <v>17478</v>
      </c>
      <c r="G42" s="4" t="s">
        <v>842</v>
      </c>
      <c r="H42" t="s">
        <v>2061</v>
      </c>
      <c r="I42" s="4">
        <v>10</v>
      </c>
      <c r="J42" s="410">
        <v>5444</v>
      </c>
      <c r="K42" t="s">
        <v>840</v>
      </c>
    </row>
    <row r="43" spans="1:11" x14ac:dyDescent="0.25">
      <c r="A43" s="4">
        <v>41</v>
      </c>
      <c r="B43" s="4" t="s">
        <v>1613</v>
      </c>
      <c r="C43" t="s">
        <v>1572</v>
      </c>
      <c r="D43" s="21">
        <v>43858</v>
      </c>
      <c r="E43" s="4" t="s">
        <v>925</v>
      </c>
      <c r="F43" s="4">
        <v>17478</v>
      </c>
      <c r="G43" s="4" t="s">
        <v>839</v>
      </c>
      <c r="H43" t="s">
        <v>2062</v>
      </c>
      <c r="I43" s="4">
        <v>10</v>
      </c>
      <c r="J43" s="410">
        <v>11808</v>
      </c>
      <c r="K43" t="s">
        <v>840</v>
      </c>
    </row>
    <row r="44" spans="1:11" x14ac:dyDescent="0.25">
      <c r="A44" s="4">
        <v>42</v>
      </c>
      <c r="B44" s="4" t="s">
        <v>1613</v>
      </c>
      <c r="C44" t="s">
        <v>1572</v>
      </c>
      <c r="D44" s="21">
        <v>43858</v>
      </c>
      <c r="E44" s="4" t="s">
        <v>925</v>
      </c>
      <c r="F44" s="4">
        <v>17478</v>
      </c>
      <c r="G44" s="4" t="s">
        <v>1964</v>
      </c>
      <c r="H44" t="s">
        <v>2205</v>
      </c>
      <c r="I44" s="4">
        <v>10</v>
      </c>
      <c r="J44" s="410">
        <v>3152</v>
      </c>
      <c r="K44" t="s">
        <v>2197</v>
      </c>
    </row>
    <row r="45" spans="1:11" x14ac:dyDescent="0.25">
      <c r="A45" s="4">
        <v>43</v>
      </c>
      <c r="B45" s="4" t="s">
        <v>1613</v>
      </c>
      <c r="C45" t="s">
        <v>1572</v>
      </c>
      <c r="D45" s="21">
        <v>43858</v>
      </c>
      <c r="E45" s="4" t="s">
        <v>925</v>
      </c>
      <c r="F45" s="4">
        <v>17478</v>
      </c>
      <c r="G45" s="4" t="s">
        <v>2036</v>
      </c>
      <c r="H45" t="s">
        <v>2206</v>
      </c>
      <c r="I45" s="4">
        <v>10</v>
      </c>
      <c r="J45" s="410">
        <v>7409</v>
      </c>
      <c r="K45" t="s">
        <v>2197</v>
      </c>
    </row>
    <row r="46" spans="1:11" x14ac:dyDescent="0.25">
      <c r="A46" s="4">
        <v>44</v>
      </c>
      <c r="B46" s="4" t="s">
        <v>1613</v>
      </c>
      <c r="C46" t="s">
        <v>1572</v>
      </c>
      <c r="D46" s="21">
        <v>43858</v>
      </c>
      <c r="E46" s="4" t="s">
        <v>925</v>
      </c>
      <c r="F46" s="4">
        <v>17478</v>
      </c>
      <c r="G46" s="4" t="s">
        <v>2034</v>
      </c>
      <c r="H46" t="s">
        <v>2202</v>
      </c>
      <c r="I46" s="4">
        <v>60</v>
      </c>
      <c r="J46" s="410">
        <v>778</v>
      </c>
      <c r="K46" t="s">
        <v>2198</v>
      </c>
    </row>
    <row r="47" spans="1:11" x14ac:dyDescent="0.25">
      <c r="A47" s="4">
        <v>45</v>
      </c>
      <c r="B47" s="4" t="s">
        <v>1613</v>
      </c>
      <c r="C47" t="s">
        <v>1572</v>
      </c>
      <c r="D47" s="21">
        <v>43858</v>
      </c>
      <c r="E47" s="4" t="s">
        <v>925</v>
      </c>
      <c r="F47" s="4">
        <v>17478</v>
      </c>
      <c r="G47" s="4" t="s">
        <v>848</v>
      </c>
      <c r="H47" t="s">
        <v>2201</v>
      </c>
      <c r="I47" s="4">
        <v>10</v>
      </c>
      <c r="J47" s="410">
        <v>6436</v>
      </c>
      <c r="K47" t="s">
        <v>2198</v>
      </c>
    </row>
    <row r="48" spans="1:11" x14ac:dyDescent="0.25">
      <c r="A48" s="4">
        <v>46</v>
      </c>
      <c r="B48" s="4" t="s">
        <v>1627</v>
      </c>
      <c r="C48" t="s">
        <v>1626</v>
      </c>
      <c r="D48" s="21">
        <v>43872</v>
      </c>
      <c r="E48" s="4" t="s">
        <v>925</v>
      </c>
      <c r="F48" s="4">
        <v>89620</v>
      </c>
      <c r="G48" s="4" t="s">
        <v>1789</v>
      </c>
      <c r="H48" t="s">
        <v>2248</v>
      </c>
      <c r="I48" s="4">
        <v>12</v>
      </c>
      <c r="J48" s="449">
        <v>816</v>
      </c>
      <c r="K48" t="s">
        <v>1690</v>
      </c>
    </row>
    <row r="49" spans="1:11" x14ac:dyDescent="0.25">
      <c r="A49" s="4">
        <v>47</v>
      </c>
      <c r="B49" s="4" t="s">
        <v>1627</v>
      </c>
      <c r="C49" t="s">
        <v>1626</v>
      </c>
      <c r="D49" s="21">
        <v>43872</v>
      </c>
      <c r="E49" s="4" t="s">
        <v>925</v>
      </c>
      <c r="F49" s="4">
        <v>89620</v>
      </c>
      <c r="G49" s="4" t="s">
        <v>233</v>
      </c>
      <c r="H49" t="s">
        <v>2247</v>
      </c>
      <c r="I49" s="4">
        <v>12</v>
      </c>
      <c r="J49" s="449">
        <v>816</v>
      </c>
      <c r="K49" t="s">
        <v>1690</v>
      </c>
    </row>
    <row r="50" spans="1:11" x14ac:dyDescent="0.25">
      <c r="A50" s="4">
        <v>48</v>
      </c>
      <c r="B50" s="4" t="s">
        <v>1627</v>
      </c>
      <c r="C50" t="s">
        <v>1626</v>
      </c>
      <c r="D50" s="21">
        <v>43872</v>
      </c>
      <c r="E50" s="4" t="s">
        <v>925</v>
      </c>
      <c r="F50" s="4">
        <v>89620</v>
      </c>
      <c r="G50" s="4" t="s">
        <v>228</v>
      </c>
      <c r="H50" t="s">
        <v>4523</v>
      </c>
      <c r="I50" s="4">
        <v>12</v>
      </c>
      <c r="J50" s="449">
        <v>816</v>
      </c>
      <c r="K50" t="s">
        <v>1690</v>
      </c>
    </row>
    <row r="51" spans="1:11" x14ac:dyDescent="0.25">
      <c r="A51" s="4">
        <v>49</v>
      </c>
      <c r="B51" s="4" t="s">
        <v>1627</v>
      </c>
      <c r="C51" t="s">
        <v>1626</v>
      </c>
      <c r="D51" s="21">
        <v>43872</v>
      </c>
      <c r="E51" s="4" t="s">
        <v>925</v>
      </c>
      <c r="F51" s="4">
        <v>89620</v>
      </c>
      <c r="G51" s="4" t="s">
        <v>231</v>
      </c>
      <c r="H51" t="s">
        <v>2245</v>
      </c>
      <c r="I51" s="4">
        <v>12</v>
      </c>
      <c r="J51" s="449">
        <v>816</v>
      </c>
      <c r="K51" t="s">
        <v>1690</v>
      </c>
    </row>
    <row r="52" spans="1:11" x14ac:dyDescent="0.25">
      <c r="A52" s="4">
        <v>50</v>
      </c>
      <c r="B52" s="4" t="s">
        <v>1627</v>
      </c>
      <c r="C52" t="s">
        <v>1626</v>
      </c>
      <c r="D52" s="21">
        <v>43872</v>
      </c>
      <c r="E52" s="4" t="s">
        <v>925</v>
      </c>
      <c r="F52" s="4">
        <v>89620</v>
      </c>
      <c r="G52" s="4" t="s">
        <v>226</v>
      </c>
      <c r="H52" t="s">
        <v>2244</v>
      </c>
      <c r="I52" s="4">
        <v>36</v>
      </c>
      <c r="J52" s="449">
        <v>816</v>
      </c>
      <c r="K52" t="s">
        <v>1690</v>
      </c>
    </row>
    <row r="53" spans="1:11" x14ac:dyDescent="0.25">
      <c r="A53" s="4">
        <v>51</v>
      </c>
      <c r="B53" s="4" t="s">
        <v>1627</v>
      </c>
      <c r="C53" t="s">
        <v>1626</v>
      </c>
      <c r="D53" s="21">
        <v>43872</v>
      </c>
      <c r="E53" s="4" t="s">
        <v>925</v>
      </c>
      <c r="F53" s="4">
        <v>89620</v>
      </c>
      <c r="G53" s="4" t="s">
        <v>175</v>
      </c>
      <c r="H53" t="s">
        <v>3363</v>
      </c>
      <c r="I53" s="4">
        <v>12</v>
      </c>
      <c r="J53" s="449">
        <v>1512</v>
      </c>
      <c r="K53" t="s">
        <v>3364</v>
      </c>
    </row>
    <row r="54" spans="1:11" x14ac:dyDescent="0.25">
      <c r="A54" s="4">
        <v>52</v>
      </c>
      <c r="B54" s="4" t="s">
        <v>4765</v>
      </c>
      <c r="C54" t="s">
        <v>4767</v>
      </c>
      <c r="D54" s="21">
        <v>43872</v>
      </c>
      <c r="E54" s="4" t="s">
        <v>925</v>
      </c>
      <c r="F54" s="4">
        <v>87656</v>
      </c>
      <c r="G54" s="4" t="s">
        <v>4667</v>
      </c>
      <c r="H54" t="s">
        <v>5541</v>
      </c>
      <c r="I54" s="4">
        <v>12</v>
      </c>
      <c r="J54" s="449">
        <v>787</v>
      </c>
      <c r="K54" t="s">
        <v>4668</v>
      </c>
    </row>
    <row r="55" spans="1:11" x14ac:dyDescent="0.25">
      <c r="A55" s="4">
        <v>53</v>
      </c>
      <c r="B55" s="4" t="s">
        <v>4765</v>
      </c>
      <c r="C55" t="s">
        <v>4767</v>
      </c>
      <c r="D55" s="21">
        <v>43872</v>
      </c>
      <c r="E55" s="4" t="s">
        <v>925</v>
      </c>
      <c r="F55" s="4">
        <v>87655</v>
      </c>
      <c r="G55" s="4" t="s">
        <v>4672</v>
      </c>
      <c r="H55" t="s">
        <v>4673</v>
      </c>
      <c r="I55" s="4">
        <v>12</v>
      </c>
      <c r="J55" s="449">
        <v>904</v>
      </c>
      <c r="K55" t="s">
        <v>4674</v>
      </c>
    </row>
    <row r="56" spans="1:11" x14ac:dyDescent="0.25">
      <c r="A56" s="4">
        <v>54</v>
      </c>
      <c r="B56" s="4" t="s">
        <v>4765</v>
      </c>
      <c r="C56" t="s">
        <v>4767</v>
      </c>
      <c r="D56" s="21">
        <v>43872</v>
      </c>
      <c r="E56" s="4" t="s">
        <v>925</v>
      </c>
      <c r="F56" s="4">
        <v>87655</v>
      </c>
      <c r="G56" s="4" t="s">
        <v>4664</v>
      </c>
      <c r="H56" t="s">
        <v>5016</v>
      </c>
      <c r="I56" s="4">
        <v>20</v>
      </c>
      <c r="J56" s="449">
        <v>1096</v>
      </c>
      <c r="K56" t="s">
        <v>2783</v>
      </c>
    </row>
    <row r="57" spans="1:11" x14ac:dyDescent="0.25">
      <c r="A57" s="4">
        <v>55</v>
      </c>
      <c r="B57" s="4" t="s">
        <v>1529</v>
      </c>
      <c r="C57" t="s">
        <v>1524</v>
      </c>
      <c r="D57" s="21">
        <v>43872</v>
      </c>
      <c r="E57" s="4" t="s">
        <v>925</v>
      </c>
      <c r="F57" s="4">
        <v>12853</v>
      </c>
      <c r="G57" s="4" t="s">
        <v>2284</v>
      </c>
      <c r="H57" t="s">
        <v>2620</v>
      </c>
      <c r="I57" s="4">
        <v>12</v>
      </c>
      <c r="J57" s="449">
        <v>16389</v>
      </c>
      <c r="K57" t="s">
        <v>1539</v>
      </c>
    </row>
    <row r="58" spans="1:11" x14ac:dyDescent="0.25">
      <c r="A58" s="4">
        <v>56</v>
      </c>
      <c r="B58" s="4" t="s">
        <v>1529</v>
      </c>
      <c r="C58" t="s">
        <v>1524</v>
      </c>
      <c r="D58" s="21">
        <v>43872</v>
      </c>
      <c r="E58" s="4" t="s">
        <v>925</v>
      </c>
      <c r="F58" s="4">
        <v>12853</v>
      </c>
      <c r="G58" s="4" t="s">
        <v>2544</v>
      </c>
      <c r="H58" t="s">
        <v>2622</v>
      </c>
      <c r="I58" s="4">
        <v>2</v>
      </c>
      <c r="J58" s="449">
        <v>16387</v>
      </c>
      <c r="K58" t="s">
        <v>1539</v>
      </c>
    </row>
    <row r="59" spans="1:11" x14ac:dyDescent="0.25">
      <c r="A59" s="4">
        <v>57</v>
      </c>
      <c r="B59" s="4" t="s">
        <v>1529</v>
      </c>
      <c r="C59" t="s">
        <v>1524</v>
      </c>
      <c r="D59" s="21">
        <v>43872</v>
      </c>
      <c r="E59" s="4" t="s">
        <v>925</v>
      </c>
      <c r="F59" s="4">
        <v>12853</v>
      </c>
      <c r="G59" s="4" t="s">
        <v>2549</v>
      </c>
      <c r="H59" t="s">
        <v>2624</v>
      </c>
      <c r="I59" s="4">
        <v>2</v>
      </c>
      <c r="J59" s="449">
        <v>16387</v>
      </c>
      <c r="K59" t="s">
        <v>1539</v>
      </c>
    </row>
    <row r="60" spans="1:11" x14ac:dyDescent="0.25">
      <c r="A60" s="4">
        <v>58</v>
      </c>
      <c r="B60" s="4" t="s">
        <v>1595</v>
      </c>
      <c r="C60" t="s">
        <v>1645</v>
      </c>
      <c r="D60" s="21">
        <v>43872</v>
      </c>
      <c r="E60" s="4" t="s">
        <v>925</v>
      </c>
      <c r="F60" s="4">
        <v>74693</v>
      </c>
      <c r="G60" s="4" t="s">
        <v>3907</v>
      </c>
      <c r="H60" t="s">
        <v>3814</v>
      </c>
      <c r="I60" s="4" t="s">
        <v>5640</v>
      </c>
      <c r="J60" s="449">
        <v>13408</v>
      </c>
      <c r="K60" t="s">
        <v>1646</v>
      </c>
    </row>
    <row r="61" spans="1:11" x14ac:dyDescent="0.25">
      <c r="A61" s="4">
        <v>59</v>
      </c>
      <c r="B61" s="4" t="s">
        <v>1595</v>
      </c>
      <c r="C61" t="s">
        <v>1645</v>
      </c>
      <c r="D61" s="21">
        <v>43872</v>
      </c>
      <c r="E61" s="4" t="s">
        <v>925</v>
      </c>
      <c r="F61" s="4">
        <v>74693</v>
      </c>
      <c r="G61" s="4" t="s">
        <v>3860</v>
      </c>
      <c r="H61" t="s">
        <v>3767</v>
      </c>
      <c r="I61" s="4">
        <v>2</v>
      </c>
      <c r="J61" s="449">
        <v>1200</v>
      </c>
      <c r="K61" t="s">
        <v>1646</v>
      </c>
    </row>
    <row r="62" spans="1:11" x14ac:dyDescent="0.25">
      <c r="A62" s="4">
        <v>60</v>
      </c>
      <c r="B62" s="4" t="s">
        <v>1595</v>
      </c>
      <c r="C62" t="s">
        <v>1645</v>
      </c>
      <c r="D62" s="21">
        <v>43872</v>
      </c>
      <c r="E62" s="4" t="s">
        <v>925</v>
      </c>
      <c r="F62" s="4">
        <v>74693</v>
      </c>
      <c r="G62" s="4" t="s">
        <v>4218</v>
      </c>
      <c r="H62" t="s">
        <v>4219</v>
      </c>
      <c r="I62" s="4">
        <v>10</v>
      </c>
      <c r="J62" s="449">
        <v>6000</v>
      </c>
      <c r="K62" t="s">
        <v>3950</v>
      </c>
    </row>
    <row r="63" spans="1:11" x14ac:dyDescent="0.25">
      <c r="A63" s="4">
        <v>61</v>
      </c>
      <c r="B63" s="4" t="s">
        <v>1595</v>
      </c>
      <c r="C63" t="s">
        <v>1645</v>
      </c>
      <c r="D63" s="21">
        <v>43872</v>
      </c>
      <c r="E63" s="4" t="s">
        <v>925</v>
      </c>
      <c r="F63" s="4">
        <v>74693</v>
      </c>
      <c r="G63" s="4" t="s">
        <v>3906</v>
      </c>
      <c r="H63" t="s">
        <v>3813</v>
      </c>
      <c r="I63" s="4">
        <v>15</v>
      </c>
      <c r="J63" s="449">
        <v>2408</v>
      </c>
      <c r="K63" t="s">
        <v>1646</v>
      </c>
    </row>
    <row r="64" spans="1:11" x14ac:dyDescent="0.25">
      <c r="A64" s="4">
        <v>62</v>
      </c>
      <c r="B64" s="4" t="s">
        <v>5690</v>
      </c>
      <c r="C64" t="s">
        <v>5631</v>
      </c>
      <c r="D64" s="21">
        <v>412776</v>
      </c>
      <c r="E64" s="4" t="s">
        <v>925</v>
      </c>
      <c r="F64" s="4">
        <v>26077877</v>
      </c>
      <c r="G64" s="4" t="s">
        <v>1467</v>
      </c>
      <c r="H64" t="s">
        <v>5806</v>
      </c>
      <c r="I64" s="4">
        <v>144</v>
      </c>
      <c r="J64" s="480">
        <v>755</v>
      </c>
      <c r="K64" t="s">
        <v>5807</v>
      </c>
    </row>
    <row r="65" spans="1:11" x14ac:dyDescent="0.25">
      <c r="A65" s="4">
        <v>63</v>
      </c>
      <c r="B65" s="4" t="s">
        <v>2912</v>
      </c>
      <c r="C65" t="s">
        <v>2668</v>
      </c>
      <c r="D65" s="21">
        <v>43888</v>
      </c>
      <c r="E65" s="4" t="s">
        <v>925</v>
      </c>
      <c r="F65" s="4">
        <v>54292</v>
      </c>
      <c r="G65" s="4" t="s">
        <v>24</v>
      </c>
      <c r="H65" t="s">
        <v>3013</v>
      </c>
      <c r="I65" s="4">
        <v>24</v>
      </c>
      <c r="J65" s="485">
        <v>417</v>
      </c>
      <c r="K65" t="s">
        <v>23</v>
      </c>
    </row>
    <row r="66" spans="1:11" x14ac:dyDescent="0.25">
      <c r="A66" s="4">
        <v>64</v>
      </c>
      <c r="B66" s="4" t="s">
        <v>2912</v>
      </c>
      <c r="C66" t="s">
        <v>2668</v>
      </c>
      <c r="D66" s="21">
        <v>43888</v>
      </c>
      <c r="E66" s="4" t="s">
        <v>925</v>
      </c>
      <c r="F66" s="4">
        <v>54292</v>
      </c>
      <c r="G66" s="4" t="s">
        <v>26</v>
      </c>
      <c r="H66" t="s">
        <v>3014</v>
      </c>
      <c r="I66" s="4">
        <v>24</v>
      </c>
      <c r="J66" s="485">
        <v>796</v>
      </c>
      <c r="K66" t="s">
        <v>23</v>
      </c>
    </row>
    <row r="67" spans="1:11" x14ac:dyDescent="0.25">
      <c r="A67" s="4">
        <v>65</v>
      </c>
      <c r="B67" s="4" t="s">
        <v>2912</v>
      </c>
      <c r="C67" t="s">
        <v>2668</v>
      </c>
      <c r="D67" s="21">
        <v>43888</v>
      </c>
      <c r="E67" s="4" t="s">
        <v>925</v>
      </c>
      <c r="F67" s="4">
        <v>54292</v>
      </c>
      <c r="G67" s="4" t="s">
        <v>27</v>
      </c>
      <c r="H67" t="s">
        <v>3015</v>
      </c>
      <c r="I67" s="4">
        <v>24</v>
      </c>
      <c r="J67" s="485">
        <v>601</v>
      </c>
      <c r="K67" t="s">
        <v>23</v>
      </c>
    </row>
    <row r="68" spans="1:11" x14ac:dyDescent="0.25">
      <c r="A68" s="4">
        <v>66</v>
      </c>
      <c r="B68" s="4" t="s">
        <v>2912</v>
      </c>
      <c r="C68" t="s">
        <v>2668</v>
      </c>
      <c r="D68" s="21">
        <v>43888</v>
      </c>
      <c r="E68" s="4" t="s">
        <v>925</v>
      </c>
      <c r="F68" s="4">
        <v>54292</v>
      </c>
      <c r="G68" s="4" t="s">
        <v>28</v>
      </c>
      <c r="H68" t="s">
        <v>3016</v>
      </c>
      <c r="I68" s="4">
        <v>24</v>
      </c>
      <c r="J68" s="485">
        <v>417</v>
      </c>
      <c r="K68" t="s">
        <v>23</v>
      </c>
    </row>
    <row r="69" spans="1:11" x14ac:dyDescent="0.25">
      <c r="A69" s="4">
        <v>67</v>
      </c>
      <c r="B69" s="4" t="s">
        <v>5093</v>
      </c>
      <c r="C69" t="s">
        <v>4934</v>
      </c>
      <c r="D69" s="21">
        <v>43889</v>
      </c>
      <c r="E69" s="4" t="s">
        <v>925</v>
      </c>
      <c r="F69" s="4">
        <v>679</v>
      </c>
      <c r="G69" s="4" t="s">
        <v>5201</v>
      </c>
      <c r="H69" t="s">
        <v>5176</v>
      </c>
      <c r="I69" s="4">
        <v>306</v>
      </c>
      <c r="J69" s="489">
        <v>900</v>
      </c>
      <c r="K69" t="s">
        <v>5177</v>
      </c>
    </row>
    <row r="70" spans="1:11" x14ac:dyDescent="0.25">
      <c r="A70" s="4">
        <v>68</v>
      </c>
      <c r="B70" s="4" t="s">
        <v>5093</v>
      </c>
      <c r="C70" t="s">
        <v>4934</v>
      </c>
      <c r="D70" s="21">
        <v>43889</v>
      </c>
      <c r="E70" s="4" t="s">
        <v>925</v>
      </c>
      <c r="F70" s="4">
        <v>679</v>
      </c>
      <c r="G70" s="4" t="s">
        <v>4943</v>
      </c>
      <c r="H70" t="s">
        <v>4944</v>
      </c>
      <c r="I70" s="4">
        <v>10</v>
      </c>
      <c r="J70" s="489">
        <v>4800</v>
      </c>
      <c r="K70" t="s">
        <v>4940</v>
      </c>
    </row>
    <row r="71" spans="1:11" x14ac:dyDescent="0.25">
      <c r="A71" s="4">
        <v>69</v>
      </c>
      <c r="B71" s="4" t="s">
        <v>1595</v>
      </c>
      <c r="C71" t="s">
        <v>1645</v>
      </c>
      <c r="D71" s="21">
        <v>43894</v>
      </c>
      <c r="E71" s="4" t="s">
        <v>925</v>
      </c>
      <c r="F71" s="4">
        <v>75140</v>
      </c>
      <c r="G71" s="4" t="s">
        <v>3907</v>
      </c>
      <c r="H71" t="s">
        <v>3814</v>
      </c>
      <c r="I71" s="4" t="s">
        <v>5910</v>
      </c>
      <c r="J71" s="510">
        <v>13408</v>
      </c>
      <c r="K71" t="s">
        <v>1646</v>
      </c>
    </row>
    <row r="72" spans="1:11" x14ac:dyDescent="0.25">
      <c r="A72" s="4">
        <v>70</v>
      </c>
      <c r="B72" s="4" t="s">
        <v>4765</v>
      </c>
      <c r="C72" t="s">
        <v>4767</v>
      </c>
      <c r="E72" s="4" t="s">
        <v>925</v>
      </c>
      <c r="F72" s="4">
        <v>89483</v>
      </c>
      <c r="G72" s="4" t="s">
        <v>4667</v>
      </c>
      <c r="H72" t="s">
        <v>5541</v>
      </c>
      <c r="I72" s="4">
        <v>24</v>
      </c>
      <c r="J72" s="543">
        <v>901</v>
      </c>
      <c r="K72" t="s">
        <v>4668</v>
      </c>
    </row>
    <row r="73" spans="1:11" x14ac:dyDescent="0.25">
      <c r="A73" s="4">
        <v>71</v>
      </c>
      <c r="B73" s="4" t="s">
        <v>4765</v>
      </c>
      <c r="C73" t="s">
        <v>4767</v>
      </c>
      <c r="E73" s="4" t="s">
        <v>925</v>
      </c>
      <c r="F73" s="4">
        <v>89483</v>
      </c>
      <c r="G73" s="4" t="s">
        <v>4664</v>
      </c>
      <c r="H73" t="s">
        <v>5016</v>
      </c>
      <c r="I73" s="4">
        <v>40</v>
      </c>
      <c r="J73" s="543">
        <v>1190</v>
      </c>
      <c r="K73" t="s">
        <v>2783</v>
      </c>
    </row>
    <row r="74" spans="1:11" x14ac:dyDescent="0.25">
      <c r="A74" s="4">
        <v>72</v>
      </c>
      <c r="B74" s="4" t="s">
        <v>4765</v>
      </c>
      <c r="C74" t="s">
        <v>4767</v>
      </c>
      <c r="E74" s="4" t="s">
        <v>925</v>
      </c>
      <c r="F74" s="4">
        <v>89483</v>
      </c>
      <c r="G74" s="4" t="s">
        <v>5751</v>
      </c>
      <c r="H74" t="s">
        <v>5752</v>
      </c>
      <c r="I74" s="4">
        <v>48</v>
      </c>
      <c r="J74" s="543">
        <v>701</v>
      </c>
      <c r="K74" t="s">
        <v>5753</v>
      </c>
    </row>
    <row r="75" spans="1:11" x14ac:dyDescent="0.25">
      <c r="A75" s="4">
        <v>73</v>
      </c>
      <c r="B75" s="4" t="s">
        <v>4765</v>
      </c>
      <c r="C75" t="s">
        <v>4767</v>
      </c>
      <c r="E75" s="4" t="s">
        <v>925</v>
      </c>
      <c r="F75" s="4">
        <v>89483</v>
      </c>
      <c r="G75" s="4" t="s">
        <v>5771</v>
      </c>
      <c r="H75" t="s">
        <v>5772</v>
      </c>
      <c r="I75" s="4">
        <v>96</v>
      </c>
      <c r="J75" s="543">
        <v>673</v>
      </c>
      <c r="K75" t="s">
        <v>5753</v>
      </c>
    </row>
    <row r="76" spans="1:11" x14ac:dyDescent="0.25">
      <c r="A76" s="4">
        <v>74</v>
      </c>
      <c r="B76" s="4" t="s">
        <v>1606</v>
      </c>
      <c r="C76" t="s">
        <v>1563</v>
      </c>
      <c r="D76" s="21">
        <v>43937</v>
      </c>
      <c r="E76" s="4" t="s">
        <v>925</v>
      </c>
      <c r="F76" s="4">
        <v>41192</v>
      </c>
      <c r="G76" s="4" t="s">
        <v>38</v>
      </c>
      <c r="H76" t="s">
        <v>5843</v>
      </c>
      <c r="I76" s="4">
        <v>40</v>
      </c>
      <c r="J76" s="543">
        <v>2283</v>
      </c>
      <c r="K76" t="s">
        <v>1693</v>
      </c>
    </row>
    <row r="77" spans="1:11" x14ac:dyDescent="0.25">
      <c r="A77" s="4">
        <v>75</v>
      </c>
      <c r="B77" s="4" t="s">
        <v>2912</v>
      </c>
      <c r="C77" t="s">
        <v>2668</v>
      </c>
      <c r="D77" s="21">
        <v>43907</v>
      </c>
      <c r="E77" s="4" t="s">
        <v>925</v>
      </c>
      <c r="F77" s="4">
        <v>54603</v>
      </c>
      <c r="G77" s="4" t="s">
        <v>2674</v>
      </c>
      <c r="H77" t="s">
        <v>5889</v>
      </c>
      <c r="I77" s="4">
        <v>10</v>
      </c>
      <c r="J77" s="543">
        <v>2342</v>
      </c>
      <c r="K77" t="s">
        <v>23</v>
      </c>
    </row>
    <row r="78" spans="1:11" x14ac:dyDescent="0.25">
      <c r="A78" s="4">
        <v>76</v>
      </c>
      <c r="B78" s="4" t="s">
        <v>2912</v>
      </c>
      <c r="C78" t="s">
        <v>2668</v>
      </c>
      <c r="D78" s="21">
        <v>43907</v>
      </c>
      <c r="E78" s="4" t="s">
        <v>925</v>
      </c>
      <c r="F78" s="4">
        <v>54603</v>
      </c>
      <c r="G78" s="4" t="s">
        <v>5996</v>
      </c>
      <c r="H78" t="s">
        <v>5997</v>
      </c>
      <c r="I78" s="4">
        <v>4</v>
      </c>
      <c r="J78" s="543">
        <v>2079</v>
      </c>
      <c r="K78" t="s">
        <v>23</v>
      </c>
    </row>
    <row r="79" spans="1:11" x14ac:dyDescent="0.25">
      <c r="A79" s="4">
        <v>77</v>
      </c>
      <c r="B79" s="4" t="s">
        <v>2912</v>
      </c>
      <c r="C79" t="s">
        <v>2668</v>
      </c>
      <c r="D79" s="21">
        <v>43907</v>
      </c>
      <c r="E79" s="4" t="s">
        <v>925</v>
      </c>
      <c r="F79" s="4">
        <v>54603</v>
      </c>
      <c r="G79" s="4" t="s">
        <v>27</v>
      </c>
      <c r="H79" t="s">
        <v>5837</v>
      </c>
      <c r="I79" s="4">
        <v>12</v>
      </c>
      <c r="J79" s="543">
        <v>601</v>
      </c>
      <c r="K79" t="s">
        <v>23</v>
      </c>
    </row>
    <row r="80" spans="1:11" x14ac:dyDescent="0.25">
      <c r="A80" s="4">
        <v>78</v>
      </c>
      <c r="B80" s="4" t="s">
        <v>2912</v>
      </c>
      <c r="C80" t="s">
        <v>2668</v>
      </c>
      <c r="D80" s="21">
        <v>43907</v>
      </c>
      <c r="E80" s="4" t="s">
        <v>925</v>
      </c>
      <c r="F80" s="4">
        <v>54603</v>
      </c>
      <c r="G80" s="4" t="s">
        <v>24</v>
      </c>
      <c r="H80" t="s">
        <v>5834</v>
      </c>
      <c r="I80" s="4">
        <v>24</v>
      </c>
      <c r="J80" s="543">
        <v>417</v>
      </c>
      <c r="K80" t="s">
        <v>23</v>
      </c>
    </row>
    <row r="81" spans="1:11" x14ac:dyDescent="0.25">
      <c r="A81" s="4">
        <v>79</v>
      </c>
      <c r="B81" s="4" t="s">
        <v>1592</v>
      </c>
      <c r="C81" t="s">
        <v>1552</v>
      </c>
      <c r="D81" s="21">
        <v>43907</v>
      </c>
      <c r="E81" s="4" t="s">
        <v>925</v>
      </c>
      <c r="F81" s="4">
        <v>44442</v>
      </c>
      <c r="G81" s="4" t="s">
        <v>257</v>
      </c>
      <c r="H81" t="s">
        <v>2589</v>
      </c>
      <c r="I81" s="4">
        <v>24</v>
      </c>
      <c r="J81" s="543">
        <v>227</v>
      </c>
      <c r="K81" t="s">
        <v>2792</v>
      </c>
    </row>
    <row r="82" spans="1:11" x14ac:dyDescent="0.25">
      <c r="A82" s="4">
        <v>80</v>
      </c>
      <c r="B82" s="4" t="s">
        <v>1592</v>
      </c>
      <c r="C82" t="s">
        <v>1552</v>
      </c>
      <c r="D82" s="21">
        <v>43907</v>
      </c>
      <c r="E82" s="4" t="s">
        <v>925</v>
      </c>
      <c r="F82" s="4">
        <v>44442</v>
      </c>
      <c r="G82" s="4" t="s">
        <v>260</v>
      </c>
      <c r="H82" t="s">
        <v>2820</v>
      </c>
      <c r="I82" s="4">
        <v>24</v>
      </c>
      <c r="J82" s="543">
        <v>227</v>
      </c>
      <c r="K82" t="s">
        <v>2792</v>
      </c>
    </row>
    <row r="83" spans="1:11" x14ac:dyDescent="0.25">
      <c r="A83" s="4">
        <v>81</v>
      </c>
      <c r="B83" s="4" t="s">
        <v>1592</v>
      </c>
      <c r="C83" t="s">
        <v>1552</v>
      </c>
      <c r="D83" s="21">
        <v>43907</v>
      </c>
      <c r="E83" s="4" t="s">
        <v>925</v>
      </c>
      <c r="F83" s="4">
        <v>44442</v>
      </c>
      <c r="G83" s="4" t="s">
        <v>261</v>
      </c>
      <c r="H83" t="s">
        <v>2587</v>
      </c>
      <c r="I83" s="4">
        <v>24</v>
      </c>
      <c r="J83" s="543">
        <v>227</v>
      </c>
      <c r="K83" t="s">
        <v>2792</v>
      </c>
    </row>
    <row r="84" spans="1:11" x14ac:dyDescent="0.25">
      <c r="A84" s="4">
        <v>82</v>
      </c>
      <c r="B84" s="4" t="s">
        <v>1592</v>
      </c>
      <c r="C84" t="s">
        <v>1552</v>
      </c>
      <c r="D84" s="21">
        <v>43907</v>
      </c>
      <c r="E84" s="4" t="s">
        <v>925</v>
      </c>
      <c r="F84" s="4">
        <v>44442</v>
      </c>
      <c r="G84" s="4" t="s">
        <v>160</v>
      </c>
      <c r="H84" t="s">
        <v>2808</v>
      </c>
      <c r="I84" s="4">
        <v>24</v>
      </c>
      <c r="J84" s="543">
        <v>654</v>
      </c>
      <c r="K84" t="s">
        <v>2792</v>
      </c>
    </row>
    <row r="85" spans="1:11" x14ac:dyDescent="0.25">
      <c r="A85" s="4">
        <v>83</v>
      </c>
      <c r="B85" s="4" t="s">
        <v>4519</v>
      </c>
      <c r="C85" t="s">
        <v>4524</v>
      </c>
      <c r="D85" s="21">
        <v>43922</v>
      </c>
      <c r="E85" s="4" t="s">
        <v>925</v>
      </c>
      <c r="F85" s="4">
        <v>4315</v>
      </c>
      <c r="G85" s="4" t="s">
        <v>6070</v>
      </c>
      <c r="H85" t="s">
        <v>6071</v>
      </c>
      <c r="I85" s="4">
        <v>10</v>
      </c>
      <c r="J85" s="604">
        <v>5043</v>
      </c>
      <c r="K85" t="s">
        <v>1504</v>
      </c>
    </row>
    <row r="86" spans="1:11" x14ac:dyDescent="0.25">
      <c r="A86" s="4">
        <v>84</v>
      </c>
      <c r="B86" s="4" t="s">
        <v>4519</v>
      </c>
      <c r="C86" t="s">
        <v>4524</v>
      </c>
      <c r="D86" s="21">
        <v>43922</v>
      </c>
      <c r="E86" s="4" t="s">
        <v>925</v>
      </c>
      <c r="F86" s="4">
        <v>4315</v>
      </c>
      <c r="G86" s="4" t="s">
        <v>5340</v>
      </c>
      <c r="H86" t="s">
        <v>5385</v>
      </c>
      <c r="I86" s="4">
        <v>10</v>
      </c>
      <c r="J86" s="604">
        <v>5043</v>
      </c>
      <c r="K86" t="s">
        <v>5386</v>
      </c>
    </row>
    <row r="87" spans="1:11" x14ac:dyDescent="0.25">
      <c r="A87" s="4">
        <v>85</v>
      </c>
      <c r="B87" s="4" t="s">
        <v>1602</v>
      </c>
      <c r="C87" t="s">
        <v>1570</v>
      </c>
      <c r="D87" s="21">
        <v>43922</v>
      </c>
      <c r="E87" s="4" t="s">
        <v>925</v>
      </c>
      <c r="F87" s="4">
        <v>43427</v>
      </c>
      <c r="G87" s="4" t="s">
        <v>1471</v>
      </c>
      <c r="H87" t="s">
        <v>1655</v>
      </c>
      <c r="I87" s="4">
        <v>180</v>
      </c>
      <c r="J87" s="604">
        <v>616</v>
      </c>
      <c r="K87" t="s">
        <v>1469</v>
      </c>
    </row>
    <row r="88" spans="1:11" x14ac:dyDescent="0.25">
      <c r="A88" s="4">
        <v>86</v>
      </c>
      <c r="B88" s="4" t="s">
        <v>1602</v>
      </c>
      <c r="C88" t="s">
        <v>1570</v>
      </c>
      <c r="D88" s="21">
        <v>43922</v>
      </c>
      <c r="E88" s="4" t="s">
        <v>925</v>
      </c>
      <c r="F88" s="4">
        <v>43427</v>
      </c>
      <c r="G88" s="4" t="s">
        <v>1662</v>
      </c>
      <c r="H88" t="s">
        <v>1660</v>
      </c>
      <c r="I88" s="4">
        <v>120</v>
      </c>
      <c r="J88" s="604">
        <v>1252</v>
      </c>
      <c r="K88" t="s">
        <v>1469</v>
      </c>
    </row>
    <row r="89" spans="1:11" x14ac:dyDescent="0.25">
      <c r="A89" s="4">
        <v>87</v>
      </c>
      <c r="B89" s="4" t="s">
        <v>1602</v>
      </c>
      <c r="C89" t="s">
        <v>1570</v>
      </c>
      <c r="D89" s="21">
        <v>43922</v>
      </c>
      <c r="E89" s="4" t="s">
        <v>925</v>
      </c>
      <c r="F89" s="4">
        <v>43427</v>
      </c>
      <c r="G89" s="4" t="s">
        <v>922</v>
      </c>
      <c r="H89" t="s">
        <v>1654</v>
      </c>
      <c r="I89" s="4">
        <v>120</v>
      </c>
      <c r="J89" s="604">
        <v>1600</v>
      </c>
      <c r="K89" t="s">
        <v>1469</v>
      </c>
    </row>
    <row r="90" spans="1:11" x14ac:dyDescent="0.25">
      <c r="A90" s="4">
        <v>88</v>
      </c>
      <c r="B90" s="4" t="s">
        <v>1602</v>
      </c>
      <c r="C90" t="s">
        <v>1570</v>
      </c>
      <c r="D90" s="21">
        <v>43922</v>
      </c>
      <c r="E90" s="4" t="s">
        <v>925</v>
      </c>
      <c r="F90" s="4">
        <v>43427</v>
      </c>
      <c r="G90" s="4" t="s">
        <v>1663</v>
      </c>
      <c r="H90" t="s">
        <v>1661</v>
      </c>
      <c r="I90" s="4">
        <v>60</v>
      </c>
      <c r="J90" s="604">
        <v>2402</v>
      </c>
      <c r="K90" t="s">
        <v>1469</v>
      </c>
    </row>
  </sheetData>
  <autoFilter ref="A2:K2">
    <sortState ref="A2:K3">
      <sortCondition ref="D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J139"/>
  <sheetViews>
    <sheetView showGridLines="0" zoomScale="87" zoomScaleNormal="87" workbookViewId="0">
      <selection activeCell="D15" sqref="D15"/>
    </sheetView>
  </sheetViews>
  <sheetFormatPr baseColWidth="10" defaultColWidth="10.7109375" defaultRowHeight="15" x14ac:dyDescent="0.25"/>
  <cols>
    <col min="1" max="1" width="18" customWidth="1"/>
    <col min="2" max="2" width="23.140625" bestFit="1" customWidth="1"/>
    <col min="3" max="3" width="12.42578125" customWidth="1"/>
    <col min="4" max="4" width="13.7109375" bestFit="1" customWidth="1"/>
    <col min="5" max="5" width="5.7109375" bestFit="1" customWidth="1"/>
    <col min="6" max="6" width="12.5703125" bestFit="1" customWidth="1"/>
    <col min="7" max="25" width="7.140625" bestFit="1" customWidth="1"/>
    <col min="26" max="26" width="9.28515625" bestFit="1" customWidth="1"/>
    <col min="27" max="47" width="6.7109375" bestFit="1" customWidth="1"/>
    <col min="48" max="48" width="8.85546875" bestFit="1" customWidth="1"/>
    <col min="49" max="73" width="7.140625" bestFit="1" customWidth="1"/>
    <col min="74" max="74" width="9.28515625" bestFit="1" customWidth="1"/>
    <col min="75" max="75" width="6.5703125" bestFit="1" customWidth="1"/>
    <col min="76" max="76" width="8.7109375" bestFit="1" customWidth="1"/>
    <col min="77" max="77" width="12.5703125" bestFit="1" customWidth="1"/>
    <col min="78" max="684" width="22.42578125" bestFit="1" customWidth="1"/>
    <col min="685" max="685" width="12.5703125" bestFit="1" customWidth="1"/>
  </cols>
  <sheetData>
    <row r="1" spans="1:10" x14ac:dyDescent="0.2">
      <c r="A1" s="11" t="s">
        <v>2534</v>
      </c>
      <c r="B1" s="11" t="s">
        <v>1156</v>
      </c>
    </row>
    <row r="2" spans="1:10" x14ac:dyDescent="0.2">
      <c r="A2" s="11" t="s">
        <v>1154</v>
      </c>
      <c r="B2" t="s">
        <v>925</v>
      </c>
      <c r="C2" t="s">
        <v>1908</v>
      </c>
      <c r="D2" t="s">
        <v>1155</v>
      </c>
    </row>
    <row r="3" spans="1:10" x14ac:dyDescent="0.2">
      <c r="A3" s="6" t="s">
        <v>4760</v>
      </c>
      <c r="B3" s="258">
        <v>17137435</v>
      </c>
      <c r="C3" s="258">
        <v>13365830</v>
      </c>
      <c r="D3" s="258">
        <v>30503265</v>
      </c>
    </row>
    <row r="4" spans="1:10" x14ac:dyDescent="0.2">
      <c r="A4" s="273" t="s">
        <v>5256</v>
      </c>
      <c r="B4" s="258">
        <v>6703622</v>
      </c>
      <c r="C4" s="258">
        <v>4981008</v>
      </c>
      <c r="D4" s="258">
        <v>11684630</v>
      </c>
    </row>
    <row r="5" spans="1:10" x14ac:dyDescent="0.2">
      <c r="A5" s="273" t="s">
        <v>5362</v>
      </c>
      <c r="B5" s="258">
        <v>5014990</v>
      </c>
      <c r="C5" s="258">
        <v>4222608</v>
      </c>
      <c r="D5" s="258">
        <v>9237598</v>
      </c>
    </row>
    <row r="6" spans="1:10" x14ac:dyDescent="0.2">
      <c r="A6" s="273" t="s">
        <v>5577</v>
      </c>
      <c r="B6" s="258">
        <v>5418823</v>
      </c>
      <c r="C6" s="258">
        <v>4162214</v>
      </c>
      <c r="D6" s="258">
        <v>9581037</v>
      </c>
    </row>
    <row r="7" spans="1:10" x14ac:dyDescent="0.25">
      <c r="A7" s="6" t="s">
        <v>5682</v>
      </c>
      <c r="B7" s="258">
        <v>18662570</v>
      </c>
      <c r="C7" s="258">
        <v>13482016</v>
      </c>
      <c r="D7" s="258">
        <v>32144586</v>
      </c>
    </row>
    <row r="8" spans="1:10" x14ac:dyDescent="0.25">
      <c r="A8" s="273" t="s">
        <v>5683</v>
      </c>
      <c r="B8" s="258">
        <v>5637198</v>
      </c>
      <c r="C8" s="258">
        <v>4633458</v>
      </c>
      <c r="D8" s="258">
        <v>10270656</v>
      </c>
    </row>
    <row r="9" spans="1:10" x14ac:dyDescent="0.25">
      <c r="A9" s="273" t="s">
        <v>5684</v>
      </c>
      <c r="B9" s="258">
        <v>7642087</v>
      </c>
      <c r="C9" s="258">
        <v>3690860</v>
      </c>
      <c r="D9" s="258">
        <v>11332947</v>
      </c>
    </row>
    <row r="10" spans="1:10" x14ac:dyDescent="0.25">
      <c r="A10" s="273" t="s">
        <v>6074</v>
      </c>
      <c r="B10" s="258">
        <v>4868248</v>
      </c>
      <c r="C10" s="258">
        <v>5157698</v>
      </c>
      <c r="D10" s="258">
        <v>10025946</v>
      </c>
    </row>
    <row r="11" spans="1:10" x14ac:dyDescent="0.25">
      <c r="A11" s="273" t="s">
        <v>6075</v>
      </c>
      <c r="B11" s="258">
        <v>515037</v>
      </c>
      <c r="C11" s="258"/>
      <c r="D11" s="258">
        <v>515037</v>
      </c>
    </row>
    <row r="15" spans="1:10" x14ac:dyDescent="0.25">
      <c r="F15" s="6"/>
      <c r="G15" s="258"/>
      <c r="H15" s="258"/>
      <c r="I15" s="258"/>
      <c r="J15" s="258"/>
    </row>
    <row r="16" spans="1:10" ht="15.75" thickBot="1" x14ac:dyDescent="0.3">
      <c r="F16" s="6"/>
      <c r="G16" s="258"/>
      <c r="H16" s="258"/>
      <c r="I16" s="258"/>
      <c r="J16" s="258"/>
    </row>
    <row r="17" spans="1:4" ht="15.75" thickBot="1" x14ac:dyDescent="0.3">
      <c r="A17" s="327" t="s">
        <v>5167</v>
      </c>
      <c r="B17" s="291">
        <f>+AVERAGE(B4:B15)</f>
        <v>6807821.875</v>
      </c>
      <c r="C17" s="291">
        <f>+AVERAGE(C4:C15)</f>
        <v>5761408.8571428573</v>
      </c>
      <c r="D17" s="292">
        <f>+AVERAGE(D4:D15)</f>
        <v>11849054.625</v>
      </c>
    </row>
    <row r="18" spans="1:4" x14ac:dyDescent="0.25">
      <c r="B18" s="258"/>
    </row>
    <row r="20" spans="1:4" x14ac:dyDescent="0.25">
      <c r="B20" t="s">
        <v>5168</v>
      </c>
    </row>
    <row r="23" spans="1:4" x14ac:dyDescent="0.25">
      <c r="A23" s="11" t="s">
        <v>1154</v>
      </c>
      <c r="B23" t="s">
        <v>5224</v>
      </c>
    </row>
    <row r="24" spans="1:4" x14ac:dyDescent="0.25">
      <c r="A24" s="307">
        <v>43844</v>
      </c>
      <c r="B24" s="258">
        <v>1117842</v>
      </c>
    </row>
    <row r="25" spans="1:4" x14ac:dyDescent="0.25">
      <c r="A25" s="307">
        <v>43837</v>
      </c>
      <c r="B25" s="258">
        <v>780985</v>
      </c>
    </row>
    <row r="26" spans="1:4" x14ac:dyDescent="0.25">
      <c r="A26" s="307">
        <v>43860</v>
      </c>
      <c r="B26" s="258">
        <v>466080</v>
      </c>
    </row>
    <row r="27" spans="1:4" x14ac:dyDescent="0.25">
      <c r="A27" s="307">
        <v>43840</v>
      </c>
      <c r="B27" s="258">
        <v>1223942</v>
      </c>
    </row>
    <row r="28" spans="1:4" x14ac:dyDescent="0.25">
      <c r="A28" s="307">
        <v>43850</v>
      </c>
      <c r="B28" s="258">
        <v>334152</v>
      </c>
    </row>
    <row r="29" spans="1:4" x14ac:dyDescent="0.25">
      <c r="A29" s="307">
        <v>43851</v>
      </c>
      <c r="B29" s="258">
        <v>407745</v>
      </c>
    </row>
    <row r="30" spans="1:4" x14ac:dyDescent="0.25">
      <c r="A30" s="307">
        <v>43836</v>
      </c>
      <c r="B30" s="258">
        <v>758475</v>
      </c>
    </row>
    <row r="31" spans="1:4" x14ac:dyDescent="0.25">
      <c r="A31" s="307">
        <v>43843</v>
      </c>
      <c r="B31" s="258">
        <v>151953</v>
      </c>
    </row>
    <row r="32" spans="1:4" x14ac:dyDescent="0.25">
      <c r="A32" s="307">
        <v>43846</v>
      </c>
      <c r="B32" s="258">
        <v>138445</v>
      </c>
    </row>
    <row r="33" spans="1:2" x14ac:dyDescent="0.25">
      <c r="A33" s="307">
        <v>43858</v>
      </c>
      <c r="B33" s="258">
        <v>1399737</v>
      </c>
    </row>
    <row r="34" spans="1:2" x14ac:dyDescent="0.25">
      <c r="A34" s="307">
        <v>43861</v>
      </c>
      <c r="B34" s="258">
        <v>441261</v>
      </c>
    </row>
    <row r="35" spans="1:2" x14ac:dyDescent="0.25">
      <c r="A35" s="307">
        <v>43847</v>
      </c>
      <c r="B35" s="258">
        <v>451777</v>
      </c>
    </row>
    <row r="36" spans="1:2" x14ac:dyDescent="0.25">
      <c r="A36" s="307">
        <v>43845</v>
      </c>
      <c r="B36" s="258">
        <v>1149459</v>
      </c>
    </row>
    <row r="37" spans="1:2" x14ac:dyDescent="0.25">
      <c r="A37" s="307">
        <v>43857</v>
      </c>
      <c r="B37" s="258">
        <v>348362</v>
      </c>
    </row>
    <row r="38" spans="1:2" x14ac:dyDescent="0.25">
      <c r="A38" s="307">
        <v>43848</v>
      </c>
      <c r="B38" s="258">
        <v>30000</v>
      </c>
    </row>
    <row r="39" spans="1:2" x14ac:dyDescent="0.25">
      <c r="A39" s="307">
        <v>43833</v>
      </c>
      <c r="B39" s="258">
        <v>40000</v>
      </c>
    </row>
    <row r="40" spans="1:2" x14ac:dyDescent="0.25">
      <c r="A40" s="307">
        <v>43853</v>
      </c>
      <c r="B40" s="258">
        <v>53552</v>
      </c>
    </row>
    <row r="41" spans="1:2" x14ac:dyDescent="0.25">
      <c r="A41" s="307">
        <v>43835</v>
      </c>
      <c r="B41" s="258">
        <v>2595</v>
      </c>
    </row>
    <row r="42" spans="1:2" x14ac:dyDescent="0.25">
      <c r="A42" s="307">
        <v>43839</v>
      </c>
      <c r="B42" s="258">
        <v>5012</v>
      </c>
    </row>
    <row r="43" spans="1:2" x14ac:dyDescent="0.25">
      <c r="A43" s="307">
        <v>43832</v>
      </c>
      <c r="B43" s="258">
        <v>4293</v>
      </c>
    </row>
    <row r="44" spans="1:2" x14ac:dyDescent="0.25">
      <c r="A44" s="307" t="s">
        <v>1155</v>
      </c>
      <c r="B44" s="258">
        <v>9305667</v>
      </c>
    </row>
    <row r="49" spans="1:6" x14ac:dyDescent="0.25">
      <c r="C49" s="12"/>
    </row>
    <row r="60" spans="1:6" x14ac:dyDescent="0.25">
      <c r="A60" s="11" t="s">
        <v>2101</v>
      </c>
      <c r="B60" t="s">
        <v>6081</v>
      </c>
    </row>
    <row r="62" spans="1:6" x14ac:dyDescent="0.25">
      <c r="A62" s="11" t="s">
        <v>6080</v>
      </c>
      <c r="B62" s="11" t="s">
        <v>1156</v>
      </c>
    </row>
    <row r="63" spans="1:6" x14ac:dyDescent="0.25">
      <c r="B63" t="s">
        <v>5683</v>
      </c>
      <c r="C63" t="s">
        <v>5684</v>
      </c>
      <c r="D63" t="s">
        <v>6074</v>
      </c>
      <c r="E63" t="s">
        <v>6075</v>
      </c>
      <c r="F63" t="s">
        <v>1155</v>
      </c>
    </row>
    <row r="64" spans="1:6" x14ac:dyDescent="0.25">
      <c r="A64" s="11" t="s">
        <v>1154</v>
      </c>
    </row>
    <row r="65" spans="1:6" x14ac:dyDescent="0.25">
      <c r="A65" s="6" t="s">
        <v>840</v>
      </c>
      <c r="B65" s="626">
        <v>25</v>
      </c>
      <c r="C65" s="626">
        <v>27</v>
      </c>
      <c r="D65" s="626">
        <v>31</v>
      </c>
      <c r="E65" s="626">
        <v>2</v>
      </c>
      <c r="F65" s="626">
        <v>85</v>
      </c>
    </row>
    <row r="66" spans="1:6" x14ac:dyDescent="0.25">
      <c r="A66" s="627" t="s">
        <v>2064</v>
      </c>
      <c r="B66" s="626">
        <v>2</v>
      </c>
      <c r="C66" s="626">
        <v>1</v>
      </c>
      <c r="D66" s="626">
        <v>2</v>
      </c>
      <c r="E66" s="626">
        <v>1</v>
      </c>
      <c r="F66" s="626">
        <v>6</v>
      </c>
    </row>
    <row r="67" spans="1:6" x14ac:dyDescent="0.25">
      <c r="A67" s="627" t="s">
        <v>2058</v>
      </c>
      <c r="B67" s="626">
        <v>4</v>
      </c>
      <c r="C67" s="626">
        <v>3</v>
      </c>
      <c r="D67" s="626">
        <v>5</v>
      </c>
      <c r="E67" s="626"/>
      <c r="F67" s="626">
        <v>12</v>
      </c>
    </row>
    <row r="68" spans="1:6" x14ac:dyDescent="0.25">
      <c r="A68" s="627" t="s">
        <v>2062</v>
      </c>
      <c r="B68" s="626">
        <v>18</v>
      </c>
      <c r="C68" s="626">
        <v>21</v>
      </c>
      <c r="D68" s="626">
        <v>24</v>
      </c>
      <c r="E68" s="626"/>
      <c r="F68" s="626">
        <v>63</v>
      </c>
    </row>
    <row r="69" spans="1:6" x14ac:dyDescent="0.25">
      <c r="A69" s="627" t="s">
        <v>2061</v>
      </c>
      <c r="B69" s="626"/>
      <c r="C69" s="626">
        <v>1</v>
      </c>
      <c r="D69" s="626"/>
      <c r="E69" s="626"/>
      <c r="F69" s="626">
        <v>1</v>
      </c>
    </row>
    <row r="70" spans="1:6" x14ac:dyDescent="0.25">
      <c r="A70" s="627" t="s">
        <v>2060</v>
      </c>
      <c r="B70" s="626">
        <v>1</v>
      </c>
      <c r="C70" s="626">
        <v>1</v>
      </c>
      <c r="D70" s="626"/>
      <c r="E70" s="626">
        <v>1</v>
      </c>
      <c r="F70" s="626">
        <v>3</v>
      </c>
    </row>
    <row r="71" spans="1:6" x14ac:dyDescent="0.25">
      <c r="A71" s="6" t="s">
        <v>857</v>
      </c>
      <c r="B71" s="626">
        <v>27</v>
      </c>
      <c r="C71" s="626">
        <v>21</v>
      </c>
      <c r="D71" s="626">
        <v>25</v>
      </c>
      <c r="E71" s="626"/>
      <c r="F71" s="626">
        <v>73</v>
      </c>
    </row>
    <row r="72" spans="1:6" x14ac:dyDescent="0.25">
      <c r="A72" s="627" t="s">
        <v>2499</v>
      </c>
      <c r="B72" s="626">
        <v>27</v>
      </c>
      <c r="C72" s="626">
        <v>21</v>
      </c>
      <c r="D72" s="626">
        <v>25</v>
      </c>
      <c r="E72" s="626"/>
      <c r="F72" s="626">
        <v>73</v>
      </c>
    </row>
    <row r="73" spans="1:6" x14ac:dyDescent="0.25">
      <c r="A73" s="6" t="s">
        <v>1469</v>
      </c>
      <c r="B73" s="626">
        <v>20</v>
      </c>
      <c r="C73" s="626">
        <v>26</v>
      </c>
      <c r="D73" s="626">
        <v>14</v>
      </c>
      <c r="E73" s="626">
        <v>4</v>
      </c>
      <c r="F73" s="626">
        <v>64</v>
      </c>
    </row>
    <row r="74" spans="1:6" x14ac:dyDescent="0.25">
      <c r="A74" s="627" t="s">
        <v>1660</v>
      </c>
      <c r="B74" s="626">
        <v>2</v>
      </c>
      <c r="C74" s="626">
        <v>4</v>
      </c>
      <c r="D74" s="626">
        <v>3</v>
      </c>
      <c r="E74" s="626">
        <v>1</v>
      </c>
      <c r="F74" s="626">
        <v>10</v>
      </c>
    </row>
    <row r="75" spans="1:6" x14ac:dyDescent="0.25">
      <c r="A75" s="627" t="s">
        <v>2288</v>
      </c>
      <c r="B75" s="626">
        <v>1</v>
      </c>
      <c r="C75" s="626">
        <v>3</v>
      </c>
      <c r="D75" s="626">
        <v>3</v>
      </c>
      <c r="E75" s="626"/>
      <c r="F75" s="626">
        <v>7</v>
      </c>
    </row>
    <row r="76" spans="1:6" x14ac:dyDescent="0.25">
      <c r="A76" s="627" t="s">
        <v>1661</v>
      </c>
      <c r="B76" s="626">
        <v>1</v>
      </c>
      <c r="C76" s="626">
        <v>3</v>
      </c>
      <c r="D76" s="626"/>
      <c r="E76" s="626">
        <v>1</v>
      </c>
      <c r="F76" s="626">
        <v>5</v>
      </c>
    </row>
    <row r="77" spans="1:6" x14ac:dyDescent="0.25">
      <c r="A77" s="627" t="s">
        <v>1654</v>
      </c>
      <c r="B77" s="626">
        <v>2</v>
      </c>
      <c r="C77" s="626">
        <v>1</v>
      </c>
      <c r="D77" s="626"/>
      <c r="E77" s="626">
        <v>1</v>
      </c>
      <c r="F77" s="626">
        <v>4</v>
      </c>
    </row>
    <row r="78" spans="1:6" x14ac:dyDescent="0.25">
      <c r="A78" s="627" t="s">
        <v>1655</v>
      </c>
      <c r="B78" s="626">
        <v>4</v>
      </c>
      <c r="C78" s="626">
        <v>4</v>
      </c>
      <c r="D78" s="626">
        <v>2</v>
      </c>
      <c r="E78" s="626">
        <v>1</v>
      </c>
      <c r="F78" s="626">
        <v>11</v>
      </c>
    </row>
    <row r="79" spans="1:6" x14ac:dyDescent="0.25">
      <c r="A79" s="627" t="s">
        <v>1656</v>
      </c>
      <c r="B79" s="626">
        <v>4</v>
      </c>
      <c r="C79" s="626">
        <v>4</v>
      </c>
      <c r="D79" s="626">
        <v>2</v>
      </c>
      <c r="E79" s="626"/>
      <c r="F79" s="626">
        <v>10</v>
      </c>
    </row>
    <row r="80" spans="1:6" x14ac:dyDescent="0.25">
      <c r="A80" s="627" t="s">
        <v>1657</v>
      </c>
      <c r="B80" s="626"/>
      <c r="C80" s="626">
        <v>5</v>
      </c>
      <c r="D80" s="626"/>
      <c r="E80" s="626"/>
      <c r="F80" s="626">
        <v>5</v>
      </c>
    </row>
    <row r="81" spans="1:6" x14ac:dyDescent="0.25">
      <c r="A81" s="627" t="s">
        <v>2644</v>
      </c>
      <c r="B81" s="626">
        <v>4</v>
      </c>
      <c r="C81" s="626">
        <v>2</v>
      </c>
      <c r="D81" s="626">
        <v>3</v>
      </c>
      <c r="E81" s="626"/>
      <c r="F81" s="626">
        <v>9</v>
      </c>
    </row>
    <row r="82" spans="1:6" x14ac:dyDescent="0.25">
      <c r="A82" s="627" t="s">
        <v>3967</v>
      </c>
      <c r="B82" s="626">
        <v>1</v>
      </c>
      <c r="C82" s="626"/>
      <c r="D82" s="626">
        <v>1</v>
      </c>
      <c r="E82" s="626"/>
      <c r="F82" s="626">
        <v>2</v>
      </c>
    </row>
    <row r="83" spans="1:6" x14ac:dyDescent="0.25">
      <c r="A83" s="627" t="s">
        <v>1914</v>
      </c>
      <c r="B83" s="626">
        <v>1</v>
      </c>
      <c r="C83" s="626"/>
      <c r="D83" s="626"/>
      <c r="E83" s="626"/>
      <c r="F83" s="626">
        <v>1</v>
      </c>
    </row>
    <row r="84" spans="1:6" x14ac:dyDescent="0.25">
      <c r="A84" s="6" t="s">
        <v>794</v>
      </c>
      <c r="B84" s="626">
        <v>20</v>
      </c>
      <c r="C84" s="626">
        <v>18</v>
      </c>
      <c r="D84" s="626">
        <v>24</v>
      </c>
      <c r="E84" s="626"/>
      <c r="F84" s="626">
        <v>62</v>
      </c>
    </row>
    <row r="85" spans="1:6" x14ac:dyDescent="0.25">
      <c r="A85" s="627" t="s">
        <v>1973</v>
      </c>
      <c r="B85" s="626">
        <v>7</v>
      </c>
      <c r="C85" s="626">
        <v>10</v>
      </c>
      <c r="D85" s="626">
        <v>11</v>
      </c>
      <c r="E85" s="626"/>
      <c r="F85" s="626">
        <v>28</v>
      </c>
    </row>
    <row r="86" spans="1:6" x14ac:dyDescent="0.25">
      <c r="A86" s="627" t="s">
        <v>1974</v>
      </c>
      <c r="B86" s="626">
        <v>5</v>
      </c>
      <c r="C86" s="626">
        <v>2</v>
      </c>
      <c r="D86" s="626">
        <v>5</v>
      </c>
      <c r="E86" s="626"/>
      <c r="F86" s="626">
        <v>12</v>
      </c>
    </row>
    <row r="87" spans="1:6" x14ac:dyDescent="0.25">
      <c r="A87" s="627" t="s">
        <v>1928</v>
      </c>
      <c r="B87" s="626">
        <v>3</v>
      </c>
      <c r="C87" s="626">
        <v>3</v>
      </c>
      <c r="D87" s="626">
        <v>5</v>
      </c>
      <c r="E87" s="626"/>
      <c r="F87" s="626">
        <v>11</v>
      </c>
    </row>
    <row r="88" spans="1:6" x14ac:dyDescent="0.25">
      <c r="A88" s="627" t="s">
        <v>5884</v>
      </c>
      <c r="B88" s="626"/>
      <c r="C88" s="626"/>
      <c r="D88" s="626">
        <v>3</v>
      </c>
      <c r="E88" s="626"/>
      <c r="F88" s="626">
        <v>3</v>
      </c>
    </row>
    <row r="89" spans="1:6" x14ac:dyDescent="0.25">
      <c r="A89" s="627" t="s">
        <v>2097</v>
      </c>
      <c r="B89" s="626">
        <v>5</v>
      </c>
      <c r="C89" s="626">
        <v>3</v>
      </c>
      <c r="D89" s="626"/>
      <c r="E89" s="626"/>
      <c r="F89" s="626">
        <v>8</v>
      </c>
    </row>
    <row r="90" spans="1:6" x14ac:dyDescent="0.25">
      <c r="A90" s="6" t="s">
        <v>837</v>
      </c>
      <c r="B90" s="626">
        <v>16</v>
      </c>
      <c r="C90" s="626">
        <v>15</v>
      </c>
      <c r="D90" s="626">
        <v>22</v>
      </c>
      <c r="E90" s="626"/>
      <c r="F90" s="626">
        <v>53</v>
      </c>
    </row>
    <row r="91" spans="1:6" x14ac:dyDescent="0.25">
      <c r="A91" s="627" t="s">
        <v>2495</v>
      </c>
      <c r="B91" s="626">
        <v>16</v>
      </c>
      <c r="C91" s="626">
        <v>15</v>
      </c>
      <c r="D91" s="626">
        <v>22</v>
      </c>
      <c r="E91" s="626"/>
      <c r="F91" s="626">
        <v>53</v>
      </c>
    </row>
    <row r="92" spans="1:6" x14ac:dyDescent="0.25">
      <c r="A92" s="6" t="s">
        <v>2198</v>
      </c>
      <c r="B92" s="626">
        <v>18</v>
      </c>
      <c r="C92" s="626">
        <v>13</v>
      </c>
      <c r="D92" s="626">
        <v>17</v>
      </c>
      <c r="E92" s="626"/>
      <c r="F92" s="626">
        <v>48</v>
      </c>
    </row>
    <row r="93" spans="1:6" x14ac:dyDescent="0.25">
      <c r="A93" s="627" t="s">
        <v>2202</v>
      </c>
      <c r="B93" s="626">
        <v>3</v>
      </c>
      <c r="C93" s="626">
        <v>5</v>
      </c>
      <c r="D93" s="626">
        <v>2</v>
      </c>
      <c r="E93" s="626"/>
      <c r="F93" s="626">
        <v>10</v>
      </c>
    </row>
    <row r="94" spans="1:6" x14ac:dyDescent="0.25">
      <c r="A94" s="627" t="s">
        <v>2201</v>
      </c>
      <c r="B94" s="626">
        <v>9</v>
      </c>
      <c r="C94" s="626">
        <v>5</v>
      </c>
      <c r="D94" s="626">
        <v>13</v>
      </c>
      <c r="E94" s="626"/>
      <c r="F94" s="626">
        <v>27</v>
      </c>
    </row>
    <row r="95" spans="1:6" x14ac:dyDescent="0.25">
      <c r="A95" s="627" t="s">
        <v>2199</v>
      </c>
      <c r="B95" s="626">
        <v>6</v>
      </c>
      <c r="C95" s="626">
        <v>3</v>
      </c>
      <c r="D95" s="626">
        <v>2</v>
      </c>
      <c r="E95" s="626"/>
      <c r="F95" s="626">
        <v>11</v>
      </c>
    </row>
    <row r="96" spans="1:6" x14ac:dyDescent="0.25">
      <c r="A96" s="6" t="s">
        <v>802</v>
      </c>
      <c r="B96" s="626">
        <v>4</v>
      </c>
      <c r="C96" s="626">
        <v>7</v>
      </c>
      <c r="D96" s="626">
        <v>8</v>
      </c>
      <c r="E96" s="626">
        <v>1</v>
      </c>
      <c r="F96" s="626">
        <v>20</v>
      </c>
    </row>
    <row r="97" spans="1:6" x14ac:dyDescent="0.25">
      <c r="A97" s="627" t="s">
        <v>1926</v>
      </c>
      <c r="B97" s="626">
        <v>2</v>
      </c>
      <c r="C97" s="626">
        <v>3</v>
      </c>
      <c r="D97" s="626">
        <v>5</v>
      </c>
      <c r="E97" s="626">
        <v>1</v>
      </c>
      <c r="F97" s="626">
        <v>11</v>
      </c>
    </row>
    <row r="98" spans="1:6" x14ac:dyDescent="0.25">
      <c r="A98" s="627" t="s">
        <v>1927</v>
      </c>
      <c r="B98" s="626"/>
      <c r="C98" s="626">
        <v>3</v>
      </c>
      <c r="D98" s="626">
        <v>2</v>
      </c>
      <c r="E98" s="626"/>
      <c r="F98" s="626">
        <v>5</v>
      </c>
    </row>
    <row r="99" spans="1:6" x14ac:dyDescent="0.25">
      <c r="A99" s="627" t="s">
        <v>4838</v>
      </c>
      <c r="B99" s="626">
        <v>2</v>
      </c>
      <c r="C99" s="626">
        <v>1</v>
      </c>
      <c r="D99" s="626">
        <v>1</v>
      </c>
      <c r="E99" s="626"/>
      <c r="F99" s="626">
        <v>4</v>
      </c>
    </row>
    <row r="100" spans="1:6" x14ac:dyDescent="0.25">
      <c r="A100" s="6" t="s">
        <v>4618</v>
      </c>
      <c r="B100" s="626">
        <v>7</v>
      </c>
      <c r="C100" s="626">
        <v>6</v>
      </c>
      <c r="D100" s="626">
        <v>6</v>
      </c>
      <c r="E100" s="626"/>
      <c r="F100" s="626">
        <v>19</v>
      </c>
    </row>
    <row r="101" spans="1:6" x14ac:dyDescent="0.25">
      <c r="A101" s="627" t="s">
        <v>5149</v>
      </c>
      <c r="B101" s="626">
        <v>2</v>
      </c>
      <c r="C101" s="626">
        <v>1</v>
      </c>
      <c r="D101" s="626"/>
      <c r="E101" s="626"/>
      <c r="F101" s="626">
        <v>3</v>
      </c>
    </row>
    <row r="102" spans="1:6" x14ac:dyDescent="0.25">
      <c r="A102" s="627" t="s">
        <v>5148</v>
      </c>
      <c r="B102" s="626">
        <v>5</v>
      </c>
      <c r="C102" s="626">
        <v>5</v>
      </c>
      <c r="D102" s="626">
        <v>6</v>
      </c>
      <c r="E102" s="626"/>
      <c r="F102" s="626">
        <v>16</v>
      </c>
    </row>
    <row r="103" spans="1:6" x14ac:dyDescent="0.25">
      <c r="A103" s="6" t="s">
        <v>4019</v>
      </c>
      <c r="B103" s="626">
        <v>7</v>
      </c>
      <c r="C103" s="626">
        <v>4</v>
      </c>
      <c r="D103" s="626">
        <v>7</v>
      </c>
      <c r="E103" s="626"/>
      <c r="F103" s="626">
        <v>18</v>
      </c>
    </row>
    <row r="104" spans="1:6" x14ac:dyDescent="0.25">
      <c r="A104" s="627" t="s">
        <v>4018</v>
      </c>
      <c r="B104" s="626">
        <v>7</v>
      </c>
      <c r="C104" s="626">
        <v>4</v>
      </c>
      <c r="D104" s="626">
        <v>7</v>
      </c>
      <c r="E104" s="626"/>
      <c r="F104" s="626">
        <v>18</v>
      </c>
    </row>
    <row r="105" spans="1:6" x14ac:dyDescent="0.25">
      <c r="A105" s="6" t="s">
        <v>4622</v>
      </c>
      <c r="B105" s="626">
        <v>5</v>
      </c>
      <c r="C105" s="626">
        <v>4</v>
      </c>
      <c r="D105" s="626">
        <v>5</v>
      </c>
      <c r="E105" s="626"/>
      <c r="F105" s="626">
        <v>14</v>
      </c>
    </row>
    <row r="106" spans="1:6" x14ac:dyDescent="0.25">
      <c r="A106" s="627" t="s">
        <v>4621</v>
      </c>
      <c r="B106" s="626">
        <v>5</v>
      </c>
      <c r="C106" s="626">
        <v>4</v>
      </c>
      <c r="D106" s="626">
        <v>5</v>
      </c>
      <c r="E106" s="626"/>
      <c r="F106" s="626">
        <v>14</v>
      </c>
    </row>
    <row r="107" spans="1:6" x14ac:dyDescent="0.25">
      <c r="A107" s="6" t="s">
        <v>2197</v>
      </c>
      <c r="B107" s="626">
        <v>1</v>
      </c>
      <c r="C107" s="626">
        <v>7</v>
      </c>
      <c r="D107" s="626">
        <v>5</v>
      </c>
      <c r="E107" s="626"/>
      <c r="F107" s="626">
        <v>13</v>
      </c>
    </row>
    <row r="108" spans="1:6" x14ac:dyDescent="0.25">
      <c r="A108" s="627" t="s">
        <v>2203</v>
      </c>
      <c r="B108" s="626"/>
      <c r="C108" s="626"/>
      <c r="D108" s="626">
        <v>1</v>
      </c>
      <c r="E108" s="626"/>
      <c r="F108" s="626">
        <v>1</v>
      </c>
    </row>
    <row r="109" spans="1:6" x14ac:dyDescent="0.25">
      <c r="A109" s="627" t="s">
        <v>2196</v>
      </c>
      <c r="B109" s="626"/>
      <c r="C109" s="626"/>
      <c r="D109" s="626">
        <v>1</v>
      </c>
      <c r="E109" s="626"/>
      <c r="F109" s="626">
        <v>1</v>
      </c>
    </row>
    <row r="110" spans="1:6" x14ac:dyDescent="0.25">
      <c r="A110" s="627" t="s">
        <v>2205</v>
      </c>
      <c r="B110" s="626"/>
      <c r="C110" s="626">
        <v>2</v>
      </c>
      <c r="D110" s="626"/>
      <c r="E110" s="626"/>
      <c r="F110" s="626">
        <v>2</v>
      </c>
    </row>
    <row r="111" spans="1:6" x14ac:dyDescent="0.25">
      <c r="A111" s="627" t="s">
        <v>2206</v>
      </c>
      <c r="B111" s="626">
        <v>1</v>
      </c>
      <c r="C111" s="626">
        <v>5</v>
      </c>
      <c r="D111" s="626">
        <v>3</v>
      </c>
      <c r="E111" s="626"/>
      <c r="F111" s="626">
        <v>9</v>
      </c>
    </row>
    <row r="112" spans="1:6" x14ac:dyDescent="0.25">
      <c r="A112" s="6" t="s">
        <v>4940</v>
      </c>
      <c r="B112" s="626">
        <v>2</v>
      </c>
      <c r="C112" s="626">
        <v>6</v>
      </c>
      <c r="D112" s="626">
        <v>2</v>
      </c>
      <c r="E112" s="626"/>
      <c r="F112" s="626">
        <v>10</v>
      </c>
    </row>
    <row r="113" spans="1:6" x14ac:dyDescent="0.25">
      <c r="A113" s="627" t="s">
        <v>4942</v>
      </c>
      <c r="B113" s="626"/>
      <c r="C113" s="626">
        <v>1</v>
      </c>
      <c r="D113" s="626"/>
      <c r="E113" s="626"/>
      <c r="F113" s="626">
        <v>1</v>
      </c>
    </row>
    <row r="114" spans="1:6" x14ac:dyDescent="0.25">
      <c r="A114" s="627" t="s">
        <v>4944</v>
      </c>
      <c r="B114" s="626">
        <v>1</v>
      </c>
      <c r="C114" s="626">
        <v>4</v>
      </c>
      <c r="D114" s="626">
        <v>1</v>
      </c>
      <c r="E114" s="626"/>
      <c r="F114" s="626">
        <v>6</v>
      </c>
    </row>
    <row r="115" spans="1:6" x14ac:dyDescent="0.25">
      <c r="A115" s="627" t="s">
        <v>4946</v>
      </c>
      <c r="B115" s="626">
        <v>1</v>
      </c>
      <c r="C115" s="626">
        <v>1</v>
      </c>
      <c r="D115" s="626">
        <v>1</v>
      </c>
      <c r="E115" s="626"/>
      <c r="F115" s="626">
        <v>3</v>
      </c>
    </row>
    <row r="116" spans="1:6" x14ac:dyDescent="0.25">
      <c r="A116" s="6" t="s">
        <v>5962</v>
      </c>
      <c r="B116" s="626"/>
      <c r="C116" s="626"/>
      <c r="D116" s="626">
        <v>6</v>
      </c>
      <c r="E116" s="626"/>
      <c r="F116" s="626">
        <v>6</v>
      </c>
    </row>
    <row r="117" spans="1:6" x14ac:dyDescent="0.25">
      <c r="A117" s="627" t="s">
        <v>5961</v>
      </c>
      <c r="B117" s="626"/>
      <c r="C117" s="626"/>
      <c r="D117" s="626">
        <v>6</v>
      </c>
      <c r="E117" s="626"/>
      <c r="F117" s="626">
        <v>6</v>
      </c>
    </row>
    <row r="118" spans="1:6" x14ac:dyDescent="0.25">
      <c r="A118" s="6" t="s">
        <v>4604</v>
      </c>
      <c r="B118" s="626"/>
      <c r="C118" s="626"/>
      <c r="D118" s="626">
        <v>4</v>
      </c>
      <c r="E118" s="626"/>
      <c r="F118" s="626">
        <v>4</v>
      </c>
    </row>
    <row r="119" spans="1:6" x14ac:dyDescent="0.25">
      <c r="A119" s="627" t="s">
        <v>5649</v>
      </c>
      <c r="B119" s="626"/>
      <c r="C119" s="626"/>
      <c r="D119" s="626">
        <v>2</v>
      </c>
      <c r="E119" s="626"/>
      <c r="F119" s="626">
        <v>2</v>
      </c>
    </row>
    <row r="120" spans="1:6" x14ac:dyDescent="0.25">
      <c r="A120" s="627" t="s">
        <v>5648</v>
      </c>
      <c r="B120" s="626"/>
      <c r="C120" s="626"/>
      <c r="D120" s="626">
        <v>2</v>
      </c>
      <c r="E120" s="626"/>
      <c r="F120" s="626">
        <v>2</v>
      </c>
    </row>
    <row r="121" spans="1:6" x14ac:dyDescent="0.25">
      <c r="A121" s="6" t="s">
        <v>5655</v>
      </c>
      <c r="B121" s="626">
        <v>1</v>
      </c>
      <c r="C121" s="626">
        <v>1</v>
      </c>
      <c r="D121" s="626">
        <v>2</v>
      </c>
      <c r="E121" s="626"/>
      <c r="F121" s="626">
        <v>4</v>
      </c>
    </row>
    <row r="122" spans="1:6" x14ac:dyDescent="0.25">
      <c r="A122" s="627" t="s">
        <v>5654</v>
      </c>
      <c r="B122" s="626">
        <v>1</v>
      </c>
      <c r="C122" s="626">
        <v>1</v>
      </c>
      <c r="D122" s="626">
        <v>2</v>
      </c>
      <c r="E122" s="626"/>
      <c r="F122" s="626">
        <v>4</v>
      </c>
    </row>
    <row r="123" spans="1:6" x14ac:dyDescent="0.25">
      <c r="A123" s="6" t="s">
        <v>851</v>
      </c>
      <c r="B123" s="626">
        <v>1</v>
      </c>
      <c r="C123" s="626"/>
      <c r="D123" s="626">
        <v>2</v>
      </c>
      <c r="E123" s="626"/>
      <c r="F123" s="626">
        <v>3</v>
      </c>
    </row>
    <row r="124" spans="1:6" x14ac:dyDescent="0.25">
      <c r="A124" s="627" t="s">
        <v>2492</v>
      </c>
      <c r="B124" s="626">
        <v>1</v>
      </c>
      <c r="C124" s="626"/>
      <c r="D124" s="626">
        <v>2</v>
      </c>
      <c r="E124" s="626"/>
      <c r="F124" s="626">
        <v>3</v>
      </c>
    </row>
    <row r="125" spans="1:6" x14ac:dyDescent="0.25">
      <c r="A125" s="6" t="s">
        <v>5927</v>
      </c>
      <c r="B125" s="626"/>
      <c r="C125" s="626"/>
      <c r="D125" s="626">
        <v>2</v>
      </c>
      <c r="E125" s="626"/>
      <c r="F125" s="626">
        <v>2</v>
      </c>
    </row>
    <row r="126" spans="1:6" x14ac:dyDescent="0.25">
      <c r="A126" s="627" t="s">
        <v>5929</v>
      </c>
      <c r="B126" s="626"/>
      <c r="C126" s="626"/>
      <c r="D126" s="626">
        <v>2</v>
      </c>
      <c r="E126" s="626"/>
      <c r="F126" s="626">
        <v>2</v>
      </c>
    </row>
    <row r="127" spans="1:6" x14ac:dyDescent="0.25">
      <c r="A127" s="6" t="s">
        <v>4881</v>
      </c>
      <c r="B127" s="626">
        <v>2</v>
      </c>
      <c r="C127" s="626"/>
      <c r="D127" s="626"/>
      <c r="E127" s="626"/>
      <c r="F127" s="626">
        <v>2</v>
      </c>
    </row>
    <row r="128" spans="1:6" x14ac:dyDescent="0.25">
      <c r="A128" s="627" t="s">
        <v>4904</v>
      </c>
      <c r="B128" s="626">
        <v>2</v>
      </c>
      <c r="C128" s="626"/>
      <c r="D128" s="626"/>
      <c r="E128" s="626"/>
      <c r="F128" s="626">
        <v>2</v>
      </c>
    </row>
    <row r="129" spans="1:6" x14ac:dyDescent="0.25">
      <c r="A129" s="6" t="s">
        <v>5933</v>
      </c>
      <c r="B129" s="626"/>
      <c r="C129" s="626"/>
      <c r="D129" s="626">
        <v>2</v>
      </c>
      <c r="E129" s="626"/>
      <c r="F129" s="626">
        <v>2</v>
      </c>
    </row>
    <row r="130" spans="1:6" x14ac:dyDescent="0.25">
      <c r="A130" s="627" t="s">
        <v>5934</v>
      </c>
      <c r="B130" s="626"/>
      <c r="C130" s="626"/>
      <c r="D130" s="626">
        <v>2</v>
      </c>
      <c r="E130" s="626"/>
      <c r="F130" s="626">
        <v>2</v>
      </c>
    </row>
    <row r="131" spans="1:6" x14ac:dyDescent="0.25">
      <c r="A131" s="6" t="s">
        <v>1976</v>
      </c>
      <c r="B131" s="626">
        <v>1</v>
      </c>
      <c r="C131" s="626"/>
      <c r="D131" s="626">
        <v>1</v>
      </c>
      <c r="E131" s="626"/>
      <c r="F131" s="626">
        <v>2</v>
      </c>
    </row>
    <row r="132" spans="1:6" x14ac:dyDescent="0.25">
      <c r="A132" s="627" t="s">
        <v>3406</v>
      </c>
      <c r="B132" s="626">
        <v>1</v>
      </c>
      <c r="C132" s="626"/>
      <c r="D132" s="626">
        <v>1</v>
      </c>
      <c r="E132" s="626"/>
      <c r="F132" s="626">
        <v>2</v>
      </c>
    </row>
    <row r="133" spans="1:6" x14ac:dyDescent="0.25">
      <c r="A133" s="6" t="s">
        <v>5318</v>
      </c>
      <c r="B133" s="626"/>
      <c r="C133" s="626"/>
      <c r="D133" s="626">
        <v>1</v>
      </c>
      <c r="E133" s="626"/>
      <c r="F133" s="626">
        <v>1</v>
      </c>
    </row>
    <row r="134" spans="1:6" x14ac:dyDescent="0.25">
      <c r="A134" s="627" t="s">
        <v>5317</v>
      </c>
      <c r="B134" s="626"/>
      <c r="C134" s="626"/>
      <c r="D134" s="626">
        <v>1</v>
      </c>
      <c r="E134" s="626"/>
      <c r="F134" s="626">
        <v>1</v>
      </c>
    </row>
    <row r="135" spans="1:6" x14ac:dyDescent="0.25">
      <c r="A135" s="6" t="s">
        <v>5936</v>
      </c>
      <c r="B135" s="626"/>
      <c r="C135" s="626"/>
      <c r="D135" s="626">
        <v>1</v>
      </c>
      <c r="E135" s="626"/>
      <c r="F135" s="626">
        <v>1</v>
      </c>
    </row>
    <row r="136" spans="1:6" x14ac:dyDescent="0.25">
      <c r="A136" s="627" t="s">
        <v>5938</v>
      </c>
      <c r="B136" s="626"/>
      <c r="C136" s="626"/>
      <c r="D136" s="626">
        <v>1</v>
      </c>
      <c r="E136" s="626"/>
      <c r="F136" s="626">
        <v>1</v>
      </c>
    </row>
    <row r="137" spans="1:6" x14ac:dyDescent="0.25">
      <c r="A137" s="6" t="s">
        <v>5320</v>
      </c>
      <c r="B137" s="626"/>
      <c r="C137" s="626"/>
      <c r="D137" s="626">
        <v>1</v>
      </c>
      <c r="E137" s="626"/>
      <c r="F137" s="626">
        <v>1</v>
      </c>
    </row>
    <row r="138" spans="1:6" x14ac:dyDescent="0.25">
      <c r="A138" s="627" t="s">
        <v>5948</v>
      </c>
      <c r="B138" s="626"/>
      <c r="C138" s="626"/>
      <c r="D138" s="626">
        <v>1</v>
      </c>
      <c r="E138" s="626"/>
      <c r="F138" s="626">
        <v>1</v>
      </c>
    </row>
    <row r="139" spans="1:6" x14ac:dyDescent="0.25">
      <c r="A139" s="6" t="s">
        <v>1155</v>
      </c>
      <c r="B139" s="626">
        <v>157</v>
      </c>
      <c r="C139" s="626">
        <v>155</v>
      </c>
      <c r="D139" s="626">
        <v>188</v>
      </c>
      <c r="E139" s="626">
        <v>7</v>
      </c>
      <c r="F139" s="626">
        <v>507</v>
      </c>
    </row>
  </sheetData>
  <conditionalFormatting pivot="1" sqref="B4:B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4:C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4:D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4:B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4:C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4:D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4:B6 B8:B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4:C6 C8:C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4:D6 D8:D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scale="55" fitToHeight="0" orientation="portrait" blackAndWhite="1" horizontalDpi="4294967293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FF0000"/>
    <pageSetUpPr fitToPage="1"/>
  </sheetPr>
  <dimension ref="A1:AA1420"/>
  <sheetViews>
    <sheetView showGridLines="0" zoomScale="85" zoomScaleNormal="85" workbookViewId="0">
      <pane xSplit="2" ySplit="2" topLeftCell="C3" activePane="bottomRight" state="frozen"/>
      <selection activeCell="A928" activeCellId="1" sqref="A926:XFD926 A928:XFD928"/>
      <selection pane="topRight" activeCell="A928" activeCellId="1" sqref="A926:XFD926 A928:XFD928"/>
      <selection pane="bottomLeft" activeCell="A928" activeCellId="1" sqref="A926:XFD926 A928:XFD928"/>
      <selection pane="bottomRight" activeCell="B12" sqref="B12"/>
    </sheetView>
  </sheetViews>
  <sheetFormatPr baseColWidth="10" defaultColWidth="9.140625" defaultRowHeight="15" outlineLevelCol="1" x14ac:dyDescent="0.25"/>
  <cols>
    <col min="1" max="1" width="11.5703125" style="4" customWidth="1"/>
    <col min="2" max="2" width="45.85546875" style="6" customWidth="1"/>
    <col min="3" max="3" width="36.7109375" customWidth="1" outlineLevel="1"/>
    <col min="4" max="4" width="15.5703125" style="4" customWidth="1"/>
    <col min="5" max="5" width="4.85546875" style="4" customWidth="1"/>
    <col min="6" max="6" width="9.7109375" style="78" customWidth="1" outlineLevel="1"/>
    <col min="7" max="7" width="5" style="4" customWidth="1" outlineLevel="1"/>
    <col min="8" max="8" width="3.85546875" style="4" customWidth="1" outlineLevel="1"/>
    <col min="9" max="9" width="3.5703125" style="4" customWidth="1" outlineLevel="1"/>
    <col min="10" max="10" width="3.85546875" style="4" customWidth="1" outlineLevel="1"/>
    <col min="11" max="11" width="8.5703125" style="4" customWidth="1" outlineLevel="1"/>
    <col min="12" max="12" width="14.5703125" style="4" customWidth="1"/>
    <col min="13" max="13" width="9.28515625" style="4" customWidth="1"/>
    <col min="14" max="14" width="10" style="4" customWidth="1"/>
    <col min="15" max="15" width="6.140625" style="4" customWidth="1" outlineLevel="1"/>
    <col min="16" max="16" width="9.28515625" style="4" customWidth="1" outlineLevel="1"/>
    <col min="17" max="17" width="2" style="4" customWidth="1"/>
    <col min="18" max="18" width="5.140625" style="4" customWidth="1"/>
    <col min="19" max="19" width="15" style="4" customWidth="1"/>
    <col min="20" max="20" width="2" style="4" customWidth="1"/>
    <col min="21" max="21" width="15.7109375" style="4" bestFit="1" customWidth="1" outlineLevel="1"/>
    <col min="22" max="22" width="16.28515625" style="4" bestFit="1" customWidth="1" outlineLevel="1"/>
    <col min="23" max="23" width="15" style="4" customWidth="1" outlineLevel="1"/>
    <col min="24" max="24" width="16.5703125" style="4" customWidth="1" outlineLevel="1"/>
    <col min="25" max="25" width="2.28515625" style="4" customWidth="1"/>
    <col min="26" max="26" width="9.140625" style="4" customWidth="1"/>
    <col min="27" max="16384" width="9.140625" style="4"/>
  </cols>
  <sheetData>
    <row r="1" spans="1:27" ht="36" customHeight="1" thickBot="1" x14ac:dyDescent="0.4">
      <c r="A1" s="146"/>
      <c r="C1" s="193"/>
      <c r="D1" s="147"/>
      <c r="E1" s="146"/>
      <c r="F1" s="191"/>
      <c r="G1" s="146"/>
      <c r="H1" s="147"/>
      <c r="I1" s="146"/>
      <c r="J1" s="147"/>
      <c r="K1" s="146"/>
      <c r="L1" s="147"/>
      <c r="M1" s="146"/>
      <c r="N1" s="147"/>
      <c r="O1" s="146"/>
      <c r="P1" s="147"/>
      <c r="Q1" s="144"/>
      <c r="R1" s="688" t="s">
        <v>2430</v>
      </c>
      <c r="S1" s="689"/>
      <c r="T1" s="144"/>
    </row>
    <row r="2" spans="1:27" s="1" customFormat="1" x14ac:dyDescent="0.25">
      <c r="A2" s="148" t="s">
        <v>0</v>
      </c>
      <c r="B2" s="148" t="s">
        <v>1</v>
      </c>
      <c r="C2" s="324" t="s">
        <v>5446</v>
      </c>
      <c r="D2" s="148" t="s">
        <v>2</v>
      </c>
      <c r="E2" s="148" t="s">
        <v>7</v>
      </c>
      <c r="F2" s="199" t="s">
        <v>2518</v>
      </c>
      <c r="G2" s="145" t="s">
        <v>1535</v>
      </c>
      <c r="H2" s="145" t="s">
        <v>1536</v>
      </c>
      <c r="I2" s="145" t="s">
        <v>1537</v>
      </c>
      <c r="J2" s="145" t="s">
        <v>1538</v>
      </c>
      <c r="K2" s="197" t="s">
        <v>2795</v>
      </c>
      <c r="L2" s="5" t="s">
        <v>2794</v>
      </c>
      <c r="M2" s="5" t="s">
        <v>2793</v>
      </c>
      <c r="N2" s="5" t="s">
        <v>1829</v>
      </c>
      <c r="O2" s="198" t="s">
        <v>2744</v>
      </c>
      <c r="P2" s="164" t="s">
        <v>2743</v>
      </c>
      <c r="Q2" s="4" t="s">
        <v>1486</v>
      </c>
      <c r="R2" s="33" t="s">
        <v>1881</v>
      </c>
      <c r="S2" s="157" t="s">
        <v>1864</v>
      </c>
      <c r="T2" s="200" t="s">
        <v>1486</v>
      </c>
      <c r="U2" s="5" t="s">
        <v>6</v>
      </c>
      <c r="V2" s="5" t="s">
        <v>3</v>
      </c>
      <c r="W2" s="5" t="s">
        <v>4</v>
      </c>
      <c r="X2" s="5" t="s">
        <v>5</v>
      </c>
      <c r="Y2" s="4" t="s">
        <v>1486</v>
      </c>
      <c r="Z2" s="158" t="s">
        <v>2923</v>
      </c>
      <c r="AA2" s="159" t="s">
        <v>2924</v>
      </c>
    </row>
    <row r="3" spans="1:27" s="320" customFormat="1" x14ac:dyDescent="0.25">
      <c r="A3" s="220" t="s">
        <v>1757</v>
      </c>
      <c r="B3" s="221" t="s">
        <v>5469</v>
      </c>
      <c r="C3" s="223" t="s">
        <v>4524</v>
      </c>
      <c r="D3" s="220" t="s">
        <v>1504</v>
      </c>
      <c r="E3" s="222">
        <v>1</v>
      </c>
      <c r="F3" s="192">
        <v>4621</v>
      </c>
      <c r="G3" s="24">
        <v>0.2</v>
      </c>
      <c r="H3" s="24">
        <v>0.05</v>
      </c>
      <c r="I3" s="24">
        <v>0.05</v>
      </c>
      <c r="J3" s="24">
        <v>0</v>
      </c>
      <c r="K3" s="224">
        <f t="shared" ref="K3:K66" si="0">IF(F3=0,0,1-(F3/M3))</f>
        <v>0.27800000000000014</v>
      </c>
      <c r="L3" s="225">
        <f t="shared" ref="L3:L66" si="1">+M3*E3</f>
        <v>6400.2770083102505</v>
      </c>
      <c r="M3" s="225">
        <f t="shared" ref="M3:M66" si="2">+F3/(1-G3)/(1-H3)/(1-I3)/(1-J3)</f>
        <v>6400.2770083102505</v>
      </c>
      <c r="N3" s="226">
        <f t="shared" ref="N3:N66" si="3">+M3*1.19</f>
        <v>7616.329639889198</v>
      </c>
      <c r="O3" s="34">
        <v>0.3</v>
      </c>
      <c r="P3" s="226">
        <f t="shared" ref="P3:P66" si="4">+N3*(1+O3)</f>
        <v>9901.228531855957</v>
      </c>
      <c r="Q3" s="107" t="s">
        <v>1486</v>
      </c>
      <c r="R3" s="34">
        <v>0.32</v>
      </c>
      <c r="S3" s="226">
        <f t="shared" ref="S3:S34" si="5">+(F3/(1-R3))*1.19</f>
        <v>8086.75</v>
      </c>
      <c r="T3" s="156" t="s">
        <v>1486</v>
      </c>
      <c r="U3" s="2" t="s">
        <v>50</v>
      </c>
      <c r="V3" s="2" t="s">
        <v>795</v>
      </c>
      <c r="W3" s="2" t="s">
        <v>1467</v>
      </c>
      <c r="X3" s="2" t="s">
        <v>1467</v>
      </c>
      <c r="Y3" s="488" t="s">
        <v>1486</v>
      </c>
      <c r="Z3" s="293">
        <f t="shared" ref="Z3:Z46" si="6">+M3-F3</f>
        <v>1779.2770083102505</v>
      </c>
      <c r="AA3" s="293">
        <f t="shared" ref="AA3:AA46" si="7">+(S3/1.19)-F3</f>
        <v>2174.588235294118</v>
      </c>
    </row>
    <row r="4" spans="1:27" s="320" customFormat="1" x14ac:dyDescent="0.25">
      <c r="A4" s="220" t="s">
        <v>8</v>
      </c>
      <c r="B4" s="221" t="s">
        <v>5825</v>
      </c>
      <c r="C4" s="223" t="s">
        <v>1486</v>
      </c>
      <c r="D4" s="220" t="s">
        <v>9</v>
      </c>
      <c r="E4" s="222">
        <v>12</v>
      </c>
      <c r="F4" s="192">
        <v>366</v>
      </c>
      <c r="G4" s="24">
        <v>0.2</v>
      </c>
      <c r="H4" s="24">
        <v>0.05</v>
      </c>
      <c r="I4" s="24">
        <v>0.05</v>
      </c>
      <c r="J4" s="24">
        <v>0</v>
      </c>
      <c r="K4" s="224">
        <f t="shared" si="0"/>
        <v>0.27800000000000002</v>
      </c>
      <c r="L4" s="225">
        <f t="shared" si="1"/>
        <v>6083.1024930747926</v>
      </c>
      <c r="M4" s="225">
        <f t="shared" si="2"/>
        <v>506.92520775623274</v>
      </c>
      <c r="N4" s="226">
        <f t="shared" si="3"/>
        <v>603.24099722991696</v>
      </c>
      <c r="O4" s="34">
        <v>0.3</v>
      </c>
      <c r="P4" s="226">
        <f t="shared" si="4"/>
        <v>784.21329639889211</v>
      </c>
      <c r="Q4" s="107" t="s">
        <v>1486</v>
      </c>
      <c r="R4" s="34">
        <v>0.45557512463602179</v>
      </c>
      <c r="S4" s="226">
        <f t="shared" si="5"/>
        <v>800.00018314522697</v>
      </c>
      <c r="T4" s="156" t="s">
        <v>1486</v>
      </c>
      <c r="U4" s="2" t="s">
        <v>109</v>
      </c>
      <c r="V4" s="2" t="s">
        <v>5826</v>
      </c>
      <c r="W4" s="2"/>
      <c r="X4" s="2"/>
      <c r="Y4" s="488" t="s">
        <v>1486</v>
      </c>
      <c r="Z4" s="293">
        <f t="shared" si="6"/>
        <v>140.92520775623274</v>
      </c>
      <c r="AA4" s="293">
        <f t="shared" si="7"/>
        <v>306.26906146657734</v>
      </c>
    </row>
    <row r="5" spans="1:27" s="320" customFormat="1" x14ac:dyDescent="0.25">
      <c r="A5" s="220" t="s">
        <v>13</v>
      </c>
      <c r="B5" s="221" t="s">
        <v>5827</v>
      </c>
      <c r="C5" s="223" t="s">
        <v>1486</v>
      </c>
      <c r="D5" s="220" t="s">
        <v>9</v>
      </c>
      <c r="E5" s="222">
        <v>12</v>
      </c>
      <c r="F5" s="192">
        <v>548</v>
      </c>
      <c r="G5" s="24">
        <v>0.2</v>
      </c>
      <c r="H5" s="24">
        <v>0.05</v>
      </c>
      <c r="I5" s="24">
        <v>0.05</v>
      </c>
      <c r="J5" s="24">
        <v>0</v>
      </c>
      <c r="K5" s="224">
        <f t="shared" si="0"/>
        <v>0.27800000000000002</v>
      </c>
      <c r="L5" s="225">
        <f t="shared" si="1"/>
        <v>9108.0332409972307</v>
      </c>
      <c r="M5" s="225">
        <f t="shared" si="2"/>
        <v>759.00277008310252</v>
      </c>
      <c r="N5" s="226">
        <f t="shared" si="3"/>
        <v>903.213296398892</v>
      </c>
      <c r="O5" s="34">
        <v>0.3</v>
      </c>
      <c r="P5" s="226">
        <f t="shared" si="4"/>
        <v>1174.1772853185596</v>
      </c>
      <c r="Q5" s="107" t="s">
        <v>1486</v>
      </c>
      <c r="R5" s="34">
        <v>0.34787996330520965</v>
      </c>
      <c r="S5" s="226">
        <f t="shared" si="5"/>
        <v>999.99994373000618</v>
      </c>
      <c r="T5" s="156" t="s">
        <v>1486</v>
      </c>
      <c r="U5" s="2" t="s">
        <v>109</v>
      </c>
      <c r="V5" s="2" t="s">
        <v>5826</v>
      </c>
      <c r="W5" s="2"/>
      <c r="X5" s="2"/>
      <c r="Y5" s="488" t="s">
        <v>1486</v>
      </c>
      <c r="Z5" s="293">
        <f t="shared" si="6"/>
        <v>211.00277008310252</v>
      </c>
      <c r="AA5" s="293">
        <f t="shared" si="7"/>
        <v>292.33608716807248</v>
      </c>
    </row>
    <row r="6" spans="1:27" s="320" customFormat="1" x14ac:dyDescent="0.25">
      <c r="A6" s="220" t="s">
        <v>14</v>
      </c>
      <c r="B6" s="221" t="s">
        <v>5828</v>
      </c>
      <c r="C6" s="223" t="s">
        <v>16</v>
      </c>
      <c r="D6" s="220" t="s">
        <v>17</v>
      </c>
      <c r="E6" s="222">
        <v>10</v>
      </c>
      <c r="F6" s="192">
        <v>907.55399999999986</v>
      </c>
      <c r="G6" s="24">
        <v>0.2</v>
      </c>
      <c r="H6" s="24">
        <v>0.05</v>
      </c>
      <c r="I6" s="24">
        <v>0.05</v>
      </c>
      <c r="J6" s="24">
        <v>0</v>
      </c>
      <c r="K6" s="224">
        <f t="shared" si="0"/>
        <v>0.27800000000000002</v>
      </c>
      <c r="L6" s="225">
        <f t="shared" si="1"/>
        <v>12569.999999999998</v>
      </c>
      <c r="M6" s="225">
        <f t="shared" si="2"/>
        <v>1256.9999999999998</v>
      </c>
      <c r="N6" s="226">
        <f t="shared" si="3"/>
        <v>1495.8299999999997</v>
      </c>
      <c r="O6" s="34">
        <v>0.3</v>
      </c>
      <c r="P6" s="226">
        <f t="shared" si="4"/>
        <v>1944.5789999999997</v>
      </c>
      <c r="Q6" s="107" t="s">
        <v>1486</v>
      </c>
      <c r="R6" s="34">
        <v>0.3</v>
      </c>
      <c r="S6" s="226">
        <f t="shared" si="5"/>
        <v>1542.8417999999999</v>
      </c>
      <c r="T6" s="156" t="s">
        <v>1486</v>
      </c>
      <c r="U6" s="2" t="s">
        <v>109</v>
      </c>
      <c r="V6" s="2" t="s">
        <v>5826</v>
      </c>
      <c r="W6" s="2"/>
      <c r="X6" s="2"/>
      <c r="Y6" s="488" t="s">
        <v>1486</v>
      </c>
      <c r="Z6" s="293">
        <f t="shared" si="6"/>
        <v>349.44599999999991</v>
      </c>
      <c r="AA6" s="293">
        <f t="shared" si="7"/>
        <v>388.95171428571439</v>
      </c>
    </row>
    <row r="7" spans="1:27" s="320" customFormat="1" x14ac:dyDescent="0.25">
      <c r="A7" s="220" t="s">
        <v>15</v>
      </c>
      <c r="B7" s="221" t="s">
        <v>5829</v>
      </c>
      <c r="C7" s="223" t="s">
        <v>16</v>
      </c>
      <c r="D7" s="220" t="s">
        <v>17</v>
      </c>
      <c r="E7" s="222">
        <v>10</v>
      </c>
      <c r="F7" s="192">
        <v>560</v>
      </c>
      <c r="G7" s="24">
        <v>0.2</v>
      </c>
      <c r="H7" s="24">
        <v>0.05</v>
      </c>
      <c r="I7" s="24">
        <v>0.05</v>
      </c>
      <c r="J7" s="24">
        <v>0</v>
      </c>
      <c r="K7" s="224">
        <f t="shared" si="0"/>
        <v>0.27800000000000002</v>
      </c>
      <c r="L7" s="225">
        <f t="shared" si="1"/>
        <v>7756.2326869806102</v>
      </c>
      <c r="M7" s="225">
        <f t="shared" si="2"/>
        <v>775.623268698061</v>
      </c>
      <c r="N7" s="226">
        <f t="shared" si="3"/>
        <v>922.99168975069256</v>
      </c>
      <c r="O7" s="34">
        <v>0.3</v>
      </c>
      <c r="P7" s="226">
        <f t="shared" si="4"/>
        <v>1199.8891966759004</v>
      </c>
      <c r="Q7" s="107" t="s">
        <v>1486</v>
      </c>
      <c r="R7" s="34">
        <v>0.3</v>
      </c>
      <c r="S7" s="226">
        <f t="shared" si="5"/>
        <v>952</v>
      </c>
      <c r="T7" s="156" t="s">
        <v>1486</v>
      </c>
      <c r="U7" s="2" t="s">
        <v>109</v>
      </c>
      <c r="V7" s="2" t="s">
        <v>5826</v>
      </c>
      <c r="W7" s="2" t="s">
        <v>1467</v>
      </c>
      <c r="X7" s="2" t="s">
        <v>1467</v>
      </c>
      <c r="Y7" s="488" t="s">
        <v>1486</v>
      </c>
      <c r="Z7" s="293">
        <f t="shared" si="6"/>
        <v>215.623268698061</v>
      </c>
      <c r="AA7" s="293">
        <f t="shared" si="7"/>
        <v>240</v>
      </c>
    </row>
    <row r="8" spans="1:27" s="320" customFormat="1" x14ac:dyDescent="0.25">
      <c r="A8" s="220" t="s">
        <v>19</v>
      </c>
      <c r="B8" s="221" t="s">
        <v>5830</v>
      </c>
      <c r="C8" s="223" t="s">
        <v>16</v>
      </c>
      <c r="D8" s="220" t="s">
        <v>17</v>
      </c>
      <c r="E8" s="222">
        <v>10</v>
      </c>
      <c r="F8" s="192">
        <v>740.69979999999987</v>
      </c>
      <c r="G8" s="24">
        <v>0.2</v>
      </c>
      <c r="H8" s="24">
        <v>0.05</v>
      </c>
      <c r="I8" s="24">
        <v>0.05</v>
      </c>
      <c r="J8" s="24">
        <v>0</v>
      </c>
      <c r="K8" s="224">
        <f t="shared" si="0"/>
        <v>0.27800000000000002</v>
      </c>
      <c r="L8" s="225">
        <f t="shared" si="1"/>
        <v>10258.999999999998</v>
      </c>
      <c r="M8" s="225">
        <f t="shared" si="2"/>
        <v>1025.8999999999999</v>
      </c>
      <c r="N8" s="226">
        <f t="shared" si="3"/>
        <v>1220.8209999999997</v>
      </c>
      <c r="O8" s="34">
        <v>0.3</v>
      </c>
      <c r="P8" s="226">
        <f t="shared" si="4"/>
        <v>1587.0672999999997</v>
      </c>
      <c r="Q8" s="107" t="s">
        <v>1486</v>
      </c>
      <c r="R8" s="34">
        <v>0.3</v>
      </c>
      <c r="S8" s="226">
        <f t="shared" si="5"/>
        <v>1259.1896599999998</v>
      </c>
      <c r="T8" s="156" t="s">
        <v>1486</v>
      </c>
      <c r="U8" s="2" t="s">
        <v>109</v>
      </c>
      <c r="V8" s="2" t="s">
        <v>5826</v>
      </c>
      <c r="W8" s="2"/>
      <c r="X8" s="2"/>
      <c r="Y8" s="488" t="s">
        <v>1486</v>
      </c>
      <c r="Z8" s="293">
        <f t="shared" si="6"/>
        <v>285.2002</v>
      </c>
      <c r="AA8" s="293">
        <f t="shared" si="7"/>
        <v>317.4427714285714</v>
      </c>
    </row>
    <row r="9" spans="1:27" s="320" customFormat="1" x14ac:dyDescent="0.25">
      <c r="A9" s="220" t="s">
        <v>20</v>
      </c>
      <c r="B9" s="221" t="s">
        <v>5831</v>
      </c>
      <c r="C9" s="223" t="s">
        <v>16</v>
      </c>
      <c r="D9" s="220" t="s">
        <v>17</v>
      </c>
      <c r="E9" s="222">
        <v>25</v>
      </c>
      <c r="F9" s="192">
        <v>0</v>
      </c>
      <c r="G9" s="24">
        <v>0.2</v>
      </c>
      <c r="H9" s="24">
        <v>0.05</v>
      </c>
      <c r="I9" s="24">
        <v>0.05</v>
      </c>
      <c r="J9" s="24">
        <v>0</v>
      </c>
      <c r="K9" s="224">
        <f t="shared" si="0"/>
        <v>0</v>
      </c>
      <c r="L9" s="225">
        <f t="shared" si="1"/>
        <v>0</v>
      </c>
      <c r="M9" s="225">
        <f t="shared" si="2"/>
        <v>0</v>
      </c>
      <c r="N9" s="226">
        <f t="shared" si="3"/>
        <v>0</v>
      </c>
      <c r="O9" s="34">
        <v>0.3</v>
      </c>
      <c r="P9" s="226">
        <f t="shared" si="4"/>
        <v>0</v>
      </c>
      <c r="Q9" s="107" t="s">
        <v>1486</v>
      </c>
      <c r="R9" s="34">
        <v>0.3</v>
      </c>
      <c r="S9" s="226">
        <f t="shared" si="5"/>
        <v>0</v>
      </c>
      <c r="T9" s="156" t="s">
        <v>1486</v>
      </c>
      <c r="U9" s="2" t="s">
        <v>109</v>
      </c>
      <c r="V9" s="2" t="s">
        <v>5826</v>
      </c>
      <c r="W9" s="2"/>
      <c r="X9" s="2"/>
      <c r="Y9" s="488" t="s">
        <v>1486</v>
      </c>
      <c r="Z9" s="293">
        <f t="shared" si="6"/>
        <v>0</v>
      </c>
      <c r="AA9" s="293">
        <f t="shared" si="7"/>
        <v>0</v>
      </c>
    </row>
    <row r="10" spans="1:27" s="320" customFormat="1" x14ac:dyDescent="0.25">
      <c r="A10" s="220" t="s">
        <v>21</v>
      </c>
      <c r="B10" s="221" t="s">
        <v>5832</v>
      </c>
      <c r="C10" s="223" t="s">
        <v>16</v>
      </c>
      <c r="D10" s="220" t="s">
        <v>17</v>
      </c>
      <c r="E10" s="222">
        <v>12</v>
      </c>
      <c r="F10" s="192">
        <v>0</v>
      </c>
      <c r="G10" s="24">
        <v>0.2</v>
      </c>
      <c r="H10" s="24">
        <v>0.05</v>
      </c>
      <c r="I10" s="24">
        <v>0.05</v>
      </c>
      <c r="J10" s="24">
        <v>0</v>
      </c>
      <c r="K10" s="224">
        <f t="shared" si="0"/>
        <v>0</v>
      </c>
      <c r="L10" s="225">
        <f t="shared" si="1"/>
        <v>0</v>
      </c>
      <c r="M10" s="225">
        <f t="shared" si="2"/>
        <v>0</v>
      </c>
      <c r="N10" s="226">
        <f t="shared" si="3"/>
        <v>0</v>
      </c>
      <c r="O10" s="34">
        <v>0.3</v>
      </c>
      <c r="P10" s="226">
        <f t="shared" si="4"/>
        <v>0</v>
      </c>
      <c r="Q10" s="107" t="s">
        <v>1486</v>
      </c>
      <c r="R10" s="34">
        <v>0.3</v>
      </c>
      <c r="S10" s="226">
        <f t="shared" si="5"/>
        <v>0</v>
      </c>
      <c r="T10" s="156" t="s">
        <v>1486</v>
      </c>
      <c r="U10" s="2" t="s">
        <v>109</v>
      </c>
      <c r="V10" s="2" t="s">
        <v>5826</v>
      </c>
      <c r="W10" s="2"/>
      <c r="X10" s="2"/>
      <c r="Y10" s="488" t="s">
        <v>1486</v>
      </c>
      <c r="Z10" s="293">
        <f t="shared" si="6"/>
        <v>0</v>
      </c>
      <c r="AA10" s="293">
        <f t="shared" si="7"/>
        <v>0</v>
      </c>
    </row>
    <row r="11" spans="1:27" s="320" customFormat="1" x14ac:dyDescent="0.25">
      <c r="A11" s="220" t="s">
        <v>22</v>
      </c>
      <c r="B11" s="221" t="s">
        <v>5833</v>
      </c>
      <c r="C11" s="223" t="s">
        <v>2668</v>
      </c>
      <c r="D11" s="220" t="s">
        <v>23</v>
      </c>
      <c r="E11" s="222">
        <v>12</v>
      </c>
      <c r="F11" s="192">
        <v>238</v>
      </c>
      <c r="G11" s="24">
        <v>0.2</v>
      </c>
      <c r="H11" s="24">
        <v>0.05</v>
      </c>
      <c r="I11" s="24">
        <v>0.05</v>
      </c>
      <c r="J11" s="24">
        <v>0</v>
      </c>
      <c r="K11" s="224">
        <f t="shared" si="0"/>
        <v>0.27800000000000014</v>
      </c>
      <c r="L11" s="225">
        <f t="shared" si="1"/>
        <v>3955.678670360111</v>
      </c>
      <c r="M11" s="225">
        <f t="shared" si="2"/>
        <v>329.63988919667594</v>
      </c>
      <c r="N11" s="226">
        <f t="shared" si="3"/>
        <v>392.27146814404438</v>
      </c>
      <c r="O11" s="34">
        <v>0.3</v>
      </c>
      <c r="P11" s="226">
        <f t="shared" si="4"/>
        <v>509.9529085872577</v>
      </c>
      <c r="Q11" s="107" t="s">
        <v>1486</v>
      </c>
      <c r="R11" s="34">
        <v>0.43356000596606709</v>
      </c>
      <c r="S11" s="226">
        <f t="shared" si="5"/>
        <v>500.00000526628344</v>
      </c>
      <c r="T11" s="156" t="s">
        <v>1486</v>
      </c>
      <c r="U11" s="2">
        <v>1</v>
      </c>
      <c r="V11" s="2" t="s">
        <v>5826</v>
      </c>
      <c r="W11" s="2" t="s">
        <v>3546</v>
      </c>
      <c r="X11" s="2" t="s">
        <v>3548</v>
      </c>
      <c r="Y11" s="488" t="s">
        <v>1486</v>
      </c>
      <c r="Z11" s="293">
        <f t="shared" si="6"/>
        <v>91.639889196675938</v>
      </c>
      <c r="AA11" s="293">
        <f t="shared" si="7"/>
        <v>182.16807165233905</v>
      </c>
    </row>
    <row r="12" spans="1:27" s="320" customFormat="1" x14ac:dyDescent="0.25">
      <c r="A12" s="220" t="s">
        <v>24</v>
      </c>
      <c r="B12" s="221" t="s">
        <v>5834</v>
      </c>
      <c r="C12" s="223" t="s">
        <v>2668</v>
      </c>
      <c r="D12" s="220" t="s">
        <v>23</v>
      </c>
      <c r="E12" s="222">
        <v>12</v>
      </c>
      <c r="F12" s="192">
        <v>417</v>
      </c>
      <c r="G12" s="24">
        <v>0.2</v>
      </c>
      <c r="H12" s="24">
        <v>0.05</v>
      </c>
      <c r="I12" s="24">
        <v>0.05</v>
      </c>
      <c r="J12" s="24">
        <v>0</v>
      </c>
      <c r="K12" s="224">
        <f t="shared" si="0"/>
        <v>0.27800000000000002</v>
      </c>
      <c r="L12" s="225">
        <f t="shared" si="1"/>
        <v>6930.7479224376739</v>
      </c>
      <c r="M12" s="225">
        <f t="shared" si="2"/>
        <v>577.56232686980616</v>
      </c>
      <c r="N12" s="226">
        <f t="shared" si="3"/>
        <v>687.29916897506928</v>
      </c>
      <c r="O12" s="34">
        <v>0.3</v>
      </c>
      <c r="P12" s="226">
        <f t="shared" si="4"/>
        <v>893.48891966759004</v>
      </c>
      <c r="Q12" s="107" t="s">
        <v>1486</v>
      </c>
      <c r="R12" s="34">
        <v>0.40316923015138195</v>
      </c>
      <c r="S12" s="226">
        <f t="shared" si="5"/>
        <v>831.44171693068904</v>
      </c>
      <c r="T12" s="156" t="s">
        <v>1486</v>
      </c>
      <c r="U12" s="2">
        <v>2</v>
      </c>
      <c r="V12" s="2" t="s">
        <v>5826</v>
      </c>
      <c r="W12" s="2" t="s">
        <v>3546</v>
      </c>
      <c r="X12" s="2" t="s">
        <v>3548</v>
      </c>
      <c r="Y12" s="488" t="s">
        <v>1486</v>
      </c>
      <c r="Z12" s="293">
        <f t="shared" si="6"/>
        <v>160.56232686980616</v>
      </c>
      <c r="AA12" s="293">
        <f t="shared" si="7"/>
        <v>281.69051842915053</v>
      </c>
    </row>
    <row r="13" spans="1:27" s="320" customFormat="1" x14ac:dyDescent="0.25">
      <c r="A13" s="220" t="s">
        <v>25</v>
      </c>
      <c r="B13" s="221" t="s">
        <v>5835</v>
      </c>
      <c r="C13" s="223" t="s">
        <v>2668</v>
      </c>
      <c r="D13" s="220" t="s">
        <v>23</v>
      </c>
      <c r="E13" s="222">
        <v>15</v>
      </c>
      <c r="F13" s="192">
        <v>460</v>
      </c>
      <c r="G13" s="24">
        <v>0.2</v>
      </c>
      <c r="H13" s="24">
        <v>0.05</v>
      </c>
      <c r="I13" s="24">
        <v>0.05</v>
      </c>
      <c r="J13" s="24">
        <v>0</v>
      </c>
      <c r="K13" s="224">
        <f t="shared" si="0"/>
        <v>0.27800000000000014</v>
      </c>
      <c r="L13" s="225">
        <f t="shared" si="1"/>
        <v>9556.7867036011085</v>
      </c>
      <c r="M13" s="225">
        <f t="shared" si="2"/>
        <v>637.11911357340728</v>
      </c>
      <c r="N13" s="226">
        <f t="shared" si="3"/>
        <v>758.17174515235467</v>
      </c>
      <c r="O13" s="34">
        <v>0.3</v>
      </c>
      <c r="P13" s="226">
        <f t="shared" si="4"/>
        <v>985.62326869806111</v>
      </c>
      <c r="Q13" s="107" t="s">
        <v>1486</v>
      </c>
      <c r="R13" s="34">
        <v>0.31574999765451628</v>
      </c>
      <c r="S13" s="226">
        <f t="shared" si="5"/>
        <v>799.99999725774649</v>
      </c>
      <c r="T13" s="156" t="s">
        <v>1486</v>
      </c>
      <c r="U13" s="2">
        <v>3</v>
      </c>
      <c r="V13" s="2" t="s">
        <v>5826</v>
      </c>
      <c r="W13" s="2" t="s">
        <v>3546</v>
      </c>
      <c r="X13" s="2" t="s">
        <v>3548</v>
      </c>
      <c r="Y13" s="488" t="s">
        <v>1486</v>
      </c>
      <c r="Z13" s="293">
        <f t="shared" si="6"/>
        <v>177.11911357340728</v>
      </c>
      <c r="AA13" s="293">
        <f t="shared" si="7"/>
        <v>212.26890525861052</v>
      </c>
    </row>
    <row r="14" spans="1:27" s="320" customFormat="1" x14ac:dyDescent="0.25">
      <c r="A14" s="220" t="s">
        <v>26</v>
      </c>
      <c r="B14" s="221" t="s">
        <v>5836</v>
      </c>
      <c r="C14" s="223" t="s">
        <v>2668</v>
      </c>
      <c r="D14" s="220" t="s">
        <v>23</v>
      </c>
      <c r="E14" s="222">
        <v>12</v>
      </c>
      <c r="F14" s="192">
        <v>526</v>
      </c>
      <c r="G14" s="24">
        <v>0.2</v>
      </c>
      <c r="H14" s="24">
        <v>0.05</v>
      </c>
      <c r="I14" s="24">
        <v>0.05</v>
      </c>
      <c r="J14" s="24">
        <v>0</v>
      </c>
      <c r="K14" s="224">
        <f t="shared" si="0"/>
        <v>0.27800000000000014</v>
      </c>
      <c r="L14" s="225">
        <f t="shared" si="1"/>
        <v>8742.3822714681446</v>
      </c>
      <c r="M14" s="225">
        <f t="shared" si="2"/>
        <v>728.53185595567879</v>
      </c>
      <c r="N14" s="226">
        <f t="shared" si="3"/>
        <v>866.95290858725775</v>
      </c>
      <c r="O14" s="34">
        <v>0.3</v>
      </c>
      <c r="P14" s="226">
        <f t="shared" si="4"/>
        <v>1127.038781163435</v>
      </c>
      <c r="Q14" s="107" t="s">
        <v>1486</v>
      </c>
      <c r="R14" s="34">
        <v>0.4</v>
      </c>
      <c r="S14" s="226">
        <f t="shared" si="5"/>
        <v>1043.2333333333333</v>
      </c>
      <c r="T14" s="156" t="s">
        <v>1486</v>
      </c>
      <c r="U14" s="2">
        <v>4</v>
      </c>
      <c r="V14" s="2" t="s">
        <v>5826</v>
      </c>
      <c r="W14" s="2" t="s">
        <v>3546</v>
      </c>
      <c r="X14" s="2" t="s">
        <v>3548</v>
      </c>
      <c r="Y14" s="488" t="s">
        <v>1486</v>
      </c>
      <c r="Z14" s="293">
        <f t="shared" si="6"/>
        <v>202.53185595567879</v>
      </c>
      <c r="AA14" s="293">
        <f t="shared" si="7"/>
        <v>350.66666666666674</v>
      </c>
    </row>
    <row r="15" spans="1:27" s="320" customFormat="1" x14ac:dyDescent="0.25">
      <c r="A15" s="220" t="s">
        <v>27</v>
      </c>
      <c r="B15" s="221" t="s">
        <v>5837</v>
      </c>
      <c r="C15" s="223" t="s">
        <v>2668</v>
      </c>
      <c r="D15" s="220" t="s">
        <v>23</v>
      </c>
      <c r="E15" s="222">
        <v>12</v>
      </c>
      <c r="F15" s="192">
        <v>601</v>
      </c>
      <c r="G15" s="24">
        <v>0.2</v>
      </c>
      <c r="H15" s="24">
        <v>0.05</v>
      </c>
      <c r="I15" s="24">
        <v>0.05</v>
      </c>
      <c r="J15" s="24">
        <v>0</v>
      </c>
      <c r="K15" s="224">
        <f t="shared" si="0"/>
        <v>0.27800000000000002</v>
      </c>
      <c r="L15" s="225">
        <f t="shared" si="1"/>
        <v>9988.9196675900275</v>
      </c>
      <c r="M15" s="225">
        <f t="shared" si="2"/>
        <v>832.409972299169</v>
      </c>
      <c r="N15" s="226">
        <f t="shared" si="3"/>
        <v>990.56786703601108</v>
      </c>
      <c r="O15" s="34">
        <v>0.3</v>
      </c>
      <c r="P15" s="226">
        <f t="shared" si="4"/>
        <v>1287.7382271468146</v>
      </c>
      <c r="Q15" s="107" t="s">
        <v>1486</v>
      </c>
      <c r="R15" s="34">
        <v>0.4</v>
      </c>
      <c r="S15" s="226">
        <f t="shared" si="5"/>
        <v>1191.9833333333333</v>
      </c>
      <c r="T15" s="156" t="s">
        <v>1486</v>
      </c>
      <c r="U15" s="2">
        <v>5</v>
      </c>
      <c r="V15" s="2" t="s">
        <v>5826</v>
      </c>
      <c r="W15" s="2" t="s">
        <v>3546</v>
      </c>
      <c r="X15" s="2" t="s">
        <v>3548</v>
      </c>
      <c r="Y15" s="488" t="s">
        <v>1486</v>
      </c>
      <c r="Z15" s="293">
        <f t="shared" si="6"/>
        <v>231.409972299169</v>
      </c>
      <c r="AA15" s="293">
        <f t="shared" si="7"/>
        <v>400.66666666666674</v>
      </c>
    </row>
    <row r="16" spans="1:27" s="320" customFormat="1" x14ac:dyDescent="0.25">
      <c r="A16" s="220" t="s">
        <v>28</v>
      </c>
      <c r="B16" s="221" t="s">
        <v>5838</v>
      </c>
      <c r="C16" s="223" t="s">
        <v>2668</v>
      </c>
      <c r="D16" s="220" t="s">
        <v>23</v>
      </c>
      <c r="E16" s="222">
        <v>12</v>
      </c>
      <c r="F16" s="192">
        <v>298</v>
      </c>
      <c r="G16" s="24">
        <v>0.2</v>
      </c>
      <c r="H16" s="24">
        <v>0.05</v>
      </c>
      <c r="I16" s="24">
        <v>0.05</v>
      </c>
      <c r="J16" s="24">
        <v>0</v>
      </c>
      <c r="K16" s="224">
        <f t="shared" si="0"/>
        <v>0.27800000000000002</v>
      </c>
      <c r="L16" s="225">
        <f t="shared" si="1"/>
        <v>4952.9085872576179</v>
      </c>
      <c r="M16" s="225">
        <f t="shared" si="2"/>
        <v>412.74238227146816</v>
      </c>
      <c r="N16" s="226">
        <f t="shared" si="3"/>
        <v>491.16343490304706</v>
      </c>
      <c r="O16" s="34">
        <v>0.3</v>
      </c>
      <c r="P16" s="226">
        <f t="shared" si="4"/>
        <v>638.51246537396116</v>
      </c>
      <c r="Q16" s="107" t="s">
        <v>1486</v>
      </c>
      <c r="R16" s="34">
        <v>0.49340000025313208</v>
      </c>
      <c r="S16" s="226">
        <f t="shared" si="5"/>
        <v>700.00000034976779</v>
      </c>
      <c r="T16" s="156" t="s">
        <v>1486</v>
      </c>
      <c r="U16" s="2">
        <v>6</v>
      </c>
      <c r="V16" s="2" t="s">
        <v>5826</v>
      </c>
      <c r="W16" s="2" t="s">
        <v>3546</v>
      </c>
      <c r="X16" s="2" t="s">
        <v>3548</v>
      </c>
      <c r="Y16" s="488" t="s">
        <v>1486</v>
      </c>
      <c r="Z16" s="293">
        <f t="shared" si="6"/>
        <v>114.74238227146816</v>
      </c>
      <c r="AA16" s="293">
        <f t="shared" si="7"/>
        <v>290.23529441156961</v>
      </c>
    </row>
    <row r="17" spans="1:27" s="320" customFormat="1" x14ac:dyDescent="0.25">
      <c r="A17" s="220" t="s">
        <v>30</v>
      </c>
      <c r="B17" s="221" t="s">
        <v>5839</v>
      </c>
      <c r="C17" s="223" t="s">
        <v>1563</v>
      </c>
      <c r="D17" s="220" t="s">
        <v>33</v>
      </c>
      <c r="E17" s="222">
        <v>12</v>
      </c>
      <c r="F17" s="192">
        <v>548</v>
      </c>
      <c r="G17" s="24">
        <v>0.2</v>
      </c>
      <c r="H17" s="24">
        <v>0.05</v>
      </c>
      <c r="I17" s="24">
        <v>0.05</v>
      </c>
      <c r="J17" s="24">
        <v>0</v>
      </c>
      <c r="K17" s="224">
        <f t="shared" si="0"/>
        <v>0.27800000000000002</v>
      </c>
      <c r="L17" s="225">
        <f t="shared" si="1"/>
        <v>9108.0332409972307</v>
      </c>
      <c r="M17" s="225">
        <f t="shared" si="2"/>
        <v>759.00277008310252</v>
      </c>
      <c r="N17" s="226">
        <f t="shared" si="3"/>
        <v>903.213296398892</v>
      </c>
      <c r="O17" s="34">
        <v>0.3</v>
      </c>
      <c r="P17" s="226">
        <f t="shared" si="4"/>
        <v>1174.1772853185596</v>
      </c>
      <c r="Q17" s="107" t="s">
        <v>1486</v>
      </c>
      <c r="R17" s="34">
        <v>0.25</v>
      </c>
      <c r="S17" s="226">
        <f t="shared" si="5"/>
        <v>869.49333333333323</v>
      </c>
      <c r="T17" s="156" t="s">
        <v>1486</v>
      </c>
      <c r="U17" s="2">
        <v>1</v>
      </c>
      <c r="V17" s="2" t="s">
        <v>5826</v>
      </c>
      <c r="W17" s="2" t="s">
        <v>5888</v>
      </c>
      <c r="X17" s="2" t="s">
        <v>1467</v>
      </c>
      <c r="Y17" s="488" t="s">
        <v>1486</v>
      </c>
      <c r="Z17" s="293">
        <f t="shared" si="6"/>
        <v>211.00277008310252</v>
      </c>
      <c r="AA17" s="293">
        <f t="shared" si="7"/>
        <v>182.66666666666663</v>
      </c>
    </row>
    <row r="18" spans="1:27" s="320" customFormat="1" x14ac:dyDescent="0.25">
      <c r="A18" s="220" t="s">
        <v>31</v>
      </c>
      <c r="B18" s="221" t="s">
        <v>5840</v>
      </c>
      <c r="C18" s="223" t="s">
        <v>1563</v>
      </c>
      <c r="D18" s="220" t="s">
        <v>2854</v>
      </c>
      <c r="E18" s="222">
        <v>12</v>
      </c>
      <c r="F18" s="192">
        <v>398</v>
      </c>
      <c r="G18" s="24">
        <v>0.2</v>
      </c>
      <c r="H18" s="24">
        <v>0.05</v>
      </c>
      <c r="I18" s="24">
        <v>0.05</v>
      </c>
      <c r="J18" s="24">
        <v>0</v>
      </c>
      <c r="K18" s="224">
        <f t="shared" si="0"/>
        <v>0.27800000000000014</v>
      </c>
      <c r="L18" s="225">
        <f t="shared" si="1"/>
        <v>6614.9584487534639</v>
      </c>
      <c r="M18" s="225">
        <f t="shared" si="2"/>
        <v>551.24653739612199</v>
      </c>
      <c r="N18" s="226">
        <f t="shared" si="3"/>
        <v>655.98337950138512</v>
      </c>
      <c r="O18" s="34">
        <v>0.3</v>
      </c>
      <c r="P18" s="226">
        <f t="shared" si="4"/>
        <v>852.77839335180067</v>
      </c>
      <c r="Q18" s="107" t="s">
        <v>1486</v>
      </c>
      <c r="R18" s="34">
        <v>0.31</v>
      </c>
      <c r="S18" s="226">
        <f t="shared" si="5"/>
        <v>686.40579710144937</v>
      </c>
      <c r="T18" s="156" t="s">
        <v>1486</v>
      </c>
      <c r="U18" s="2">
        <v>2</v>
      </c>
      <c r="V18" s="2" t="s">
        <v>5826</v>
      </c>
      <c r="W18" s="2" t="s">
        <v>5888</v>
      </c>
      <c r="X18" s="2" t="s">
        <v>1467</v>
      </c>
      <c r="Y18" s="488" t="s">
        <v>1486</v>
      </c>
      <c r="Z18" s="293">
        <f t="shared" si="6"/>
        <v>153.24653739612199</v>
      </c>
      <c r="AA18" s="293">
        <f t="shared" si="7"/>
        <v>178.81159420289862</v>
      </c>
    </row>
    <row r="19" spans="1:27" s="320" customFormat="1" x14ac:dyDescent="0.25">
      <c r="A19" s="220" t="s">
        <v>35</v>
      </c>
      <c r="B19" s="221" t="s">
        <v>5841</v>
      </c>
      <c r="C19" s="223" t="s">
        <v>1563</v>
      </c>
      <c r="D19" s="220" t="s">
        <v>1504</v>
      </c>
      <c r="E19" s="222">
        <v>1</v>
      </c>
      <c r="F19" s="192">
        <v>4922</v>
      </c>
      <c r="G19" s="24">
        <v>0.2</v>
      </c>
      <c r="H19" s="24">
        <v>0.05</v>
      </c>
      <c r="I19" s="24">
        <v>0.05</v>
      </c>
      <c r="J19" s="24">
        <v>0</v>
      </c>
      <c r="K19" s="224">
        <f t="shared" si="0"/>
        <v>0.27800000000000002</v>
      </c>
      <c r="L19" s="225">
        <f t="shared" si="1"/>
        <v>6817.174515235457</v>
      </c>
      <c r="M19" s="225">
        <f t="shared" si="2"/>
        <v>6817.174515235457</v>
      </c>
      <c r="N19" s="226">
        <f t="shared" si="3"/>
        <v>8112.4376731301936</v>
      </c>
      <c r="O19" s="34">
        <v>0.3</v>
      </c>
      <c r="P19" s="226">
        <f t="shared" si="4"/>
        <v>10546.168975069251</v>
      </c>
      <c r="Q19" s="107" t="s">
        <v>1486</v>
      </c>
      <c r="R19" s="34">
        <v>0.26</v>
      </c>
      <c r="S19" s="226">
        <f t="shared" si="5"/>
        <v>7915.1081081081084</v>
      </c>
      <c r="T19" s="156" t="s">
        <v>1486</v>
      </c>
      <c r="U19" s="2">
        <v>3</v>
      </c>
      <c r="V19" s="2" t="s">
        <v>5826</v>
      </c>
      <c r="W19" s="2" t="s">
        <v>5888</v>
      </c>
      <c r="X19" s="2" t="s">
        <v>1467</v>
      </c>
      <c r="Y19" s="488" t="s">
        <v>1486</v>
      </c>
      <c r="Z19" s="293">
        <f t="shared" si="6"/>
        <v>1895.174515235457</v>
      </c>
      <c r="AA19" s="293">
        <f t="shared" si="7"/>
        <v>1729.3513513513517</v>
      </c>
    </row>
    <row r="20" spans="1:27" s="320" customFormat="1" x14ac:dyDescent="0.25">
      <c r="A20" s="220" t="s">
        <v>36</v>
      </c>
      <c r="B20" s="221" t="s">
        <v>5842</v>
      </c>
      <c r="C20" s="223" t="s">
        <v>1563</v>
      </c>
      <c r="D20" s="220" t="s">
        <v>1504</v>
      </c>
      <c r="E20" s="222">
        <v>1</v>
      </c>
      <c r="F20" s="192">
        <v>3574</v>
      </c>
      <c r="G20" s="24">
        <v>0.2</v>
      </c>
      <c r="H20" s="24">
        <v>0.05</v>
      </c>
      <c r="I20" s="24">
        <v>0.05</v>
      </c>
      <c r="J20" s="24">
        <v>0</v>
      </c>
      <c r="K20" s="224">
        <f t="shared" si="0"/>
        <v>0.27800000000000002</v>
      </c>
      <c r="L20" s="225">
        <f t="shared" si="1"/>
        <v>4950.1385041551248</v>
      </c>
      <c r="M20" s="225">
        <f t="shared" si="2"/>
        <v>4950.1385041551248</v>
      </c>
      <c r="N20" s="226">
        <f t="shared" si="3"/>
        <v>5890.6648199445981</v>
      </c>
      <c r="O20" s="34">
        <v>0.3</v>
      </c>
      <c r="P20" s="226">
        <f t="shared" si="4"/>
        <v>7657.8642659279776</v>
      </c>
      <c r="Q20" s="107" t="s">
        <v>1486</v>
      </c>
      <c r="R20" s="34">
        <v>0.31196363590366216</v>
      </c>
      <c r="S20" s="226">
        <f t="shared" si="5"/>
        <v>6181.4465367480097</v>
      </c>
      <c r="T20" s="156" t="s">
        <v>1486</v>
      </c>
      <c r="U20" s="2">
        <v>4</v>
      </c>
      <c r="V20" s="2" t="s">
        <v>5826</v>
      </c>
      <c r="W20" s="2" t="s">
        <v>5888</v>
      </c>
      <c r="X20" s="2"/>
      <c r="Y20" s="488" t="s">
        <v>1486</v>
      </c>
      <c r="Z20" s="293">
        <f t="shared" si="6"/>
        <v>1376.1385041551248</v>
      </c>
      <c r="AA20" s="293">
        <f t="shared" si="7"/>
        <v>1620.4928880235375</v>
      </c>
    </row>
    <row r="21" spans="1:27" s="320" customFormat="1" x14ac:dyDescent="0.25">
      <c r="A21" s="220" t="s">
        <v>38</v>
      </c>
      <c r="B21" s="221" t="s">
        <v>5843</v>
      </c>
      <c r="C21" s="223" t="s">
        <v>1563</v>
      </c>
      <c r="D21" s="220" t="s">
        <v>1504</v>
      </c>
      <c r="E21" s="222">
        <v>1</v>
      </c>
      <c r="F21" s="192">
        <v>2200</v>
      </c>
      <c r="G21" s="24">
        <v>0.2</v>
      </c>
      <c r="H21" s="24">
        <v>0.05</v>
      </c>
      <c r="I21" s="24">
        <v>0.05</v>
      </c>
      <c r="J21" s="24">
        <v>0</v>
      </c>
      <c r="K21" s="224">
        <f t="shared" si="0"/>
        <v>0.27800000000000002</v>
      </c>
      <c r="L21" s="225">
        <f t="shared" si="1"/>
        <v>3047.0914127423825</v>
      </c>
      <c r="M21" s="225">
        <f t="shared" si="2"/>
        <v>3047.0914127423825</v>
      </c>
      <c r="N21" s="226">
        <f t="shared" si="3"/>
        <v>3626.038781163435</v>
      </c>
      <c r="O21" s="34">
        <v>0.3</v>
      </c>
      <c r="P21" s="226">
        <f t="shared" si="4"/>
        <v>4713.8504155124656</v>
      </c>
      <c r="Q21" s="107" t="s">
        <v>1486</v>
      </c>
      <c r="R21" s="34">
        <v>0.25200000024731872</v>
      </c>
      <c r="S21" s="226">
        <f t="shared" si="5"/>
        <v>3500.0000011572401</v>
      </c>
      <c r="T21" s="156" t="s">
        <v>1486</v>
      </c>
      <c r="U21" s="2">
        <v>5</v>
      </c>
      <c r="V21" s="2" t="s">
        <v>5826</v>
      </c>
      <c r="W21" s="2" t="s">
        <v>5888</v>
      </c>
      <c r="X21" s="2"/>
      <c r="Y21" s="488" t="s">
        <v>1486</v>
      </c>
      <c r="Z21" s="293">
        <f t="shared" si="6"/>
        <v>847.09141274238254</v>
      </c>
      <c r="AA21" s="293">
        <f t="shared" si="7"/>
        <v>741.17647156070598</v>
      </c>
    </row>
    <row r="22" spans="1:27" s="320" customFormat="1" x14ac:dyDescent="0.25">
      <c r="A22" s="220" t="s">
        <v>39</v>
      </c>
      <c r="B22" s="221" t="s">
        <v>1736</v>
      </c>
      <c r="C22" s="223" t="s">
        <v>1545</v>
      </c>
      <c r="D22" s="220" t="s">
        <v>1638</v>
      </c>
      <c r="E22" s="222">
        <v>6</v>
      </c>
      <c r="F22" s="192">
        <v>5500</v>
      </c>
      <c r="G22" s="24">
        <v>0.2</v>
      </c>
      <c r="H22" s="24">
        <v>0.05</v>
      </c>
      <c r="I22" s="24">
        <v>0.05</v>
      </c>
      <c r="J22" s="24">
        <v>0.05</v>
      </c>
      <c r="K22" s="224">
        <f t="shared" si="0"/>
        <v>0.31410000000000005</v>
      </c>
      <c r="L22" s="225">
        <f t="shared" si="1"/>
        <v>48111.969674879721</v>
      </c>
      <c r="M22" s="225">
        <f t="shared" si="2"/>
        <v>8018.6616124799539</v>
      </c>
      <c r="N22" s="226">
        <f t="shared" si="3"/>
        <v>9542.207318851144</v>
      </c>
      <c r="O22" s="34">
        <v>0.3</v>
      </c>
      <c r="P22" s="226">
        <f t="shared" si="4"/>
        <v>12404.869514506488</v>
      </c>
      <c r="Q22" s="107" t="s">
        <v>1486</v>
      </c>
      <c r="R22" s="34">
        <v>0.3</v>
      </c>
      <c r="S22" s="226">
        <f t="shared" si="5"/>
        <v>9350</v>
      </c>
      <c r="T22" s="156" t="s">
        <v>1486</v>
      </c>
      <c r="U22" s="2">
        <v>1</v>
      </c>
      <c r="V22" s="2" t="s">
        <v>5826</v>
      </c>
      <c r="W22" s="2" t="s">
        <v>4016</v>
      </c>
      <c r="X22" s="2"/>
      <c r="Y22" s="488" t="s">
        <v>1486</v>
      </c>
      <c r="Z22" s="293">
        <f t="shared" si="6"/>
        <v>2518.6616124799539</v>
      </c>
      <c r="AA22" s="293">
        <f t="shared" si="7"/>
        <v>2357.1428571428578</v>
      </c>
    </row>
    <row r="23" spans="1:27" s="320" customFormat="1" x14ac:dyDescent="0.25">
      <c r="A23" s="220" t="s">
        <v>40</v>
      </c>
      <c r="B23" s="221" t="s">
        <v>41</v>
      </c>
      <c r="C23" s="223" t="s">
        <v>16</v>
      </c>
      <c r="D23" s="220" t="s">
        <v>17</v>
      </c>
      <c r="E23" s="222">
        <v>2</v>
      </c>
      <c r="F23" s="192">
        <v>5500</v>
      </c>
      <c r="G23" s="24">
        <v>0.2</v>
      </c>
      <c r="H23" s="24">
        <v>0.05</v>
      </c>
      <c r="I23" s="24">
        <v>0.05</v>
      </c>
      <c r="J23" s="24">
        <v>0</v>
      </c>
      <c r="K23" s="224">
        <f t="shared" si="0"/>
        <v>0.27800000000000002</v>
      </c>
      <c r="L23" s="225">
        <f t="shared" si="1"/>
        <v>15235.457063711912</v>
      </c>
      <c r="M23" s="225">
        <f t="shared" si="2"/>
        <v>7617.7285318559561</v>
      </c>
      <c r="N23" s="226">
        <f t="shared" si="3"/>
        <v>9065.0969529085869</v>
      </c>
      <c r="O23" s="34">
        <v>0.3</v>
      </c>
      <c r="P23" s="226">
        <f t="shared" si="4"/>
        <v>11784.626038781164</v>
      </c>
      <c r="Q23" s="107" t="s">
        <v>1486</v>
      </c>
      <c r="R23" s="34">
        <v>0.3</v>
      </c>
      <c r="S23" s="226">
        <f t="shared" si="5"/>
        <v>9350</v>
      </c>
      <c r="T23" s="156" t="s">
        <v>1486</v>
      </c>
      <c r="U23" s="2" t="s">
        <v>109</v>
      </c>
      <c r="V23" s="2" t="s">
        <v>5826</v>
      </c>
      <c r="W23" s="2"/>
      <c r="X23" s="2"/>
      <c r="Y23" s="488" t="s">
        <v>1486</v>
      </c>
      <c r="Z23" s="293">
        <f t="shared" si="6"/>
        <v>2117.7285318559561</v>
      </c>
      <c r="AA23" s="293">
        <f t="shared" si="7"/>
        <v>2357.1428571428578</v>
      </c>
    </row>
    <row r="24" spans="1:27" s="320" customFormat="1" x14ac:dyDescent="0.25">
      <c r="A24" s="220" t="s">
        <v>44</v>
      </c>
      <c r="B24" s="221" t="s">
        <v>43</v>
      </c>
      <c r="C24" s="223" t="s">
        <v>16</v>
      </c>
      <c r="D24" s="220" t="s">
        <v>17</v>
      </c>
      <c r="E24" s="222">
        <v>6</v>
      </c>
      <c r="F24" s="192">
        <v>2100</v>
      </c>
      <c r="G24" s="24">
        <v>0.2</v>
      </c>
      <c r="H24" s="24">
        <v>0.05</v>
      </c>
      <c r="I24" s="24">
        <v>0.05</v>
      </c>
      <c r="J24" s="24">
        <v>0</v>
      </c>
      <c r="K24" s="224">
        <f t="shared" si="0"/>
        <v>0.27800000000000002</v>
      </c>
      <c r="L24" s="225">
        <f t="shared" si="1"/>
        <v>17451.523545706372</v>
      </c>
      <c r="M24" s="225">
        <f t="shared" si="2"/>
        <v>2908.5872576177285</v>
      </c>
      <c r="N24" s="226">
        <f t="shared" si="3"/>
        <v>3461.2188365650968</v>
      </c>
      <c r="O24" s="34">
        <v>0.3</v>
      </c>
      <c r="P24" s="226">
        <f t="shared" si="4"/>
        <v>4499.5844875346256</v>
      </c>
      <c r="Q24" s="107" t="s">
        <v>1486</v>
      </c>
      <c r="R24" s="34">
        <v>0.3</v>
      </c>
      <c r="S24" s="226">
        <f t="shared" si="5"/>
        <v>3570</v>
      </c>
      <c r="T24" s="156" t="s">
        <v>1486</v>
      </c>
      <c r="U24" s="2" t="s">
        <v>109</v>
      </c>
      <c r="V24" s="2" t="s">
        <v>5826</v>
      </c>
      <c r="W24" s="2"/>
      <c r="X24" s="2"/>
      <c r="Y24" s="488" t="s">
        <v>1486</v>
      </c>
      <c r="Z24" s="293">
        <f t="shared" si="6"/>
        <v>808.58725761772848</v>
      </c>
      <c r="AA24" s="293">
        <f t="shared" si="7"/>
        <v>900</v>
      </c>
    </row>
    <row r="25" spans="1:27" s="320" customFormat="1" x14ac:dyDescent="0.25">
      <c r="A25" s="220" t="s">
        <v>1503</v>
      </c>
      <c r="B25" s="221" t="s">
        <v>1972</v>
      </c>
      <c r="C25" s="223" t="s">
        <v>1545</v>
      </c>
      <c r="D25" s="220" t="s">
        <v>1638</v>
      </c>
      <c r="E25" s="222">
        <v>20</v>
      </c>
      <c r="F25" s="192">
        <v>2200</v>
      </c>
      <c r="G25" s="24">
        <v>0.2</v>
      </c>
      <c r="H25" s="24">
        <v>0.05</v>
      </c>
      <c r="I25" s="24">
        <v>0.05</v>
      </c>
      <c r="J25" s="24">
        <v>0.05</v>
      </c>
      <c r="K25" s="224">
        <f t="shared" si="0"/>
        <v>0.31410000000000016</v>
      </c>
      <c r="L25" s="225">
        <f t="shared" si="1"/>
        <v>64149.292899839638</v>
      </c>
      <c r="M25" s="225">
        <f t="shared" si="2"/>
        <v>3207.4646449919819</v>
      </c>
      <c r="N25" s="226">
        <f t="shared" si="3"/>
        <v>3816.8829275404582</v>
      </c>
      <c r="O25" s="34">
        <v>0.3</v>
      </c>
      <c r="P25" s="226">
        <f t="shared" si="4"/>
        <v>4961.9478058025961</v>
      </c>
      <c r="Q25" s="107" t="s">
        <v>1486</v>
      </c>
      <c r="R25" s="34">
        <v>0.35</v>
      </c>
      <c r="S25" s="226">
        <f t="shared" si="5"/>
        <v>4027.6923076923072</v>
      </c>
      <c r="T25" s="156" t="s">
        <v>1486</v>
      </c>
      <c r="U25" s="2">
        <v>2</v>
      </c>
      <c r="V25" s="2" t="s">
        <v>5826</v>
      </c>
      <c r="W25" s="2" t="s">
        <v>4016</v>
      </c>
      <c r="X25" s="2" t="s">
        <v>1467</v>
      </c>
      <c r="Y25" s="488" t="s">
        <v>1486</v>
      </c>
      <c r="Z25" s="293">
        <f t="shared" si="6"/>
        <v>1007.4646449919819</v>
      </c>
      <c r="AA25" s="293">
        <f t="shared" si="7"/>
        <v>1184.6153846153843</v>
      </c>
    </row>
    <row r="26" spans="1:27" s="320" customFormat="1" x14ac:dyDescent="0.25">
      <c r="A26" s="220" t="s">
        <v>1514</v>
      </c>
      <c r="B26" s="221" t="s">
        <v>3545</v>
      </c>
      <c r="C26" s="223" t="s">
        <v>2668</v>
      </c>
      <c r="D26" s="220" t="s">
        <v>23</v>
      </c>
      <c r="E26" s="222">
        <v>4</v>
      </c>
      <c r="F26" s="192">
        <v>1447</v>
      </c>
      <c r="G26" s="24">
        <v>0.2</v>
      </c>
      <c r="H26" s="24">
        <v>0.05</v>
      </c>
      <c r="I26" s="24">
        <v>0.05</v>
      </c>
      <c r="J26" s="24">
        <v>0</v>
      </c>
      <c r="K26" s="224">
        <f t="shared" si="0"/>
        <v>0.27800000000000014</v>
      </c>
      <c r="L26" s="225">
        <f t="shared" si="1"/>
        <v>8016.6204986149596</v>
      </c>
      <c r="M26" s="225">
        <f t="shared" si="2"/>
        <v>2004.1551246537399</v>
      </c>
      <c r="N26" s="226">
        <f t="shared" si="3"/>
        <v>2384.9445983379505</v>
      </c>
      <c r="O26" s="34">
        <v>0.3</v>
      </c>
      <c r="P26" s="226">
        <f t="shared" si="4"/>
        <v>3100.4279778393357</v>
      </c>
      <c r="Q26" s="107" t="s">
        <v>1486</v>
      </c>
      <c r="R26" s="34">
        <v>0.31122799968797771</v>
      </c>
      <c r="S26" s="226">
        <f t="shared" si="5"/>
        <v>2499.9999988674685</v>
      </c>
      <c r="T26" s="156" t="s">
        <v>1486</v>
      </c>
      <c r="U26" s="2" t="s">
        <v>109</v>
      </c>
      <c r="V26" s="2" t="s">
        <v>5826</v>
      </c>
      <c r="W26" s="2" t="s">
        <v>3546</v>
      </c>
      <c r="X26" s="2" t="s">
        <v>3549</v>
      </c>
      <c r="Y26" s="488" t="s">
        <v>1486</v>
      </c>
      <c r="Z26" s="293">
        <f t="shared" si="6"/>
        <v>557.1551246537399</v>
      </c>
      <c r="AA26" s="293">
        <f t="shared" si="7"/>
        <v>653.84033518274691</v>
      </c>
    </row>
    <row r="27" spans="1:27" s="320" customFormat="1" x14ac:dyDescent="0.25">
      <c r="A27" s="220" t="s">
        <v>1515</v>
      </c>
      <c r="B27" s="221" t="s">
        <v>5844</v>
      </c>
      <c r="C27" s="223" t="s">
        <v>1545</v>
      </c>
      <c r="D27" s="220" t="s">
        <v>1638</v>
      </c>
      <c r="E27" s="222">
        <v>9</v>
      </c>
      <c r="F27" s="192">
        <v>2400</v>
      </c>
      <c r="G27" s="24">
        <v>0.2</v>
      </c>
      <c r="H27" s="24">
        <v>0.05</v>
      </c>
      <c r="I27" s="24">
        <v>0.05</v>
      </c>
      <c r="J27" s="24">
        <v>0.05</v>
      </c>
      <c r="K27" s="224">
        <f t="shared" si="0"/>
        <v>0.31410000000000016</v>
      </c>
      <c r="L27" s="225">
        <f t="shared" si="1"/>
        <v>31491.471059921278</v>
      </c>
      <c r="M27" s="225">
        <f t="shared" si="2"/>
        <v>3499.0523399912531</v>
      </c>
      <c r="N27" s="226">
        <f t="shared" si="3"/>
        <v>4163.8722845895909</v>
      </c>
      <c r="O27" s="34">
        <v>0.3</v>
      </c>
      <c r="P27" s="226">
        <f t="shared" si="4"/>
        <v>5413.0339699664682</v>
      </c>
      <c r="Q27" s="107" t="s">
        <v>1486</v>
      </c>
      <c r="R27" s="34">
        <v>0.50758624233288785</v>
      </c>
      <c r="S27" s="226">
        <f t="shared" si="5"/>
        <v>5800.0004173944089</v>
      </c>
      <c r="T27" s="156" t="s">
        <v>1486</v>
      </c>
      <c r="U27" s="2">
        <v>3</v>
      </c>
      <c r="V27" s="2" t="s">
        <v>5826</v>
      </c>
      <c r="W27" s="2" t="s">
        <v>4016</v>
      </c>
      <c r="X27" s="2"/>
      <c r="Y27" s="488" t="s">
        <v>1486</v>
      </c>
      <c r="Z27" s="293">
        <f t="shared" si="6"/>
        <v>1099.0523399912531</v>
      </c>
      <c r="AA27" s="293">
        <f t="shared" si="7"/>
        <v>2473.949930583537</v>
      </c>
    </row>
    <row r="28" spans="1:27" s="320" customFormat="1" x14ac:dyDescent="0.25">
      <c r="A28" s="220" t="s">
        <v>1516</v>
      </c>
      <c r="B28" s="221" t="s">
        <v>1737</v>
      </c>
      <c r="C28" s="223" t="s">
        <v>1545</v>
      </c>
      <c r="D28" s="220" t="s">
        <v>1504</v>
      </c>
      <c r="E28" s="222">
        <v>20</v>
      </c>
      <c r="F28" s="192">
        <v>2195</v>
      </c>
      <c r="G28" s="24">
        <v>0.2</v>
      </c>
      <c r="H28" s="24">
        <v>0.05</v>
      </c>
      <c r="I28" s="24">
        <v>0.05</v>
      </c>
      <c r="J28" s="24">
        <v>0.05</v>
      </c>
      <c r="K28" s="224">
        <f t="shared" si="0"/>
        <v>0.31410000000000005</v>
      </c>
      <c r="L28" s="225">
        <f t="shared" si="1"/>
        <v>64003.49905233999</v>
      </c>
      <c r="M28" s="225">
        <f t="shared" si="2"/>
        <v>3200.1749526169997</v>
      </c>
      <c r="N28" s="226">
        <f t="shared" si="3"/>
        <v>3808.2081936142295</v>
      </c>
      <c r="O28" s="34">
        <v>0.3</v>
      </c>
      <c r="P28" s="226">
        <f t="shared" si="4"/>
        <v>4950.6706516984987</v>
      </c>
      <c r="Q28" s="107" t="s">
        <v>1486</v>
      </c>
      <c r="R28" s="34">
        <v>0.35</v>
      </c>
      <c r="S28" s="226">
        <f t="shared" si="5"/>
        <v>4018.538461538461</v>
      </c>
      <c r="T28" s="156" t="s">
        <v>1486</v>
      </c>
      <c r="U28" s="2">
        <v>4</v>
      </c>
      <c r="V28" s="2" t="s">
        <v>5826</v>
      </c>
      <c r="W28" s="2" t="s">
        <v>4016</v>
      </c>
      <c r="X28" s="2"/>
      <c r="Y28" s="488" t="s">
        <v>1486</v>
      </c>
      <c r="Z28" s="293">
        <f t="shared" si="6"/>
        <v>1005.1749526169997</v>
      </c>
      <c r="AA28" s="293">
        <f t="shared" si="7"/>
        <v>1181.9230769230767</v>
      </c>
    </row>
    <row r="29" spans="1:27" s="320" customFormat="1" x14ac:dyDescent="0.25">
      <c r="A29" s="220" t="s">
        <v>1647</v>
      </c>
      <c r="B29" s="221" t="s">
        <v>1670</v>
      </c>
      <c r="C29" s="223" t="s">
        <v>1545</v>
      </c>
      <c r="D29" s="220" t="s">
        <v>1504</v>
      </c>
      <c r="E29" s="222">
        <v>20</v>
      </c>
      <c r="F29" s="192">
        <v>2085</v>
      </c>
      <c r="G29" s="24">
        <v>0.2</v>
      </c>
      <c r="H29" s="24">
        <v>0.05</v>
      </c>
      <c r="I29" s="24">
        <v>0.05</v>
      </c>
      <c r="J29" s="24">
        <v>0.05</v>
      </c>
      <c r="K29" s="224">
        <f t="shared" si="0"/>
        <v>0.31410000000000016</v>
      </c>
      <c r="L29" s="225">
        <f t="shared" si="1"/>
        <v>60796.034407348023</v>
      </c>
      <c r="M29" s="225">
        <f t="shared" si="2"/>
        <v>3039.8017203674012</v>
      </c>
      <c r="N29" s="226">
        <f t="shared" si="3"/>
        <v>3617.3640472372072</v>
      </c>
      <c r="O29" s="34">
        <v>0.3</v>
      </c>
      <c r="P29" s="226">
        <f t="shared" si="4"/>
        <v>4702.573261408369</v>
      </c>
      <c r="Q29" s="107" t="s">
        <v>1486</v>
      </c>
      <c r="R29" s="34">
        <v>0.35</v>
      </c>
      <c r="S29" s="226">
        <f t="shared" si="5"/>
        <v>3817.1538461538457</v>
      </c>
      <c r="T29" s="156" t="s">
        <v>1486</v>
      </c>
      <c r="U29" s="2">
        <v>5</v>
      </c>
      <c r="V29" s="2" t="s">
        <v>5826</v>
      </c>
      <c r="W29" s="2" t="s">
        <v>4016</v>
      </c>
      <c r="X29" s="2" t="s">
        <v>1467</v>
      </c>
      <c r="Y29" s="488" t="s">
        <v>1486</v>
      </c>
      <c r="Z29" s="293">
        <f t="shared" si="6"/>
        <v>954.80172036740123</v>
      </c>
      <c r="AA29" s="293">
        <f t="shared" si="7"/>
        <v>1122.6923076923076</v>
      </c>
    </row>
    <row r="30" spans="1:27" s="320" customFormat="1" x14ac:dyDescent="0.25">
      <c r="A30" s="220" t="s">
        <v>1653</v>
      </c>
      <c r="B30" s="221" t="s">
        <v>2112</v>
      </c>
      <c r="C30" s="223" t="s">
        <v>1545</v>
      </c>
      <c r="D30" s="220" t="s">
        <v>1504</v>
      </c>
      <c r="E30" s="222">
        <v>20</v>
      </c>
      <c r="F30" s="192">
        <v>545</v>
      </c>
      <c r="G30" s="24">
        <v>0.2</v>
      </c>
      <c r="H30" s="24">
        <v>0.05</v>
      </c>
      <c r="I30" s="24">
        <v>0.05</v>
      </c>
      <c r="J30" s="24">
        <v>0.05</v>
      </c>
      <c r="K30" s="224">
        <f t="shared" si="0"/>
        <v>0.31410000000000016</v>
      </c>
      <c r="L30" s="225">
        <f t="shared" si="1"/>
        <v>15891.529377460274</v>
      </c>
      <c r="M30" s="225">
        <f t="shared" si="2"/>
        <v>794.57646887301371</v>
      </c>
      <c r="N30" s="226">
        <f t="shared" si="3"/>
        <v>945.54599795888623</v>
      </c>
      <c r="O30" s="34">
        <v>0.3</v>
      </c>
      <c r="P30" s="226">
        <f t="shared" si="4"/>
        <v>1229.2097973465523</v>
      </c>
      <c r="Q30" s="107" t="s">
        <v>1486</v>
      </c>
      <c r="R30" s="34">
        <v>0.5676333742123616</v>
      </c>
      <c r="S30" s="226">
        <f t="shared" si="5"/>
        <v>1500.0001418207112</v>
      </c>
      <c r="T30" s="156" t="s">
        <v>1486</v>
      </c>
      <c r="U30" s="2">
        <v>6</v>
      </c>
      <c r="V30" s="2" t="s">
        <v>5826</v>
      </c>
      <c r="W30" s="2" t="s">
        <v>4016</v>
      </c>
      <c r="X30" s="2"/>
      <c r="Y30" s="488" t="s">
        <v>1486</v>
      </c>
      <c r="Z30" s="293">
        <f t="shared" si="6"/>
        <v>249.57646887301371</v>
      </c>
      <c r="AA30" s="293">
        <f t="shared" si="7"/>
        <v>715.50432085774059</v>
      </c>
    </row>
    <row r="31" spans="1:27" s="320" customFormat="1" x14ac:dyDescent="0.25">
      <c r="A31" s="220" t="s">
        <v>1672</v>
      </c>
      <c r="B31" s="221" t="s">
        <v>5845</v>
      </c>
      <c r="C31" s="223" t="s">
        <v>1545</v>
      </c>
      <c r="D31" s="220" t="s">
        <v>1504</v>
      </c>
      <c r="E31" s="222">
        <v>1</v>
      </c>
      <c r="F31" s="192">
        <v>2250</v>
      </c>
      <c r="G31" s="24">
        <v>0.2</v>
      </c>
      <c r="H31" s="24">
        <v>0.05</v>
      </c>
      <c r="I31" s="24">
        <v>0.05</v>
      </c>
      <c r="J31" s="24">
        <v>0.05</v>
      </c>
      <c r="K31" s="224">
        <f t="shared" si="0"/>
        <v>0.31410000000000016</v>
      </c>
      <c r="L31" s="225">
        <f t="shared" si="1"/>
        <v>3280.3615687417996</v>
      </c>
      <c r="M31" s="225">
        <f t="shared" si="2"/>
        <v>3280.3615687417996</v>
      </c>
      <c r="N31" s="226">
        <f t="shared" si="3"/>
        <v>3903.6302668027415</v>
      </c>
      <c r="O31" s="34">
        <v>0.3</v>
      </c>
      <c r="P31" s="226">
        <f t="shared" si="4"/>
        <v>5074.7193468435644</v>
      </c>
      <c r="Q31" s="107" t="s">
        <v>1486</v>
      </c>
      <c r="R31" s="34">
        <v>0.45357143364460933</v>
      </c>
      <c r="S31" s="226">
        <f t="shared" si="5"/>
        <v>4900.0000454928359</v>
      </c>
      <c r="T31" s="156" t="s">
        <v>1486</v>
      </c>
      <c r="U31" s="2">
        <v>7</v>
      </c>
      <c r="V31" s="2" t="s">
        <v>5826</v>
      </c>
      <c r="W31" s="2" t="s">
        <v>4016</v>
      </c>
      <c r="X31" s="2" t="s">
        <v>1467</v>
      </c>
      <c r="Y31" s="488" t="s">
        <v>1486</v>
      </c>
      <c r="Z31" s="293">
        <f t="shared" si="6"/>
        <v>1030.3615687417996</v>
      </c>
      <c r="AA31" s="293">
        <f t="shared" si="7"/>
        <v>1867.6470970528035</v>
      </c>
    </row>
    <row r="32" spans="1:27" s="320" customFormat="1" x14ac:dyDescent="0.25">
      <c r="A32" s="220" t="s">
        <v>1755</v>
      </c>
      <c r="B32" s="221" t="s">
        <v>1925</v>
      </c>
      <c r="C32" s="223" t="s">
        <v>1545</v>
      </c>
      <c r="D32" s="220" t="s">
        <v>1504</v>
      </c>
      <c r="E32" s="222">
        <v>20</v>
      </c>
      <c r="F32" s="192">
        <v>2119</v>
      </c>
      <c r="G32" s="24">
        <v>0.2</v>
      </c>
      <c r="H32" s="24">
        <v>0.05</v>
      </c>
      <c r="I32" s="24">
        <v>0.05</v>
      </c>
      <c r="J32" s="24">
        <v>0.05</v>
      </c>
      <c r="K32" s="224">
        <f t="shared" si="0"/>
        <v>0.31410000000000005</v>
      </c>
      <c r="L32" s="225">
        <f t="shared" si="1"/>
        <v>61787.43257034554</v>
      </c>
      <c r="M32" s="225">
        <f t="shared" si="2"/>
        <v>3089.3716285172768</v>
      </c>
      <c r="N32" s="226">
        <f t="shared" si="3"/>
        <v>3676.3522379355591</v>
      </c>
      <c r="O32" s="34">
        <v>0.3</v>
      </c>
      <c r="P32" s="226">
        <f t="shared" si="4"/>
        <v>4779.2579093162267</v>
      </c>
      <c r="Q32" s="107" t="s">
        <v>1486</v>
      </c>
      <c r="R32" s="34">
        <v>0.35</v>
      </c>
      <c r="S32" s="226">
        <f t="shared" si="5"/>
        <v>3879.3999999999996</v>
      </c>
      <c r="T32" s="156" t="s">
        <v>1486</v>
      </c>
      <c r="U32" s="2">
        <v>8</v>
      </c>
      <c r="V32" s="2" t="s">
        <v>5826</v>
      </c>
      <c r="W32" s="2" t="s">
        <v>4016</v>
      </c>
      <c r="X32" s="2"/>
      <c r="Y32" s="488" t="s">
        <v>1486</v>
      </c>
      <c r="Z32" s="293">
        <f t="shared" si="6"/>
        <v>970.3716285172768</v>
      </c>
      <c r="AA32" s="293">
        <f t="shared" si="7"/>
        <v>1141</v>
      </c>
    </row>
    <row r="33" spans="1:27" s="320" customFormat="1" x14ac:dyDescent="0.25">
      <c r="A33" s="220" t="s">
        <v>1756</v>
      </c>
      <c r="B33" s="221" t="s">
        <v>1671</v>
      </c>
      <c r="C33" s="223" t="s">
        <v>1545</v>
      </c>
      <c r="D33" s="220" t="s">
        <v>1504</v>
      </c>
      <c r="E33" s="222">
        <v>1</v>
      </c>
      <c r="F33" s="192">
        <v>832</v>
      </c>
      <c r="G33" s="24">
        <v>0.2</v>
      </c>
      <c r="H33" s="24">
        <v>0.05</v>
      </c>
      <c r="I33" s="24">
        <v>0.05</v>
      </c>
      <c r="J33" s="24">
        <v>0.05</v>
      </c>
      <c r="K33" s="224">
        <f t="shared" si="0"/>
        <v>0.31410000000000016</v>
      </c>
      <c r="L33" s="225">
        <f t="shared" si="1"/>
        <v>1213.0048111969677</v>
      </c>
      <c r="M33" s="225">
        <f t="shared" si="2"/>
        <v>1213.0048111969677</v>
      </c>
      <c r="N33" s="226">
        <f t="shared" si="3"/>
        <v>1443.4757253243915</v>
      </c>
      <c r="O33" s="34">
        <v>0.3</v>
      </c>
      <c r="P33" s="226">
        <f t="shared" si="4"/>
        <v>1876.518442921709</v>
      </c>
      <c r="Q33" s="107" t="s">
        <v>1486</v>
      </c>
      <c r="R33" s="34">
        <v>0.34015000000000001</v>
      </c>
      <c r="S33" s="226">
        <f t="shared" si="5"/>
        <v>1500.4622262635444</v>
      </c>
      <c r="T33" s="156" t="s">
        <v>1486</v>
      </c>
      <c r="U33" s="2">
        <v>9</v>
      </c>
      <c r="V33" s="2" t="s">
        <v>5826</v>
      </c>
      <c r="W33" s="2" t="s">
        <v>4016</v>
      </c>
      <c r="X33" s="2"/>
      <c r="Y33" s="488" t="s">
        <v>1486</v>
      </c>
      <c r="Z33" s="293">
        <f t="shared" si="6"/>
        <v>381.00481119696769</v>
      </c>
      <c r="AA33" s="293">
        <f t="shared" si="7"/>
        <v>428.89262711222227</v>
      </c>
    </row>
    <row r="34" spans="1:27" s="320" customFormat="1" x14ac:dyDescent="0.25">
      <c r="A34" s="220" t="s">
        <v>2250</v>
      </c>
      <c r="B34" s="221" t="s">
        <v>5846</v>
      </c>
      <c r="C34" s="223" t="s">
        <v>1545</v>
      </c>
      <c r="D34" s="220" t="s">
        <v>1638</v>
      </c>
      <c r="E34" s="222">
        <v>20</v>
      </c>
      <c r="F34" s="192">
        <v>2100</v>
      </c>
      <c r="G34" s="24">
        <v>0.2</v>
      </c>
      <c r="H34" s="24">
        <v>0.05</v>
      </c>
      <c r="I34" s="24">
        <v>0.05</v>
      </c>
      <c r="J34" s="24">
        <v>0.05</v>
      </c>
      <c r="K34" s="224">
        <f t="shared" si="0"/>
        <v>0.31410000000000005</v>
      </c>
      <c r="L34" s="225">
        <f t="shared" si="1"/>
        <v>61233.415949846923</v>
      </c>
      <c r="M34" s="225">
        <f t="shared" si="2"/>
        <v>3061.6707974923461</v>
      </c>
      <c r="N34" s="226">
        <f t="shared" si="3"/>
        <v>3643.3882490158917</v>
      </c>
      <c r="O34" s="34">
        <v>0.3</v>
      </c>
      <c r="P34" s="226">
        <f t="shared" si="4"/>
        <v>4736.4047237206596</v>
      </c>
      <c r="Q34" s="107" t="s">
        <v>1486</v>
      </c>
      <c r="R34" s="34">
        <v>0.33</v>
      </c>
      <c r="S34" s="226">
        <f t="shared" si="5"/>
        <v>3729.8507462686571</v>
      </c>
      <c r="T34" s="156" t="s">
        <v>1486</v>
      </c>
      <c r="U34" s="2">
        <v>10</v>
      </c>
      <c r="V34" s="2" t="s">
        <v>5826</v>
      </c>
      <c r="W34" s="2" t="s">
        <v>4016</v>
      </c>
      <c r="X34" s="2" t="s">
        <v>1467</v>
      </c>
      <c r="Y34" s="488" t="s">
        <v>1486</v>
      </c>
      <c r="Z34" s="293">
        <f t="shared" si="6"/>
        <v>961.67079749234608</v>
      </c>
      <c r="AA34" s="293">
        <f t="shared" si="7"/>
        <v>1034.3283582089557</v>
      </c>
    </row>
    <row r="35" spans="1:27" s="320" customFormat="1" x14ac:dyDescent="0.25">
      <c r="A35" s="220" t="s">
        <v>1896</v>
      </c>
      <c r="B35" s="221" t="s">
        <v>1892</v>
      </c>
      <c r="C35" s="223" t="s">
        <v>1546</v>
      </c>
      <c r="D35" s="220" t="s">
        <v>1842</v>
      </c>
      <c r="E35" s="222">
        <v>0</v>
      </c>
      <c r="F35" s="192">
        <v>0</v>
      </c>
      <c r="G35" s="24">
        <v>0.2</v>
      </c>
      <c r="H35" s="24">
        <v>0.05</v>
      </c>
      <c r="I35" s="24">
        <v>0.05</v>
      </c>
      <c r="J35" s="24">
        <v>0</v>
      </c>
      <c r="K35" s="224">
        <f t="shared" si="0"/>
        <v>0</v>
      </c>
      <c r="L35" s="225">
        <f t="shared" si="1"/>
        <v>0</v>
      </c>
      <c r="M35" s="225">
        <f t="shared" si="2"/>
        <v>0</v>
      </c>
      <c r="N35" s="226">
        <f t="shared" si="3"/>
        <v>0</v>
      </c>
      <c r="O35" s="34">
        <v>0.3</v>
      </c>
      <c r="P35" s="226">
        <f t="shared" si="4"/>
        <v>0</v>
      </c>
      <c r="Q35" s="107" t="s">
        <v>1486</v>
      </c>
      <c r="R35" s="34">
        <v>0.3</v>
      </c>
      <c r="S35" s="226">
        <f t="shared" ref="S35:S66" si="8">+(F35/(1-R35))*1.19</f>
        <v>0</v>
      </c>
      <c r="T35" s="156" t="s">
        <v>1486</v>
      </c>
      <c r="U35" s="2" t="s">
        <v>109</v>
      </c>
      <c r="V35" s="2" t="s">
        <v>5826</v>
      </c>
      <c r="W35" s="2" t="s">
        <v>11</v>
      </c>
      <c r="X35" s="2" t="s">
        <v>2746</v>
      </c>
      <c r="Y35" s="488" t="s">
        <v>1486</v>
      </c>
      <c r="Z35" s="293">
        <f t="shared" si="6"/>
        <v>0</v>
      </c>
      <c r="AA35" s="293">
        <f t="shared" si="7"/>
        <v>0</v>
      </c>
    </row>
    <row r="36" spans="1:27" s="320" customFormat="1" x14ac:dyDescent="0.25">
      <c r="A36" s="220" t="s">
        <v>1924</v>
      </c>
      <c r="B36" s="221" t="s">
        <v>5847</v>
      </c>
      <c r="C36" s="223" t="s">
        <v>1545</v>
      </c>
      <c r="D36" s="220" t="s">
        <v>1504</v>
      </c>
      <c r="E36" s="222">
        <v>20</v>
      </c>
      <c r="F36" s="192">
        <v>850</v>
      </c>
      <c r="G36" s="24">
        <v>0.2</v>
      </c>
      <c r="H36" s="24">
        <v>0.05</v>
      </c>
      <c r="I36" s="24">
        <v>0.05</v>
      </c>
      <c r="J36" s="24">
        <v>0.05</v>
      </c>
      <c r="K36" s="224">
        <f t="shared" si="0"/>
        <v>0.31410000000000005</v>
      </c>
      <c r="L36" s="225">
        <f t="shared" si="1"/>
        <v>24784.954074938039</v>
      </c>
      <c r="M36" s="225">
        <f t="shared" si="2"/>
        <v>1239.2477037469021</v>
      </c>
      <c r="N36" s="226">
        <f t="shared" si="3"/>
        <v>1474.7047674588134</v>
      </c>
      <c r="O36" s="34">
        <v>0.3</v>
      </c>
      <c r="P36" s="226">
        <f t="shared" si="4"/>
        <v>1917.1161976964574</v>
      </c>
      <c r="Q36" s="107" t="s">
        <v>1486</v>
      </c>
      <c r="R36" s="34">
        <v>0.59540000000000004</v>
      </c>
      <c r="S36" s="226">
        <f t="shared" si="8"/>
        <v>2500</v>
      </c>
      <c r="T36" s="156" t="s">
        <v>1486</v>
      </c>
      <c r="U36" s="2">
        <v>11</v>
      </c>
      <c r="V36" s="2" t="s">
        <v>5826</v>
      </c>
      <c r="W36" s="2" t="s">
        <v>4016</v>
      </c>
      <c r="X36" s="2"/>
      <c r="Y36" s="488" t="s">
        <v>1486</v>
      </c>
      <c r="Z36" s="293">
        <f t="shared" si="6"/>
        <v>389.24770374690206</v>
      </c>
      <c r="AA36" s="293">
        <f t="shared" si="7"/>
        <v>1250.840336134454</v>
      </c>
    </row>
    <row r="37" spans="1:27" s="320" customFormat="1" x14ac:dyDescent="0.25">
      <c r="A37" s="220" t="s">
        <v>1971</v>
      </c>
      <c r="B37" s="221" t="s">
        <v>5848</v>
      </c>
      <c r="C37" s="223" t="s">
        <v>1545</v>
      </c>
      <c r="D37" s="220" t="s">
        <v>1504</v>
      </c>
      <c r="E37" s="222">
        <v>1</v>
      </c>
      <c r="F37" s="192">
        <v>3624</v>
      </c>
      <c r="G37" s="24">
        <v>0.2</v>
      </c>
      <c r="H37" s="24">
        <v>0.05</v>
      </c>
      <c r="I37" s="24">
        <v>0.05</v>
      </c>
      <c r="J37" s="24">
        <v>0</v>
      </c>
      <c r="K37" s="224">
        <f t="shared" si="0"/>
        <v>0.27800000000000002</v>
      </c>
      <c r="L37" s="225">
        <f t="shared" si="1"/>
        <v>5019.3905817174518</v>
      </c>
      <c r="M37" s="225">
        <f t="shared" si="2"/>
        <v>5019.3905817174518</v>
      </c>
      <c r="N37" s="226">
        <f t="shared" si="3"/>
        <v>5973.0747922437677</v>
      </c>
      <c r="O37" s="34">
        <v>0.3</v>
      </c>
      <c r="P37" s="226">
        <f t="shared" si="4"/>
        <v>7764.9972299168985</v>
      </c>
      <c r="Q37" s="107" t="s">
        <v>1486</v>
      </c>
      <c r="R37" s="34">
        <v>0.26280508413820108</v>
      </c>
      <c r="S37" s="226">
        <f t="shared" si="8"/>
        <v>5849.9589555070543</v>
      </c>
      <c r="T37" s="156" t="s">
        <v>1486</v>
      </c>
      <c r="U37" s="2">
        <v>12</v>
      </c>
      <c r="V37" s="2" t="s">
        <v>5826</v>
      </c>
      <c r="W37" s="2" t="s">
        <v>4016</v>
      </c>
      <c r="X37" s="2" t="s">
        <v>1467</v>
      </c>
      <c r="Y37" s="488" t="s">
        <v>1486</v>
      </c>
      <c r="Z37" s="293">
        <f t="shared" si="6"/>
        <v>1395.3905817174518</v>
      </c>
      <c r="AA37" s="293">
        <f t="shared" si="7"/>
        <v>1291.9318953840793</v>
      </c>
    </row>
    <row r="38" spans="1:27" s="320" customFormat="1" x14ac:dyDescent="0.25">
      <c r="A38" s="220" t="s">
        <v>2109</v>
      </c>
      <c r="B38" s="221" t="s">
        <v>2110</v>
      </c>
      <c r="C38" s="223" t="s">
        <v>1545</v>
      </c>
      <c r="D38" s="220" t="s">
        <v>1504</v>
      </c>
      <c r="E38" s="222">
        <v>12</v>
      </c>
      <c r="F38" s="192">
        <v>1150</v>
      </c>
      <c r="G38" s="24">
        <v>0.2</v>
      </c>
      <c r="H38" s="24">
        <v>0.05</v>
      </c>
      <c r="I38" s="24">
        <v>0.05</v>
      </c>
      <c r="J38" s="24">
        <v>0.05</v>
      </c>
      <c r="K38" s="224">
        <f t="shared" si="0"/>
        <v>0.31410000000000005</v>
      </c>
      <c r="L38" s="225">
        <f t="shared" si="1"/>
        <v>20119.550954949704</v>
      </c>
      <c r="M38" s="225">
        <f t="shared" si="2"/>
        <v>1676.6292462458086</v>
      </c>
      <c r="N38" s="226">
        <f t="shared" si="3"/>
        <v>1995.1888030325122</v>
      </c>
      <c r="O38" s="34">
        <v>0.3</v>
      </c>
      <c r="P38" s="226">
        <f t="shared" si="4"/>
        <v>2593.7454439422659</v>
      </c>
      <c r="Q38" s="107" t="s">
        <v>1486</v>
      </c>
      <c r="R38" s="34">
        <v>0.42979171491642354</v>
      </c>
      <c r="S38" s="226">
        <f t="shared" si="8"/>
        <v>2400.0002030826618</v>
      </c>
      <c r="T38" s="156" t="s">
        <v>1486</v>
      </c>
      <c r="U38" s="2">
        <v>13</v>
      </c>
      <c r="V38" s="2" t="s">
        <v>5826</v>
      </c>
      <c r="W38" s="2" t="s">
        <v>4016</v>
      </c>
      <c r="X38" s="2"/>
      <c r="Y38" s="488" t="s">
        <v>1486</v>
      </c>
      <c r="Z38" s="293">
        <f t="shared" si="6"/>
        <v>526.62924624580864</v>
      </c>
      <c r="AA38" s="293">
        <f t="shared" si="7"/>
        <v>866.80689334677459</v>
      </c>
    </row>
    <row r="39" spans="1:27" s="320" customFormat="1" x14ac:dyDescent="0.25">
      <c r="A39" s="220" t="s">
        <v>2111</v>
      </c>
      <c r="B39" s="221" t="s">
        <v>5849</v>
      </c>
      <c r="C39" s="223" t="s">
        <v>1545</v>
      </c>
      <c r="D39" s="220" t="s">
        <v>1638</v>
      </c>
      <c r="E39" s="222">
        <v>2</v>
      </c>
      <c r="F39" s="192">
        <v>2250</v>
      </c>
      <c r="G39" s="24">
        <v>0.2</v>
      </c>
      <c r="H39" s="24">
        <v>0.05</v>
      </c>
      <c r="I39" s="24">
        <v>0.05</v>
      </c>
      <c r="J39" s="24">
        <v>0.05</v>
      </c>
      <c r="K39" s="224">
        <f t="shared" si="0"/>
        <v>0.31410000000000016</v>
      </c>
      <c r="L39" s="225">
        <f t="shared" si="1"/>
        <v>6560.7231374835992</v>
      </c>
      <c r="M39" s="225">
        <f t="shared" si="2"/>
        <v>3280.3615687417996</v>
      </c>
      <c r="N39" s="226">
        <f t="shared" si="3"/>
        <v>3903.6302668027415</v>
      </c>
      <c r="O39" s="34">
        <v>0.3</v>
      </c>
      <c r="P39" s="226">
        <f t="shared" si="4"/>
        <v>5074.7193468435644</v>
      </c>
      <c r="Q39" s="107" t="s">
        <v>1486</v>
      </c>
      <c r="R39" s="34">
        <v>0.45357141825793496</v>
      </c>
      <c r="S39" s="226">
        <f t="shared" si="8"/>
        <v>4899.9999075156002</v>
      </c>
      <c r="T39" s="156" t="s">
        <v>1486</v>
      </c>
      <c r="U39" s="2">
        <v>14</v>
      </c>
      <c r="V39" s="2" t="s">
        <v>5826</v>
      </c>
      <c r="W39" s="2" t="s">
        <v>4016</v>
      </c>
      <c r="X39" s="2" t="s">
        <v>1467</v>
      </c>
      <c r="Y39" s="488" t="s">
        <v>1486</v>
      </c>
      <c r="Z39" s="293">
        <f t="shared" si="6"/>
        <v>1030.3615687417996</v>
      </c>
      <c r="AA39" s="293">
        <f t="shared" si="7"/>
        <v>1867.6469811055467</v>
      </c>
    </row>
    <row r="40" spans="1:27" s="320" customFormat="1" x14ac:dyDescent="0.25">
      <c r="A40" s="220" t="s">
        <v>2333</v>
      </c>
      <c r="B40" s="221" t="s">
        <v>5850</v>
      </c>
      <c r="C40" s="223" t="s">
        <v>1545</v>
      </c>
      <c r="D40" s="220" t="s">
        <v>1504</v>
      </c>
      <c r="E40" s="222">
        <v>1</v>
      </c>
      <c r="F40" s="192">
        <v>0</v>
      </c>
      <c r="G40" s="24">
        <v>0.2</v>
      </c>
      <c r="H40" s="24">
        <v>0.05</v>
      </c>
      <c r="I40" s="24">
        <v>0.05</v>
      </c>
      <c r="J40" s="24">
        <v>0.05</v>
      </c>
      <c r="K40" s="224">
        <f t="shared" si="0"/>
        <v>0</v>
      </c>
      <c r="L40" s="225">
        <f t="shared" si="1"/>
        <v>0</v>
      </c>
      <c r="M40" s="225">
        <f t="shared" si="2"/>
        <v>0</v>
      </c>
      <c r="N40" s="226">
        <f t="shared" si="3"/>
        <v>0</v>
      </c>
      <c r="O40" s="34">
        <v>0.3</v>
      </c>
      <c r="P40" s="226">
        <f t="shared" si="4"/>
        <v>0</v>
      </c>
      <c r="Q40" s="107" t="s">
        <v>1486</v>
      </c>
      <c r="R40" s="34">
        <v>0.3125</v>
      </c>
      <c r="S40" s="226">
        <f t="shared" si="8"/>
        <v>0</v>
      </c>
      <c r="T40" s="156" t="s">
        <v>1486</v>
      </c>
      <c r="U40" s="2" t="s">
        <v>109</v>
      </c>
      <c r="V40" s="2" t="s">
        <v>5826</v>
      </c>
      <c r="W40" s="2"/>
      <c r="X40" s="2"/>
      <c r="Y40" s="488" t="s">
        <v>1486</v>
      </c>
      <c r="Z40" s="293">
        <f t="shared" si="6"/>
        <v>0</v>
      </c>
      <c r="AA40" s="293">
        <f t="shared" si="7"/>
        <v>0</v>
      </c>
    </row>
    <row r="41" spans="1:27" s="320" customFormat="1" x14ac:dyDescent="0.25">
      <c r="A41" s="220" t="s">
        <v>2459</v>
      </c>
      <c r="B41" s="221" t="s">
        <v>2460</v>
      </c>
      <c r="C41" s="223" t="s">
        <v>1546</v>
      </c>
      <c r="D41" s="220" t="s">
        <v>2461</v>
      </c>
      <c r="E41" s="222">
        <v>63</v>
      </c>
      <c r="F41" s="192">
        <v>326</v>
      </c>
      <c r="G41" s="24">
        <v>0.2</v>
      </c>
      <c r="H41" s="24">
        <v>0.05</v>
      </c>
      <c r="I41" s="24">
        <v>0.05</v>
      </c>
      <c r="J41" s="24">
        <v>0</v>
      </c>
      <c r="K41" s="224">
        <f t="shared" si="0"/>
        <v>0.27800000000000002</v>
      </c>
      <c r="L41" s="225">
        <f t="shared" si="1"/>
        <v>28445.983379501387</v>
      </c>
      <c r="M41" s="225">
        <f t="shared" si="2"/>
        <v>451.52354570637124</v>
      </c>
      <c r="N41" s="226">
        <f t="shared" si="3"/>
        <v>537.31301939058176</v>
      </c>
      <c r="O41" s="34">
        <v>0.3</v>
      </c>
      <c r="P41" s="226">
        <f t="shared" si="4"/>
        <v>698.50692520775635</v>
      </c>
      <c r="Q41" s="107" t="s">
        <v>1486</v>
      </c>
      <c r="R41" s="34">
        <v>0.3</v>
      </c>
      <c r="S41" s="226">
        <f t="shared" si="8"/>
        <v>554.19999999999993</v>
      </c>
      <c r="T41" s="156" t="s">
        <v>1486</v>
      </c>
      <c r="U41" s="2" t="s">
        <v>109</v>
      </c>
      <c r="V41" s="2" t="s">
        <v>5826</v>
      </c>
      <c r="W41" s="2"/>
      <c r="X41" s="2"/>
      <c r="Y41" s="488" t="s">
        <v>1486</v>
      </c>
      <c r="Z41" s="293">
        <f t="shared" si="6"/>
        <v>125.52354570637124</v>
      </c>
      <c r="AA41" s="293">
        <f t="shared" si="7"/>
        <v>139.71428571428567</v>
      </c>
    </row>
    <row r="42" spans="1:27" s="320" customFormat="1" x14ac:dyDescent="0.25">
      <c r="A42" s="220" t="s">
        <v>2467</v>
      </c>
      <c r="B42" s="221" t="s">
        <v>2468</v>
      </c>
      <c r="C42" s="223" t="s">
        <v>1561</v>
      </c>
      <c r="D42" s="220" t="s">
        <v>2469</v>
      </c>
      <c r="E42" s="222">
        <v>12</v>
      </c>
      <c r="F42" s="192">
        <v>510</v>
      </c>
      <c r="G42" s="24">
        <v>0.2</v>
      </c>
      <c r="H42" s="24">
        <v>0.05</v>
      </c>
      <c r="I42" s="24">
        <v>0.05</v>
      </c>
      <c r="J42" s="24">
        <v>0</v>
      </c>
      <c r="K42" s="224">
        <f t="shared" si="0"/>
        <v>0.27800000000000014</v>
      </c>
      <c r="L42" s="225">
        <f t="shared" si="1"/>
        <v>8476.4542936288108</v>
      </c>
      <c r="M42" s="225">
        <f t="shared" si="2"/>
        <v>706.37119113573419</v>
      </c>
      <c r="N42" s="226">
        <f t="shared" si="3"/>
        <v>840.58171745152367</v>
      </c>
      <c r="O42" s="34">
        <v>0.3</v>
      </c>
      <c r="P42" s="226">
        <f t="shared" si="4"/>
        <v>1092.7562326869809</v>
      </c>
      <c r="Q42" s="107" t="s">
        <v>1486</v>
      </c>
      <c r="R42" s="34">
        <v>0.39309999836830051</v>
      </c>
      <c r="S42" s="226">
        <f t="shared" si="8"/>
        <v>999.99999731141952</v>
      </c>
      <c r="T42" s="156" t="s">
        <v>1486</v>
      </c>
      <c r="U42" s="2" t="s">
        <v>109</v>
      </c>
      <c r="V42" s="2" t="s">
        <v>5826</v>
      </c>
      <c r="W42" s="2"/>
      <c r="X42" s="2"/>
      <c r="Y42" s="488" t="s">
        <v>1486</v>
      </c>
      <c r="Z42" s="293">
        <f t="shared" si="6"/>
        <v>196.37119113573419</v>
      </c>
      <c r="AA42" s="293">
        <f t="shared" si="7"/>
        <v>330.33613219447022</v>
      </c>
    </row>
    <row r="43" spans="1:27" s="320" customFormat="1" x14ac:dyDescent="0.25">
      <c r="A43" s="220" t="s">
        <v>2674</v>
      </c>
      <c r="B43" s="221" t="s">
        <v>5889</v>
      </c>
      <c r="C43" s="223" t="s">
        <v>2668</v>
      </c>
      <c r="D43" s="220" t="s">
        <v>23</v>
      </c>
      <c r="E43" s="222">
        <v>4</v>
      </c>
      <c r="F43" s="192">
        <v>2342</v>
      </c>
      <c r="G43" s="24">
        <v>0.2</v>
      </c>
      <c r="H43" s="24">
        <v>0.05</v>
      </c>
      <c r="I43" s="24">
        <v>0.05</v>
      </c>
      <c r="J43" s="24">
        <v>0</v>
      </c>
      <c r="K43" s="224">
        <f t="shared" si="0"/>
        <v>0.27800000000000014</v>
      </c>
      <c r="L43" s="225">
        <f t="shared" si="1"/>
        <v>12975.069252077565</v>
      </c>
      <c r="M43" s="225">
        <f t="shared" si="2"/>
        <v>3243.7673130193912</v>
      </c>
      <c r="N43" s="226">
        <f t="shared" si="3"/>
        <v>3860.0831024930753</v>
      </c>
      <c r="O43" s="34">
        <v>0.3</v>
      </c>
      <c r="P43" s="226">
        <f t="shared" si="4"/>
        <v>5018.1080332409983</v>
      </c>
      <c r="Q43" s="107" t="s">
        <v>1486</v>
      </c>
      <c r="R43" s="34">
        <v>0.20371998264325766</v>
      </c>
      <c r="S43" s="226">
        <f t="shared" si="8"/>
        <v>3499.9999237095026</v>
      </c>
      <c r="T43" s="156" t="s">
        <v>1486</v>
      </c>
      <c r="U43" s="2">
        <v>1</v>
      </c>
      <c r="V43" s="2" t="s">
        <v>5826</v>
      </c>
      <c r="W43" s="2" t="s">
        <v>3547</v>
      </c>
      <c r="X43" s="2" t="s">
        <v>3548</v>
      </c>
      <c r="Y43" s="488" t="s">
        <v>1486</v>
      </c>
      <c r="Z43" s="293">
        <f t="shared" si="6"/>
        <v>901.76731301939117</v>
      </c>
      <c r="AA43" s="293">
        <f t="shared" si="7"/>
        <v>599.17640647857388</v>
      </c>
    </row>
    <row r="44" spans="1:27" s="320" customFormat="1" x14ac:dyDescent="0.25">
      <c r="A44" s="220" t="s">
        <v>2691</v>
      </c>
      <c r="B44" s="221" t="s">
        <v>2692</v>
      </c>
      <c r="C44" s="223" t="s">
        <v>1561</v>
      </c>
      <c r="D44" s="220" t="s">
        <v>2692</v>
      </c>
      <c r="E44" s="222">
        <v>12</v>
      </c>
      <c r="F44" s="192">
        <v>0</v>
      </c>
      <c r="G44" s="24">
        <v>0.2</v>
      </c>
      <c r="H44" s="24">
        <v>0.05</v>
      </c>
      <c r="I44" s="24">
        <v>0.05</v>
      </c>
      <c r="J44" s="24">
        <v>0</v>
      </c>
      <c r="K44" s="224">
        <f t="shared" si="0"/>
        <v>0</v>
      </c>
      <c r="L44" s="225">
        <f t="shared" si="1"/>
        <v>0</v>
      </c>
      <c r="M44" s="225">
        <f t="shared" si="2"/>
        <v>0</v>
      </c>
      <c r="N44" s="226">
        <f t="shared" si="3"/>
        <v>0</v>
      </c>
      <c r="O44" s="34">
        <v>0.3</v>
      </c>
      <c r="P44" s="226">
        <f t="shared" si="4"/>
        <v>0</v>
      </c>
      <c r="Q44" s="107" t="s">
        <v>1486</v>
      </c>
      <c r="R44" s="34">
        <v>0.3</v>
      </c>
      <c r="S44" s="226">
        <f t="shared" si="8"/>
        <v>0</v>
      </c>
      <c r="T44" s="156" t="s">
        <v>1486</v>
      </c>
      <c r="U44" s="2" t="s">
        <v>109</v>
      </c>
      <c r="V44" s="2" t="s">
        <v>5826</v>
      </c>
      <c r="W44" s="2"/>
      <c r="X44" s="2"/>
      <c r="Y44" s="488" t="s">
        <v>1486</v>
      </c>
      <c r="Z44" s="293">
        <f t="shared" si="6"/>
        <v>0</v>
      </c>
      <c r="AA44" s="293">
        <f t="shared" si="7"/>
        <v>0</v>
      </c>
    </row>
    <row r="45" spans="1:27" s="320" customFormat="1" x14ac:dyDescent="0.25">
      <c r="A45" s="220" t="s">
        <v>2719</v>
      </c>
      <c r="B45" s="221" t="s">
        <v>5851</v>
      </c>
      <c r="C45" s="223" t="s">
        <v>1546</v>
      </c>
      <c r="D45" s="220" t="s">
        <v>2720</v>
      </c>
      <c r="E45" s="222">
        <v>12</v>
      </c>
      <c r="F45" s="192">
        <v>710</v>
      </c>
      <c r="G45" s="24">
        <v>0.2</v>
      </c>
      <c r="H45" s="24">
        <v>0.05</v>
      </c>
      <c r="I45" s="24">
        <v>0.05</v>
      </c>
      <c r="J45" s="24">
        <v>0</v>
      </c>
      <c r="K45" s="224">
        <f t="shared" si="0"/>
        <v>0.27800000000000002</v>
      </c>
      <c r="L45" s="225">
        <f t="shared" si="1"/>
        <v>11800.554016620499</v>
      </c>
      <c r="M45" s="225">
        <f t="shared" si="2"/>
        <v>983.37950138504164</v>
      </c>
      <c r="N45" s="226">
        <f t="shared" si="3"/>
        <v>1170.2216066481994</v>
      </c>
      <c r="O45" s="34">
        <v>0.3</v>
      </c>
      <c r="P45" s="226">
        <f t="shared" si="4"/>
        <v>1521.2880886426594</v>
      </c>
      <c r="Q45" s="107" t="s">
        <v>1486</v>
      </c>
      <c r="R45" s="34">
        <v>0.3</v>
      </c>
      <c r="S45" s="226">
        <f t="shared" si="8"/>
        <v>1207</v>
      </c>
      <c r="T45" s="156" t="s">
        <v>1486</v>
      </c>
      <c r="U45" s="2">
        <v>6</v>
      </c>
      <c r="V45" s="2" t="s">
        <v>5826</v>
      </c>
      <c r="W45" s="2" t="s">
        <v>5888</v>
      </c>
      <c r="X45" s="2" t="s">
        <v>1467</v>
      </c>
      <c r="Y45" s="488" t="s">
        <v>1486</v>
      </c>
      <c r="Z45" s="293">
        <f t="shared" si="6"/>
        <v>273.37950138504164</v>
      </c>
      <c r="AA45" s="293">
        <f t="shared" si="7"/>
        <v>304.28571428571433</v>
      </c>
    </row>
    <row r="46" spans="1:27" s="320" customFormat="1" x14ac:dyDescent="0.25">
      <c r="A46" s="220" t="s">
        <v>2721</v>
      </c>
      <c r="B46" s="221" t="s">
        <v>2722</v>
      </c>
      <c r="C46" s="223" t="s">
        <v>1546</v>
      </c>
      <c r="D46" s="220" t="s">
        <v>2720</v>
      </c>
      <c r="E46" s="222">
        <v>8</v>
      </c>
      <c r="F46" s="192">
        <v>900</v>
      </c>
      <c r="G46" s="24">
        <v>0.2</v>
      </c>
      <c r="H46" s="24">
        <v>0.05</v>
      </c>
      <c r="I46" s="24">
        <v>0.05</v>
      </c>
      <c r="J46" s="24">
        <v>0</v>
      </c>
      <c r="K46" s="224">
        <f t="shared" si="0"/>
        <v>0.27800000000000014</v>
      </c>
      <c r="L46" s="225">
        <f t="shared" si="1"/>
        <v>9972.2991689750706</v>
      </c>
      <c r="M46" s="225">
        <f t="shared" si="2"/>
        <v>1246.5373961218838</v>
      </c>
      <c r="N46" s="226">
        <f t="shared" si="3"/>
        <v>1483.3795013850417</v>
      </c>
      <c r="O46" s="34">
        <v>0.3</v>
      </c>
      <c r="P46" s="226">
        <f t="shared" si="4"/>
        <v>1928.3933518005542</v>
      </c>
      <c r="Q46" s="107" t="s">
        <v>1486</v>
      </c>
      <c r="R46" s="34">
        <v>0.3</v>
      </c>
      <c r="S46" s="226">
        <f t="shared" si="8"/>
        <v>1530</v>
      </c>
      <c r="T46" s="156" t="s">
        <v>1486</v>
      </c>
      <c r="U46" s="2">
        <v>7</v>
      </c>
      <c r="V46" s="2" t="s">
        <v>5826</v>
      </c>
      <c r="W46" s="2" t="s">
        <v>5888</v>
      </c>
      <c r="X46" s="2"/>
      <c r="Y46" s="488" t="s">
        <v>1486</v>
      </c>
      <c r="Z46" s="293">
        <f t="shared" si="6"/>
        <v>346.53739612188383</v>
      </c>
      <c r="AA46" s="293">
        <f t="shared" si="7"/>
        <v>385.71428571428578</v>
      </c>
    </row>
    <row r="47" spans="1:27" s="320" customFormat="1" x14ac:dyDescent="0.25">
      <c r="A47" s="220" t="s">
        <v>3632</v>
      </c>
      <c r="B47" s="221" t="s">
        <v>3633</v>
      </c>
      <c r="C47" s="223" t="s">
        <v>1546</v>
      </c>
      <c r="D47" s="220" t="s">
        <v>33</v>
      </c>
      <c r="E47" s="222">
        <v>12</v>
      </c>
      <c r="F47" s="192">
        <v>546</v>
      </c>
      <c r="G47" s="24">
        <v>0.2</v>
      </c>
      <c r="H47" s="24">
        <v>0.05</v>
      </c>
      <c r="I47" s="24">
        <v>0.05</v>
      </c>
      <c r="J47" s="24">
        <v>0</v>
      </c>
      <c r="K47" s="224">
        <f t="shared" si="0"/>
        <v>0.27800000000000014</v>
      </c>
      <c r="L47" s="225">
        <f t="shared" si="1"/>
        <v>9074.7922437673151</v>
      </c>
      <c r="M47" s="225">
        <f t="shared" si="2"/>
        <v>756.23268698060951</v>
      </c>
      <c r="N47" s="226">
        <f t="shared" si="3"/>
        <v>899.91689750692524</v>
      </c>
      <c r="O47" s="34">
        <v>0.3</v>
      </c>
      <c r="P47" s="226">
        <f t="shared" si="4"/>
        <v>1169.8919667590028</v>
      </c>
      <c r="Q47" s="107" t="s">
        <v>1486</v>
      </c>
      <c r="R47" s="34">
        <v>0.3</v>
      </c>
      <c r="S47" s="226">
        <f t="shared" si="8"/>
        <v>928.19999999999993</v>
      </c>
      <c r="T47" s="156" t="s">
        <v>1486</v>
      </c>
      <c r="U47" s="2" t="s">
        <v>109</v>
      </c>
      <c r="V47" s="2" t="s">
        <v>5826</v>
      </c>
      <c r="W47" s="2" t="s">
        <v>1467</v>
      </c>
      <c r="X47" s="2" t="s">
        <v>1467</v>
      </c>
      <c r="Y47" s="488" t="s">
        <v>1486</v>
      </c>
      <c r="Z47" s="293"/>
      <c r="AA47" s="293"/>
    </row>
    <row r="48" spans="1:27" s="320" customFormat="1" x14ac:dyDescent="0.25">
      <c r="A48" s="220" t="s">
        <v>2857</v>
      </c>
      <c r="B48" s="221" t="s">
        <v>5852</v>
      </c>
      <c r="C48" s="223" t="s">
        <v>1563</v>
      </c>
      <c r="D48" s="220" t="s">
        <v>1504</v>
      </c>
      <c r="E48" s="222">
        <v>1</v>
      </c>
      <c r="F48" s="192">
        <v>5350</v>
      </c>
      <c r="G48" s="24">
        <v>0.2</v>
      </c>
      <c r="H48" s="24">
        <v>0.05</v>
      </c>
      <c r="I48" s="24">
        <v>0.05</v>
      </c>
      <c r="J48" s="24">
        <v>0</v>
      </c>
      <c r="K48" s="224">
        <f t="shared" si="0"/>
        <v>0.27800000000000014</v>
      </c>
      <c r="L48" s="225">
        <f t="shared" si="1"/>
        <v>7409.972299168976</v>
      </c>
      <c r="M48" s="225">
        <f t="shared" si="2"/>
        <v>7409.972299168976</v>
      </c>
      <c r="N48" s="226">
        <f t="shared" si="3"/>
        <v>8817.8670360110809</v>
      </c>
      <c r="O48" s="34">
        <v>0.3</v>
      </c>
      <c r="P48" s="226">
        <f t="shared" si="4"/>
        <v>11463.227146814406</v>
      </c>
      <c r="Q48" s="107" t="s">
        <v>1486</v>
      </c>
      <c r="R48" s="34">
        <v>0.28858695419409069</v>
      </c>
      <c r="S48" s="226">
        <f t="shared" si="8"/>
        <v>8949.0908798106793</v>
      </c>
      <c r="T48" s="156" t="s">
        <v>1486</v>
      </c>
      <c r="U48" s="2">
        <v>8</v>
      </c>
      <c r="V48" s="2" t="s">
        <v>5826</v>
      </c>
      <c r="W48" s="2" t="s">
        <v>5888</v>
      </c>
      <c r="X48" s="2"/>
      <c r="Y48" s="488" t="s">
        <v>1486</v>
      </c>
      <c r="Z48" s="293">
        <f t="shared" ref="Z48:Z60" si="9">+M48-F48</f>
        <v>2059.972299168976</v>
      </c>
      <c r="AA48" s="293">
        <f t="shared" ref="AA48:AA60" si="10">+(S48/1.19)-F48</f>
        <v>2170.2444368156976</v>
      </c>
    </row>
    <row r="49" spans="1:27" s="320" customFormat="1" x14ac:dyDescent="0.25">
      <c r="A49" s="220" t="s">
        <v>2859</v>
      </c>
      <c r="B49" s="221" t="s">
        <v>5853</v>
      </c>
      <c r="C49" s="223" t="s">
        <v>1563</v>
      </c>
      <c r="D49" s="220" t="s">
        <v>33</v>
      </c>
      <c r="E49" s="222">
        <v>1</v>
      </c>
      <c r="F49" s="192">
        <v>14766</v>
      </c>
      <c r="G49" s="24">
        <v>0.2</v>
      </c>
      <c r="H49" s="24">
        <v>0.05</v>
      </c>
      <c r="I49" s="24">
        <v>0.05</v>
      </c>
      <c r="J49" s="24">
        <v>0</v>
      </c>
      <c r="K49" s="224">
        <f t="shared" si="0"/>
        <v>0.27800000000000002</v>
      </c>
      <c r="L49" s="225">
        <f t="shared" si="1"/>
        <v>20451.523545706372</v>
      </c>
      <c r="M49" s="225">
        <f t="shared" si="2"/>
        <v>20451.523545706372</v>
      </c>
      <c r="N49" s="226">
        <f t="shared" si="3"/>
        <v>24337.313019390582</v>
      </c>
      <c r="O49" s="34">
        <v>0.3</v>
      </c>
      <c r="P49" s="226">
        <f t="shared" si="4"/>
        <v>31638.506925207756</v>
      </c>
      <c r="Q49" s="107" t="s">
        <v>1486</v>
      </c>
      <c r="R49" s="34">
        <v>0.28599999332065945</v>
      </c>
      <c r="S49" s="226">
        <f t="shared" si="8"/>
        <v>24609.999769777911</v>
      </c>
      <c r="T49" s="156" t="s">
        <v>1486</v>
      </c>
      <c r="U49" s="2">
        <v>9</v>
      </c>
      <c r="V49" s="2" t="s">
        <v>5826</v>
      </c>
      <c r="W49" s="2" t="s">
        <v>5888</v>
      </c>
      <c r="X49" s="2"/>
      <c r="Y49" s="488" t="s">
        <v>1486</v>
      </c>
      <c r="Z49" s="293">
        <f t="shared" si="9"/>
        <v>5685.5235457063718</v>
      </c>
      <c r="AA49" s="293">
        <f t="shared" si="10"/>
        <v>5914.6720754436246</v>
      </c>
    </row>
    <row r="50" spans="1:27" s="320" customFormat="1" x14ac:dyDescent="0.25">
      <c r="A50" s="220" t="s">
        <v>2860</v>
      </c>
      <c r="B50" s="221" t="s">
        <v>5854</v>
      </c>
      <c r="C50" s="223" t="s">
        <v>1563</v>
      </c>
      <c r="D50" s="220" t="s">
        <v>33</v>
      </c>
      <c r="E50" s="222">
        <v>6</v>
      </c>
      <c r="F50" s="192">
        <v>1198</v>
      </c>
      <c r="G50" s="24">
        <v>0.2</v>
      </c>
      <c r="H50" s="24">
        <v>0.05</v>
      </c>
      <c r="I50" s="24">
        <v>0.05</v>
      </c>
      <c r="J50" s="24">
        <v>0</v>
      </c>
      <c r="K50" s="224">
        <f t="shared" si="0"/>
        <v>0.27800000000000014</v>
      </c>
      <c r="L50" s="225">
        <f t="shared" si="1"/>
        <v>9955.6786703601119</v>
      </c>
      <c r="M50" s="225">
        <f t="shared" si="2"/>
        <v>1659.279778393352</v>
      </c>
      <c r="N50" s="226">
        <f t="shared" si="3"/>
        <v>1974.5429362880889</v>
      </c>
      <c r="O50" s="34">
        <v>0.3</v>
      </c>
      <c r="P50" s="226">
        <f t="shared" si="4"/>
        <v>2566.9058171745155</v>
      </c>
      <c r="Q50" s="107" t="s">
        <v>1486</v>
      </c>
      <c r="R50" s="34">
        <v>0.3</v>
      </c>
      <c r="S50" s="226">
        <f t="shared" si="8"/>
        <v>2036.6000000000001</v>
      </c>
      <c r="T50" s="156" t="s">
        <v>1486</v>
      </c>
      <c r="U50" s="2">
        <v>10</v>
      </c>
      <c r="V50" s="2" t="s">
        <v>5826</v>
      </c>
      <c r="W50" s="2" t="s">
        <v>5888</v>
      </c>
      <c r="X50" s="2" t="s">
        <v>1467</v>
      </c>
      <c r="Y50" s="488" t="s">
        <v>1486</v>
      </c>
      <c r="Z50" s="293">
        <f t="shared" si="9"/>
        <v>461.27977839335199</v>
      </c>
      <c r="AA50" s="293">
        <f t="shared" si="10"/>
        <v>513.42857142857156</v>
      </c>
    </row>
    <row r="51" spans="1:27" s="320" customFormat="1" x14ac:dyDescent="0.25">
      <c r="A51" s="220" t="s">
        <v>2861</v>
      </c>
      <c r="B51" s="221" t="s">
        <v>5855</v>
      </c>
      <c r="C51" s="223" t="s">
        <v>1563</v>
      </c>
      <c r="D51" s="220" t="s">
        <v>1504</v>
      </c>
      <c r="E51" s="222">
        <v>1</v>
      </c>
      <c r="F51" s="192">
        <v>4400</v>
      </c>
      <c r="G51" s="24">
        <v>0.2</v>
      </c>
      <c r="H51" s="24">
        <v>0.05</v>
      </c>
      <c r="I51" s="24">
        <v>0.05</v>
      </c>
      <c r="J51" s="24">
        <v>0</v>
      </c>
      <c r="K51" s="224">
        <f t="shared" si="0"/>
        <v>0.27800000000000002</v>
      </c>
      <c r="L51" s="225">
        <f t="shared" si="1"/>
        <v>6094.1828254847651</v>
      </c>
      <c r="M51" s="225">
        <f t="shared" si="2"/>
        <v>6094.1828254847651</v>
      </c>
      <c r="N51" s="226">
        <f t="shared" si="3"/>
        <v>7252.0775623268701</v>
      </c>
      <c r="O51" s="34">
        <v>0.3</v>
      </c>
      <c r="P51" s="226">
        <f t="shared" si="4"/>
        <v>9427.7008310249312</v>
      </c>
      <c r="Q51" s="107" t="s">
        <v>1486</v>
      </c>
      <c r="R51" s="34">
        <v>0.30186666353106456</v>
      </c>
      <c r="S51" s="226">
        <f t="shared" si="8"/>
        <v>7499.9999663144345</v>
      </c>
      <c r="T51" s="156" t="s">
        <v>1486</v>
      </c>
      <c r="U51" s="2">
        <v>11</v>
      </c>
      <c r="V51" s="2" t="s">
        <v>5826</v>
      </c>
      <c r="W51" s="2" t="s">
        <v>5888</v>
      </c>
      <c r="X51" s="2"/>
      <c r="Y51" s="488" t="s">
        <v>1486</v>
      </c>
      <c r="Z51" s="293">
        <f t="shared" si="9"/>
        <v>1694.1828254847651</v>
      </c>
      <c r="AA51" s="293">
        <f t="shared" si="10"/>
        <v>1902.5209800961638</v>
      </c>
    </row>
    <row r="52" spans="1:27" s="320" customFormat="1" x14ac:dyDescent="0.25">
      <c r="A52" s="220" t="s">
        <v>2862</v>
      </c>
      <c r="B52" s="221" t="s">
        <v>5856</v>
      </c>
      <c r="C52" s="223" t="s">
        <v>1563</v>
      </c>
      <c r="D52" s="220" t="s">
        <v>1504</v>
      </c>
      <c r="E52" s="222">
        <v>1</v>
      </c>
      <c r="F52" s="192">
        <v>6600</v>
      </c>
      <c r="G52" s="24">
        <v>0.2</v>
      </c>
      <c r="H52" s="24">
        <v>0.05</v>
      </c>
      <c r="I52" s="24">
        <v>0.05</v>
      </c>
      <c r="J52" s="24">
        <v>0</v>
      </c>
      <c r="K52" s="224">
        <f t="shared" si="0"/>
        <v>0.27800000000000014</v>
      </c>
      <c r="L52" s="225">
        <f t="shared" si="1"/>
        <v>9141.2742382271481</v>
      </c>
      <c r="M52" s="225">
        <f t="shared" si="2"/>
        <v>9141.2742382271481</v>
      </c>
      <c r="N52" s="226">
        <f t="shared" si="3"/>
        <v>10878.116343490306</v>
      </c>
      <c r="O52" s="34">
        <v>0.3</v>
      </c>
      <c r="P52" s="226">
        <f t="shared" si="4"/>
        <v>14141.551246537399</v>
      </c>
      <c r="Q52" s="107" t="s">
        <v>1486</v>
      </c>
      <c r="R52" s="34">
        <v>0.28599999332065951</v>
      </c>
      <c r="S52" s="226">
        <f t="shared" si="8"/>
        <v>10999.999897096995</v>
      </c>
      <c r="T52" s="156" t="s">
        <v>1486</v>
      </c>
      <c r="U52" s="2">
        <v>12</v>
      </c>
      <c r="V52" s="2" t="s">
        <v>5826</v>
      </c>
      <c r="W52" s="2" t="s">
        <v>5888</v>
      </c>
      <c r="X52" s="2"/>
      <c r="Y52" s="488" t="s">
        <v>1486</v>
      </c>
      <c r="Z52" s="293">
        <f t="shared" si="9"/>
        <v>2541.2742382271481</v>
      </c>
      <c r="AA52" s="293">
        <f t="shared" si="10"/>
        <v>2643.6973925184848</v>
      </c>
    </row>
    <row r="53" spans="1:27" s="320" customFormat="1" x14ac:dyDescent="0.25">
      <c r="A53" s="220" t="s">
        <v>2863</v>
      </c>
      <c r="B53" s="221" t="s">
        <v>5857</v>
      </c>
      <c r="C53" s="223" t="s">
        <v>1563</v>
      </c>
      <c r="D53" s="220" t="s">
        <v>33</v>
      </c>
      <c r="E53" s="222">
        <v>1</v>
      </c>
      <c r="F53" s="192">
        <v>9416</v>
      </c>
      <c r="G53" s="24">
        <v>0.2</v>
      </c>
      <c r="H53" s="24">
        <v>0.05</v>
      </c>
      <c r="I53" s="24">
        <v>0.05</v>
      </c>
      <c r="J53" s="24">
        <v>0</v>
      </c>
      <c r="K53" s="224">
        <f t="shared" si="0"/>
        <v>0.27800000000000014</v>
      </c>
      <c r="L53" s="225">
        <f t="shared" si="1"/>
        <v>13041.551246537398</v>
      </c>
      <c r="M53" s="225">
        <f t="shared" si="2"/>
        <v>13041.551246537398</v>
      </c>
      <c r="N53" s="226">
        <f t="shared" si="3"/>
        <v>15519.445983379503</v>
      </c>
      <c r="O53" s="34">
        <v>0.3</v>
      </c>
      <c r="P53" s="226">
        <f t="shared" si="4"/>
        <v>20175.279778393353</v>
      </c>
      <c r="Q53" s="107" t="s">
        <v>1486</v>
      </c>
      <c r="R53" s="34">
        <v>0.30186666353106456</v>
      </c>
      <c r="S53" s="226">
        <f t="shared" si="8"/>
        <v>16049.999927912888</v>
      </c>
      <c r="T53" s="156" t="s">
        <v>1486</v>
      </c>
      <c r="U53" s="2">
        <v>13</v>
      </c>
      <c r="V53" s="2" t="s">
        <v>5826</v>
      </c>
      <c r="W53" s="2" t="s">
        <v>5888</v>
      </c>
      <c r="X53" s="2"/>
      <c r="Y53" s="488" t="s">
        <v>1486</v>
      </c>
      <c r="Z53" s="293">
        <f t="shared" si="9"/>
        <v>3625.5512465373977</v>
      </c>
      <c r="AA53" s="293">
        <f t="shared" si="10"/>
        <v>4071.3948974057894</v>
      </c>
    </row>
    <row r="54" spans="1:27" s="320" customFormat="1" x14ac:dyDescent="0.25">
      <c r="A54" s="220" t="s">
        <v>2864</v>
      </c>
      <c r="B54" s="221" t="s">
        <v>5858</v>
      </c>
      <c r="C54" s="223" t="s">
        <v>1563</v>
      </c>
      <c r="D54" s="220" t="s">
        <v>1504</v>
      </c>
      <c r="E54" s="222">
        <v>1</v>
      </c>
      <c r="F54" s="192">
        <f>780*6</f>
        <v>4680</v>
      </c>
      <c r="G54" s="24">
        <v>0.2</v>
      </c>
      <c r="H54" s="24">
        <v>0.05</v>
      </c>
      <c r="I54" s="24">
        <v>0.05</v>
      </c>
      <c r="J54" s="24">
        <v>0</v>
      </c>
      <c r="K54" s="224">
        <f t="shared" si="0"/>
        <v>0.27800000000000014</v>
      </c>
      <c r="L54" s="225">
        <f t="shared" si="1"/>
        <v>6481.9944598337961</v>
      </c>
      <c r="M54" s="225">
        <f t="shared" si="2"/>
        <v>6481.9944598337961</v>
      </c>
      <c r="N54" s="226">
        <f t="shared" si="3"/>
        <v>7713.5734072022169</v>
      </c>
      <c r="O54" s="34">
        <v>0.3</v>
      </c>
      <c r="P54" s="226">
        <f t="shared" si="4"/>
        <v>10027.645429362883</v>
      </c>
      <c r="Q54" s="107" t="s">
        <v>1486</v>
      </c>
      <c r="R54" s="34">
        <v>0.28599999332065951</v>
      </c>
      <c r="S54" s="226">
        <f t="shared" si="8"/>
        <v>7799.9999270324142</v>
      </c>
      <c r="T54" s="156" t="s">
        <v>1486</v>
      </c>
      <c r="U54" s="2">
        <v>14</v>
      </c>
      <c r="V54" s="2" t="s">
        <v>5826</v>
      </c>
      <c r="W54" s="2" t="s">
        <v>5888</v>
      </c>
      <c r="X54" s="2"/>
      <c r="Y54" s="488" t="s">
        <v>1486</v>
      </c>
      <c r="Z54" s="293">
        <f t="shared" si="9"/>
        <v>1801.9944598337961</v>
      </c>
      <c r="AA54" s="293">
        <f t="shared" si="10"/>
        <v>1874.6217874221975</v>
      </c>
    </row>
    <row r="55" spans="1:27" s="320" customFormat="1" x14ac:dyDescent="0.25">
      <c r="A55" s="220" t="s">
        <v>2865</v>
      </c>
      <c r="B55" s="221" t="s">
        <v>5859</v>
      </c>
      <c r="C55" s="223" t="s">
        <v>1563</v>
      </c>
      <c r="D55" s="220" t="s">
        <v>1504</v>
      </c>
      <c r="E55" s="222">
        <v>1</v>
      </c>
      <c r="F55" s="192">
        <f>1150*4</f>
        <v>4600</v>
      </c>
      <c r="G55" s="24">
        <v>0.2</v>
      </c>
      <c r="H55" s="24">
        <v>0.05</v>
      </c>
      <c r="I55" s="24">
        <v>0.05</v>
      </c>
      <c r="J55" s="24">
        <v>0</v>
      </c>
      <c r="K55" s="224">
        <f t="shared" si="0"/>
        <v>0.27800000000000002</v>
      </c>
      <c r="L55" s="225">
        <f t="shared" si="1"/>
        <v>6371.1911357340723</v>
      </c>
      <c r="M55" s="225">
        <f t="shared" si="2"/>
        <v>6371.1911357340723</v>
      </c>
      <c r="N55" s="226">
        <f t="shared" si="3"/>
        <v>7581.7174515235456</v>
      </c>
      <c r="O55" s="34">
        <v>0.3</v>
      </c>
      <c r="P55" s="226">
        <f t="shared" si="4"/>
        <v>9856.2326869806093</v>
      </c>
      <c r="Q55" s="107" t="s">
        <v>1486</v>
      </c>
      <c r="R55" s="34">
        <v>0.29820512745870503</v>
      </c>
      <c r="S55" s="226">
        <f t="shared" si="8"/>
        <v>7799.9999917039841</v>
      </c>
      <c r="T55" s="156" t="s">
        <v>1486</v>
      </c>
      <c r="U55" s="2">
        <v>15</v>
      </c>
      <c r="V55" s="2" t="s">
        <v>5826</v>
      </c>
      <c r="W55" s="2" t="s">
        <v>5888</v>
      </c>
      <c r="X55" s="2"/>
      <c r="Y55" s="488" t="s">
        <v>1486</v>
      </c>
      <c r="Z55" s="293">
        <f t="shared" si="9"/>
        <v>1771.1911357340723</v>
      </c>
      <c r="AA55" s="293">
        <f t="shared" si="10"/>
        <v>1954.6218417680539</v>
      </c>
    </row>
    <row r="56" spans="1:27" s="320" customFormat="1" x14ac:dyDescent="0.25">
      <c r="A56" s="220" t="s">
        <v>2866</v>
      </c>
      <c r="B56" s="221" t="s">
        <v>5860</v>
      </c>
      <c r="C56" s="223" t="s">
        <v>1563</v>
      </c>
      <c r="D56" s="220" t="s">
        <v>33</v>
      </c>
      <c r="E56" s="222">
        <v>1</v>
      </c>
      <c r="F56" s="192">
        <f>6*1150</f>
        <v>6900</v>
      </c>
      <c r="G56" s="24">
        <v>0.2</v>
      </c>
      <c r="H56" s="24">
        <v>0.05</v>
      </c>
      <c r="I56" s="24">
        <v>0.05</v>
      </c>
      <c r="J56" s="24">
        <v>0</v>
      </c>
      <c r="K56" s="224">
        <f t="shared" si="0"/>
        <v>0.27800000000000002</v>
      </c>
      <c r="L56" s="225">
        <f t="shared" si="1"/>
        <v>9556.7867036011085</v>
      </c>
      <c r="M56" s="225">
        <f t="shared" si="2"/>
        <v>9556.7867036011085</v>
      </c>
      <c r="N56" s="226">
        <f t="shared" si="3"/>
        <v>11372.576177285318</v>
      </c>
      <c r="O56" s="34">
        <v>0.3</v>
      </c>
      <c r="P56" s="226">
        <f t="shared" si="4"/>
        <v>14784.349030470914</v>
      </c>
      <c r="Q56" s="107" t="s">
        <v>1486</v>
      </c>
      <c r="R56" s="34">
        <v>0.31574996517942294</v>
      </c>
      <c r="S56" s="226">
        <f t="shared" si="8"/>
        <v>11999.99938933591</v>
      </c>
      <c r="T56" s="156" t="s">
        <v>1486</v>
      </c>
      <c r="U56" s="2">
        <v>16</v>
      </c>
      <c r="V56" s="2" t="s">
        <v>5826</v>
      </c>
      <c r="W56" s="2" t="s">
        <v>5888</v>
      </c>
      <c r="X56" s="2"/>
      <c r="Y56" s="488" t="s">
        <v>1486</v>
      </c>
      <c r="Z56" s="293">
        <f t="shared" si="9"/>
        <v>2656.7867036011085</v>
      </c>
      <c r="AA56" s="293">
        <f t="shared" si="10"/>
        <v>3184.0331002822768</v>
      </c>
    </row>
    <row r="57" spans="1:27" s="320" customFormat="1" x14ac:dyDescent="0.25">
      <c r="A57" s="220" t="s">
        <v>2867</v>
      </c>
      <c r="B57" s="221" t="s">
        <v>5861</v>
      </c>
      <c r="C57" s="223" t="s">
        <v>1563</v>
      </c>
      <c r="D57" s="220" t="s">
        <v>2854</v>
      </c>
      <c r="E57" s="222">
        <v>12</v>
      </c>
      <c r="F57" s="192">
        <v>478</v>
      </c>
      <c r="G57" s="24">
        <v>0.2</v>
      </c>
      <c r="H57" s="24">
        <v>0.05</v>
      </c>
      <c r="I57" s="24">
        <v>0.05</v>
      </c>
      <c r="J57" s="24">
        <v>0</v>
      </c>
      <c r="K57" s="224">
        <f t="shared" si="0"/>
        <v>0.27800000000000014</v>
      </c>
      <c r="L57" s="225">
        <f t="shared" si="1"/>
        <v>7944.5983379501395</v>
      </c>
      <c r="M57" s="225">
        <f t="shared" si="2"/>
        <v>662.04986149584499</v>
      </c>
      <c r="N57" s="226">
        <f t="shared" si="3"/>
        <v>787.83933518005551</v>
      </c>
      <c r="O57" s="34">
        <v>0.3</v>
      </c>
      <c r="P57" s="226">
        <f t="shared" si="4"/>
        <v>1024.1911357340723</v>
      </c>
      <c r="Q57" s="107" t="s">
        <v>1486</v>
      </c>
      <c r="R57" s="34">
        <v>0.30186666353106456</v>
      </c>
      <c r="S57" s="226">
        <f t="shared" si="8"/>
        <v>814.77272361324992</v>
      </c>
      <c r="T57" s="156" t="s">
        <v>1486</v>
      </c>
      <c r="U57" s="2" t="s">
        <v>109</v>
      </c>
      <c r="V57" s="2" t="s">
        <v>5826</v>
      </c>
      <c r="W57" s="2" t="s">
        <v>5888</v>
      </c>
      <c r="X57" s="2"/>
      <c r="Y57" s="488" t="s">
        <v>1486</v>
      </c>
      <c r="Z57" s="293">
        <f t="shared" si="9"/>
        <v>184.04986149584499</v>
      </c>
      <c r="AA57" s="293">
        <f t="shared" si="10"/>
        <v>206.68296101953774</v>
      </c>
    </row>
    <row r="58" spans="1:27" s="320" customFormat="1" x14ac:dyDescent="0.25">
      <c r="A58" s="220" t="s">
        <v>2868</v>
      </c>
      <c r="B58" s="221" t="s">
        <v>5861</v>
      </c>
      <c r="C58" s="223" t="s">
        <v>1563</v>
      </c>
      <c r="D58" s="220" t="s">
        <v>1504</v>
      </c>
      <c r="E58" s="222">
        <v>12</v>
      </c>
      <c r="F58" s="192">
        <f>99*4</f>
        <v>396</v>
      </c>
      <c r="G58" s="24">
        <v>0.2</v>
      </c>
      <c r="H58" s="24">
        <v>0.05</v>
      </c>
      <c r="I58" s="24">
        <v>0.05</v>
      </c>
      <c r="J58" s="24">
        <v>0</v>
      </c>
      <c r="K58" s="224">
        <f t="shared" si="0"/>
        <v>0.27800000000000014</v>
      </c>
      <c r="L58" s="225">
        <f t="shared" si="1"/>
        <v>6581.7174515235465</v>
      </c>
      <c r="M58" s="225">
        <f t="shared" si="2"/>
        <v>548.47645429362888</v>
      </c>
      <c r="N58" s="226">
        <f t="shared" si="3"/>
        <v>652.68698060941836</v>
      </c>
      <c r="O58" s="34">
        <v>0.3</v>
      </c>
      <c r="P58" s="226">
        <f t="shared" si="4"/>
        <v>848.49307479224387</v>
      </c>
      <c r="Q58" s="107" t="s">
        <v>1486</v>
      </c>
      <c r="R58" s="34">
        <v>0.32679999202967441</v>
      </c>
      <c r="S58" s="226">
        <f t="shared" si="8"/>
        <v>699.99999171237698</v>
      </c>
      <c r="T58" s="156" t="s">
        <v>1486</v>
      </c>
      <c r="U58" s="2">
        <v>18</v>
      </c>
      <c r="V58" s="2" t="s">
        <v>5826</v>
      </c>
      <c r="W58" s="2" t="s">
        <v>5888</v>
      </c>
      <c r="X58" s="2"/>
      <c r="Y58" s="488" t="s">
        <v>1486</v>
      </c>
      <c r="Z58" s="293">
        <f t="shared" si="9"/>
        <v>152.47645429362888</v>
      </c>
      <c r="AA58" s="293">
        <f t="shared" si="10"/>
        <v>192.23528715325801</v>
      </c>
    </row>
    <row r="59" spans="1:27" s="320" customFormat="1" x14ac:dyDescent="0.25">
      <c r="A59" s="220" t="s">
        <v>2858</v>
      </c>
      <c r="B59" s="221" t="s">
        <v>5862</v>
      </c>
      <c r="C59" s="223" t="s">
        <v>1563</v>
      </c>
      <c r="D59" s="220" t="s">
        <v>33</v>
      </c>
      <c r="E59" s="222">
        <v>12</v>
      </c>
      <c r="F59" s="192">
        <v>0</v>
      </c>
      <c r="G59" s="24">
        <v>0.2</v>
      </c>
      <c r="H59" s="24">
        <v>0.05</v>
      </c>
      <c r="I59" s="24">
        <v>0.05</v>
      </c>
      <c r="J59" s="24">
        <v>0</v>
      </c>
      <c r="K59" s="224">
        <f t="shared" si="0"/>
        <v>0</v>
      </c>
      <c r="L59" s="225">
        <f t="shared" si="1"/>
        <v>0</v>
      </c>
      <c r="M59" s="225">
        <f t="shared" si="2"/>
        <v>0</v>
      </c>
      <c r="N59" s="226">
        <f t="shared" si="3"/>
        <v>0</v>
      </c>
      <c r="O59" s="34">
        <v>0.3</v>
      </c>
      <c r="P59" s="226">
        <f t="shared" si="4"/>
        <v>0</v>
      </c>
      <c r="Q59" s="107" t="s">
        <v>1486</v>
      </c>
      <c r="R59" s="34">
        <v>0.31574996517942305</v>
      </c>
      <c r="S59" s="226">
        <f t="shared" si="8"/>
        <v>0</v>
      </c>
      <c r="T59" s="156" t="s">
        <v>1486</v>
      </c>
      <c r="U59" s="2" t="s">
        <v>109</v>
      </c>
      <c r="V59" s="2" t="s">
        <v>5826</v>
      </c>
      <c r="W59" s="2"/>
      <c r="X59" s="2"/>
      <c r="Y59" s="488" t="s">
        <v>1486</v>
      </c>
      <c r="Z59" s="293">
        <f t="shared" si="9"/>
        <v>0</v>
      </c>
      <c r="AA59" s="293">
        <f t="shared" si="10"/>
        <v>0</v>
      </c>
    </row>
    <row r="60" spans="1:27" s="320" customFormat="1" x14ac:dyDescent="0.25">
      <c r="A60" s="220" t="s">
        <v>2899</v>
      </c>
      <c r="B60" s="221" t="s">
        <v>2897</v>
      </c>
      <c r="C60" s="223" t="s">
        <v>1546</v>
      </c>
      <c r="D60" s="220" t="s">
        <v>2898</v>
      </c>
      <c r="E60" s="222">
        <v>24</v>
      </c>
      <c r="F60" s="192">
        <v>261</v>
      </c>
      <c r="G60" s="24">
        <v>0.2</v>
      </c>
      <c r="H60" s="24">
        <v>0.05</v>
      </c>
      <c r="I60" s="24">
        <v>0.05</v>
      </c>
      <c r="J60" s="24">
        <v>0</v>
      </c>
      <c r="K60" s="224">
        <f t="shared" si="0"/>
        <v>0.27800000000000002</v>
      </c>
      <c r="L60" s="225">
        <f t="shared" si="1"/>
        <v>8675.9002770083098</v>
      </c>
      <c r="M60" s="225">
        <f t="shared" si="2"/>
        <v>361.49584487534628</v>
      </c>
      <c r="N60" s="226">
        <f t="shared" si="3"/>
        <v>430.18005540166206</v>
      </c>
      <c r="O60" s="34">
        <v>1.3</v>
      </c>
      <c r="P60" s="226">
        <f t="shared" si="4"/>
        <v>989.41412742382261</v>
      </c>
      <c r="Q60" s="107" t="s">
        <v>1486</v>
      </c>
      <c r="R60" s="34">
        <v>0.28515000140523278</v>
      </c>
      <c r="S60" s="226">
        <f t="shared" si="8"/>
        <v>434.48275947478413</v>
      </c>
      <c r="T60" s="156" t="s">
        <v>1486</v>
      </c>
      <c r="U60" s="2" t="s">
        <v>109</v>
      </c>
      <c r="V60" s="2" t="s">
        <v>5826</v>
      </c>
      <c r="W60" s="2"/>
      <c r="X60" s="2"/>
      <c r="Y60" s="488" t="s">
        <v>1486</v>
      </c>
      <c r="Z60" s="293">
        <f t="shared" si="9"/>
        <v>100.49584487534628</v>
      </c>
      <c r="AA60" s="293">
        <f t="shared" si="10"/>
        <v>104.11156258385222</v>
      </c>
    </row>
    <row r="61" spans="1:27" s="320" customFormat="1" x14ac:dyDescent="0.25">
      <c r="A61" s="220" t="s">
        <v>3012</v>
      </c>
      <c r="B61" s="221" t="s">
        <v>3011</v>
      </c>
      <c r="C61" s="223" t="s">
        <v>1546</v>
      </c>
      <c r="D61" s="220" t="s">
        <v>2720</v>
      </c>
      <c r="E61" s="222">
        <v>12</v>
      </c>
      <c r="F61" s="192">
        <v>551</v>
      </c>
      <c r="G61" s="24">
        <v>0.2</v>
      </c>
      <c r="H61" s="24">
        <v>0.05</v>
      </c>
      <c r="I61" s="24">
        <v>0.05</v>
      </c>
      <c r="J61" s="24">
        <v>0</v>
      </c>
      <c r="K61" s="224">
        <f t="shared" si="0"/>
        <v>0.27800000000000014</v>
      </c>
      <c r="L61" s="225">
        <f t="shared" si="1"/>
        <v>9157.8947368421068</v>
      </c>
      <c r="M61" s="225">
        <f t="shared" si="2"/>
        <v>763.1578947368422</v>
      </c>
      <c r="N61" s="226">
        <f t="shared" si="3"/>
        <v>908.1578947368422</v>
      </c>
      <c r="O61" s="34">
        <v>0.3</v>
      </c>
      <c r="P61" s="226">
        <f t="shared" si="4"/>
        <v>1180.6052631578948</v>
      </c>
      <c r="Q61" s="107" t="s">
        <v>1486</v>
      </c>
      <c r="R61" s="34">
        <v>0.19776037891756085</v>
      </c>
      <c r="S61" s="226">
        <f t="shared" si="8"/>
        <v>817.3243788623854</v>
      </c>
      <c r="T61" s="156" t="s">
        <v>1486</v>
      </c>
      <c r="U61" s="2" t="s">
        <v>109</v>
      </c>
      <c r="V61" s="2" t="s">
        <v>5826</v>
      </c>
      <c r="W61" s="2"/>
      <c r="X61" s="2"/>
      <c r="Y61" s="488" t="s">
        <v>1486</v>
      </c>
      <c r="Z61" s="293"/>
      <c r="AA61" s="293"/>
    </row>
    <row r="62" spans="1:27" s="320" customFormat="1" x14ac:dyDescent="0.25">
      <c r="A62" s="220" t="s">
        <v>4014</v>
      </c>
      <c r="B62" s="221" t="s">
        <v>5890</v>
      </c>
      <c r="C62" s="223" t="s">
        <v>1563</v>
      </c>
      <c r="D62" s="220" t="s">
        <v>33</v>
      </c>
      <c r="E62" s="222">
        <v>10</v>
      </c>
      <c r="F62" s="192">
        <v>940</v>
      </c>
      <c r="G62" s="24">
        <v>0.2</v>
      </c>
      <c r="H62" s="24">
        <v>0.05</v>
      </c>
      <c r="I62" s="24">
        <v>0.05</v>
      </c>
      <c r="J62" s="24">
        <v>0</v>
      </c>
      <c r="K62" s="224">
        <f t="shared" si="0"/>
        <v>0.27800000000000002</v>
      </c>
      <c r="L62" s="225">
        <f t="shared" si="1"/>
        <v>13019.390581717453</v>
      </c>
      <c r="M62" s="225">
        <f t="shared" si="2"/>
        <v>1301.9390581717453</v>
      </c>
      <c r="N62" s="226">
        <f t="shared" si="3"/>
        <v>1549.3074792243767</v>
      </c>
      <c r="O62" s="34">
        <v>0.3</v>
      </c>
      <c r="P62" s="226">
        <f t="shared" si="4"/>
        <v>2014.0997229916898</v>
      </c>
      <c r="Q62" s="107" t="s">
        <v>1486</v>
      </c>
      <c r="R62" s="34">
        <v>0.30821333329159867</v>
      </c>
      <c r="S62" s="226">
        <f t="shared" si="8"/>
        <v>1616.97247696667</v>
      </c>
      <c r="T62" s="156" t="s">
        <v>1486</v>
      </c>
      <c r="U62" s="2">
        <v>19</v>
      </c>
      <c r="V62" s="2" t="s">
        <v>5826</v>
      </c>
      <c r="W62" s="2" t="s">
        <v>5888</v>
      </c>
      <c r="X62" s="2" t="s">
        <v>1467</v>
      </c>
      <c r="Y62" s="488" t="s">
        <v>1486</v>
      </c>
      <c r="Z62" s="293"/>
      <c r="AA62" s="293"/>
    </row>
    <row r="63" spans="1:27" s="320" customFormat="1" x14ac:dyDescent="0.25">
      <c r="A63" s="220" t="s">
        <v>4015</v>
      </c>
      <c r="B63" s="221" t="s">
        <v>4013</v>
      </c>
      <c r="C63" s="223" t="s">
        <v>1545</v>
      </c>
      <c r="D63" s="220" t="s">
        <v>1638</v>
      </c>
      <c r="E63" s="222">
        <v>20</v>
      </c>
      <c r="F63" s="192">
        <v>2100</v>
      </c>
      <c r="G63" s="24">
        <v>0.2</v>
      </c>
      <c r="H63" s="24">
        <v>0.05</v>
      </c>
      <c r="I63" s="24">
        <v>0.05</v>
      </c>
      <c r="J63" s="24">
        <v>0.05</v>
      </c>
      <c r="K63" s="224">
        <f t="shared" si="0"/>
        <v>0.31410000000000005</v>
      </c>
      <c r="L63" s="225">
        <f t="shared" si="1"/>
        <v>61233.415949846923</v>
      </c>
      <c r="M63" s="225">
        <f t="shared" si="2"/>
        <v>3061.6707974923461</v>
      </c>
      <c r="N63" s="226">
        <f t="shared" si="3"/>
        <v>3643.3882490158917</v>
      </c>
      <c r="O63" s="34">
        <v>0.3</v>
      </c>
      <c r="P63" s="226">
        <f t="shared" si="4"/>
        <v>4736.4047237206596</v>
      </c>
      <c r="Q63" s="107" t="s">
        <v>1486</v>
      </c>
      <c r="R63" s="34">
        <v>0.30087499537176965</v>
      </c>
      <c r="S63" s="226">
        <f t="shared" si="8"/>
        <v>3574.4680614432873</v>
      </c>
      <c r="T63" s="156" t="s">
        <v>1486</v>
      </c>
      <c r="U63" s="2" t="s">
        <v>109</v>
      </c>
      <c r="V63" s="2" t="s">
        <v>5826</v>
      </c>
      <c r="W63" s="2" t="s">
        <v>4016</v>
      </c>
      <c r="X63" s="2" t="s">
        <v>1467</v>
      </c>
      <c r="Y63" s="488" t="s">
        <v>1486</v>
      </c>
      <c r="Z63" s="293"/>
      <c r="AA63" s="293"/>
    </row>
    <row r="64" spans="1:27" s="320" customFormat="1" x14ac:dyDescent="0.25">
      <c r="A64" s="220" t="s">
        <v>4367</v>
      </c>
      <c r="B64" s="221" t="s">
        <v>4368</v>
      </c>
      <c r="C64" s="223" t="s">
        <v>4364</v>
      </c>
      <c r="D64" s="220" t="s">
        <v>1504</v>
      </c>
      <c r="E64" s="222">
        <v>2</v>
      </c>
      <c r="F64" s="192">
        <v>1597</v>
      </c>
      <c r="G64" s="24">
        <v>0.3</v>
      </c>
      <c r="H64" s="24">
        <v>0.05</v>
      </c>
      <c r="I64" s="24">
        <v>0.05</v>
      </c>
      <c r="J64" s="24">
        <v>0</v>
      </c>
      <c r="K64" s="224">
        <f t="shared" si="0"/>
        <v>0.36825000000000019</v>
      </c>
      <c r="L64" s="225">
        <f t="shared" si="1"/>
        <v>5055.797388207362</v>
      </c>
      <c r="M64" s="225">
        <f t="shared" si="2"/>
        <v>2527.898694103681</v>
      </c>
      <c r="N64" s="226">
        <f t="shared" si="3"/>
        <v>3008.1994459833804</v>
      </c>
      <c r="O64" s="34">
        <v>0.3</v>
      </c>
      <c r="P64" s="226">
        <f t="shared" si="4"/>
        <v>3910.6592797783946</v>
      </c>
      <c r="Q64" s="107" t="s">
        <v>1486</v>
      </c>
      <c r="R64" s="34">
        <v>0.4</v>
      </c>
      <c r="S64" s="226">
        <f t="shared" si="8"/>
        <v>3167.3833333333337</v>
      </c>
      <c r="T64" s="156" t="s">
        <v>1486</v>
      </c>
      <c r="U64" s="2" t="s">
        <v>109</v>
      </c>
      <c r="V64" s="2" t="s">
        <v>5826</v>
      </c>
      <c r="W64" s="2" t="s">
        <v>1467</v>
      </c>
      <c r="X64" s="2" t="s">
        <v>1467</v>
      </c>
      <c r="Y64" s="488" t="s">
        <v>1486</v>
      </c>
      <c r="Z64" s="293">
        <f t="shared" ref="Z64:Z127" si="11">+M64-F64</f>
        <v>930.89869410368101</v>
      </c>
      <c r="AA64" s="293">
        <f t="shared" ref="AA64:AA127" si="12">+(S64/1.19)-F64</f>
        <v>1064.666666666667</v>
      </c>
    </row>
    <row r="65" spans="1:27" s="320" customFormat="1" x14ac:dyDescent="0.25">
      <c r="A65" s="220" t="s">
        <v>4393</v>
      </c>
      <c r="B65" s="221" t="s">
        <v>4527</v>
      </c>
      <c r="C65" s="223" t="s">
        <v>4528</v>
      </c>
      <c r="D65" s="220" t="s">
        <v>2461</v>
      </c>
      <c r="E65" s="222">
        <v>12</v>
      </c>
      <c r="F65" s="192">
        <v>930</v>
      </c>
      <c r="G65" s="24">
        <v>0.2</v>
      </c>
      <c r="H65" s="24">
        <v>0.05</v>
      </c>
      <c r="I65" s="24">
        <v>0.05</v>
      </c>
      <c r="J65" s="24">
        <v>0</v>
      </c>
      <c r="K65" s="224">
        <f t="shared" si="0"/>
        <v>0.27800000000000002</v>
      </c>
      <c r="L65" s="225">
        <f t="shared" si="1"/>
        <v>15457.06371191136</v>
      </c>
      <c r="M65" s="225">
        <f t="shared" si="2"/>
        <v>1288.0886426592799</v>
      </c>
      <c r="N65" s="226">
        <f t="shared" si="3"/>
        <v>1532.825484764543</v>
      </c>
      <c r="O65" s="34">
        <v>0.3</v>
      </c>
      <c r="P65" s="226">
        <f t="shared" si="4"/>
        <v>1992.673130193906</v>
      </c>
      <c r="Q65" s="107" t="s">
        <v>1486</v>
      </c>
      <c r="R65" s="34">
        <v>0.3</v>
      </c>
      <c r="S65" s="226">
        <f t="shared" si="8"/>
        <v>1581</v>
      </c>
      <c r="T65" s="156" t="s">
        <v>1486</v>
      </c>
      <c r="U65" s="2" t="s">
        <v>109</v>
      </c>
      <c r="V65" s="2" t="s">
        <v>5826</v>
      </c>
      <c r="W65" s="2" t="s">
        <v>1467</v>
      </c>
      <c r="X65" s="2" t="s">
        <v>1467</v>
      </c>
      <c r="Y65" s="488" t="s">
        <v>1486</v>
      </c>
      <c r="Z65" s="293">
        <f t="shared" si="11"/>
        <v>358.08864265927991</v>
      </c>
      <c r="AA65" s="293">
        <f t="shared" si="12"/>
        <v>398.57142857142867</v>
      </c>
    </row>
    <row r="66" spans="1:27" s="320" customFormat="1" x14ac:dyDescent="0.25">
      <c r="A66" s="220" t="s">
        <v>4458</v>
      </c>
      <c r="B66" s="221" t="s">
        <v>5891</v>
      </c>
      <c r="C66" s="223" t="s">
        <v>1563</v>
      </c>
      <c r="D66" s="220" t="s">
        <v>4457</v>
      </c>
      <c r="E66" s="222">
        <v>9</v>
      </c>
      <c r="F66" s="192">
        <v>1200</v>
      </c>
      <c r="G66" s="24">
        <v>0.2</v>
      </c>
      <c r="H66" s="24">
        <v>0.05</v>
      </c>
      <c r="I66" s="24">
        <v>0.05</v>
      </c>
      <c r="J66" s="24">
        <v>0</v>
      </c>
      <c r="K66" s="224">
        <f t="shared" si="0"/>
        <v>0.27800000000000014</v>
      </c>
      <c r="L66" s="225">
        <f t="shared" si="1"/>
        <v>14958.448753462606</v>
      </c>
      <c r="M66" s="225">
        <f t="shared" si="2"/>
        <v>1662.0498614958451</v>
      </c>
      <c r="N66" s="226">
        <f t="shared" si="3"/>
        <v>1977.8393351800555</v>
      </c>
      <c r="O66" s="34">
        <v>0.3</v>
      </c>
      <c r="P66" s="226">
        <f t="shared" si="4"/>
        <v>2571.1911357340723</v>
      </c>
      <c r="Q66" s="107" t="s">
        <v>1486</v>
      </c>
      <c r="R66" s="34">
        <v>0.32</v>
      </c>
      <c r="S66" s="226">
        <f t="shared" si="8"/>
        <v>2100</v>
      </c>
      <c r="T66" s="156" t="s">
        <v>1486</v>
      </c>
      <c r="U66" s="2" t="s">
        <v>109</v>
      </c>
      <c r="V66" s="2" t="s">
        <v>5826</v>
      </c>
      <c r="W66" s="2" t="s">
        <v>5888</v>
      </c>
      <c r="X66" s="2" t="s">
        <v>1467</v>
      </c>
      <c r="Y66" s="488" t="s">
        <v>1486</v>
      </c>
      <c r="Z66" s="293">
        <f t="shared" si="11"/>
        <v>462.04986149584511</v>
      </c>
      <c r="AA66" s="293">
        <f t="shared" si="12"/>
        <v>564.70588235294122</v>
      </c>
    </row>
    <row r="67" spans="1:27" s="320" customFormat="1" x14ac:dyDescent="0.25">
      <c r="A67" s="220" t="s">
        <v>4568</v>
      </c>
      <c r="B67" s="221" t="s">
        <v>4569</v>
      </c>
      <c r="C67" s="223" t="s">
        <v>1563</v>
      </c>
      <c r="D67" s="220" t="s">
        <v>4570</v>
      </c>
      <c r="E67" s="222">
        <v>15</v>
      </c>
      <c r="F67" s="192">
        <v>610</v>
      </c>
      <c r="G67" s="24">
        <v>0.2</v>
      </c>
      <c r="H67" s="24">
        <v>0.05</v>
      </c>
      <c r="I67" s="24" t="s">
        <v>6107</v>
      </c>
      <c r="J67" s="24">
        <v>0</v>
      </c>
      <c r="K67" s="224" t="e">
        <f t="shared" ref="K67:K130" si="13">IF(F67=0,0,1-(F67/M67))</f>
        <v>#VALUE!</v>
      </c>
      <c r="L67" s="225" t="e">
        <f t="shared" ref="L67:L130" si="14">+M67*E67</f>
        <v>#VALUE!</v>
      </c>
      <c r="M67" s="225" t="e">
        <f t="shared" ref="M67:M130" si="15">+F67/(1-G67)/(1-H67)/(1-I67)/(1-J67)</f>
        <v>#VALUE!</v>
      </c>
      <c r="N67" s="226" t="e">
        <f t="shared" ref="N67:N130" si="16">+M67*1.19</f>
        <v>#VALUE!</v>
      </c>
      <c r="O67" s="34">
        <v>0.3</v>
      </c>
      <c r="P67" s="226" t="e">
        <f t="shared" ref="P67:P130" si="17">+N67*(1+O67)</f>
        <v>#VALUE!</v>
      </c>
      <c r="Q67" s="107" t="s">
        <v>1486</v>
      </c>
      <c r="R67" s="34">
        <v>0.35</v>
      </c>
      <c r="S67" s="226">
        <f t="shared" ref="S67:S91" si="18">+(F67/(1-R67))*1.19</f>
        <v>1116.7692307692307</v>
      </c>
      <c r="T67" s="156" t="s">
        <v>1486</v>
      </c>
      <c r="U67" s="2" t="s">
        <v>109</v>
      </c>
      <c r="V67" s="2" t="s">
        <v>5826</v>
      </c>
      <c r="W67" s="2" t="s">
        <v>5888</v>
      </c>
      <c r="X67" s="2" t="s">
        <v>1467</v>
      </c>
      <c r="Y67" s="488" t="s">
        <v>1486</v>
      </c>
      <c r="Z67" s="293" t="e">
        <f t="shared" si="11"/>
        <v>#VALUE!</v>
      </c>
      <c r="AA67" s="293">
        <f t="shared" si="12"/>
        <v>328.46153846153845</v>
      </c>
    </row>
    <row r="68" spans="1:27" s="320" customFormat="1" x14ac:dyDescent="0.25">
      <c r="A68" s="220" t="s">
        <v>5817</v>
      </c>
      <c r="B68" s="221" t="s">
        <v>5818</v>
      </c>
      <c r="C68" s="223" t="s">
        <v>2668</v>
      </c>
      <c r="D68" s="220" t="s">
        <v>23</v>
      </c>
      <c r="E68" s="222">
        <v>4</v>
      </c>
      <c r="F68" s="192">
        <v>1739</v>
      </c>
      <c r="G68" s="24">
        <v>0.2</v>
      </c>
      <c r="H68" s="24">
        <v>0.05</v>
      </c>
      <c r="I68" s="24">
        <v>0.05</v>
      </c>
      <c r="J68" s="24">
        <v>0</v>
      </c>
      <c r="K68" s="224">
        <f t="shared" si="13"/>
        <v>0.27800000000000002</v>
      </c>
      <c r="L68" s="225">
        <f t="shared" si="14"/>
        <v>9634.3490304709139</v>
      </c>
      <c r="M68" s="225">
        <f t="shared" si="15"/>
        <v>2408.5872576177285</v>
      </c>
      <c r="N68" s="226">
        <f t="shared" si="16"/>
        <v>2866.2188365650968</v>
      </c>
      <c r="O68" s="34">
        <v>0.3</v>
      </c>
      <c r="P68" s="226">
        <f t="shared" si="17"/>
        <v>3726.0844875346261</v>
      </c>
      <c r="Q68" s="107" t="s">
        <v>1486</v>
      </c>
      <c r="R68" s="34">
        <v>0.40873999993343535</v>
      </c>
      <c r="S68" s="226">
        <f t="shared" si="18"/>
        <v>3499.999999605966</v>
      </c>
      <c r="T68" s="156" t="s">
        <v>1486</v>
      </c>
      <c r="U68" s="2" t="s">
        <v>109</v>
      </c>
      <c r="V68" s="2" t="s">
        <v>5826</v>
      </c>
      <c r="W68" s="2" t="s">
        <v>1467</v>
      </c>
      <c r="X68" s="2" t="s">
        <v>1467</v>
      </c>
      <c r="Y68" s="488" t="s">
        <v>1486</v>
      </c>
      <c r="Z68" s="293">
        <f t="shared" si="11"/>
        <v>669.58725761772848</v>
      </c>
      <c r="AA68" s="293">
        <f t="shared" si="12"/>
        <v>1202.1764702571145</v>
      </c>
    </row>
    <row r="69" spans="1:27" s="320" customFormat="1" x14ac:dyDescent="0.25">
      <c r="A69" s="220" t="s">
        <v>5996</v>
      </c>
      <c r="B69" s="221" t="s">
        <v>5997</v>
      </c>
      <c r="C69" s="223" t="s">
        <v>2668</v>
      </c>
      <c r="D69" s="220" t="s">
        <v>23</v>
      </c>
      <c r="E69" s="222">
        <v>2</v>
      </c>
      <c r="F69" s="192">
        <v>2079</v>
      </c>
      <c r="G69" s="24">
        <v>0.2</v>
      </c>
      <c r="H69" s="24">
        <v>0.05</v>
      </c>
      <c r="I69" s="24">
        <v>0.05</v>
      </c>
      <c r="J69" s="24">
        <v>0</v>
      </c>
      <c r="K69" s="224">
        <f t="shared" si="13"/>
        <v>0.27800000000000014</v>
      </c>
      <c r="L69" s="225">
        <f t="shared" si="14"/>
        <v>5759.0027700831033</v>
      </c>
      <c r="M69" s="225">
        <f t="shared" si="15"/>
        <v>2879.5013850415517</v>
      </c>
      <c r="N69" s="226">
        <f t="shared" si="16"/>
        <v>3426.6066481994462</v>
      </c>
      <c r="O69" s="34">
        <v>0.3</v>
      </c>
      <c r="P69" s="226">
        <f t="shared" si="17"/>
        <v>4454.5886426592806</v>
      </c>
      <c r="Q69" s="107" t="s">
        <v>1486</v>
      </c>
      <c r="R69" s="34">
        <v>0.41094999993945486</v>
      </c>
      <c r="S69" s="226">
        <f t="shared" si="18"/>
        <v>4199.9999995683047</v>
      </c>
      <c r="T69" s="156" t="s">
        <v>1486</v>
      </c>
      <c r="U69" s="2"/>
      <c r="V69" s="2" t="s">
        <v>10</v>
      </c>
      <c r="W69" s="2" t="s">
        <v>1467</v>
      </c>
      <c r="X69" s="2" t="s">
        <v>1467</v>
      </c>
      <c r="Y69" s="488" t="s">
        <v>1486</v>
      </c>
      <c r="Z69" s="293">
        <f t="shared" si="11"/>
        <v>800.50138504155166</v>
      </c>
      <c r="AA69" s="293">
        <f t="shared" si="12"/>
        <v>1450.4117643431132</v>
      </c>
    </row>
    <row r="70" spans="1:27" s="320" customFormat="1" x14ac:dyDescent="0.25">
      <c r="A70" s="220" t="s">
        <v>6039</v>
      </c>
      <c r="B70" s="221" t="s">
        <v>6040</v>
      </c>
      <c r="C70" s="223" t="s">
        <v>1545</v>
      </c>
      <c r="D70" s="220" t="s">
        <v>6041</v>
      </c>
      <c r="E70" s="222">
        <v>9</v>
      </c>
      <c r="F70" s="192">
        <v>1104</v>
      </c>
      <c r="G70" s="24">
        <v>0.2</v>
      </c>
      <c r="H70" s="24">
        <v>0.05</v>
      </c>
      <c r="I70" s="24">
        <v>0.05</v>
      </c>
      <c r="J70" s="24">
        <v>0</v>
      </c>
      <c r="K70" s="224">
        <f t="shared" si="13"/>
        <v>0.27800000000000014</v>
      </c>
      <c r="L70" s="225">
        <f t="shared" si="14"/>
        <v>13761.772853185597</v>
      </c>
      <c r="M70" s="225">
        <f t="shared" si="15"/>
        <v>1529.0858725761775</v>
      </c>
      <c r="N70" s="226">
        <f t="shared" si="16"/>
        <v>1819.6121883656513</v>
      </c>
      <c r="O70" s="34">
        <v>0.3</v>
      </c>
      <c r="P70" s="226">
        <f t="shared" si="17"/>
        <v>2365.4958448753468</v>
      </c>
      <c r="Q70" s="107" t="s">
        <v>1486</v>
      </c>
      <c r="R70" s="34">
        <v>0.53080000006671824</v>
      </c>
      <c r="S70" s="226">
        <f t="shared" si="18"/>
        <v>2800.0000003981477</v>
      </c>
      <c r="T70" s="156" t="s">
        <v>1486</v>
      </c>
      <c r="U70" s="2"/>
      <c r="V70" s="2" t="s">
        <v>10</v>
      </c>
      <c r="W70" s="2" t="s">
        <v>1467</v>
      </c>
      <c r="X70" s="2" t="s">
        <v>1467</v>
      </c>
      <c r="Y70" s="488" t="s">
        <v>1486</v>
      </c>
      <c r="Z70" s="293">
        <f t="shared" si="11"/>
        <v>425.08587257617751</v>
      </c>
      <c r="AA70" s="293">
        <f t="shared" si="12"/>
        <v>1248.9411768051664</v>
      </c>
    </row>
    <row r="71" spans="1:27" s="320" customFormat="1" x14ac:dyDescent="0.25">
      <c r="A71" s="220" t="s">
        <v>692</v>
      </c>
      <c r="B71" s="221" t="s">
        <v>3436</v>
      </c>
      <c r="C71" s="223" t="s">
        <v>693</v>
      </c>
      <c r="D71" s="220" t="s">
        <v>694</v>
      </c>
      <c r="E71" s="222">
        <v>8</v>
      </c>
      <c r="F71" s="192">
        <v>1875.6</v>
      </c>
      <c r="G71" s="24">
        <v>0.2</v>
      </c>
      <c r="H71" s="24">
        <v>0.05</v>
      </c>
      <c r="I71" s="24">
        <v>0.05</v>
      </c>
      <c r="J71" s="24">
        <v>0</v>
      </c>
      <c r="K71" s="224">
        <f t="shared" si="13"/>
        <v>0.27799999999999991</v>
      </c>
      <c r="L71" s="225">
        <f t="shared" si="14"/>
        <v>20782.271468144041</v>
      </c>
      <c r="M71" s="225">
        <f t="shared" si="15"/>
        <v>2597.7839335180051</v>
      </c>
      <c r="N71" s="226">
        <f t="shared" si="16"/>
        <v>3091.362880886426</v>
      </c>
      <c r="O71" s="34">
        <v>0.3</v>
      </c>
      <c r="P71" s="226">
        <f t="shared" si="17"/>
        <v>4018.771745152354</v>
      </c>
      <c r="Q71" s="107" t="s">
        <v>1486</v>
      </c>
      <c r="R71" s="34">
        <v>0.3</v>
      </c>
      <c r="S71" s="226">
        <f t="shared" si="18"/>
        <v>3188.52</v>
      </c>
      <c r="T71" s="156" t="s">
        <v>1486</v>
      </c>
      <c r="U71" s="2"/>
      <c r="V71" s="2" t="s">
        <v>406</v>
      </c>
      <c r="W71" s="2" t="s">
        <v>1467</v>
      </c>
      <c r="X71" s="2" t="s">
        <v>1467</v>
      </c>
      <c r="Y71" s="488" t="s">
        <v>1486</v>
      </c>
      <c r="Z71" s="293">
        <f t="shared" si="11"/>
        <v>722.18393351800523</v>
      </c>
      <c r="AA71" s="293">
        <f t="shared" si="12"/>
        <v>803.82857142857165</v>
      </c>
    </row>
    <row r="72" spans="1:27" s="320" customFormat="1" x14ac:dyDescent="0.25">
      <c r="A72" s="220" t="s">
        <v>696</v>
      </c>
      <c r="B72" s="221" t="s">
        <v>1754</v>
      </c>
      <c r="C72" s="223" t="s">
        <v>693</v>
      </c>
      <c r="D72" s="220" t="s">
        <v>694</v>
      </c>
      <c r="E72" s="222">
        <v>6</v>
      </c>
      <c r="F72" s="192">
        <v>1875.6</v>
      </c>
      <c r="G72" s="24">
        <v>0.2</v>
      </c>
      <c r="H72" s="24">
        <v>0.05</v>
      </c>
      <c r="I72" s="24">
        <v>0.05</v>
      </c>
      <c r="J72" s="24">
        <v>0</v>
      </c>
      <c r="K72" s="224">
        <f t="shared" si="13"/>
        <v>0.27799999999999991</v>
      </c>
      <c r="L72" s="225">
        <f t="shared" si="14"/>
        <v>15586.703601108031</v>
      </c>
      <c r="M72" s="225">
        <f t="shared" si="15"/>
        <v>2597.7839335180051</v>
      </c>
      <c r="N72" s="226">
        <f t="shared" si="16"/>
        <v>3091.362880886426</v>
      </c>
      <c r="O72" s="34">
        <v>0.3</v>
      </c>
      <c r="P72" s="226">
        <f t="shared" si="17"/>
        <v>4018.771745152354</v>
      </c>
      <c r="Q72" s="107" t="s">
        <v>1486</v>
      </c>
      <c r="R72" s="34">
        <v>0.3</v>
      </c>
      <c r="S72" s="226">
        <f t="shared" si="18"/>
        <v>3188.52</v>
      </c>
      <c r="T72" s="156" t="s">
        <v>1486</v>
      </c>
      <c r="U72" s="2"/>
      <c r="V72" s="2" t="s">
        <v>406</v>
      </c>
      <c r="W72" s="2" t="s">
        <v>1467</v>
      </c>
      <c r="X72" s="2" t="s">
        <v>1467</v>
      </c>
      <c r="Y72" s="488" t="s">
        <v>1486</v>
      </c>
      <c r="Z72" s="293">
        <f t="shared" si="11"/>
        <v>722.18393351800523</v>
      </c>
      <c r="AA72" s="293">
        <f t="shared" si="12"/>
        <v>803.82857142857165</v>
      </c>
    </row>
    <row r="73" spans="1:27" s="320" customFormat="1" x14ac:dyDescent="0.25">
      <c r="A73" s="220" t="s">
        <v>697</v>
      </c>
      <c r="B73" s="221" t="s">
        <v>2641</v>
      </c>
      <c r="C73" s="223" t="s">
        <v>693</v>
      </c>
      <c r="D73" s="220" t="s">
        <v>694</v>
      </c>
      <c r="E73" s="222">
        <v>4</v>
      </c>
      <c r="F73" s="192">
        <v>1817.64</v>
      </c>
      <c r="G73" s="24">
        <v>0.2</v>
      </c>
      <c r="H73" s="24">
        <v>0.05</v>
      </c>
      <c r="I73" s="24">
        <v>0.05</v>
      </c>
      <c r="J73" s="24">
        <v>0</v>
      </c>
      <c r="K73" s="224">
        <f t="shared" si="13"/>
        <v>0.27800000000000014</v>
      </c>
      <c r="L73" s="225">
        <f t="shared" si="14"/>
        <v>10070.027700831028</v>
      </c>
      <c r="M73" s="225">
        <f t="shared" si="15"/>
        <v>2517.5069252077569</v>
      </c>
      <c r="N73" s="226">
        <f t="shared" si="16"/>
        <v>2995.8332409972304</v>
      </c>
      <c r="O73" s="34">
        <v>0.3</v>
      </c>
      <c r="P73" s="226">
        <f t="shared" si="17"/>
        <v>3894.5832132963997</v>
      </c>
      <c r="Q73" s="107" t="s">
        <v>1486</v>
      </c>
      <c r="R73" s="34">
        <v>0.3</v>
      </c>
      <c r="S73" s="226">
        <f t="shared" si="18"/>
        <v>3089.9880000000003</v>
      </c>
      <c r="T73" s="156" t="s">
        <v>1486</v>
      </c>
      <c r="U73" s="2"/>
      <c r="V73" s="2" t="s">
        <v>406</v>
      </c>
      <c r="W73" s="2" t="s">
        <v>1467</v>
      </c>
      <c r="X73" s="2" t="s">
        <v>1467</v>
      </c>
      <c r="Y73" s="488" t="s">
        <v>1486</v>
      </c>
      <c r="Z73" s="293">
        <f t="shared" si="11"/>
        <v>699.86692520775682</v>
      </c>
      <c r="AA73" s="293">
        <f t="shared" si="12"/>
        <v>778.98857142857173</v>
      </c>
    </row>
    <row r="74" spans="1:27" s="320" customFormat="1" x14ac:dyDescent="0.25">
      <c r="A74" s="220" t="s">
        <v>698</v>
      </c>
      <c r="B74" s="221" t="s">
        <v>3437</v>
      </c>
      <c r="C74" s="223" t="s">
        <v>693</v>
      </c>
      <c r="D74" s="220" t="s">
        <v>694</v>
      </c>
      <c r="E74" s="222">
        <v>10</v>
      </c>
      <c r="F74" s="192">
        <v>3815.13</v>
      </c>
      <c r="G74" s="24">
        <v>0.2</v>
      </c>
      <c r="H74" s="24">
        <v>0.05</v>
      </c>
      <c r="I74" s="24">
        <v>0.05</v>
      </c>
      <c r="J74" s="24">
        <v>0</v>
      </c>
      <c r="K74" s="224">
        <f t="shared" si="13"/>
        <v>0.27800000000000002</v>
      </c>
      <c r="L74" s="225">
        <f t="shared" si="14"/>
        <v>52841.135734072021</v>
      </c>
      <c r="M74" s="225">
        <f t="shared" si="15"/>
        <v>5284.1135734072022</v>
      </c>
      <c r="N74" s="226">
        <f t="shared" si="16"/>
        <v>6288.09515235457</v>
      </c>
      <c r="O74" s="34">
        <v>0.3</v>
      </c>
      <c r="P74" s="226">
        <f t="shared" si="17"/>
        <v>8174.5236980609416</v>
      </c>
      <c r="Q74" s="107" t="s">
        <v>1486</v>
      </c>
      <c r="R74" s="34">
        <v>0.3</v>
      </c>
      <c r="S74" s="226">
        <f t="shared" si="18"/>
        <v>6485.7210000000005</v>
      </c>
      <c r="T74" s="156" t="s">
        <v>1486</v>
      </c>
      <c r="U74" s="2"/>
      <c r="V74" s="2" t="s">
        <v>406</v>
      </c>
      <c r="W74" s="2" t="s">
        <v>1467</v>
      </c>
      <c r="X74" s="2" t="s">
        <v>1467</v>
      </c>
      <c r="Y74" s="488" t="s">
        <v>1486</v>
      </c>
      <c r="Z74" s="293">
        <f t="shared" si="11"/>
        <v>1468.9835734072021</v>
      </c>
      <c r="AA74" s="293">
        <f t="shared" si="12"/>
        <v>1635.0557142857151</v>
      </c>
    </row>
    <row r="75" spans="1:27" s="320" customFormat="1" x14ac:dyDescent="0.25">
      <c r="A75" s="220" t="s">
        <v>699</v>
      </c>
      <c r="B75" s="221" t="s">
        <v>3442</v>
      </c>
      <c r="C75" s="223" t="s">
        <v>693</v>
      </c>
      <c r="D75" s="220" t="s">
        <v>694</v>
      </c>
      <c r="E75" s="222">
        <v>4</v>
      </c>
      <c r="F75" s="192">
        <v>0</v>
      </c>
      <c r="G75" s="24">
        <v>0.2</v>
      </c>
      <c r="H75" s="24">
        <v>0.05</v>
      </c>
      <c r="I75" s="24">
        <v>0.05</v>
      </c>
      <c r="J75" s="24">
        <v>0</v>
      </c>
      <c r="K75" s="224">
        <f t="shared" si="13"/>
        <v>0</v>
      </c>
      <c r="L75" s="225">
        <f t="shared" si="14"/>
        <v>0</v>
      </c>
      <c r="M75" s="225">
        <f t="shared" si="15"/>
        <v>0</v>
      </c>
      <c r="N75" s="226">
        <f t="shared" si="16"/>
        <v>0</v>
      </c>
      <c r="O75" s="34">
        <v>0.3</v>
      </c>
      <c r="P75" s="226">
        <f t="shared" si="17"/>
        <v>0</v>
      </c>
      <c r="Q75" s="107" t="s">
        <v>1486</v>
      </c>
      <c r="R75" s="34">
        <v>0.3</v>
      </c>
      <c r="S75" s="226">
        <f t="shared" si="18"/>
        <v>0</v>
      </c>
      <c r="T75" s="156" t="s">
        <v>1486</v>
      </c>
      <c r="U75" s="2"/>
      <c r="V75" s="2" t="s">
        <v>406</v>
      </c>
      <c r="W75" s="2"/>
      <c r="X75" s="2"/>
      <c r="Y75" s="488" t="s">
        <v>1486</v>
      </c>
      <c r="Z75" s="293">
        <f t="shared" si="11"/>
        <v>0</v>
      </c>
      <c r="AA75" s="293">
        <f t="shared" si="12"/>
        <v>0</v>
      </c>
    </row>
    <row r="76" spans="1:27" s="320" customFormat="1" x14ac:dyDescent="0.25">
      <c r="A76" s="220" t="s">
        <v>700</v>
      </c>
      <c r="B76" s="221" t="s">
        <v>3439</v>
      </c>
      <c r="C76" s="223" t="s">
        <v>693</v>
      </c>
      <c r="D76" s="220" t="s">
        <v>694</v>
      </c>
      <c r="E76" s="222">
        <v>10</v>
      </c>
      <c r="F76" s="192">
        <v>1912.6</v>
      </c>
      <c r="G76" s="24">
        <v>0.2</v>
      </c>
      <c r="H76" s="24">
        <v>0.05</v>
      </c>
      <c r="I76" s="24">
        <v>0.05</v>
      </c>
      <c r="J76" s="24">
        <v>0</v>
      </c>
      <c r="K76" s="224">
        <f t="shared" si="13"/>
        <v>0.27800000000000002</v>
      </c>
      <c r="L76" s="225">
        <f t="shared" si="14"/>
        <v>26490.304709141274</v>
      </c>
      <c r="M76" s="225">
        <f t="shared" si="15"/>
        <v>2649.0304709141274</v>
      </c>
      <c r="N76" s="226">
        <f t="shared" si="16"/>
        <v>3152.3462603878115</v>
      </c>
      <c r="O76" s="34">
        <v>0.3</v>
      </c>
      <c r="P76" s="226">
        <f t="shared" si="17"/>
        <v>4098.0501385041553</v>
      </c>
      <c r="Q76" s="107" t="s">
        <v>1486</v>
      </c>
      <c r="R76" s="34">
        <v>0.3</v>
      </c>
      <c r="S76" s="226">
        <f t="shared" si="18"/>
        <v>3251.4199999999996</v>
      </c>
      <c r="T76" s="156" t="s">
        <v>1486</v>
      </c>
      <c r="U76" s="2"/>
      <c r="V76" s="2" t="s">
        <v>406</v>
      </c>
      <c r="W76" s="2" t="s">
        <v>1467</v>
      </c>
      <c r="X76" s="2" t="s">
        <v>1467</v>
      </c>
      <c r="Y76" s="488" t="s">
        <v>1486</v>
      </c>
      <c r="Z76" s="293">
        <f t="shared" si="11"/>
        <v>736.43047091412745</v>
      </c>
      <c r="AA76" s="293">
        <f t="shared" si="12"/>
        <v>819.68571428571431</v>
      </c>
    </row>
    <row r="77" spans="1:27" s="320" customFormat="1" x14ac:dyDescent="0.25">
      <c r="A77" s="220" t="s">
        <v>701</v>
      </c>
      <c r="B77" s="221" t="s">
        <v>3438</v>
      </c>
      <c r="C77" s="223" t="s">
        <v>693</v>
      </c>
      <c r="D77" s="220" t="s">
        <v>694</v>
      </c>
      <c r="E77" s="222">
        <v>4</v>
      </c>
      <c r="F77" s="192">
        <v>0</v>
      </c>
      <c r="G77" s="24">
        <v>0.2</v>
      </c>
      <c r="H77" s="24">
        <v>0.05</v>
      </c>
      <c r="I77" s="24">
        <v>0.05</v>
      </c>
      <c r="J77" s="24">
        <v>0</v>
      </c>
      <c r="K77" s="224">
        <f t="shared" si="13"/>
        <v>0</v>
      </c>
      <c r="L77" s="225">
        <f t="shared" si="14"/>
        <v>0</v>
      </c>
      <c r="M77" s="225">
        <f t="shared" si="15"/>
        <v>0</v>
      </c>
      <c r="N77" s="226">
        <f t="shared" si="16"/>
        <v>0</v>
      </c>
      <c r="O77" s="34">
        <v>0.3</v>
      </c>
      <c r="P77" s="226">
        <f t="shared" si="17"/>
        <v>0</v>
      </c>
      <c r="Q77" s="107" t="s">
        <v>1486</v>
      </c>
      <c r="R77" s="34">
        <v>0.3</v>
      </c>
      <c r="S77" s="226">
        <f t="shared" si="18"/>
        <v>0</v>
      </c>
      <c r="T77" s="156" t="s">
        <v>1486</v>
      </c>
      <c r="U77" s="2"/>
      <c r="V77" s="2" t="s">
        <v>406</v>
      </c>
      <c r="W77" s="2"/>
      <c r="X77" s="2"/>
      <c r="Y77" s="488" t="s">
        <v>1486</v>
      </c>
      <c r="Z77" s="293">
        <f t="shared" si="11"/>
        <v>0</v>
      </c>
      <c r="AA77" s="293">
        <f t="shared" si="12"/>
        <v>0</v>
      </c>
    </row>
    <row r="78" spans="1:27" s="320" customFormat="1" x14ac:dyDescent="0.25">
      <c r="A78" s="220" t="s">
        <v>702</v>
      </c>
      <c r="B78" s="221" t="s">
        <v>3440</v>
      </c>
      <c r="C78" s="223" t="s">
        <v>693</v>
      </c>
      <c r="D78" s="220" t="s">
        <v>694</v>
      </c>
      <c r="E78" s="222">
        <v>10</v>
      </c>
      <c r="F78" s="192">
        <v>0</v>
      </c>
      <c r="G78" s="24">
        <v>0.2</v>
      </c>
      <c r="H78" s="24">
        <v>0.05</v>
      </c>
      <c r="I78" s="24">
        <v>0.05</v>
      </c>
      <c r="J78" s="24">
        <v>0</v>
      </c>
      <c r="K78" s="224">
        <f t="shared" si="13"/>
        <v>0</v>
      </c>
      <c r="L78" s="225">
        <f t="shared" si="14"/>
        <v>0</v>
      </c>
      <c r="M78" s="225">
        <f t="shared" si="15"/>
        <v>0</v>
      </c>
      <c r="N78" s="226">
        <f t="shared" si="16"/>
        <v>0</v>
      </c>
      <c r="O78" s="34">
        <v>0.3</v>
      </c>
      <c r="P78" s="226">
        <f t="shared" si="17"/>
        <v>0</v>
      </c>
      <c r="Q78" s="107" t="s">
        <v>1486</v>
      </c>
      <c r="R78" s="34">
        <v>0.3</v>
      </c>
      <c r="S78" s="226">
        <f t="shared" si="18"/>
        <v>0</v>
      </c>
      <c r="T78" s="156" t="s">
        <v>1486</v>
      </c>
      <c r="U78" s="2"/>
      <c r="V78" s="2" t="s">
        <v>406</v>
      </c>
      <c r="W78" s="2"/>
      <c r="X78" s="2"/>
      <c r="Y78" s="488" t="s">
        <v>1486</v>
      </c>
      <c r="Z78" s="293">
        <f t="shared" si="11"/>
        <v>0</v>
      </c>
      <c r="AA78" s="293">
        <f t="shared" si="12"/>
        <v>0</v>
      </c>
    </row>
    <row r="79" spans="1:27" s="320" customFormat="1" x14ac:dyDescent="0.25">
      <c r="A79" s="220" t="s">
        <v>703</v>
      </c>
      <c r="B79" s="221" t="s">
        <v>3441</v>
      </c>
      <c r="C79" s="223" t="s">
        <v>693</v>
      </c>
      <c r="D79" s="220" t="s">
        <v>694</v>
      </c>
      <c r="E79" s="222">
        <v>10</v>
      </c>
      <c r="F79" s="192">
        <v>0</v>
      </c>
      <c r="G79" s="24">
        <v>0.2</v>
      </c>
      <c r="H79" s="24">
        <v>0.05</v>
      </c>
      <c r="I79" s="24">
        <v>0.05</v>
      </c>
      <c r="J79" s="24">
        <v>0</v>
      </c>
      <c r="K79" s="224">
        <f t="shared" si="13"/>
        <v>0</v>
      </c>
      <c r="L79" s="225">
        <f t="shared" si="14"/>
        <v>0</v>
      </c>
      <c r="M79" s="225">
        <f t="shared" si="15"/>
        <v>0</v>
      </c>
      <c r="N79" s="226">
        <f t="shared" si="16"/>
        <v>0</v>
      </c>
      <c r="O79" s="34">
        <v>0.3</v>
      </c>
      <c r="P79" s="226">
        <f t="shared" si="17"/>
        <v>0</v>
      </c>
      <c r="Q79" s="107" t="s">
        <v>1486</v>
      </c>
      <c r="R79" s="34">
        <v>0.3</v>
      </c>
      <c r="S79" s="226">
        <f t="shared" si="18"/>
        <v>0</v>
      </c>
      <c r="T79" s="156" t="s">
        <v>1486</v>
      </c>
      <c r="U79" s="2"/>
      <c r="V79" s="2" t="s">
        <v>406</v>
      </c>
      <c r="W79" s="2"/>
      <c r="X79" s="2"/>
      <c r="Y79" s="488" t="s">
        <v>1486</v>
      </c>
      <c r="Z79" s="293">
        <f t="shared" si="11"/>
        <v>0</v>
      </c>
      <c r="AA79" s="293">
        <f t="shared" si="12"/>
        <v>0</v>
      </c>
    </row>
    <row r="80" spans="1:27" s="320" customFormat="1" x14ac:dyDescent="0.25">
      <c r="A80" s="220" t="s">
        <v>704</v>
      </c>
      <c r="B80" s="221" t="s">
        <v>705</v>
      </c>
      <c r="C80" s="223" t="s">
        <v>693</v>
      </c>
      <c r="D80" s="220" t="s">
        <v>706</v>
      </c>
      <c r="E80" s="222">
        <v>20</v>
      </c>
      <c r="F80" s="192">
        <v>1740</v>
      </c>
      <c r="G80" s="24">
        <v>0.2</v>
      </c>
      <c r="H80" s="24">
        <v>0.05</v>
      </c>
      <c r="I80" s="24">
        <v>0.05</v>
      </c>
      <c r="J80" s="24">
        <v>0</v>
      </c>
      <c r="K80" s="224">
        <f t="shared" si="13"/>
        <v>0.27800000000000002</v>
      </c>
      <c r="L80" s="225">
        <f t="shared" si="14"/>
        <v>48199.445983379497</v>
      </c>
      <c r="M80" s="225">
        <f t="shared" si="15"/>
        <v>2409.972299168975</v>
      </c>
      <c r="N80" s="226">
        <f t="shared" si="16"/>
        <v>2867.86703601108</v>
      </c>
      <c r="O80" s="34">
        <v>0.3</v>
      </c>
      <c r="P80" s="226">
        <f t="shared" si="17"/>
        <v>3728.227146814404</v>
      </c>
      <c r="Q80" s="107" t="s">
        <v>1486</v>
      </c>
      <c r="R80" s="34">
        <v>0.3</v>
      </c>
      <c r="S80" s="226">
        <f t="shared" si="18"/>
        <v>2958</v>
      </c>
      <c r="T80" s="156" t="s">
        <v>1486</v>
      </c>
      <c r="U80" s="2"/>
      <c r="V80" s="2" t="s">
        <v>406</v>
      </c>
      <c r="W80" s="2" t="s">
        <v>1467</v>
      </c>
      <c r="X80" s="2" t="s">
        <v>1467</v>
      </c>
      <c r="Y80" s="488" t="s">
        <v>1486</v>
      </c>
      <c r="Z80" s="293">
        <f t="shared" si="11"/>
        <v>669.97229916897504</v>
      </c>
      <c r="AA80" s="293">
        <f t="shared" si="12"/>
        <v>745.71428571428578</v>
      </c>
    </row>
    <row r="81" spans="1:27" s="320" customFormat="1" x14ac:dyDescent="0.25">
      <c r="A81" s="220" t="s">
        <v>708</v>
      </c>
      <c r="B81" s="221" t="s">
        <v>709</v>
      </c>
      <c r="C81" s="223" t="s">
        <v>693</v>
      </c>
      <c r="D81" s="220" t="s">
        <v>706</v>
      </c>
      <c r="E81" s="222">
        <v>20</v>
      </c>
      <c r="F81" s="192">
        <v>0</v>
      </c>
      <c r="G81" s="24">
        <v>0.2</v>
      </c>
      <c r="H81" s="24">
        <v>0.05</v>
      </c>
      <c r="I81" s="24">
        <v>0.05</v>
      </c>
      <c r="J81" s="24">
        <v>0</v>
      </c>
      <c r="K81" s="224">
        <f t="shared" si="13"/>
        <v>0</v>
      </c>
      <c r="L81" s="225">
        <f t="shared" si="14"/>
        <v>0</v>
      </c>
      <c r="M81" s="225">
        <f t="shared" si="15"/>
        <v>0</v>
      </c>
      <c r="N81" s="226">
        <f t="shared" si="16"/>
        <v>0</v>
      </c>
      <c r="O81" s="34">
        <v>0.3</v>
      </c>
      <c r="P81" s="226">
        <f t="shared" si="17"/>
        <v>0</v>
      </c>
      <c r="Q81" s="107" t="s">
        <v>1486</v>
      </c>
      <c r="R81" s="34">
        <v>0.3</v>
      </c>
      <c r="S81" s="226">
        <f t="shared" si="18"/>
        <v>0</v>
      </c>
      <c r="T81" s="156" t="s">
        <v>1486</v>
      </c>
      <c r="U81" s="2"/>
      <c r="V81" s="2" t="s">
        <v>406</v>
      </c>
      <c r="W81" s="2"/>
      <c r="X81" s="2"/>
      <c r="Y81" s="488" t="s">
        <v>1486</v>
      </c>
      <c r="Z81" s="293">
        <f t="shared" si="11"/>
        <v>0</v>
      </c>
      <c r="AA81" s="293">
        <f t="shared" si="12"/>
        <v>0</v>
      </c>
    </row>
    <row r="82" spans="1:27" s="320" customFormat="1" x14ac:dyDescent="0.25">
      <c r="A82" s="220" t="s">
        <v>710</v>
      </c>
      <c r="B82" s="221" t="s">
        <v>711</v>
      </c>
      <c r="C82" s="223" t="s">
        <v>693</v>
      </c>
      <c r="D82" s="220" t="s">
        <v>706</v>
      </c>
      <c r="E82" s="222">
        <v>15</v>
      </c>
      <c r="F82" s="192">
        <v>0</v>
      </c>
      <c r="G82" s="24">
        <v>0.2</v>
      </c>
      <c r="H82" s="24">
        <v>0.05</v>
      </c>
      <c r="I82" s="24">
        <v>0.05</v>
      </c>
      <c r="J82" s="24">
        <v>0</v>
      </c>
      <c r="K82" s="224">
        <f t="shared" si="13"/>
        <v>0</v>
      </c>
      <c r="L82" s="225">
        <f t="shared" si="14"/>
        <v>0</v>
      </c>
      <c r="M82" s="225">
        <f t="shared" si="15"/>
        <v>0</v>
      </c>
      <c r="N82" s="226">
        <f t="shared" si="16"/>
        <v>0</v>
      </c>
      <c r="O82" s="34">
        <v>0.3</v>
      </c>
      <c r="P82" s="226">
        <f t="shared" si="17"/>
        <v>0</v>
      </c>
      <c r="Q82" s="107" t="s">
        <v>1486</v>
      </c>
      <c r="R82" s="34">
        <v>0.3</v>
      </c>
      <c r="S82" s="226">
        <f t="shared" si="18"/>
        <v>0</v>
      </c>
      <c r="T82" s="156" t="s">
        <v>1486</v>
      </c>
      <c r="U82" s="2"/>
      <c r="V82" s="2" t="s">
        <v>406</v>
      </c>
      <c r="W82" s="2"/>
      <c r="X82" s="2"/>
      <c r="Y82" s="488" t="s">
        <v>1486</v>
      </c>
      <c r="Z82" s="293">
        <f t="shared" si="11"/>
        <v>0</v>
      </c>
      <c r="AA82" s="293">
        <f t="shared" si="12"/>
        <v>0</v>
      </c>
    </row>
    <row r="83" spans="1:27" s="320" customFormat="1" x14ac:dyDescent="0.25">
      <c r="A83" s="220" t="s">
        <v>712</v>
      </c>
      <c r="B83" s="221" t="s">
        <v>1965</v>
      </c>
      <c r="C83" s="223" t="s">
        <v>4698</v>
      </c>
      <c r="D83" s="220" t="s">
        <v>713</v>
      </c>
      <c r="E83" s="222">
        <v>12</v>
      </c>
      <c r="F83" s="192">
        <v>4896</v>
      </c>
      <c r="G83" s="24">
        <v>0.2</v>
      </c>
      <c r="H83" s="24">
        <v>0.05</v>
      </c>
      <c r="I83" s="24">
        <v>0.05</v>
      </c>
      <c r="J83" s="24">
        <v>0</v>
      </c>
      <c r="K83" s="224">
        <f t="shared" si="13"/>
        <v>0.27800000000000002</v>
      </c>
      <c r="L83" s="225">
        <f t="shared" si="14"/>
        <v>81373.961218836572</v>
      </c>
      <c r="M83" s="225">
        <f t="shared" si="15"/>
        <v>6781.1634349030473</v>
      </c>
      <c r="N83" s="226">
        <f t="shared" si="16"/>
        <v>8069.5844875346256</v>
      </c>
      <c r="O83" s="34">
        <v>0.3</v>
      </c>
      <c r="P83" s="226">
        <f t="shared" si="17"/>
        <v>10490.459833795014</v>
      </c>
      <c r="Q83" s="107" t="s">
        <v>1486</v>
      </c>
      <c r="R83" s="34">
        <v>0.3</v>
      </c>
      <c r="S83" s="226">
        <f t="shared" si="18"/>
        <v>8323.2000000000007</v>
      </c>
      <c r="T83" s="156" t="s">
        <v>1486</v>
      </c>
      <c r="U83" s="2"/>
      <c r="V83" s="2" t="s">
        <v>406</v>
      </c>
      <c r="W83" s="2"/>
      <c r="X83" s="2"/>
      <c r="Y83" s="488" t="s">
        <v>1486</v>
      </c>
      <c r="Z83" s="293">
        <f t="shared" si="11"/>
        <v>1885.1634349030473</v>
      </c>
      <c r="AA83" s="293">
        <f t="shared" si="12"/>
        <v>2098.2857142857156</v>
      </c>
    </row>
    <row r="84" spans="1:27" s="320" customFormat="1" x14ac:dyDescent="0.25">
      <c r="A84" s="220" t="s">
        <v>714</v>
      </c>
      <c r="B84" s="221" t="s">
        <v>4700</v>
      </c>
      <c r="C84" s="223" t="s">
        <v>4698</v>
      </c>
      <c r="D84" s="220" t="s">
        <v>713</v>
      </c>
      <c r="E84" s="222">
        <v>12</v>
      </c>
      <c r="F84" s="192">
        <v>3840</v>
      </c>
      <c r="G84" s="24">
        <v>0.2</v>
      </c>
      <c r="H84" s="24">
        <v>0.05</v>
      </c>
      <c r="I84" s="24">
        <v>0.05</v>
      </c>
      <c r="J84" s="24">
        <v>0</v>
      </c>
      <c r="K84" s="224">
        <f t="shared" si="13"/>
        <v>0.27800000000000002</v>
      </c>
      <c r="L84" s="225">
        <f t="shared" si="14"/>
        <v>63822.714681440448</v>
      </c>
      <c r="M84" s="225">
        <f t="shared" si="15"/>
        <v>5318.559556786704</v>
      </c>
      <c r="N84" s="226">
        <f t="shared" si="16"/>
        <v>6329.0858725761773</v>
      </c>
      <c r="O84" s="34">
        <v>0.3</v>
      </c>
      <c r="P84" s="226">
        <f t="shared" si="17"/>
        <v>8227.811634349031</v>
      </c>
      <c r="Q84" s="107" t="s">
        <v>1486</v>
      </c>
      <c r="R84" s="34">
        <v>0.3</v>
      </c>
      <c r="S84" s="226">
        <f t="shared" si="18"/>
        <v>6528</v>
      </c>
      <c r="T84" s="156" t="s">
        <v>1486</v>
      </c>
      <c r="U84" s="2"/>
      <c r="V84" s="2" t="s">
        <v>406</v>
      </c>
      <c r="W84" s="2"/>
      <c r="X84" s="2"/>
      <c r="Y84" s="488" t="s">
        <v>1486</v>
      </c>
      <c r="Z84" s="293">
        <f t="shared" si="11"/>
        <v>1478.559556786704</v>
      </c>
      <c r="AA84" s="293">
        <f t="shared" si="12"/>
        <v>1645.7142857142862</v>
      </c>
    </row>
    <row r="85" spans="1:27" s="320" customFormat="1" x14ac:dyDescent="0.25">
      <c r="A85" s="220" t="s">
        <v>715</v>
      </c>
      <c r="B85" s="221" t="s">
        <v>1966</v>
      </c>
      <c r="C85" s="223" t="s">
        <v>4698</v>
      </c>
      <c r="D85" s="220" t="s">
        <v>713</v>
      </c>
      <c r="E85" s="222">
        <v>12</v>
      </c>
      <c r="F85" s="192">
        <v>4080</v>
      </c>
      <c r="G85" s="24">
        <v>0.2</v>
      </c>
      <c r="H85" s="24">
        <v>0.05</v>
      </c>
      <c r="I85" s="24">
        <v>0.05</v>
      </c>
      <c r="J85" s="24">
        <v>0</v>
      </c>
      <c r="K85" s="224">
        <f t="shared" si="13"/>
        <v>0.27800000000000014</v>
      </c>
      <c r="L85" s="225">
        <f t="shared" si="14"/>
        <v>67811.634349030486</v>
      </c>
      <c r="M85" s="225">
        <f t="shared" si="15"/>
        <v>5650.9695290858735</v>
      </c>
      <c r="N85" s="226">
        <f t="shared" si="16"/>
        <v>6724.6537396121894</v>
      </c>
      <c r="O85" s="34">
        <v>0.3</v>
      </c>
      <c r="P85" s="226">
        <f t="shared" si="17"/>
        <v>8742.0498614958469</v>
      </c>
      <c r="Q85" s="107" t="s">
        <v>1486</v>
      </c>
      <c r="R85" s="34">
        <v>0.3</v>
      </c>
      <c r="S85" s="226">
        <f t="shared" si="18"/>
        <v>6936.0000000000009</v>
      </c>
      <c r="T85" s="156" t="s">
        <v>1486</v>
      </c>
      <c r="U85" s="2"/>
      <c r="V85" s="2" t="s">
        <v>406</v>
      </c>
      <c r="W85" s="2"/>
      <c r="X85" s="2"/>
      <c r="Y85" s="488" t="s">
        <v>1486</v>
      </c>
      <c r="Z85" s="293">
        <f t="shared" si="11"/>
        <v>1570.9695290858735</v>
      </c>
      <c r="AA85" s="293">
        <f t="shared" si="12"/>
        <v>1748.5714285714294</v>
      </c>
    </row>
    <row r="86" spans="1:27" s="320" customFormat="1" x14ac:dyDescent="0.25">
      <c r="A86" s="220" t="s">
        <v>716</v>
      </c>
      <c r="B86" s="221" t="s">
        <v>4699</v>
      </c>
      <c r="C86" s="223" t="s">
        <v>4698</v>
      </c>
      <c r="D86" s="220" t="s">
        <v>713</v>
      </c>
      <c r="E86" s="222">
        <v>12</v>
      </c>
      <c r="F86" s="192">
        <v>1400</v>
      </c>
      <c r="G86" s="24">
        <v>0.2</v>
      </c>
      <c r="H86" s="24">
        <v>0.05</v>
      </c>
      <c r="I86" s="24">
        <v>0.05</v>
      </c>
      <c r="J86" s="24">
        <v>0</v>
      </c>
      <c r="K86" s="224">
        <f t="shared" si="13"/>
        <v>0.27800000000000002</v>
      </c>
      <c r="L86" s="225">
        <f t="shared" si="14"/>
        <v>23268.698060941831</v>
      </c>
      <c r="M86" s="225">
        <f t="shared" si="15"/>
        <v>1939.0581717451525</v>
      </c>
      <c r="N86" s="226">
        <f t="shared" si="16"/>
        <v>2307.4792243767315</v>
      </c>
      <c r="O86" s="34">
        <v>0.3</v>
      </c>
      <c r="P86" s="226">
        <f t="shared" si="17"/>
        <v>2999.7229916897509</v>
      </c>
      <c r="Q86" s="107" t="s">
        <v>1486</v>
      </c>
      <c r="R86" s="34">
        <v>0.3</v>
      </c>
      <c r="S86" s="226">
        <f t="shared" si="18"/>
        <v>2380</v>
      </c>
      <c r="T86" s="156" t="s">
        <v>1486</v>
      </c>
      <c r="U86" s="2"/>
      <c r="V86" s="2" t="s">
        <v>406</v>
      </c>
      <c r="W86" s="2" t="s">
        <v>1467</v>
      </c>
      <c r="X86" s="2" t="s">
        <v>1467</v>
      </c>
      <c r="Y86" s="488" t="s">
        <v>1486</v>
      </c>
      <c r="Z86" s="293">
        <f t="shared" si="11"/>
        <v>539.05817174515255</v>
      </c>
      <c r="AA86" s="293">
        <f t="shared" si="12"/>
        <v>600</v>
      </c>
    </row>
    <row r="87" spans="1:27" s="320" customFormat="1" x14ac:dyDescent="0.25">
      <c r="A87" s="220" t="s">
        <v>717</v>
      </c>
      <c r="B87" s="221" t="s">
        <v>1967</v>
      </c>
      <c r="C87" s="223" t="s">
        <v>4698</v>
      </c>
      <c r="D87" s="220" t="s">
        <v>713</v>
      </c>
      <c r="E87" s="222">
        <v>10</v>
      </c>
      <c r="F87" s="192">
        <v>2720</v>
      </c>
      <c r="G87" s="24">
        <v>0.2</v>
      </c>
      <c r="H87" s="24">
        <v>0.05</v>
      </c>
      <c r="I87" s="24">
        <v>0.05</v>
      </c>
      <c r="J87" s="24">
        <v>0</v>
      </c>
      <c r="K87" s="224">
        <f t="shared" si="13"/>
        <v>0.27800000000000014</v>
      </c>
      <c r="L87" s="225">
        <f t="shared" si="14"/>
        <v>37673.130193905825</v>
      </c>
      <c r="M87" s="225">
        <f t="shared" si="15"/>
        <v>3767.3130193905822</v>
      </c>
      <c r="N87" s="226">
        <f t="shared" si="16"/>
        <v>4483.1024930747926</v>
      </c>
      <c r="O87" s="34">
        <v>0.3</v>
      </c>
      <c r="P87" s="226">
        <f t="shared" si="17"/>
        <v>5828.0332409972307</v>
      </c>
      <c r="Q87" s="107" t="s">
        <v>1486</v>
      </c>
      <c r="R87" s="34">
        <v>0.3</v>
      </c>
      <c r="S87" s="226">
        <f t="shared" si="18"/>
        <v>4624</v>
      </c>
      <c r="T87" s="156" t="s">
        <v>1486</v>
      </c>
      <c r="U87" s="2"/>
      <c r="V87" s="2" t="s">
        <v>406</v>
      </c>
      <c r="W87" s="2"/>
      <c r="X87" s="2"/>
      <c r="Y87" s="488" t="s">
        <v>1486</v>
      </c>
      <c r="Z87" s="293">
        <f t="shared" si="11"/>
        <v>1047.3130193905822</v>
      </c>
      <c r="AA87" s="293">
        <f t="shared" si="12"/>
        <v>1165.7142857142858</v>
      </c>
    </row>
    <row r="88" spans="1:27" s="320" customFormat="1" x14ac:dyDescent="0.25">
      <c r="A88" s="220" t="s">
        <v>718</v>
      </c>
      <c r="B88" s="221" t="s">
        <v>719</v>
      </c>
      <c r="C88" s="223" t="s">
        <v>4698</v>
      </c>
      <c r="D88" s="220" t="s">
        <v>713</v>
      </c>
      <c r="E88" s="222">
        <v>24</v>
      </c>
      <c r="F88" s="192">
        <v>0</v>
      </c>
      <c r="G88" s="24">
        <v>0.2</v>
      </c>
      <c r="H88" s="24">
        <v>0.05</v>
      </c>
      <c r="I88" s="24">
        <v>0.05</v>
      </c>
      <c r="J88" s="24">
        <v>0</v>
      </c>
      <c r="K88" s="224">
        <f t="shared" si="13"/>
        <v>0</v>
      </c>
      <c r="L88" s="225">
        <f t="shared" si="14"/>
        <v>0</v>
      </c>
      <c r="M88" s="225">
        <f t="shared" si="15"/>
        <v>0</v>
      </c>
      <c r="N88" s="226">
        <f t="shared" si="16"/>
        <v>0</v>
      </c>
      <c r="O88" s="34">
        <v>0.3</v>
      </c>
      <c r="P88" s="226">
        <f t="shared" si="17"/>
        <v>0</v>
      </c>
      <c r="Q88" s="107" t="s">
        <v>1486</v>
      </c>
      <c r="R88" s="34">
        <v>0.3</v>
      </c>
      <c r="S88" s="226">
        <f t="shared" si="18"/>
        <v>0</v>
      </c>
      <c r="T88" s="156" t="s">
        <v>1486</v>
      </c>
      <c r="U88" s="2"/>
      <c r="V88" s="2" t="s">
        <v>406</v>
      </c>
      <c r="W88" s="2"/>
      <c r="X88" s="2"/>
      <c r="Y88" s="488" t="s">
        <v>1486</v>
      </c>
      <c r="Z88" s="293">
        <f t="shared" si="11"/>
        <v>0</v>
      </c>
      <c r="AA88" s="293">
        <f t="shared" si="12"/>
        <v>0</v>
      </c>
    </row>
    <row r="89" spans="1:27" s="320" customFormat="1" x14ac:dyDescent="0.25">
      <c r="A89" s="220" t="s">
        <v>720</v>
      </c>
      <c r="B89" s="221" t="s">
        <v>721</v>
      </c>
      <c r="C89" s="223" t="s">
        <v>4698</v>
      </c>
      <c r="D89" s="220" t="s">
        <v>713</v>
      </c>
      <c r="E89" s="222">
        <v>2</v>
      </c>
      <c r="F89" s="192">
        <v>0</v>
      </c>
      <c r="G89" s="24">
        <v>0.2</v>
      </c>
      <c r="H89" s="24">
        <v>0.05</v>
      </c>
      <c r="I89" s="24">
        <v>0.05</v>
      </c>
      <c r="J89" s="24">
        <v>0</v>
      </c>
      <c r="K89" s="224">
        <f t="shared" si="13"/>
        <v>0</v>
      </c>
      <c r="L89" s="225">
        <f t="shared" si="14"/>
        <v>0</v>
      </c>
      <c r="M89" s="225">
        <f t="shared" si="15"/>
        <v>0</v>
      </c>
      <c r="N89" s="226">
        <f t="shared" si="16"/>
        <v>0</v>
      </c>
      <c r="O89" s="34">
        <v>0.3</v>
      </c>
      <c r="P89" s="226">
        <f t="shared" si="17"/>
        <v>0</v>
      </c>
      <c r="Q89" s="107" t="s">
        <v>1486</v>
      </c>
      <c r="R89" s="34">
        <v>0.3</v>
      </c>
      <c r="S89" s="226">
        <f t="shared" si="18"/>
        <v>0</v>
      </c>
      <c r="T89" s="156" t="s">
        <v>1486</v>
      </c>
      <c r="U89" s="2"/>
      <c r="V89" s="2" t="s">
        <v>406</v>
      </c>
      <c r="W89" s="2"/>
      <c r="X89" s="2"/>
      <c r="Y89" s="488" t="s">
        <v>1486</v>
      </c>
      <c r="Z89" s="293">
        <f t="shared" si="11"/>
        <v>0</v>
      </c>
      <c r="AA89" s="293">
        <f t="shared" si="12"/>
        <v>0</v>
      </c>
    </row>
    <row r="90" spans="1:27" s="320" customFormat="1" x14ac:dyDescent="0.25">
      <c r="A90" s="220" t="s">
        <v>722</v>
      </c>
      <c r="B90" s="221" t="s">
        <v>723</v>
      </c>
      <c r="C90" s="223" t="s">
        <v>4698</v>
      </c>
      <c r="D90" s="220" t="s">
        <v>713</v>
      </c>
      <c r="E90" s="222">
        <v>2</v>
      </c>
      <c r="F90" s="192">
        <v>0</v>
      </c>
      <c r="G90" s="24">
        <v>0.2</v>
      </c>
      <c r="H90" s="24">
        <v>0.05</v>
      </c>
      <c r="I90" s="24">
        <v>0.05</v>
      </c>
      <c r="J90" s="24">
        <v>0</v>
      </c>
      <c r="K90" s="224">
        <f t="shared" si="13"/>
        <v>0</v>
      </c>
      <c r="L90" s="225">
        <f t="shared" si="14"/>
        <v>0</v>
      </c>
      <c r="M90" s="225">
        <f t="shared" si="15"/>
        <v>0</v>
      </c>
      <c r="N90" s="226">
        <f t="shared" si="16"/>
        <v>0</v>
      </c>
      <c r="O90" s="34">
        <v>0.3</v>
      </c>
      <c r="P90" s="226">
        <f t="shared" si="17"/>
        <v>0</v>
      </c>
      <c r="Q90" s="107" t="s">
        <v>1486</v>
      </c>
      <c r="R90" s="34">
        <v>0.3</v>
      </c>
      <c r="S90" s="226">
        <f t="shared" si="18"/>
        <v>0</v>
      </c>
      <c r="T90" s="156" t="s">
        <v>1486</v>
      </c>
      <c r="U90" s="2"/>
      <c r="V90" s="2" t="s">
        <v>406</v>
      </c>
      <c r="W90" s="2"/>
      <c r="X90" s="2"/>
      <c r="Y90" s="488" t="s">
        <v>1486</v>
      </c>
      <c r="Z90" s="293">
        <f t="shared" si="11"/>
        <v>0</v>
      </c>
      <c r="AA90" s="293">
        <f t="shared" si="12"/>
        <v>0</v>
      </c>
    </row>
    <row r="91" spans="1:27" s="320" customFormat="1" x14ac:dyDescent="0.25">
      <c r="A91" s="220" t="s">
        <v>724</v>
      </c>
      <c r="B91" s="221" t="s">
        <v>725</v>
      </c>
      <c r="C91" s="223" t="s">
        <v>4698</v>
      </c>
      <c r="D91" s="220" t="s">
        <v>713</v>
      </c>
      <c r="E91" s="222">
        <v>2</v>
      </c>
      <c r="F91" s="192">
        <v>0</v>
      </c>
      <c r="G91" s="24">
        <v>0.2</v>
      </c>
      <c r="H91" s="24">
        <v>0.05</v>
      </c>
      <c r="I91" s="24">
        <v>0.05</v>
      </c>
      <c r="J91" s="24">
        <v>0</v>
      </c>
      <c r="K91" s="224">
        <f t="shared" si="13"/>
        <v>0</v>
      </c>
      <c r="L91" s="225">
        <f t="shared" si="14"/>
        <v>0</v>
      </c>
      <c r="M91" s="225">
        <f t="shared" si="15"/>
        <v>0</v>
      </c>
      <c r="N91" s="226">
        <f t="shared" si="16"/>
        <v>0</v>
      </c>
      <c r="O91" s="34">
        <v>0.3</v>
      </c>
      <c r="P91" s="226">
        <f t="shared" si="17"/>
        <v>0</v>
      </c>
      <c r="Q91" s="107" t="s">
        <v>1486</v>
      </c>
      <c r="R91" s="34">
        <v>0.3</v>
      </c>
      <c r="S91" s="226">
        <f t="shared" si="18"/>
        <v>0</v>
      </c>
      <c r="T91" s="156" t="s">
        <v>1486</v>
      </c>
      <c r="U91" s="2"/>
      <c r="V91" s="2" t="s">
        <v>406</v>
      </c>
      <c r="W91" s="2"/>
      <c r="X91" s="2"/>
      <c r="Y91" s="488" t="s">
        <v>1486</v>
      </c>
      <c r="Z91" s="293">
        <f t="shared" si="11"/>
        <v>0</v>
      </c>
      <c r="AA91" s="293">
        <f t="shared" si="12"/>
        <v>0</v>
      </c>
    </row>
    <row r="92" spans="1:27" s="320" customFormat="1" x14ac:dyDescent="0.25">
      <c r="A92" s="220" t="s">
        <v>726</v>
      </c>
      <c r="B92" s="221" t="s">
        <v>725</v>
      </c>
      <c r="C92" s="223" t="s">
        <v>4698</v>
      </c>
      <c r="D92" s="220" t="s">
        <v>713</v>
      </c>
      <c r="E92" s="222">
        <v>4</v>
      </c>
      <c r="F92" s="192">
        <v>0</v>
      </c>
      <c r="G92" s="24">
        <v>0.2</v>
      </c>
      <c r="H92" s="24">
        <v>0.05</v>
      </c>
      <c r="I92" s="24">
        <v>0.05</v>
      </c>
      <c r="J92" s="24">
        <v>0</v>
      </c>
      <c r="K92" s="224">
        <f t="shared" si="13"/>
        <v>0</v>
      </c>
      <c r="L92" s="225">
        <f t="shared" si="14"/>
        <v>0</v>
      </c>
      <c r="M92" s="225">
        <f t="shared" si="15"/>
        <v>0</v>
      </c>
      <c r="N92" s="226">
        <f t="shared" si="16"/>
        <v>0</v>
      </c>
      <c r="O92" s="34">
        <v>0.3</v>
      </c>
      <c r="P92" s="226">
        <f t="shared" si="17"/>
        <v>0</v>
      </c>
      <c r="Q92" s="107" t="s">
        <v>1486</v>
      </c>
      <c r="R92" s="34">
        <v>0.3</v>
      </c>
      <c r="S92" s="226" t="s">
        <v>5314</v>
      </c>
      <c r="T92" s="156" t="s">
        <v>1486</v>
      </c>
      <c r="U92" s="2"/>
      <c r="V92" s="2" t="s">
        <v>406</v>
      </c>
      <c r="W92" s="2"/>
      <c r="X92" s="2"/>
      <c r="Y92" s="488" t="s">
        <v>1486</v>
      </c>
      <c r="Z92" s="293">
        <f t="shared" si="11"/>
        <v>0</v>
      </c>
      <c r="AA92" s="293" t="e">
        <f t="shared" si="12"/>
        <v>#VALUE!</v>
      </c>
    </row>
    <row r="93" spans="1:27" s="320" customFormat="1" x14ac:dyDescent="0.25">
      <c r="A93" s="220" t="s">
        <v>727</v>
      </c>
      <c r="B93" s="221" t="s">
        <v>728</v>
      </c>
      <c r="C93" s="223" t="s">
        <v>4698</v>
      </c>
      <c r="D93" s="220" t="s">
        <v>713</v>
      </c>
      <c r="E93" s="222">
        <v>2</v>
      </c>
      <c r="F93" s="192">
        <v>0</v>
      </c>
      <c r="G93" s="24">
        <v>0.2</v>
      </c>
      <c r="H93" s="24">
        <v>0.05</v>
      </c>
      <c r="I93" s="24">
        <v>0.05</v>
      </c>
      <c r="J93" s="24">
        <v>0</v>
      </c>
      <c r="K93" s="224">
        <f t="shared" si="13"/>
        <v>0</v>
      </c>
      <c r="L93" s="225">
        <f t="shared" si="14"/>
        <v>0</v>
      </c>
      <c r="M93" s="225">
        <f t="shared" si="15"/>
        <v>0</v>
      </c>
      <c r="N93" s="226">
        <f t="shared" si="16"/>
        <v>0</v>
      </c>
      <c r="O93" s="34">
        <v>0.3</v>
      </c>
      <c r="P93" s="226">
        <f t="shared" si="17"/>
        <v>0</v>
      </c>
      <c r="Q93" s="107" t="s">
        <v>1486</v>
      </c>
      <c r="R93" s="34">
        <v>0.3</v>
      </c>
      <c r="S93" s="226">
        <f t="shared" ref="S93:S156" si="19">+(F93/(1-R93))*1.19</f>
        <v>0</v>
      </c>
      <c r="T93" s="156" t="s">
        <v>1486</v>
      </c>
      <c r="U93" s="2"/>
      <c r="V93" s="2" t="s">
        <v>406</v>
      </c>
      <c r="W93" s="2"/>
      <c r="X93" s="2"/>
      <c r="Y93" s="488" t="s">
        <v>1486</v>
      </c>
      <c r="Z93" s="293">
        <f t="shared" si="11"/>
        <v>0</v>
      </c>
      <c r="AA93" s="293">
        <f t="shared" si="12"/>
        <v>0</v>
      </c>
    </row>
    <row r="94" spans="1:27" s="320" customFormat="1" x14ac:dyDescent="0.25">
      <c r="A94" s="220" t="s">
        <v>729</v>
      </c>
      <c r="B94" s="221" t="s">
        <v>728</v>
      </c>
      <c r="C94" s="223" t="s">
        <v>4698</v>
      </c>
      <c r="D94" s="220" t="s">
        <v>713</v>
      </c>
      <c r="E94" s="222">
        <v>4</v>
      </c>
      <c r="F94" s="192">
        <v>0</v>
      </c>
      <c r="G94" s="24">
        <v>0.2</v>
      </c>
      <c r="H94" s="24">
        <v>0.05</v>
      </c>
      <c r="I94" s="24">
        <v>0.05</v>
      </c>
      <c r="J94" s="24">
        <v>0</v>
      </c>
      <c r="K94" s="224">
        <f t="shared" si="13"/>
        <v>0</v>
      </c>
      <c r="L94" s="225">
        <f t="shared" si="14"/>
        <v>0</v>
      </c>
      <c r="M94" s="225">
        <f t="shared" si="15"/>
        <v>0</v>
      </c>
      <c r="N94" s="226">
        <f t="shared" si="16"/>
        <v>0</v>
      </c>
      <c r="O94" s="34">
        <v>0.3</v>
      </c>
      <c r="P94" s="226">
        <f t="shared" si="17"/>
        <v>0</v>
      </c>
      <c r="Q94" s="107" t="s">
        <v>1486</v>
      </c>
      <c r="R94" s="34">
        <v>0.3</v>
      </c>
      <c r="S94" s="226">
        <f t="shared" si="19"/>
        <v>0</v>
      </c>
      <c r="T94" s="156" t="s">
        <v>1486</v>
      </c>
      <c r="U94" s="2"/>
      <c r="V94" s="2" t="s">
        <v>406</v>
      </c>
      <c r="W94" s="2"/>
      <c r="X94" s="2"/>
      <c r="Y94" s="488" t="s">
        <v>1486</v>
      </c>
      <c r="Z94" s="293">
        <f t="shared" si="11"/>
        <v>0</v>
      </c>
      <c r="AA94" s="293">
        <f t="shared" si="12"/>
        <v>0</v>
      </c>
    </row>
    <row r="95" spans="1:27" s="320" customFormat="1" x14ac:dyDescent="0.25">
      <c r="A95" s="220" t="s">
        <v>730</v>
      </c>
      <c r="B95" s="221" t="s">
        <v>731</v>
      </c>
      <c r="C95" s="223" t="s">
        <v>4698</v>
      </c>
      <c r="D95" s="220" t="s">
        <v>713</v>
      </c>
      <c r="E95" s="222">
        <v>1</v>
      </c>
      <c r="F95" s="192">
        <v>0</v>
      </c>
      <c r="G95" s="24">
        <v>0.2</v>
      </c>
      <c r="H95" s="24">
        <v>0.05</v>
      </c>
      <c r="I95" s="24">
        <v>0.05</v>
      </c>
      <c r="J95" s="24">
        <v>0</v>
      </c>
      <c r="K95" s="224">
        <f t="shared" si="13"/>
        <v>0</v>
      </c>
      <c r="L95" s="225">
        <f t="shared" si="14"/>
        <v>0</v>
      </c>
      <c r="M95" s="225">
        <f t="shared" si="15"/>
        <v>0</v>
      </c>
      <c r="N95" s="226">
        <f t="shared" si="16"/>
        <v>0</v>
      </c>
      <c r="O95" s="34">
        <v>0.3</v>
      </c>
      <c r="P95" s="226">
        <f t="shared" si="17"/>
        <v>0</v>
      </c>
      <c r="Q95" s="107" t="s">
        <v>1486</v>
      </c>
      <c r="R95" s="34">
        <v>0.3</v>
      </c>
      <c r="S95" s="226">
        <f t="shared" si="19"/>
        <v>0</v>
      </c>
      <c r="T95" s="156" t="s">
        <v>1486</v>
      </c>
      <c r="U95" s="2"/>
      <c r="V95" s="2" t="s">
        <v>406</v>
      </c>
      <c r="W95" s="2"/>
      <c r="X95" s="2"/>
      <c r="Y95" s="488" t="s">
        <v>1486</v>
      </c>
      <c r="Z95" s="293">
        <f t="shared" si="11"/>
        <v>0</v>
      </c>
      <c r="AA95" s="293">
        <f t="shared" si="12"/>
        <v>0</v>
      </c>
    </row>
    <row r="96" spans="1:27" s="320" customFormat="1" x14ac:dyDescent="0.25">
      <c r="A96" s="220" t="s">
        <v>1837</v>
      </c>
      <c r="B96" s="221" t="s">
        <v>1838</v>
      </c>
      <c r="C96" s="223" t="s">
        <v>1546</v>
      </c>
      <c r="D96" s="220" t="s">
        <v>1839</v>
      </c>
      <c r="E96" s="222"/>
      <c r="F96" s="192">
        <v>7025.21</v>
      </c>
      <c r="G96" s="24">
        <v>0.2</v>
      </c>
      <c r="H96" s="24">
        <v>0.05</v>
      </c>
      <c r="I96" s="24">
        <v>0.05</v>
      </c>
      <c r="J96" s="24">
        <v>0</v>
      </c>
      <c r="K96" s="224">
        <f t="shared" si="13"/>
        <v>0.27800000000000002</v>
      </c>
      <c r="L96" s="225">
        <f t="shared" si="14"/>
        <v>0</v>
      </c>
      <c r="M96" s="225">
        <f t="shared" si="15"/>
        <v>9730.2077562326867</v>
      </c>
      <c r="N96" s="226">
        <f t="shared" si="16"/>
        <v>11578.947229916897</v>
      </c>
      <c r="O96" s="34">
        <v>0.3</v>
      </c>
      <c r="P96" s="226">
        <f t="shared" si="17"/>
        <v>15052.631398891966</v>
      </c>
      <c r="Q96" s="107" t="s">
        <v>1486</v>
      </c>
      <c r="R96" s="34">
        <v>0.3</v>
      </c>
      <c r="S96" s="226">
        <f t="shared" si="19"/>
        <v>11942.857</v>
      </c>
      <c r="T96" s="156" t="s">
        <v>1486</v>
      </c>
      <c r="U96" s="2" t="s">
        <v>109</v>
      </c>
      <c r="V96" s="2" t="s">
        <v>5826</v>
      </c>
      <c r="W96" s="2"/>
      <c r="X96" s="2"/>
      <c r="Y96" s="488" t="s">
        <v>1486</v>
      </c>
      <c r="Z96" s="293">
        <f t="shared" si="11"/>
        <v>2704.9977562326867</v>
      </c>
      <c r="AA96" s="293">
        <f t="shared" si="12"/>
        <v>3010.8042857142855</v>
      </c>
    </row>
    <row r="97" spans="1:27" s="320" customFormat="1" x14ac:dyDescent="0.25">
      <c r="A97" s="220" t="s">
        <v>1840</v>
      </c>
      <c r="B97" s="221" t="s">
        <v>1841</v>
      </c>
      <c r="C97" s="223" t="s">
        <v>1546</v>
      </c>
      <c r="D97" s="220" t="s">
        <v>1842</v>
      </c>
      <c r="E97" s="222"/>
      <c r="F97" s="192">
        <v>797</v>
      </c>
      <c r="G97" s="24">
        <v>0.2</v>
      </c>
      <c r="H97" s="24">
        <v>0.05</v>
      </c>
      <c r="I97" s="24">
        <v>0.05</v>
      </c>
      <c r="J97" s="24">
        <v>0</v>
      </c>
      <c r="K97" s="224">
        <f t="shared" si="13"/>
        <v>0.27800000000000002</v>
      </c>
      <c r="L97" s="225">
        <f t="shared" si="14"/>
        <v>0</v>
      </c>
      <c r="M97" s="225">
        <f t="shared" si="15"/>
        <v>1103.8781163434903</v>
      </c>
      <c r="N97" s="226">
        <f t="shared" si="16"/>
        <v>1313.6149584487534</v>
      </c>
      <c r="O97" s="34">
        <v>0.3</v>
      </c>
      <c r="P97" s="226">
        <f t="shared" si="17"/>
        <v>1707.6994459833795</v>
      </c>
      <c r="Q97" s="107" t="s">
        <v>1486</v>
      </c>
      <c r="R97" s="34">
        <v>0.3</v>
      </c>
      <c r="S97" s="226">
        <f t="shared" si="19"/>
        <v>1354.9</v>
      </c>
      <c r="T97" s="156" t="s">
        <v>1486</v>
      </c>
      <c r="U97" s="2" t="s">
        <v>109</v>
      </c>
      <c r="V97" s="2" t="s">
        <v>5826</v>
      </c>
      <c r="W97" s="2" t="s">
        <v>11</v>
      </c>
      <c r="X97" s="2" t="s">
        <v>2747</v>
      </c>
      <c r="Y97" s="488" t="s">
        <v>1486</v>
      </c>
      <c r="Z97" s="293">
        <f t="shared" si="11"/>
        <v>306.87811634349032</v>
      </c>
      <c r="AA97" s="293">
        <f t="shared" si="12"/>
        <v>341.57142857142867</v>
      </c>
    </row>
    <row r="98" spans="1:27" s="320" customFormat="1" x14ac:dyDescent="0.25">
      <c r="A98" s="220" t="s">
        <v>1911</v>
      </c>
      <c r="B98" s="221" t="s">
        <v>1916</v>
      </c>
      <c r="C98" s="223" t="s">
        <v>1556</v>
      </c>
      <c r="D98" s="220" t="s">
        <v>2717</v>
      </c>
      <c r="E98" s="222">
        <v>20</v>
      </c>
      <c r="F98" s="192">
        <v>300</v>
      </c>
      <c r="G98" s="24">
        <v>0.2</v>
      </c>
      <c r="H98" s="24">
        <v>0.05</v>
      </c>
      <c r="I98" s="24">
        <v>0.05</v>
      </c>
      <c r="J98" s="24">
        <v>0</v>
      </c>
      <c r="K98" s="224">
        <f t="shared" si="13"/>
        <v>0.27800000000000014</v>
      </c>
      <c r="L98" s="225">
        <f t="shared" si="14"/>
        <v>8310.2493074792255</v>
      </c>
      <c r="M98" s="225">
        <f t="shared" si="15"/>
        <v>415.51246537396128</v>
      </c>
      <c r="N98" s="226">
        <f t="shared" si="16"/>
        <v>494.45983379501388</v>
      </c>
      <c r="O98" s="34">
        <v>0.3</v>
      </c>
      <c r="P98" s="226">
        <f t="shared" si="17"/>
        <v>642.79778393351808</v>
      </c>
      <c r="Q98" s="107" t="s">
        <v>1486</v>
      </c>
      <c r="R98" s="34">
        <v>0.40716363535557626</v>
      </c>
      <c r="S98" s="226">
        <f t="shared" si="19"/>
        <v>602.18977999793321</v>
      </c>
      <c r="T98" s="156" t="s">
        <v>1486</v>
      </c>
      <c r="U98" s="2"/>
      <c r="V98" s="2" t="s">
        <v>406</v>
      </c>
      <c r="W98" s="2"/>
      <c r="X98" s="2"/>
      <c r="Y98" s="488" t="s">
        <v>1486</v>
      </c>
      <c r="Z98" s="293">
        <f t="shared" si="11"/>
        <v>115.51246537396128</v>
      </c>
      <c r="AA98" s="293">
        <f t="shared" si="12"/>
        <v>206.04183193103631</v>
      </c>
    </row>
    <row r="99" spans="1:27" s="320" customFormat="1" x14ac:dyDescent="0.25">
      <c r="A99" s="220" t="s">
        <v>1912</v>
      </c>
      <c r="B99" s="221" t="s">
        <v>1917</v>
      </c>
      <c r="C99" s="223" t="s">
        <v>1556</v>
      </c>
      <c r="D99" s="220" t="s">
        <v>2717</v>
      </c>
      <c r="E99" s="222">
        <v>25</v>
      </c>
      <c r="F99" s="192">
        <v>244</v>
      </c>
      <c r="G99" s="24">
        <v>0.2</v>
      </c>
      <c r="H99" s="24">
        <v>0.05</v>
      </c>
      <c r="I99" s="24">
        <v>0.05</v>
      </c>
      <c r="J99" s="24">
        <v>0</v>
      </c>
      <c r="K99" s="224">
        <f t="shared" si="13"/>
        <v>0.27800000000000014</v>
      </c>
      <c r="L99" s="225">
        <f t="shared" si="14"/>
        <v>8448.7534626038796</v>
      </c>
      <c r="M99" s="225">
        <f t="shared" si="15"/>
        <v>337.95013850415518</v>
      </c>
      <c r="N99" s="226">
        <f t="shared" si="16"/>
        <v>402.16066481994466</v>
      </c>
      <c r="O99" s="34">
        <v>0.3</v>
      </c>
      <c r="P99" s="226">
        <f t="shared" si="17"/>
        <v>522.80886426592804</v>
      </c>
      <c r="Q99" s="107" t="s">
        <v>1486</v>
      </c>
      <c r="R99" s="34">
        <v>0.35399986168535574</v>
      </c>
      <c r="S99" s="226">
        <f t="shared" si="19"/>
        <v>449.47358797402558</v>
      </c>
      <c r="T99" s="156" t="s">
        <v>1486</v>
      </c>
      <c r="U99" s="2"/>
      <c r="V99" s="2" t="s">
        <v>406</v>
      </c>
      <c r="W99" s="2"/>
      <c r="X99" s="2"/>
      <c r="Y99" s="488" t="s">
        <v>1486</v>
      </c>
      <c r="Z99" s="293">
        <f t="shared" si="11"/>
        <v>93.950138504155177</v>
      </c>
      <c r="AA99" s="293">
        <f t="shared" si="12"/>
        <v>133.70889745716437</v>
      </c>
    </row>
    <row r="100" spans="1:27" s="320" customFormat="1" x14ac:dyDescent="0.25">
      <c r="A100" s="220" t="s">
        <v>2713</v>
      </c>
      <c r="B100" s="221" t="s">
        <v>2714</v>
      </c>
      <c r="C100" s="223" t="s">
        <v>1556</v>
      </c>
      <c r="D100" s="220" t="s">
        <v>2717</v>
      </c>
      <c r="E100" s="222">
        <v>36</v>
      </c>
      <c r="F100" s="192">
        <v>168</v>
      </c>
      <c r="G100" s="24">
        <v>0.2</v>
      </c>
      <c r="H100" s="24">
        <v>0.05</v>
      </c>
      <c r="I100" s="24">
        <v>0.05</v>
      </c>
      <c r="J100" s="24">
        <v>0</v>
      </c>
      <c r="K100" s="224">
        <f t="shared" si="13"/>
        <v>0.27800000000000002</v>
      </c>
      <c r="L100" s="225">
        <f t="shared" si="14"/>
        <v>8376.7313019390585</v>
      </c>
      <c r="M100" s="225">
        <f t="shared" si="15"/>
        <v>232.6869806094183</v>
      </c>
      <c r="N100" s="226">
        <f t="shared" si="16"/>
        <v>276.89750692520778</v>
      </c>
      <c r="O100" s="34">
        <v>0.3</v>
      </c>
      <c r="P100" s="226">
        <f t="shared" si="17"/>
        <v>359.96675900277012</v>
      </c>
      <c r="Q100" s="107" t="s">
        <v>1486</v>
      </c>
      <c r="R100" s="34">
        <v>0.37525001098318483</v>
      </c>
      <c r="S100" s="226">
        <f t="shared" si="19"/>
        <v>320.00000562564099</v>
      </c>
      <c r="T100" s="156" t="s">
        <v>1486</v>
      </c>
      <c r="U100" s="2"/>
      <c r="V100" s="2" t="s">
        <v>406</v>
      </c>
      <c r="W100" s="2"/>
      <c r="X100" s="2"/>
      <c r="Y100" s="488" t="s">
        <v>1486</v>
      </c>
      <c r="Z100" s="293">
        <f t="shared" si="11"/>
        <v>64.686980609418299</v>
      </c>
      <c r="AA100" s="293">
        <f t="shared" si="12"/>
        <v>100.90756775263952</v>
      </c>
    </row>
    <row r="101" spans="1:27" s="320" customFormat="1" x14ac:dyDescent="0.25">
      <c r="A101" s="220" t="s">
        <v>2715</v>
      </c>
      <c r="B101" s="221" t="s">
        <v>2716</v>
      </c>
      <c r="C101" s="223" t="s">
        <v>1556</v>
      </c>
      <c r="D101" s="220" t="s">
        <v>2717</v>
      </c>
      <c r="E101" s="222">
        <v>10</v>
      </c>
      <c r="F101" s="192">
        <v>216</v>
      </c>
      <c r="G101" s="24">
        <v>0.2</v>
      </c>
      <c r="H101" s="24">
        <v>0.05</v>
      </c>
      <c r="I101" s="24">
        <v>0.05</v>
      </c>
      <c r="J101" s="24">
        <v>0</v>
      </c>
      <c r="K101" s="224">
        <f t="shared" si="13"/>
        <v>0.27800000000000002</v>
      </c>
      <c r="L101" s="225">
        <f t="shared" si="14"/>
        <v>2991.6897506925211</v>
      </c>
      <c r="M101" s="225">
        <f t="shared" si="15"/>
        <v>299.1689750692521</v>
      </c>
      <c r="N101" s="226">
        <f t="shared" si="16"/>
        <v>356.01108033240996</v>
      </c>
      <c r="O101" s="34">
        <v>0.3</v>
      </c>
      <c r="P101" s="226">
        <f t="shared" si="17"/>
        <v>462.81440443213296</v>
      </c>
      <c r="Q101" s="107" t="s">
        <v>1486</v>
      </c>
      <c r="R101" s="34">
        <v>0.35</v>
      </c>
      <c r="S101" s="226">
        <f t="shared" si="19"/>
        <v>395.44615384615383</v>
      </c>
      <c r="T101" s="156" t="s">
        <v>1486</v>
      </c>
      <c r="U101" s="2"/>
      <c r="V101" s="2" t="s">
        <v>406</v>
      </c>
      <c r="W101" s="2"/>
      <c r="X101" s="2"/>
      <c r="Y101" s="488" t="s">
        <v>1486</v>
      </c>
      <c r="Z101" s="293">
        <f t="shared" si="11"/>
        <v>83.168975069252099</v>
      </c>
      <c r="AA101" s="293">
        <f t="shared" si="12"/>
        <v>116.30769230769232</v>
      </c>
    </row>
    <row r="102" spans="1:27" s="320" customFormat="1" x14ac:dyDescent="0.25">
      <c r="A102" s="220" t="s">
        <v>4228</v>
      </c>
      <c r="B102" s="221" t="s">
        <v>4229</v>
      </c>
      <c r="C102" s="223" t="s">
        <v>4221</v>
      </c>
      <c r="D102" s="220" t="s">
        <v>1504</v>
      </c>
      <c r="E102" s="222">
        <v>1</v>
      </c>
      <c r="F102" s="192">
        <v>4500</v>
      </c>
      <c r="G102" s="24">
        <v>0.2</v>
      </c>
      <c r="H102" s="24">
        <v>0.05</v>
      </c>
      <c r="I102" s="24">
        <v>0.05</v>
      </c>
      <c r="J102" s="24">
        <v>0</v>
      </c>
      <c r="K102" s="224">
        <f t="shared" si="13"/>
        <v>0.27800000000000014</v>
      </c>
      <c r="L102" s="225">
        <f t="shared" si="14"/>
        <v>6232.6869806094192</v>
      </c>
      <c r="M102" s="225">
        <f t="shared" si="15"/>
        <v>6232.6869806094192</v>
      </c>
      <c r="N102" s="226">
        <f t="shared" si="16"/>
        <v>7416.8975069252083</v>
      </c>
      <c r="O102" s="34">
        <v>0.3</v>
      </c>
      <c r="P102" s="226">
        <f t="shared" si="17"/>
        <v>9641.9667590027711</v>
      </c>
      <c r="Q102" s="107" t="s">
        <v>1486</v>
      </c>
      <c r="R102" s="34">
        <v>0.35</v>
      </c>
      <c r="S102" s="226">
        <f t="shared" si="19"/>
        <v>8238.4615384615372</v>
      </c>
      <c r="T102" s="156" t="s">
        <v>1486</v>
      </c>
      <c r="U102" s="2"/>
      <c r="V102" s="2" t="s">
        <v>47</v>
      </c>
      <c r="W102" s="2" t="s">
        <v>1467</v>
      </c>
      <c r="X102" s="2" t="s">
        <v>1467</v>
      </c>
      <c r="Y102" s="488" t="s">
        <v>1486</v>
      </c>
      <c r="Z102" s="293">
        <f t="shared" si="11"/>
        <v>1732.6869806094192</v>
      </c>
      <c r="AA102" s="293">
        <f t="shared" si="12"/>
        <v>2423.076923076922</v>
      </c>
    </row>
    <row r="103" spans="1:27" s="320" customFormat="1" x14ac:dyDescent="0.25">
      <c r="A103" s="220" t="s">
        <v>4696</v>
      </c>
      <c r="B103" s="221" t="s">
        <v>4697</v>
      </c>
      <c r="C103" s="223"/>
      <c r="D103" s="220" t="s">
        <v>1504</v>
      </c>
      <c r="E103" s="222">
        <v>1</v>
      </c>
      <c r="F103" s="192">
        <v>41</v>
      </c>
      <c r="G103" s="24">
        <v>0.2</v>
      </c>
      <c r="H103" s="24">
        <v>0.03</v>
      </c>
      <c r="I103" s="24">
        <v>0.05</v>
      </c>
      <c r="J103" s="24">
        <v>0.05</v>
      </c>
      <c r="K103" s="224">
        <f t="shared" si="13"/>
        <v>0.29966000000000004</v>
      </c>
      <c r="L103" s="225">
        <f t="shared" si="14"/>
        <v>58.542993403204164</v>
      </c>
      <c r="M103" s="225">
        <f t="shared" si="15"/>
        <v>58.542993403204164</v>
      </c>
      <c r="N103" s="226">
        <f t="shared" si="16"/>
        <v>69.666162149812948</v>
      </c>
      <c r="O103" s="34">
        <v>0.3</v>
      </c>
      <c r="P103" s="226">
        <f t="shared" si="17"/>
        <v>90.566010794756835</v>
      </c>
      <c r="Q103" s="107" t="s">
        <v>1486</v>
      </c>
      <c r="R103" s="34">
        <v>0.4</v>
      </c>
      <c r="S103" s="226">
        <f t="shared" si="19"/>
        <v>81.316666666666677</v>
      </c>
      <c r="T103" s="156" t="s">
        <v>1486</v>
      </c>
      <c r="U103" s="2"/>
      <c r="V103" s="2" t="s">
        <v>406</v>
      </c>
      <c r="W103" s="2" t="s">
        <v>1467</v>
      </c>
      <c r="X103" s="2" t="s">
        <v>1467</v>
      </c>
      <c r="Y103" s="488" t="s">
        <v>1486</v>
      </c>
      <c r="Z103" s="293">
        <f t="shared" si="11"/>
        <v>17.542993403204164</v>
      </c>
      <c r="AA103" s="293">
        <f t="shared" si="12"/>
        <v>27.333333333333343</v>
      </c>
    </row>
    <row r="104" spans="1:27" s="320" customFormat="1" x14ac:dyDescent="0.25">
      <c r="A104" s="220" t="s">
        <v>4718</v>
      </c>
      <c r="B104" s="221" t="s">
        <v>4717</v>
      </c>
      <c r="C104" s="223" t="s">
        <v>1561</v>
      </c>
      <c r="D104" s="220" t="s">
        <v>782</v>
      </c>
      <c r="E104" s="222">
        <v>1</v>
      </c>
      <c r="F104" s="192">
        <v>4916</v>
      </c>
      <c r="G104" s="24">
        <v>0.2</v>
      </c>
      <c r="H104" s="24">
        <v>0.05</v>
      </c>
      <c r="I104" s="24">
        <v>0.05</v>
      </c>
      <c r="J104" s="24">
        <v>0</v>
      </c>
      <c r="K104" s="224">
        <f t="shared" si="13"/>
        <v>0.27800000000000002</v>
      </c>
      <c r="L104" s="225">
        <f t="shared" si="14"/>
        <v>6808.8642659279785</v>
      </c>
      <c r="M104" s="225">
        <f t="shared" si="15"/>
        <v>6808.8642659279785</v>
      </c>
      <c r="N104" s="226">
        <f t="shared" si="16"/>
        <v>8102.5484764542944</v>
      </c>
      <c r="O104" s="34">
        <v>0.3</v>
      </c>
      <c r="P104" s="226">
        <f t="shared" si="17"/>
        <v>10533.313019390584</v>
      </c>
      <c r="Q104" s="107" t="s">
        <v>1486</v>
      </c>
      <c r="R104" s="34">
        <v>0.35</v>
      </c>
      <c r="S104" s="226">
        <f t="shared" si="19"/>
        <v>9000.0615384615376</v>
      </c>
      <c r="T104" s="156" t="s">
        <v>1486</v>
      </c>
      <c r="U104" s="2">
        <v>1</v>
      </c>
      <c r="V104" s="2" t="s">
        <v>47</v>
      </c>
      <c r="W104" s="2" t="s">
        <v>5863</v>
      </c>
      <c r="X104" s="2" t="s">
        <v>3470</v>
      </c>
      <c r="Y104" s="488" t="s">
        <v>1486</v>
      </c>
      <c r="Z104" s="293">
        <f t="shared" si="11"/>
        <v>1892.8642659279785</v>
      </c>
      <c r="AA104" s="293">
        <f t="shared" si="12"/>
        <v>2647.0769230769229</v>
      </c>
    </row>
    <row r="105" spans="1:27" s="320" customFormat="1" x14ac:dyDescent="0.25">
      <c r="A105" s="220" t="s">
        <v>5281</v>
      </c>
      <c r="B105" s="221" t="s">
        <v>5305</v>
      </c>
      <c r="C105" s="223" t="s">
        <v>4767</v>
      </c>
      <c r="D105" s="220" t="s">
        <v>4636</v>
      </c>
      <c r="E105" s="222">
        <v>20</v>
      </c>
      <c r="F105" s="192">
        <v>2889</v>
      </c>
      <c r="G105" s="24">
        <v>0.2</v>
      </c>
      <c r="H105" s="24">
        <v>0.05</v>
      </c>
      <c r="I105" s="24">
        <v>0.05</v>
      </c>
      <c r="J105" s="24">
        <v>0.05</v>
      </c>
      <c r="K105" s="224">
        <f t="shared" si="13"/>
        <v>0.31410000000000005</v>
      </c>
      <c r="L105" s="225">
        <f t="shared" si="14"/>
        <v>84239.685085289399</v>
      </c>
      <c r="M105" s="225">
        <f t="shared" si="15"/>
        <v>4211.9842542644701</v>
      </c>
      <c r="N105" s="226">
        <f t="shared" si="16"/>
        <v>5012.2612625747188</v>
      </c>
      <c r="O105" s="34">
        <v>0.3</v>
      </c>
      <c r="P105" s="226">
        <f t="shared" si="17"/>
        <v>6515.939641347135</v>
      </c>
      <c r="Q105" s="107" t="s">
        <v>1486</v>
      </c>
      <c r="R105" s="34">
        <v>0.4</v>
      </c>
      <c r="S105" s="226">
        <f t="shared" si="19"/>
        <v>5729.8499999999995</v>
      </c>
      <c r="T105" s="156" t="s">
        <v>1486</v>
      </c>
      <c r="U105" s="2"/>
      <c r="V105" s="2" t="s">
        <v>47</v>
      </c>
      <c r="W105" s="2" t="s">
        <v>1467</v>
      </c>
      <c r="X105" s="2" t="s">
        <v>1467</v>
      </c>
      <c r="Y105" s="488" t="s">
        <v>1486</v>
      </c>
      <c r="Z105" s="293">
        <f t="shared" si="11"/>
        <v>1322.9842542644701</v>
      </c>
      <c r="AA105" s="293">
        <f t="shared" si="12"/>
        <v>1926</v>
      </c>
    </row>
    <row r="106" spans="1:27" s="320" customFormat="1" x14ac:dyDescent="0.25">
      <c r="A106" s="220" t="s">
        <v>5461</v>
      </c>
      <c r="B106" s="221" t="s">
        <v>5462</v>
      </c>
      <c r="C106" s="223" t="s">
        <v>1626</v>
      </c>
      <c r="D106" s="220" t="s">
        <v>392</v>
      </c>
      <c r="E106" s="222">
        <v>12</v>
      </c>
      <c r="F106" s="192">
        <v>1363</v>
      </c>
      <c r="G106" s="24">
        <v>0.2</v>
      </c>
      <c r="H106" s="24">
        <v>0.05</v>
      </c>
      <c r="I106" s="24">
        <v>0.05</v>
      </c>
      <c r="J106" s="24">
        <v>0</v>
      </c>
      <c r="K106" s="224">
        <f t="shared" si="13"/>
        <v>0.27800000000000002</v>
      </c>
      <c r="L106" s="225">
        <f t="shared" si="14"/>
        <v>22653.739612188365</v>
      </c>
      <c r="M106" s="225">
        <f t="shared" si="15"/>
        <v>1887.8116343490306</v>
      </c>
      <c r="N106" s="226">
        <f t="shared" si="16"/>
        <v>2246.4958448753464</v>
      </c>
      <c r="O106" s="34">
        <v>0.3</v>
      </c>
      <c r="P106" s="226">
        <f t="shared" si="17"/>
        <v>2920.4445983379505</v>
      </c>
      <c r="Q106" s="107" t="s">
        <v>1486</v>
      </c>
      <c r="R106" s="34">
        <v>0.4</v>
      </c>
      <c r="S106" s="226">
        <f t="shared" si="19"/>
        <v>2703.2833333333338</v>
      </c>
      <c r="T106" s="156" t="s">
        <v>1486</v>
      </c>
      <c r="U106" s="2" t="s">
        <v>50</v>
      </c>
      <c r="V106" s="2" t="s">
        <v>47</v>
      </c>
      <c r="W106" s="2" t="s">
        <v>5963</v>
      </c>
      <c r="X106" s="2" t="s">
        <v>1467</v>
      </c>
      <c r="Y106" s="488" t="s">
        <v>1486</v>
      </c>
      <c r="Z106" s="293">
        <f t="shared" si="11"/>
        <v>524.81163434903056</v>
      </c>
      <c r="AA106" s="293">
        <f t="shared" si="12"/>
        <v>908.66666666666697</v>
      </c>
    </row>
    <row r="107" spans="1:27" s="320" customFormat="1" x14ac:dyDescent="0.25">
      <c r="A107" s="220" t="s">
        <v>5519</v>
      </c>
      <c r="B107" s="221" t="s">
        <v>5520</v>
      </c>
      <c r="C107" s="223" t="s">
        <v>5170</v>
      </c>
      <c r="D107" s="220" t="s">
        <v>5214</v>
      </c>
      <c r="E107" s="222">
        <v>48</v>
      </c>
      <c r="F107" s="192">
        <v>464</v>
      </c>
      <c r="G107" s="24">
        <v>0.2</v>
      </c>
      <c r="H107" s="24">
        <v>0.05</v>
      </c>
      <c r="I107" s="24">
        <v>0.05</v>
      </c>
      <c r="J107" s="24">
        <v>0</v>
      </c>
      <c r="K107" s="224">
        <f t="shared" si="13"/>
        <v>0.27800000000000014</v>
      </c>
      <c r="L107" s="225">
        <f t="shared" si="14"/>
        <v>30847.645429362889</v>
      </c>
      <c r="M107" s="225">
        <f t="shared" si="15"/>
        <v>642.65927977839351</v>
      </c>
      <c r="N107" s="226">
        <f t="shared" si="16"/>
        <v>764.76454293628819</v>
      </c>
      <c r="O107" s="34">
        <v>0.3</v>
      </c>
      <c r="P107" s="226">
        <f t="shared" si="17"/>
        <v>994.19390581717471</v>
      </c>
      <c r="Q107" s="107" t="s">
        <v>1486</v>
      </c>
      <c r="R107" s="34">
        <v>0.35</v>
      </c>
      <c r="S107" s="226">
        <f t="shared" si="19"/>
        <v>849.47692307692296</v>
      </c>
      <c r="T107" s="156" t="s">
        <v>1486</v>
      </c>
      <c r="U107" s="2" t="s">
        <v>50</v>
      </c>
      <c r="V107" s="2" t="s">
        <v>47</v>
      </c>
      <c r="W107" s="2" t="s">
        <v>2900</v>
      </c>
      <c r="X107" s="2" t="s">
        <v>2903</v>
      </c>
      <c r="Y107" s="488" t="s">
        <v>1486</v>
      </c>
      <c r="Z107" s="293">
        <f t="shared" si="11"/>
        <v>178.65927977839351</v>
      </c>
      <c r="AA107" s="293">
        <f t="shared" si="12"/>
        <v>249.84615384615381</v>
      </c>
    </row>
    <row r="108" spans="1:27" s="320" customFormat="1" x14ac:dyDescent="0.25">
      <c r="A108" s="220" t="s">
        <v>5795</v>
      </c>
      <c r="B108" s="221" t="s">
        <v>5796</v>
      </c>
      <c r="C108" s="223" t="s">
        <v>5619</v>
      </c>
      <c r="D108" s="220" t="s">
        <v>5794</v>
      </c>
      <c r="E108" s="222">
        <v>1</v>
      </c>
      <c r="F108" s="192">
        <v>4995</v>
      </c>
      <c r="G108" s="24">
        <v>0.2</v>
      </c>
      <c r="H108" s="24">
        <v>0.05</v>
      </c>
      <c r="I108" s="24">
        <v>0.05</v>
      </c>
      <c r="J108" s="24">
        <v>0.05</v>
      </c>
      <c r="K108" s="224">
        <f t="shared" si="13"/>
        <v>0.31410000000000005</v>
      </c>
      <c r="L108" s="225">
        <f t="shared" si="14"/>
        <v>7282.4026826067948</v>
      </c>
      <c r="M108" s="225">
        <f t="shared" si="15"/>
        <v>7282.4026826067948</v>
      </c>
      <c r="N108" s="226">
        <f t="shared" si="16"/>
        <v>8666.0591923020856</v>
      </c>
      <c r="O108" s="34">
        <v>0.3</v>
      </c>
      <c r="P108" s="226">
        <f t="shared" si="17"/>
        <v>11265.876949992711</v>
      </c>
      <c r="Q108" s="107" t="s">
        <v>1486</v>
      </c>
      <c r="R108" s="34">
        <v>0.4</v>
      </c>
      <c r="S108" s="226">
        <f t="shared" si="19"/>
        <v>9906.75</v>
      </c>
      <c r="T108" s="156" t="s">
        <v>1486</v>
      </c>
      <c r="U108" s="2"/>
      <c r="V108" s="2" t="s">
        <v>47</v>
      </c>
      <c r="W108" s="2" t="s">
        <v>1467</v>
      </c>
      <c r="X108" s="2" t="s">
        <v>1467</v>
      </c>
      <c r="Y108" s="488" t="s">
        <v>1486</v>
      </c>
      <c r="Z108" s="293">
        <f t="shared" si="11"/>
        <v>2287.4026826067948</v>
      </c>
      <c r="AA108" s="293">
        <f t="shared" si="12"/>
        <v>3330</v>
      </c>
    </row>
    <row r="109" spans="1:27" s="320" customFormat="1" x14ac:dyDescent="0.25">
      <c r="A109" s="220" t="s">
        <v>5998</v>
      </c>
      <c r="B109" s="221" t="s">
        <v>5999</v>
      </c>
      <c r="C109" s="223" t="s">
        <v>2787</v>
      </c>
      <c r="D109" s="220" t="s">
        <v>6000</v>
      </c>
      <c r="E109" s="222">
        <v>24</v>
      </c>
      <c r="F109" s="192">
        <v>297</v>
      </c>
      <c r="G109" s="24">
        <v>0.2</v>
      </c>
      <c r="H109" s="24">
        <v>0.05</v>
      </c>
      <c r="I109" s="24">
        <v>0.05</v>
      </c>
      <c r="J109" s="24">
        <v>0</v>
      </c>
      <c r="K109" s="224">
        <f t="shared" si="13"/>
        <v>0.27800000000000002</v>
      </c>
      <c r="L109" s="225">
        <f t="shared" si="14"/>
        <v>9872.5761772853184</v>
      </c>
      <c r="M109" s="225">
        <f t="shared" si="15"/>
        <v>411.3573407202216</v>
      </c>
      <c r="N109" s="226">
        <f t="shared" si="16"/>
        <v>489.51523545706368</v>
      </c>
      <c r="O109" s="34">
        <v>0.3</v>
      </c>
      <c r="P109" s="226">
        <f t="shared" si="17"/>
        <v>636.36980609418276</v>
      </c>
      <c r="Q109" s="107" t="s">
        <v>1486</v>
      </c>
      <c r="R109" s="34">
        <v>0.4</v>
      </c>
      <c r="S109" s="226">
        <f t="shared" si="19"/>
        <v>589.04999999999995</v>
      </c>
      <c r="T109" s="156" t="s">
        <v>1486</v>
      </c>
      <c r="U109" s="2"/>
      <c r="V109" s="2" t="s">
        <v>406</v>
      </c>
      <c r="W109" s="2" t="s">
        <v>1467</v>
      </c>
      <c r="X109" s="2" t="s">
        <v>1467</v>
      </c>
      <c r="Y109" s="488" t="s">
        <v>1486</v>
      </c>
      <c r="Z109" s="293">
        <f t="shared" si="11"/>
        <v>114.3573407202216</v>
      </c>
      <c r="AA109" s="293">
        <f t="shared" si="12"/>
        <v>198</v>
      </c>
    </row>
    <row r="110" spans="1:27" s="320" customFormat="1" x14ac:dyDescent="0.25">
      <c r="A110" s="220" t="s">
        <v>6009</v>
      </c>
      <c r="B110" s="221" t="s">
        <v>6010</v>
      </c>
      <c r="C110" s="223" t="s">
        <v>6006</v>
      </c>
      <c r="D110" s="220" t="s">
        <v>6011</v>
      </c>
      <c r="E110" s="222">
        <v>1</v>
      </c>
      <c r="F110" s="192">
        <v>2800</v>
      </c>
      <c r="G110" s="24">
        <v>0.2</v>
      </c>
      <c r="H110" s="24">
        <v>0.05</v>
      </c>
      <c r="I110" s="24">
        <v>0.05</v>
      </c>
      <c r="J110" s="24">
        <v>0</v>
      </c>
      <c r="K110" s="224">
        <f t="shared" si="13"/>
        <v>0.27800000000000002</v>
      </c>
      <c r="L110" s="225">
        <f t="shared" si="14"/>
        <v>3878.1163434903051</v>
      </c>
      <c r="M110" s="225">
        <f t="shared" si="15"/>
        <v>3878.1163434903051</v>
      </c>
      <c r="N110" s="226">
        <f t="shared" si="16"/>
        <v>4614.958448753463</v>
      </c>
      <c r="O110" s="34">
        <v>0.3</v>
      </c>
      <c r="P110" s="226">
        <f t="shared" si="17"/>
        <v>5999.4459833795017</v>
      </c>
      <c r="Q110" s="107" t="s">
        <v>1486</v>
      </c>
      <c r="R110" s="34">
        <v>0.2</v>
      </c>
      <c r="S110" s="226">
        <f t="shared" si="19"/>
        <v>4165</v>
      </c>
      <c r="T110" s="156" t="s">
        <v>1486</v>
      </c>
      <c r="U110" s="2"/>
      <c r="V110" s="2" t="s">
        <v>406</v>
      </c>
      <c r="W110" s="2" t="s">
        <v>1467</v>
      </c>
      <c r="X110" s="2" t="s">
        <v>1467</v>
      </c>
      <c r="Y110" s="488" t="s">
        <v>1486</v>
      </c>
      <c r="Z110" s="293">
        <f t="shared" si="11"/>
        <v>1078.1163434903051</v>
      </c>
      <c r="AA110" s="293">
        <f t="shared" si="12"/>
        <v>700</v>
      </c>
    </row>
    <row r="111" spans="1:27" s="320" customFormat="1" x14ac:dyDescent="0.25">
      <c r="A111" s="220" t="s">
        <v>6105</v>
      </c>
      <c r="B111" s="221" t="s">
        <v>6106</v>
      </c>
      <c r="C111" s="223" t="s">
        <v>1576</v>
      </c>
      <c r="D111" s="220" t="s">
        <v>5116</v>
      </c>
      <c r="E111" s="222">
        <v>24</v>
      </c>
      <c r="F111" s="192">
        <v>588</v>
      </c>
      <c r="G111" s="24">
        <v>0.2</v>
      </c>
      <c r="H111" s="24">
        <v>0.05</v>
      </c>
      <c r="I111" s="24">
        <v>0.05</v>
      </c>
      <c r="J111" s="24">
        <v>0</v>
      </c>
      <c r="K111" s="224">
        <f t="shared" si="13"/>
        <v>0.27800000000000002</v>
      </c>
      <c r="L111" s="225">
        <f t="shared" si="14"/>
        <v>19545.70637119114</v>
      </c>
      <c r="M111" s="225">
        <f t="shared" si="15"/>
        <v>814.40443213296408</v>
      </c>
      <c r="N111" s="226">
        <f t="shared" si="16"/>
        <v>969.1412742382272</v>
      </c>
      <c r="O111" s="34">
        <v>0.3</v>
      </c>
      <c r="P111" s="226">
        <f t="shared" si="17"/>
        <v>1259.8836565096954</v>
      </c>
      <c r="Q111" s="107" t="s">
        <v>1486</v>
      </c>
      <c r="R111" s="34">
        <v>0.4</v>
      </c>
      <c r="S111" s="226">
        <f t="shared" si="19"/>
        <v>1166.2</v>
      </c>
      <c r="T111" s="156" t="s">
        <v>1486</v>
      </c>
      <c r="U111" s="2"/>
      <c r="V111" s="2" t="s">
        <v>406</v>
      </c>
      <c r="W111" s="2" t="s">
        <v>1467</v>
      </c>
      <c r="X111" s="2" t="s">
        <v>1467</v>
      </c>
      <c r="Y111" s="488" t="s">
        <v>1486</v>
      </c>
      <c r="Z111" s="293">
        <f t="shared" si="11"/>
        <v>226.40443213296408</v>
      </c>
      <c r="AA111" s="293">
        <f t="shared" si="12"/>
        <v>392.00000000000011</v>
      </c>
    </row>
    <row r="112" spans="1:27" s="320" customFormat="1" x14ac:dyDescent="0.25">
      <c r="A112" s="220" t="s">
        <v>2874</v>
      </c>
      <c r="B112" s="221" t="s">
        <v>3379</v>
      </c>
      <c r="C112" s="223" t="s">
        <v>2926</v>
      </c>
      <c r="D112" s="220" t="s">
        <v>2872</v>
      </c>
      <c r="E112" s="222">
        <v>10</v>
      </c>
      <c r="F112" s="192">
        <v>2800</v>
      </c>
      <c r="G112" s="24">
        <v>0.2</v>
      </c>
      <c r="H112" s="24">
        <v>0.05</v>
      </c>
      <c r="I112" s="24">
        <v>0.05</v>
      </c>
      <c r="J112" s="24">
        <v>0</v>
      </c>
      <c r="K112" s="224">
        <f t="shared" si="13"/>
        <v>0.27800000000000002</v>
      </c>
      <c r="L112" s="225">
        <f t="shared" si="14"/>
        <v>38781.16343490305</v>
      </c>
      <c r="M112" s="225">
        <f t="shared" si="15"/>
        <v>3878.1163434903051</v>
      </c>
      <c r="N112" s="226">
        <f t="shared" si="16"/>
        <v>4614.958448753463</v>
      </c>
      <c r="O112" s="34">
        <v>0.3</v>
      </c>
      <c r="P112" s="226">
        <f t="shared" si="17"/>
        <v>5999.4459833795017</v>
      </c>
      <c r="Q112" s="107" t="s">
        <v>1486</v>
      </c>
      <c r="R112" s="34">
        <v>0.39418181813594821</v>
      </c>
      <c r="S112" s="226">
        <f t="shared" si="19"/>
        <v>5499.9999995835633</v>
      </c>
      <c r="T112" s="156" t="s">
        <v>1486</v>
      </c>
      <c r="U112" s="2"/>
      <c r="V112" s="2" t="s">
        <v>47</v>
      </c>
      <c r="W112" s="2"/>
      <c r="X112" s="2"/>
      <c r="Y112" s="488" t="s">
        <v>1486</v>
      </c>
      <c r="Z112" s="293">
        <f t="shared" si="11"/>
        <v>1078.1163434903051</v>
      </c>
      <c r="AA112" s="293">
        <f t="shared" si="12"/>
        <v>1821.8487391458521</v>
      </c>
    </row>
    <row r="113" spans="1:27" s="320" customFormat="1" x14ac:dyDescent="0.25">
      <c r="A113" s="220" t="s">
        <v>2883</v>
      </c>
      <c r="B113" s="221" t="s">
        <v>3386</v>
      </c>
      <c r="C113" s="223" t="s">
        <v>2926</v>
      </c>
      <c r="D113" s="220" t="s">
        <v>3374</v>
      </c>
      <c r="E113" s="222">
        <v>5</v>
      </c>
      <c r="F113" s="192">
        <v>8250</v>
      </c>
      <c r="G113" s="24">
        <v>0.2</v>
      </c>
      <c r="H113" s="24">
        <v>0.05</v>
      </c>
      <c r="I113" s="24">
        <v>0.05</v>
      </c>
      <c r="J113" s="24">
        <v>0</v>
      </c>
      <c r="K113" s="224">
        <f t="shared" si="13"/>
        <v>0.27800000000000002</v>
      </c>
      <c r="L113" s="225">
        <f t="shared" si="14"/>
        <v>57132.96398891967</v>
      </c>
      <c r="M113" s="225">
        <f t="shared" si="15"/>
        <v>11426.592797783935</v>
      </c>
      <c r="N113" s="226">
        <f t="shared" si="16"/>
        <v>13597.645429362881</v>
      </c>
      <c r="O113" s="34">
        <v>0.3</v>
      </c>
      <c r="P113" s="226">
        <f t="shared" si="17"/>
        <v>17676.939058171745</v>
      </c>
      <c r="Q113" s="107" t="s">
        <v>1486</v>
      </c>
      <c r="R113" s="34">
        <v>0.32</v>
      </c>
      <c r="S113" s="226">
        <f t="shared" si="19"/>
        <v>14437.500000000002</v>
      </c>
      <c r="T113" s="156" t="s">
        <v>1486</v>
      </c>
      <c r="U113" s="2"/>
      <c r="V113" s="2" t="s">
        <v>47</v>
      </c>
      <c r="W113" s="2" t="s">
        <v>1467</v>
      </c>
      <c r="X113" s="2" t="s">
        <v>1467</v>
      </c>
      <c r="Y113" s="488" t="s">
        <v>1486</v>
      </c>
      <c r="Z113" s="293">
        <f t="shared" si="11"/>
        <v>3176.5927977839347</v>
      </c>
      <c r="AA113" s="293">
        <f t="shared" si="12"/>
        <v>3882.3529411764721</v>
      </c>
    </row>
    <row r="114" spans="1:27" s="320" customFormat="1" x14ac:dyDescent="0.25">
      <c r="A114" s="220" t="s">
        <v>2884</v>
      </c>
      <c r="B114" s="221" t="s">
        <v>2870</v>
      </c>
      <c r="C114" s="223" t="s">
        <v>2926</v>
      </c>
      <c r="D114" s="220" t="s">
        <v>3374</v>
      </c>
      <c r="E114" s="222">
        <v>15</v>
      </c>
      <c r="F114" s="192">
        <v>1390</v>
      </c>
      <c r="G114" s="24">
        <v>0.2</v>
      </c>
      <c r="H114" s="24">
        <v>0.05</v>
      </c>
      <c r="I114" s="24">
        <v>0.05</v>
      </c>
      <c r="J114" s="24">
        <v>0</v>
      </c>
      <c r="K114" s="224">
        <f t="shared" si="13"/>
        <v>0.27800000000000002</v>
      </c>
      <c r="L114" s="225">
        <f t="shared" si="14"/>
        <v>28878.116343490306</v>
      </c>
      <c r="M114" s="225">
        <f t="shared" si="15"/>
        <v>1925.2077562326872</v>
      </c>
      <c r="N114" s="226">
        <f t="shared" si="16"/>
        <v>2290.9972299168976</v>
      </c>
      <c r="O114" s="34">
        <v>0.3</v>
      </c>
      <c r="P114" s="226">
        <f t="shared" si="17"/>
        <v>2978.2963988919669</v>
      </c>
      <c r="Q114" s="107" t="s">
        <v>1486</v>
      </c>
      <c r="R114" s="34">
        <v>0.39</v>
      </c>
      <c r="S114" s="226">
        <f t="shared" si="19"/>
        <v>2711.6393442622948</v>
      </c>
      <c r="T114" s="156" t="s">
        <v>1486</v>
      </c>
      <c r="U114" s="2"/>
      <c r="V114" s="2" t="s">
        <v>47</v>
      </c>
      <c r="W114" s="2" t="s">
        <v>1467</v>
      </c>
      <c r="X114" s="2" t="s">
        <v>1467</v>
      </c>
      <c r="Y114" s="488" t="s">
        <v>1486</v>
      </c>
      <c r="Z114" s="293">
        <f t="shared" si="11"/>
        <v>535.20775623268719</v>
      </c>
      <c r="AA114" s="293">
        <f t="shared" si="12"/>
        <v>888.68852459016398</v>
      </c>
    </row>
    <row r="115" spans="1:27" s="320" customFormat="1" x14ac:dyDescent="0.25">
      <c r="A115" s="220" t="s">
        <v>3388</v>
      </c>
      <c r="B115" s="221" t="s">
        <v>2871</v>
      </c>
      <c r="C115" s="223" t="s">
        <v>2926</v>
      </c>
      <c r="D115" s="220" t="s">
        <v>3374</v>
      </c>
      <c r="E115" s="222">
        <v>15</v>
      </c>
      <c r="F115" s="192">
        <v>1490</v>
      </c>
      <c r="G115" s="24">
        <v>0.2</v>
      </c>
      <c r="H115" s="24">
        <v>0.05</v>
      </c>
      <c r="I115" s="24">
        <v>0.05</v>
      </c>
      <c r="J115" s="24">
        <v>0</v>
      </c>
      <c r="K115" s="224">
        <f t="shared" si="13"/>
        <v>0.27800000000000002</v>
      </c>
      <c r="L115" s="225">
        <f t="shared" si="14"/>
        <v>30955.67867036011</v>
      </c>
      <c r="M115" s="225">
        <f t="shared" si="15"/>
        <v>2063.7119113573408</v>
      </c>
      <c r="N115" s="226">
        <f t="shared" si="16"/>
        <v>2455.8171745152354</v>
      </c>
      <c r="O115" s="34">
        <v>0.3</v>
      </c>
      <c r="P115" s="226">
        <f t="shared" si="17"/>
        <v>3192.5623268698059</v>
      </c>
      <c r="Q115" s="107" t="s">
        <v>1486</v>
      </c>
      <c r="R115" s="34">
        <v>0.36</v>
      </c>
      <c r="S115" s="226">
        <f t="shared" si="19"/>
        <v>2770.46875</v>
      </c>
      <c r="T115" s="156" t="s">
        <v>1486</v>
      </c>
      <c r="U115" s="2"/>
      <c r="V115" s="2" t="s">
        <v>47</v>
      </c>
      <c r="W115" s="2" t="s">
        <v>1467</v>
      </c>
      <c r="X115" s="2" t="s">
        <v>1467</v>
      </c>
      <c r="Y115" s="488" t="s">
        <v>1486</v>
      </c>
      <c r="Z115" s="293">
        <f t="shared" si="11"/>
        <v>573.7119113573408</v>
      </c>
      <c r="AA115" s="293">
        <f t="shared" si="12"/>
        <v>838.125</v>
      </c>
    </row>
    <row r="116" spans="1:27" s="320" customFormat="1" x14ac:dyDescent="0.25">
      <c r="A116" s="220" t="s">
        <v>3389</v>
      </c>
      <c r="B116" s="221" t="s">
        <v>2930</v>
      </c>
      <c r="C116" s="223" t="s">
        <v>2926</v>
      </c>
      <c r="D116" s="220" t="s">
        <v>3374</v>
      </c>
      <c r="E116" s="222">
        <v>10</v>
      </c>
      <c r="F116" s="192">
        <v>1690</v>
      </c>
      <c r="G116" s="24">
        <v>0.2</v>
      </c>
      <c r="H116" s="24">
        <v>0.05</v>
      </c>
      <c r="I116" s="24">
        <v>0.05</v>
      </c>
      <c r="J116" s="24">
        <v>0</v>
      </c>
      <c r="K116" s="224">
        <f t="shared" si="13"/>
        <v>0.27800000000000014</v>
      </c>
      <c r="L116" s="225">
        <f t="shared" si="14"/>
        <v>23407.202216066486</v>
      </c>
      <c r="M116" s="225">
        <f t="shared" si="15"/>
        <v>2340.7202216066485</v>
      </c>
      <c r="N116" s="226">
        <f t="shared" si="16"/>
        <v>2785.4570637119114</v>
      </c>
      <c r="O116" s="34">
        <v>0.3</v>
      </c>
      <c r="P116" s="226">
        <f t="shared" si="17"/>
        <v>3621.0941828254849</v>
      </c>
      <c r="Q116" s="107" t="s">
        <v>1486</v>
      </c>
      <c r="R116" s="34">
        <v>0.41</v>
      </c>
      <c r="S116" s="226">
        <f t="shared" si="19"/>
        <v>3408.6440677966098</v>
      </c>
      <c r="T116" s="156" t="s">
        <v>1486</v>
      </c>
      <c r="U116" s="2"/>
      <c r="V116" s="2" t="s">
        <v>47</v>
      </c>
      <c r="W116" s="2" t="s">
        <v>1467</v>
      </c>
      <c r="X116" s="2" t="s">
        <v>1467</v>
      </c>
      <c r="Y116" s="488" t="s">
        <v>1486</v>
      </c>
      <c r="Z116" s="293">
        <f t="shared" si="11"/>
        <v>650.72022160664847</v>
      </c>
      <c r="AA116" s="293">
        <f t="shared" si="12"/>
        <v>1174.4067796610166</v>
      </c>
    </row>
    <row r="117" spans="1:27" s="320" customFormat="1" x14ac:dyDescent="0.25">
      <c r="A117" s="220" t="s">
        <v>2876</v>
      </c>
      <c r="B117" s="221" t="s">
        <v>3380</v>
      </c>
      <c r="C117" s="223" t="s">
        <v>2926</v>
      </c>
      <c r="D117" s="220" t="s">
        <v>2872</v>
      </c>
      <c r="E117" s="222">
        <v>10</v>
      </c>
      <c r="F117" s="192">
        <v>2800</v>
      </c>
      <c r="G117" s="24">
        <v>0.2</v>
      </c>
      <c r="H117" s="24">
        <v>0.05</v>
      </c>
      <c r="I117" s="24">
        <v>0.05</v>
      </c>
      <c r="J117" s="24">
        <v>0</v>
      </c>
      <c r="K117" s="224">
        <f t="shared" si="13"/>
        <v>0.27800000000000002</v>
      </c>
      <c r="L117" s="225">
        <f t="shared" si="14"/>
        <v>38781.16343490305</v>
      </c>
      <c r="M117" s="225">
        <f t="shared" si="15"/>
        <v>3878.1163434903051</v>
      </c>
      <c r="N117" s="226">
        <f t="shared" si="16"/>
        <v>4614.958448753463</v>
      </c>
      <c r="O117" s="34">
        <v>0.3</v>
      </c>
      <c r="P117" s="226">
        <f t="shared" si="17"/>
        <v>5999.4459833795017</v>
      </c>
      <c r="Q117" s="107" t="s">
        <v>1486</v>
      </c>
      <c r="R117" s="34">
        <v>0.39418181813594821</v>
      </c>
      <c r="S117" s="226">
        <f t="shared" si="19"/>
        <v>5499.9999995835633</v>
      </c>
      <c r="T117" s="156" t="s">
        <v>1486</v>
      </c>
      <c r="U117" s="2"/>
      <c r="V117" s="2" t="s">
        <v>47</v>
      </c>
      <c r="W117" s="2"/>
      <c r="X117" s="2"/>
      <c r="Y117" s="488" t="s">
        <v>1486</v>
      </c>
      <c r="Z117" s="293">
        <f t="shared" si="11"/>
        <v>1078.1163434903051</v>
      </c>
      <c r="AA117" s="293">
        <f t="shared" si="12"/>
        <v>1821.8487391458521</v>
      </c>
    </row>
    <row r="118" spans="1:27" s="320" customFormat="1" x14ac:dyDescent="0.25">
      <c r="A118" s="220" t="s">
        <v>2878</v>
      </c>
      <c r="B118" s="221" t="s">
        <v>3381</v>
      </c>
      <c r="C118" s="223" t="s">
        <v>2926</v>
      </c>
      <c r="D118" s="220" t="s">
        <v>2872</v>
      </c>
      <c r="E118" s="222">
        <v>20</v>
      </c>
      <c r="F118" s="192">
        <v>930</v>
      </c>
      <c r="G118" s="24">
        <v>0.2</v>
      </c>
      <c r="H118" s="24">
        <v>0.05</v>
      </c>
      <c r="I118" s="24">
        <v>0.05</v>
      </c>
      <c r="J118" s="24">
        <v>0</v>
      </c>
      <c r="K118" s="224">
        <f t="shared" si="13"/>
        <v>0.27800000000000002</v>
      </c>
      <c r="L118" s="225">
        <f t="shared" si="14"/>
        <v>25761.772853185597</v>
      </c>
      <c r="M118" s="225">
        <f t="shared" si="15"/>
        <v>1288.0886426592799</v>
      </c>
      <c r="N118" s="226">
        <f t="shared" si="16"/>
        <v>1532.825484764543</v>
      </c>
      <c r="O118" s="34">
        <v>0.3</v>
      </c>
      <c r="P118" s="226">
        <f t="shared" si="17"/>
        <v>1992.673130193906</v>
      </c>
      <c r="Q118" s="107" t="s">
        <v>1486</v>
      </c>
      <c r="R118" s="34">
        <v>0.46450001395989043</v>
      </c>
      <c r="S118" s="226">
        <f t="shared" si="19"/>
        <v>2066.6667205423737</v>
      </c>
      <c r="T118" s="156" t="s">
        <v>1486</v>
      </c>
      <c r="U118" s="2"/>
      <c r="V118" s="2" t="s">
        <v>47</v>
      </c>
      <c r="W118" s="2"/>
      <c r="X118" s="2"/>
      <c r="Y118" s="488" t="s">
        <v>1486</v>
      </c>
      <c r="Z118" s="293">
        <f t="shared" si="11"/>
        <v>358.08864265927991</v>
      </c>
      <c r="AA118" s="293">
        <f t="shared" si="12"/>
        <v>806.69472314485188</v>
      </c>
    </row>
    <row r="119" spans="1:27" s="320" customFormat="1" x14ac:dyDescent="0.25">
      <c r="A119" s="220" t="s">
        <v>2875</v>
      </c>
      <c r="B119" s="221" t="s">
        <v>3382</v>
      </c>
      <c r="C119" s="223" t="s">
        <v>2926</v>
      </c>
      <c r="D119" s="220" t="s">
        <v>2872</v>
      </c>
      <c r="E119" s="222">
        <v>20</v>
      </c>
      <c r="F119" s="192">
        <v>930</v>
      </c>
      <c r="G119" s="24">
        <v>0.2</v>
      </c>
      <c r="H119" s="24">
        <v>0.05</v>
      </c>
      <c r="I119" s="24">
        <v>0.05</v>
      </c>
      <c r="J119" s="24">
        <v>0</v>
      </c>
      <c r="K119" s="224">
        <f t="shared" si="13"/>
        <v>0.27800000000000002</v>
      </c>
      <c r="L119" s="225">
        <f t="shared" si="14"/>
        <v>25761.772853185597</v>
      </c>
      <c r="M119" s="225">
        <f t="shared" si="15"/>
        <v>1288.0886426592799</v>
      </c>
      <c r="N119" s="226">
        <f t="shared" si="16"/>
        <v>1532.825484764543</v>
      </c>
      <c r="O119" s="34">
        <v>0.3</v>
      </c>
      <c r="P119" s="226">
        <f t="shared" si="17"/>
        <v>1992.673130193906</v>
      </c>
      <c r="Q119" s="107" t="s">
        <v>1486</v>
      </c>
      <c r="R119" s="34">
        <v>0.46450001395989043</v>
      </c>
      <c r="S119" s="226">
        <f t="shared" si="19"/>
        <v>2066.6667205423737</v>
      </c>
      <c r="T119" s="156" t="s">
        <v>1486</v>
      </c>
      <c r="U119" s="2"/>
      <c r="V119" s="2" t="s">
        <v>47</v>
      </c>
      <c r="W119" s="2"/>
      <c r="X119" s="2"/>
      <c r="Y119" s="488" t="s">
        <v>1486</v>
      </c>
      <c r="Z119" s="293">
        <f t="shared" si="11"/>
        <v>358.08864265927991</v>
      </c>
      <c r="AA119" s="293">
        <f t="shared" si="12"/>
        <v>806.69472314485188</v>
      </c>
    </row>
    <row r="120" spans="1:27" s="320" customFormat="1" x14ac:dyDescent="0.25">
      <c r="A120" s="220" t="s">
        <v>2877</v>
      </c>
      <c r="B120" s="221" t="s">
        <v>3383</v>
      </c>
      <c r="C120" s="223" t="s">
        <v>2926</v>
      </c>
      <c r="D120" s="220" t="s">
        <v>2872</v>
      </c>
      <c r="E120" s="222">
        <v>20</v>
      </c>
      <c r="F120" s="192">
        <v>1080</v>
      </c>
      <c r="G120" s="24">
        <v>0.2</v>
      </c>
      <c r="H120" s="24">
        <v>0.05</v>
      </c>
      <c r="I120" s="24">
        <v>0.05</v>
      </c>
      <c r="J120" s="24">
        <v>0</v>
      </c>
      <c r="K120" s="224">
        <f t="shared" si="13"/>
        <v>0.27800000000000002</v>
      </c>
      <c r="L120" s="225">
        <f t="shared" si="14"/>
        <v>29916.897506925212</v>
      </c>
      <c r="M120" s="225">
        <f t="shared" si="15"/>
        <v>1495.8448753462606</v>
      </c>
      <c r="N120" s="226">
        <f t="shared" si="16"/>
        <v>1780.0554016620499</v>
      </c>
      <c r="O120" s="34">
        <v>0.3</v>
      </c>
      <c r="P120" s="226">
        <f t="shared" si="17"/>
        <v>2314.0720221606648</v>
      </c>
      <c r="Q120" s="107" t="s">
        <v>1486</v>
      </c>
      <c r="R120" s="34">
        <v>0.50019999994566744</v>
      </c>
      <c r="S120" s="226">
        <f t="shared" si="19"/>
        <v>2571.4285711490347</v>
      </c>
      <c r="T120" s="156" t="s">
        <v>1486</v>
      </c>
      <c r="U120" s="2"/>
      <c r="V120" s="2" t="s">
        <v>47</v>
      </c>
      <c r="W120" s="2"/>
      <c r="X120" s="2"/>
      <c r="Y120" s="488" t="s">
        <v>1486</v>
      </c>
      <c r="Z120" s="293">
        <f t="shared" si="11"/>
        <v>415.84487534626055</v>
      </c>
      <c r="AA120" s="293">
        <f t="shared" si="12"/>
        <v>1080.8643455033907</v>
      </c>
    </row>
    <row r="121" spans="1:27" s="320" customFormat="1" x14ac:dyDescent="0.25">
      <c r="A121" s="220" t="s">
        <v>2879</v>
      </c>
      <c r="B121" s="221" t="s">
        <v>3384</v>
      </c>
      <c r="C121" s="223" t="s">
        <v>2926</v>
      </c>
      <c r="D121" s="220" t="s">
        <v>2872</v>
      </c>
      <c r="E121" s="222">
        <v>20</v>
      </c>
      <c r="F121" s="192">
        <v>1440</v>
      </c>
      <c r="G121" s="24">
        <v>0.2</v>
      </c>
      <c r="H121" s="24">
        <v>0.05</v>
      </c>
      <c r="I121" s="24">
        <v>0.05</v>
      </c>
      <c r="J121" s="24">
        <v>0</v>
      </c>
      <c r="K121" s="224">
        <f t="shared" si="13"/>
        <v>0.27800000000000014</v>
      </c>
      <c r="L121" s="225">
        <f t="shared" si="14"/>
        <v>39889.196675900283</v>
      </c>
      <c r="M121" s="225">
        <f t="shared" si="15"/>
        <v>1994.4598337950142</v>
      </c>
      <c r="N121" s="226">
        <f t="shared" si="16"/>
        <v>2373.4072022160667</v>
      </c>
      <c r="O121" s="34">
        <v>0.3</v>
      </c>
      <c r="P121" s="226">
        <f t="shared" si="17"/>
        <v>3085.4293628808869</v>
      </c>
      <c r="Q121" s="107" t="s">
        <v>1486</v>
      </c>
      <c r="R121" s="34">
        <v>0.42880000260611922</v>
      </c>
      <c r="S121" s="226">
        <f t="shared" si="19"/>
        <v>3000.0000136876006</v>
      </c>
      <c r="T121" s="156" t="s">
        <v>1486</v>
      </c>
      <c r="U121" s="2"/>
      <c r="V121" s="2" t="s">
        <v>47</v>
      </c>
      <c r="W121" s="2"/>
      <c r="X121" s="2"/>
      <c r="Y121" s="488" t="s">
        <v>1486</v>
      </c>
      <c r="Z121" s="293">
        <f t="shared" si="11"/>
        <v>554.45983379501422</v>
      </c>
      <c r="AA121" s="293">
        <f t="shared" si="12"/>
        <v>1081.0084148635301</v>
      </c>
    </row>
    <row r="122" spans="1:27" s="320" customFormat="1" x14ac:dyDescent="0.25">
      <c r="A122" s="220" t="s">
        <v>2880</v>
      </c>
      <c r="B122" s="221" t="s">
        <v>2869</v>
      </c>
      <c r="C122" s="223" t="s">
        <v>2926</v>
      </c>
      <c r="D122" s="220" t="s">
        <v>3374</v>
      </c>
      <c r="E122" s="222">
        <v>10</v>
      </c>
      <c r="F122" s="192">
        <v>5790</v>
      </c>
      <c r="G122" s="24">
        <v>0.2</v>
      </c>
      <c r="H122" s="24">
        <v>0.05</v>
      </c>
      <c r="I122" s="24">
        <v>0.05</v>
      </c>
      <c r="J122" s="24">
        <v>0</v>
      </c>
      <c r="K122" s="224">
        <f t="shared" si="13"/>
        <v>0.27800000000000002</v>
      </c>
      <c r="L122" s="225">
        <f t="shared" si="14"/>
        <v>80193.905817174513</v>
      </c>
      <c r="M122" s="225">
        <f t="shared" si="15"/>
        <v>8019.3905817174518</v>
      </c>
      <c r="N122" s="226">
        <f t="shared" si="16"/>
        <v>9543.0747922437677</v>
      </c>
      <c r="O122" s="34">
        <v>0.3</v>
      </c>
      <c r="P122" s="226">
        <f t="shared" si="17"/>
        <v>12405.997229916899</v>
      </c>
      <c r="Q122" s="107" t="s">
        <v>1486</v>
      </c>
      <c r="R122" s="34">
        <v>0.33</v>
      </c>
      <c r="S122" s="226">
        <f t="shared" si="19"/>
        <v>10283.731343283584</v>
      </c>
      <c r="T122" s="156" t="s">
        <v>1486</v>
      </c>
      <c r="U122" s="2"/>
      <c r="V122" s="2" t="s">
        <v>47</v>
      </c>
      <c r="W122" s="2" t="s">
        <v>1467</v>
      </c>
      <c r="X122" s="2" t="s">
        <v>1467</v>
      </c>
      <c r="Y122" s="488" t="s">
        <v>1486</v>
      </c>
      <c r="Z122" s="293">
        <f t="shared" si="11"/>
        <v>2229.3905817174518</v>
      </c>
      <c r="AA122" s="293">
        <f t="shared" si="12"/>
        <v>2851.7910447761205</v>
      </c>
    </row>
    <row r="123" spans="1:27" s="320" customFormat="1" x14ac:dyDescent="0.25">
      <c r="A123" s="220" t="s">
        <v>2881</v>
      </c>
      <c r="B123" s="221" t="s">
        <v>3387</v>
      </c>
      <c r="C123" s="223" t="s">
        <v>2926</v>
      </c>
      <c r="D123" s="220" t="s">
        <v>2872</v>
      </c>
      <c r="E123" s="222">
        <v>10</v>
      </c>
      <c r="F123" s="192">
        <v>3500</v>
      </c>
      <c r="G123" s="24">
        <v>0.2</v>
      </c>
      <c r="H123" s="24">
        <v>0.05</v>
      </c>
      <c r="I123" s="24">
        <v>0.05</v>
      </c>
      <c r="J123" s="24">
        <v>0</v>
      </c>
      <c r="K123" s="224">
        <f t="shared" si="13"/>
        <v>0.27800000000000002</v>
      </c>
      <c r="L123" s="225">
        <f t="shared" si="14"/>
        <v>48476.454293628813</v>
      </c>
      <c r="M123" s="225">
        <f t="shared" si="15"/>
        <v>4847.6454293628813</v>
      </c>
      <c r="N123" s="226">
        <f t="shared" si="16"/>
        <v>5768.6980609418288</v>
      </c>
      <c r="O123" s="34">
        <v>0.3</v>
      </c>
      <c r="P123" s="226">
        <f t="shared" si="17"/>
        <v>7499.3074792243779</v>
      </c>
      <c r="Q123" s="107" t="s">
        <v>1486</v>
      </c>
      <c r="R123" s="34">
        <v>0.35923076928055053</v>
      </c>
      <c r="S123" s="226">
        <f t="shared" si="19"/>
        <v>6500.0000005049842</v>
      </c>
      <c r="T123" s="156" t="s">
        <v>1486</v>
      </c>
      <c r="U123" s="2"/>
      <c r="V123" s="2" t="s">
        <v>47</v>
      </c>
      <c r="W123" s="2"/>
      <c r="X123" s="2"/>
      <c r="Y123" s="488" t="s">
        <v>1486</v>
      </c>
      <c r="Z123" s="293">
        <f t="shared" si="11"/>
        <v>1347.6454293628813</v>
      </c>
      <c r="AA123" s="293">
        <f t="shared" si="12"/>
        <v>1962.1848743739365</v>
      </c>
    </row>
    <row r="124" spans="1:27" s="320" customFormat="1" x14ac:dyDescent="0.25">
      <c r="A124" s="220" t="s">
        <v>2882</v>
      </c>
      <c r="B124" s="221" t="s">
        <v>3385</v>
      </c>
      <c r="C124" s="223" t="s">
        <v>2926</v>
      </c>
      <c r="D124" s="220" t="s">
        <v>3374</v>
      </c>
      <c r="E124" s="222">
        <v>10</v>
      </c>
      <c r="F124" s="192">
        <v>7750</v>
      </c>
      <c r="G124" s="24">
        <v>0.2</v>
      </c>
      <c r="H124" s="24">
        <v>0.05</v>
      </c>
      <c r="I124" s="24">
        <v>0.05</v>
      </c>
      <c r="J124" s="24">
        <v>0</v>
      </c>
      <c r="K124" s="224">
        <f t="shared" si="13"/>
        <v>0.27800000000000014</v>
      </c>
      <c r="L124" s="225">
        <f t="shared" si="14"/>
        <v>107340.72022160667</v>
      </c>
      <c r="M124" s="225">
        <f t="shared" si="15"/>
        <v>10734.072022160666</v>
      </c>
      <c r="N124" s="226">
        <f t="shared" si="16"/>
        <v>12773.545706371193</v>
      </c>
      <c r="O124" s="34">
        <v>0.3</v>
      </c>
      <c r="P124" s="226">
        <f t="shared" si="17"/>
        <v>16605.609418282551</v>
      </c>
      <c r="Q124" s="107" t="s">
        <v>1486</v>
      </c>
      <c r="R124" s="34">
        <v>0.34125000002596012</v>
      </c>
      <c r="S124" s="226">
        <f t="shared" si="19"/>
        <v>14000.000000551716</v>
      </c>
      <c r="T124" s="156" t="s">
        <v>1486</v>
      </c>
      <c r="U124" s="2"/>
      <c r="V124" s="2" t="s">
        <v>47</v>
      </c>
      <c r="W124" s="2"/>
      <c r="X124" s="2"/>
      <c r="Y124" s="488" t="s">
        <v>1486</v>
      </c>
      <c r="Z124" s="293">
        <f t="shared" si="11"/>
        <v>2984.0720221606662</v>
      </c>
      <c r="AA124" s="293">
        <f t="shared" si="12"/>
        <v>4014.7058828165682</v>
      </c>
    </row>
    <row r="125" spans="1:27" s="320" customFormat="1" x14ac:dyDescent="0.25">
      <c r="A125" s="220" t="s">
        <v>1758</v>
      </c>
      <c r="B125" s="221" t="s">
        <v>45</v>
      </c>
      <c r="C125" s="223" t="s">
        <v>1486</v>
      </c>
      <c r="D125" s="220" t="s">
        <v>46</v>
      </c>
      <c r="E125" s="222"/>
      <c r="F125" s="192">
        <v>0</v>
      </c>
      <c r="G125" s="24">
        <v>0.2</v>
      </c>
      <c r="H125" s="24">
        <v>0.05</v>
      </c>
      <c r="I125" s="24">
        <v>0.05</v>
      </c>
      <c r="J125" s="24">
        <v>0</v>
      </c>
      <c r="K125" s="224">
        <f t="shared" si="13"/>
        <v>0</v>
      </c>
      <c r="L125" s="225">
        <f t="shared" si="14"/>
        <v>0</v>
      </c>
      <c r="M125" s="225">
        <f t="shared" si="15"/>
        <v>0</v>
      </c>
      <c r="N125" s="226">
        <f t="shared" si="16"/>
        <v>0</v>
      </c>
      <c r="O125" s="34">
        <v>0.3</v>
      </c>
      <c r="P125" s="226">
        <f t="shared" si="17"/>
        <v>0</v>
      </c>
      <c r="Q125" s="107" t="s">
        <v>1486</v>
      </c>
      <c r="R125" s="34">
        <v>0.3</v>
      </c>
      <c r="S125" s="226">
        <f t="shared" si="19"/>
        <v>0</v>
      </c>
      <c r="T125" s="156" t="s">
        <v>1486</v>
      </c>
      <c r="U125" s="2"/>
      <c r="V125" s="2" t="s">
        <v>47</v>
      </c>
      <c r="W125" s="2"/>
      <c r="X125" s="2"/>
      <c r="Y125" s="488" t="s">
        <v>1486</v>
      </c>
      <c r="Z125" s="293">
        <f t="shared" si="11"/>
        <v>0</v>
      </c>
      <c r="AA125" s="293">
        <f t="shared" si="12"/>
        <v>0</v>
      </c>
    </row>
    <row r="126" spans="1:27" s="320" customFormat="1" x14ac:dyDescent="0.25">
      <c r="A126" s="220" t="s">
        <v>1759</v>
      </c>
      <c r="B126" s="221" t="s">
        <v>52</v>
      </c>
      <c r="C126" s="223" t="s">
        <v>1486</v>
      </c>
      <c r="D126" s="220" t="s">
        <v>46</v>
      </c>
      <c r="E126" s="222"/>
      <c r="F126" s="192">
        <v>0</v>
      </c>
      <c r="G126" s="24">
        <v>0.2</v>
      </c>
      <c r="H126" s="24">
        <v>0.05</v>
      </c>
      <c r="I126" s="24">
        <v>0.05</v>
      </c>
      <c r="J126" s="24">
        <v>0</v>
      </c>
      <c r="K126" s="224">
        <f t="shared" si="13"/>
        <v>0</v>
      </c>
      <c r="L126" s="225">
        <f t="shared" si="14"/>
        <v>0</v>
      </c>
      <c r="M126" s="225">
        <f t="shared" si="15"/>
        <v>0</v>
      </c>
      <c r="N126" s="226">
        <f t="shared" si="16"/>
        <v>0</v>
      </c>
      <c r="O126" s="34">
        <v>0.3</v>
      </c>
      <c r="P126" s="226">
        <f t="shared" si="17"/>
        <v>0</v>
      </c>
      <c r="Q126" s="107" t="s">
        <v>1486</v>
      </c>
      <c r="R126" s="34">
        <v>0.3</v>
      </c>
      <c r="S126" s="226">
        <f t="shared" si="19"/>
        <v>0</v>
      </c>
      <c r="T126" s="156" t="s">
        <v>1486</v>
      </c>
      <c r="U126" s="2"/>
      <c r="V126" s="2" t="s">
        <v>47</v>
      </c>
      <c r="W126" s="2"/>
      <c r="X126" s="2"/>
      <c r="Y126" s="488" t="s">
        <v>1486</v>
      </c>
      <c r="Z126" s="293">
        <f t="shared" si="11"/>
        <v>0</v>
      </c>
      <c r="AA126" s="293">
        <f t="shared" si="12"/>
        <v>0</v>
      </c>
    </row>
    <row r="127" spans="1:27" s="320" customFormat="1" x14ac:dyDescent="0.25">
      <c r="A127" s="220" t="s">
        <v>1760</v>
      </c>
      <c r="B127" s="221" t="s">
        <v>54</v>
      </c>
      <c r="C127" s="223" t="s">
        <v>1486</v>
      </c>
      <c r="D127" s="220" t="s">
        <v>46</v>
      </c>
      <c r="E127" s="222"/>
      <c r="F127" s="192">
        <v>0</v>
      </c>
      <c r="G127" s="24">
        <v>0.2</v>
      </c>
      <c r="H127" s="24">
        <v>0.05</v>
      </c>
      <c r="I127" s="24">
        <v>0.05</v>
      </c>
      <c r="J127" s="24">
        <v>0</v>
      </c>
      <c r="K127" s="224">
        <f t="shared" si="13"/>
        <v>0</v>
      </c>
      <c r="L127" s="225">
        <f t="shared" si="14"/>
        <v>0</v>
      </c>
      <c r="M127" s="225">
        <f t="shared" si="15"/>
        <v>0</v>
      </c>
      <c r="N127" s="226">
        <f t="shared" si="16"/>
        <v>0</v>
      </c>
      <c r="O127" s="34">
        <v>0.3</v>
      </c>
      <c r="P127" s="226">
        <f t="shared" si="17"/>
        <v>0</v>
      </c>
      <c r="Q127" s="107" t="s">
        <v>1486</v>
      </c>
      <c r="R127" s="34">
        <v>0.3</v>
      </c>
      <c r="S127" s="226">
        <f t="shared" si="19"/>
        <v>0</v>
      </c>
      <c r="T127" s="156" t="s">
        <v>1486</v>
      </c>
      <c r="U127" s="2"/>
      <c r="V127" s="2" t="s">
        <v>47</v>
      </c>
      <c r="W127" s="2"/>
      <c r="X127" s="2"/>
      <c r="Y127" s="488" t="s">
        <v>1486</v>
      </c>
      <c r="Z127" s="293">
        <f t="shared" si="11"/>
        <v>0</v>
      </c>
      <c r="AA127" s="293">
        <f t="shared" si="12"/>
        <v>0</v>
      </c>
    </row>
    <row r="128" spans="1:27" s="320" customFormat="1" x14ac:dyDescent="0.25">
      <c r="A128" s="220" t="s">
        <v>1761</v>
      </c>
      <c r="B128" s="221" t="s">
        <v>56</v>
      </c>
      <c r="C128" s="223" t="s">
        <v>1486</v>
      </c>
      <c r="D128" s="220" t="s">
        <v>46</v>
      </c>
      <c r="E128" s="222"/>
      <c r="F128" s="192">
        <v>0</v>
      </c>
      <c r="G128" s="24">
        <v>0.2</v>
      </c>
      <c r="H128" s="24">
        <v>0.05</v>
      </c>
      <c r="I128" s="24">
        <v>0.05</v>
      </c>
      <c r="J128" s="24">
        <v>0</v>
      </c>
      <c r="K128" s="224">
        <f t="shared" si="13"/>
        <v>0</v>
      </c>
      <c r="L128" s="225">
        <f t="shared" si="14"/>
        <v>0</v>
      </c>
      <c r="M128" s="225">
        <f t="shared" si="15"/>
        <v>0</v>
      </c>
      <c r="N128" s="226">
        <f t="shared" si="16"/>
        <v>0</v>
      </c>
      <c r="O128" s="34">
        <v>0.3</v>
      </c>
      <c r="P128" s="226">
        <f t="shared" si="17"/>
        <v>0</v>
      </c>
      <c r="Q128" s="107" t="s">
        <v>1486</v>
      </c>
      <c r="R128" s="34">
        <v>0.3</v>
      </c>
      <c r="S128" s="226">
        <f t="shared" si="19"/>
        <v>0</v>
      </c>
      <c r="T128" s="156" t="s">
        <v>1486</v>
      </c>
      <c r="U128" s="2"/>
      <c r="V128" s="2" t="s">
        <v>47</v>
      </c>
      <c r="W128" s="2"/>
      <c r="X128" s="2"/>
      <c r="Y128" s="488" t="s">
        <v>1486</v>
      </c>
      <c r="Z128" s="293">
        <f t="shared" ref="Z128:Z191" si="20">+M128-F128</f>
        <v>0</v>
      </c>
      <c r="AA128" s="293">
        <f t="shared" ref="AA128:AA191" si="21">+(S128/1.19)-F128</f>
        <v>0</v>
      </c>
    </row>
    <row r="129" spans="1:27" s="320" customFormat="1" x14ac:dyDescent="0.25">
      <c r="A129" s="220" t="s">
        <v>1762</v>
      </c>
      <c r="B129" s="221" t="s">
        <v>58</v>
      </c>
      <c r="C129" s="223" t="s">
        <v>1486</v>
      </c>
      <c r="D129" s="220" t="s">
        <v>46</v>
      </c>
      <c r="E129" s="222"/>
      <c r="F129" s="192">
        <v>0</v>
      </c>
      <c r="G129" s="24">
        <v>0.2</v>
      </c>
      <c r="H129" s="24">
        <v>0.05</v>
      </c>
      <c r="I129" s="24">
        <v>0.05</v>
      </c>
      <c r="J129" s="24">
        <v>0</v>
      </c>
      <c r="K129" s="224">
        <f t="shared" si="13"/>
        <v>0</v>
      </c>
      <c r="L129" s="225">
        <f t="shared" si="14"/>
        <v>0</v>
      </c>
      <c r="M129" s="225">
        <f t="shared" si="15"/>
        <v>0</v>
      </c>
      <c r="N129" s="226">
        <f t="shared" si="16"/>
        <v>0</v>
      </c>
      <c r="O129" s="34">
        <v>0.3</v>
      </c>
      <c r="P129" s="226">
        <f t="shared" si="17"/>
        <v>0</v>
      </c>
      <c r="Q129" s="107" t="s">
        <v>1486</v>
      </c>
      <c r="R129" s="34">
        <v>0.3</v>
      </c>
      <c r="S129" s="226">
        <f t="shared" si="19"/>
        <v>0</v>
      </c>
      <c r="T129" s="156" t="s">
        <v>1486</v>
      </c>
      <c r="U129" s="2"/>
      <c r="V129" s="2" t="s">
        <v>47</v>
      </c>
      <c r="W129" s="2"/>
      <c r="X129" s="2"/>
      <c r="Y129" s="488" t="s">
        <v>1486</v>
      </c>
      <c r="Z129" s="293">
        <f t="shared" si="20"/>
        <v>0</v>
      </c>
      <c r="AA129" s="293">
        <f t="shared" si="21"/>
        <v>0</v>
      </c>
    </row>
    <row r="130" spans="1:27" s="320" customFormat="1" x14ac:dyDescent="0.25">
      <c r="A130" s="220" t="s">
        <v>1763</v>
      </c>
      <c r="B130" s="221" t="s">
        <v>60</v>
      </c>
      <c r="C130" s="223" t="s">
        <v>1486</v>
      </c>
      <c r="D130" s="220" t="s">
        <v>46</v>
      </c>
      <c r="E130" s="222"/>
      <c r="F130" s="192">
        <v>0</v>
      </c>
      <c r="G130" s="24">
        <v>0.2</v>
      </c>
      <c r="H130" s="24">
        <v>0.05</v>
      </c>
      <c r="I130" s="24">
        <v>0.05</v>
      </c>
      <c r="J130" s="24">
        <v>0</v>
      </c>
      <c r="K130" s="224">
        <f t="shared" si="13"/>
        <v>0</v>
      </c>
      <c r="L130" s="225">
        <f t="shared" si="14"/>
        <v>0</v>
      </c>
      <c r="M130" s="225">
        <f t="shared" si="15"/>
        <v>0</v>
      </c>
      <c r="N130" s="226">
        <f t="shared" si="16"/>
        <v>0</v>
      </c>
      <c r="O130" s="34">
        <v>0.3</v>
      </c>
      <c r="P130" s="226">
        <f t="shared" si="17"/>
        <v>0</v>
      </c>
      <c r="Q130" s="107" t="s">
        <v>1486</v>
      </c>
      <c r="R130" s="34">
        <v>0.3</v>
      </c>
      <c r="S130" s="226">
        <f t="shared" si="19"/>
        <v>0</v>
      </c>
      <c r="T130" s="156" t="s">
        <v>1486</v>
      </c>
      <c r="U130" s="2"/>
      <c r="V130" s="2" t="s">
        <v>47</v>
      </c>
      <c r="W130" s="2"/>
      <c r="X130" s="2"/>
      <c r="Y130" s="488" t="s">
        <v>1486</v>
      </c>
      <c r="Z130" s="293">
        <f t="shared" si="20"/>
        <v>0</v>
      </c>
      <c r="AA130" s="293">
        <f t="shared" si="21"/>
        <v>0</v>
      </c>
    </row>
    <row r="131" spans="1:27" s="320" customFormat="1" x14ac:dyDescent="0.25">
      <c r="A131" s="220" t="s">
        <v>1764</v>
      </c>
      <c r="B131" s="221" t="s">
        <v>62</v>
      </c>
      <c r="C131" s="223" t="s">
        <v>1486</v>
      </c>
      <c r="D131" s="220" t="s">
        <v>46</v>
      </c>
      <c r="E131" s="222"/>
      <c r="F131" s="192">
        <v>0</v>
      </c>
      <c r="G131" s="24">
        <v>0.2</v>
      </c>
      <c r="H131" s="24">
        <v>0.05</v>
      </c>
      <c r="I131" s="24">
        <v>0.05</v>
      </c>
      <c r="J131" s="24">
        <v>0</v>
      </c>
      <c r="K131" s="224">
        <f t="shared" ref="K131:K194" si="22">IF(F131=0,0,1-(F131/M131))</f>
        <v>0</v>
      </c>
      <c r="L131" s="225">
        <f t="shared" ref="L131:L194" si="23">+M131*E131</f>
        <v>0</v>
      </c>
      <c r="M131" s="225">
        <f t="shared" ref="M131:M194" si="24">+F131/(1-G131)/(1-H131)/(1-I131)/(1-J131)</f>
        <v>0</v>
      </c>
      <c r="N131" s="226">
        <f t="shared" ref="N131:N194" si="25">+M131*1.19</f>
        <v>0</v>
      </c>
      <c r="O131" s="34">
        <v>0.3</v>
      </c>
      <c r="P131" s="226">
        <f t="shared" ref="P131:P194" si="26">+N131*(1+O131)</f>
        <v>0</v>
      </c>
      <c r="Q131" s="107" t="s">
        <v>1486</v>
      </c>
      <c r="R131" s="34">
        <v>0.3</v>
      </c>
      <c r="S131" s="226">
        <f t="shared" si="19"/>
        <v>0</v>
      </c>
      <c r="T131" s="156" t="s">
        <v>1486</v>
      </c>
      <c r="U131" s="2"/>
      <c r="V131" s="2" t="s">
        <v>47</v>
      </c>
      <c r="W131" s="2"/>
      <c r="X131" s="2"/>
      <c r="Y131" s="488" t="s">
        <v>1486</v>
      </c>
      <c r="Z131" s="293">
        <f t="shared" si="20"/>
        <v>0</v>
      </c>
      <c r="AA131" s="293">
        <f t="shared" si="21"/>
        <v>0</v>
      </c>
    </row>
    <row r="132" spans="1:27" s="320" customFormat="1" x14ac:dyDescent="0.25">
      <c r="A132" s="220" t="s">
        <v>1765</v>
      </c>
      <c r="B132" s="221" t="s">
        <v>64</v>
      </c>
      <c r="C132" s="223" t="s">
        <v>1486</v>
      </c>
      <c r="D132" s="220" t="s">
        <v>46</v>
      </c>
      <c r="E132" s="222"/>
      <c r="F132" s="192">
        <v>0</v>
      </c>
      <c r="G132" s="24">
        <v>0.2</v>
      </c>
      <c r="H132" s="24">
        <v>0.05</v>
      </c>
      <c r="I132" s="24">
        <v>0.05</v>
      </c>
      <c r="J132" s="24">
        <v>0</v>
      </c>
      <c r="K132" s="224">
        <f t="shared" si="22"/>
        <v>0</v>
      </c>
      <c r="L132" s="225">
        <f t="shared" si="23"/>
        <v>0</v>
      </c>
      <c r="M132" s="225">
        <f t="shared" si="24"/>
        <v>0</v>
      </c>
      <c r="N132" s="226">
        <f t="shared" si="25"/>
        <v>0</v>
      </c>
      <c r="O132" s="34">
        <v>0.3</v>
      </c>
      <c r="P132" s="226">
        <f t="shared" si="26"/>
        <v>0</v>
      </c>
      <c r="Q132" s="107" t="s">
        <v>1486</v>
      </c>
      <c r="R132" s="34">
        <v>0.3</v>
      </c>
      <c r="S132" s="226">
        <f t="shared" si="19"/>
        <v>0</v>
      </c>
      <c r="T132" s="156" t="s">
        <v>1486</v>
      </c>
      <c r="U132" s="2"/>
      <c r="V132" s="2" t="s">
        <v>47</v>
      </c>
      <c r="W132" s="2"/>
      <c r="X132" s="2"/>
      <c r="Y132" s="488" t="s">
        <v>1486</v>
      </c>
      <c r="Z132" s="293">
        <f t="shared" si="20"/>
        <v>0</v>
      </c>
      <c r="AA132" s="293">
        <f t="shared" si="21"/>
        <v>0</v>
      </c>
    </row>
    <row r="133" spans="1:27" s="320" customFormat="1" x14ac:dyDescent="0.25">
      <c r="A133" s="220" t="s">
        <v>1766</v>
      </c>
      <c r="B133" s="221" t="s">
        <v>66</v>
      </c>
      <c r="C133" s="223" t="s">
        <v>1486</v>
      </c>
      <c r="D133" s="220" t="s">
        <v>46</v>
      </c>
      <c r="E133" s="222"/>
      <c r="F133" s="192">
        <v>0</v>
      </c>
      <c r="G133" s="24">
        <v>0.2</v>
      </c>
      <c r="H133" s="24">
        <v>0.05</v>
      </c>
      <c r="I133" s="24">
        <v>0.05</v>
      </c>
      <c r="J133" s="24">
        <v>0</v>
      </c>
      <c r="K133" s="224">
        <f t="shared" si="22"/>
        <v>0</v>
      </c>
      <c r="L133" s="225">
        <f t="shared" si="23"/>
        <v>0</v>
      </c>
      <c r="M133" s="225">
        <f t="shared" si="24"/>
        <v>0</v>
      </c>
      <c r="N133" s="226">
        <f t="shared" si="25"/>
        <v>0</v>
      </c>
      <c r="O133" s="34">
        <v>0.3</v>
      </c>
      <c r="P133" s="226">
        <f t="shared" si="26"/>
        <v>0</v>
      </c>
      <c r="Q133" s="107" t="s">
        <v>1486</v>
      </c>
      <c r="R133" s="34">
        <v>0.3</v>
      </c>
      <c r="S133" s="226">
        <f t="shared" si="19"/>
        <v>0</v>
      </c>
      <c r="T133" s="156" t="s">
        <v>1486</v>
      </c>
      <c r="U133" s="2"/>
      <c r="V133" s="2" t="s">
        <v>47</v>
      </c>
      <c r="W133" s="2"/>
      <c r="X133" s="2"/>
      <c r="Y133" s="488" t="s">
        <v>1486</v>
      </c>
      <c r="Z133" s="293">
        <f t="shared" si="20"/>
        <v>0</v>
      </c>
      <c r="AA133" s="293">
        <f t="shared" si="21"/>
        <v>0</v>
      </c>
    </row>
    <row r="134" spans="1:27" s="320" customFormat="1" x14ac:dyDescent="0.25">
      <c r="A134" s="220" t="s">
        <v>1767</v>
      </c>
      <c r="B134" s="221" t="s">
        <v>68</v>
      </c>
      <c r="C134" s="223" t="s">
        <v>1486</v>
      </c>
      <c r="D134" s="220" t="s">
        <v>46</v>
      </c>
      <c r="E134" s="222"/>
      <c r="F134" s="192">
        <v>0</v>
      </c>
      <c r="G134" s="24">
        <v>0.2</v>
      </c>
      <c r="H134" s="24">
        <v>0.05</v>
      </c>
      <c r="I134" s="24">
        <v>0.05</v>
      </c>
      <c r="J134" s="24">
        <v>0</v>
      </c>
      <c r="K134" s="224">
        <f t="shared" si="22"/>
        <v>0</v>
      </c>
      <c r="L134" s="225">
        <f t="shared" si="23"/>
        <v>0</v>
      </c>
      <c r="M134" s="225">
        <f t="shared" si="24"/>
        <v>0</v>
      </c>
      <c r="N134" s="226">
        <f t="shared" si="25"/>
        <v>0</v>
      </c>
      <c r="O134" s="34">
        <v>0.3</v>
      </c>
      <c r="P134" s="226">
        <f t="shared" si="26"/>
        <v>0</v>
      </c>
      <c r="Q134" s="107" t="s">
        <v>1486</v>
      </c>
      <c r="R134" s="34">
        <v>0.3</v>
      </c>
      <c r="S134" s="226">
        <f t="shared" si="19"/>
        <v>0</v>
      </c>
      <c r="T134" s="156" t="s">
        <v>1486</v>
      </c>
      <c r="U134" s="2"/>
      <c r="V134" s="2" t="s">
        <v>47</v>
      </c>
      <c r="W134" s="2"/>
      <c r="X134" s="2"/>
      <c r="Y134" s="488" t="s">
        <v>1486</v>
      </c>
      <c r="Z134" s="293">
        <f t="shared" si="20"/>
        <v>0</v>
      </c>
      <c r="AA134" s="293">
        <f t="shared" si="21"/>
        <v>0</v>
      </c>
    </row>
    <row r="135" spans="1:27" s="320" customFormat="1" x14ac:dyDescent="0.25">
      <c r="A135" s="220" t="s">
        <v>1768</v>
      </c>
      <c r="B135" s="221" t="s">
        <v>70</v>
      </c>
      <c r="C135" s="223" t="s">
        <v>1486</v>
      </c>
      <c r="D135" s="220" t="s">
        <v>46</v>
      </c>
      <c r="E135" s="222"/>
      <c r="F135" s="192">
        <v>0</v>
      </c>
      <c r="G135" s="24">
        <v>0.2</v>
      </c>
      <c r="H135" s="24">
        <v>0.05</v>
      </c>
      <c r="I135" s="24">
        <v>0.05</v>
      </c>
      <c r="J135" s="24">
        <v>0</v>
      </c>
      <c r="K135" s="224">
        <f t="shared" si="22"/>
        <v>0</v>
      </c>
      <c r="L135" s="225">
        <f t="shared" si="23"/>
        <v>0</v>
      </c>
      <c r="M135" s="225">
        <f t="shared" si="24"/>
        <v>0</v>
      </c>
      <c r="N135" s="226">
        <f t="shared" si="25"/>
        <v>0</v>
      </c>
      <c r="O135" s="34">
        <v>0.3</v>
      </c>
      <c r="P135" s="226">
        <f t="shared" si="26"/>
        <v>0</v>
      </c>
      <c r="Q135" s="107" t="s">
        <v>1486</v>
      </c>
      <c r="R135" s="34">
        <v>0.3</v>
      </c>
      <c r="S135" s="226">
        <f t="shared" si="19"/>
        <v>0</v>
      </c>
      <c r="T135" s="156" t="s">
        <v>1486</v>
      </c>
      <c r="U135" s="2"/>
      <c r="V135" s="2" t="s">
        <v>47</v>
      </c>
      <c r="W135" s="2"/>
      <c r="X135" s="2"/>
      <c r="Y135" s="488" t="s">
        <v>1486</v>
      </c>
      <c r="Z135" s="293">
        <f t="shared" si="20"/>
        <v>0</v>
      </c>
      <c r="AA135" s="293">
        <f t="shared" si="21"/>
        <v>0</v>
      </c>
    </row>
    <row r="136" spans="1:27" s="320" customFormat="1" x14ac:dyDescent="0.25">
      <c r="A136" s="220" t="s">
        <v>1769</v>
      </c>
      <c r="B136" s="221" t="s">
        <v>72</v>
      </c>
      <c r="C136" s="223" t="s">
        <v>1486</v>
      </c>
      <c r="D136" s="220" t="s">
        <v>46</v>
      </c>
      <c r="E136" s="222"/>
      <c r="F136" s="192">
        <v>0</v>
      </c>
      <c r="G136" s="24">
        <v>0.2</v>
      </c>
      <c r="H136" s="24">
        <v>0.05</v>
      </c>
      <c r="I136" s="24">
        <v>0.05</v>
      </c>
      <c r="J136" s="24">
        <v>0</v>
      </c>
      <c r="K136" s="224">
        <f t="shared" si="22"/>
        <v>0</v>
      </c>
      <c r="L136" s="225">
        <f t="shared" si="23"/>
        <v>0</v>
      </c>
      <c r="M136" s="225">
        <f t="shared" si="24"/>
        <v>0</v>
      </c>
      <c r="N136" s="226">
        <f t="shared" si="25"/>
        <v>0</v>
      </c>
      <c r="O136" s="34">
        <v>0.3</v>
      </c>
      <c r="P136" s="226">
        <f t="shared" si="26"/>
        <v>0</v>
      </c>
      <c r="Q136" s="107" t="s">
        <v>1486</v>
      </c>
      <c r="R136" s="34">
        <v>0.3</v>
      </c>
      <c r="S136" s="226">
        <f t="shared" si="19"/>
        <v>0</v>
      </c>
      <c r="T136" s="156" t="s">
        <v>1486</v>
      </c>
      <c r="U136" s="2"/>
      <c r="V136" s="2" t="s">
        <v>47</v>
      </c>
      <c r="W136" s="2"/>
      <c r="X136" s="2"/>
      <c r="Y136" s="488" t="s">
        <v>1486</v>
      </c>
      <c r="Z136" s="293">
        <f t="shared" si="20"/>
        <v>0</v>
      </c>
      <c r="AA136" s="293">
        <f t="shared" si="21"/>
        <v>0</v>
      </c>
    </row>
    <row r="137" spans="1:27" s="320" customFormat="1" x14ac:dyDescent="0.25">
      <c r="A137" s="220" t="s">
        <v>1770</v>
      </c>
      <c r="B137" s="221" t="s">
        <v>74</v>
      </c>
      <c r="C137" s="223" t="s">
        <v>1486</v>
      </c>
      <c r="D137" s="220" t="s">
        <v>46</v>
      </c>
      <c r="E137" s="222"/>
      <c r="F137" s="192">
        <v>0</v>
      </c>
      <c r="G137" s="24">
        <v>0.2</v>
      </c>
      <c r="H137" s="24">
        <v>0.05</v>
      </c>
      <c r="I137" s="24">
        <v>0.05</v>
      </c>
      <c r="J137" s="24">
        <v>0</v>
      </c>
      <c r="K137" s="224">
        <f t="shared" si="22"/>
        <v>0</v>
      </c>
      <c r="L137" s="225">
        <f t="shared" si="23"/>
        <v>0</v>
      </c>
      <c r="M137" s="225">
        <f t="shared" si="24"/>
        <v>0</v>
      </c>
      <c r="N137" s="226">
        <f t="shared" si="25"/>
        <v>0</v>
      </c>
      <c r="O137" s="34">
        <v>0.3</v>
      </c>
      <c r="P137" s="226">
        <f t="shared" si="26"/>
        <v>0</v>
      </c>
      <c r="Q137" s="107" t="s">
        <v>1486</v>
      </c>
      <c r="R137" s="34">
        <v>0.3</v>
      </c>
      <c r="S137" s="226">
        <f t="shared" si="19"/>
        <v>0</v>
      </c>
      <c r="T137" s="156" t="s">
        <v>1486</v>
      </c>
      <c r="U137" s="2"/>
      <c r="V137" s="2" t="s">
        <v>47</v>
      </c>
      <c r="W137" s="2"/>
      <c r="X137" s="2"/>
      <c r="Y137" s="488" t="s">
        <v>1486</v>
      </c>
      <c r="Z137" s="293">
        <f t="shared" si="20"/>
        <v>0</v>
      </c>
      <c r="AA137" s="293">
        <f t="shared" si="21"/>
        <v>0</v>
      </c>
    </row>
    <row r="138" spans="1:27" s="320" customFormat="1" x14ac:dyDescent="0.25">
      <c r="A138" s="220" t="s">
        <v>1771</v>
      </c>
      <c r="B138" s="221" t="s">
        <v>76</v>
      </c>
      <c r="C138" s="223" t="s">
        <v>1486</v>
      </c>
      <c r="D138" s="220" t="s">
        <v>46</v>
      </c>
      <c r="E138" s="222"/>
      <c r="F138" s="192">
        <v>4200</v>
      </c>
      <c r="G138" s="24">
        <v>0.2</v>
      </c>
      <c r="H138" s="24">
        <v>0.05</v>
      </c>
      <c r="I138" s="24">
        <v>0.05</v>
      </c>
      <c r="J138" s="24">
        <v>0</v>
      </c>
      <c r="K138" s="224">
        <f t="shared" si="22"/>
        <v>0.27800000000000002</v>
      </c>
      <c r="L138" s="225">
        <f t="shared" si="23"/>
        <v>0</v>
      </c>
      <c r="M138" s="225">
        <f t="shared" si="24"/>
        <v>5817.174515235457</v>
      </c>
      <c r="N138" s="226">
        <f t="shared" si="25"/>
        <v>6922.4376731301936</v>
      </c>
      <c r="O138" s="34">
        <v>0.3</v>
      </c>
      <c r="P138" s="226">
        <f t="shared" si="26"/>
        <v>8999.1689750692512</v>
      </c>
      <c r="Q138" s="107" t="s">
        <v>1486</v>
      </c>
      <c r="R138" s="34">
        <v>0.3</v>
      </c>
      <c r="S138" s="226">
        <f t="shared" si="19"/>
        <v>7140</v>
      </c>
      <c r="T138" s="156" t="s">
        <v>1486</v>
      </c>
      <c r="U138" s="2"/>
      <c r="V138" s="2" t="s">
        <v>47</v>
      </c>
      <c r="W138" s="2"/>
      <c r="X138" s="2"/>
      <c r="Y138" s="488" t="s">
        <v>1486</v>
      </c>
      <c r="Z138" s="293">
        <f t="shared" si="20"/>
        <v>1617.174515235457</v>
      </c>
      <c r="AA138" s="293">
        <f t="shared" si="21"/>
        <v>1800</v>
      </c>
    </row>
    <row r="139" spans="1:27" s="320" customFormat="1" x14ac:dyDescent="0.25">
      <c r="A139" s="220" t="s">
        <v>1772</v>
      </c>
      <c r="B139" s="221" t="s">
        <v>78</v>
      </c>
      <c r="C139" s="223" t="s">
        <v>1486</v>
      </c>
      <c r="D139" s="220" t="s">
        <v>46</v>
      </c>
      <c r="E139" s="222"/>
      <c r="F139" s="192">
        <v>0</v>
      </c>
      <c r="G139" s="24">
        <v>0.2</v>
      </c>
      <c r="H139" s="24">
        <v>0.05</v>
      </c>
      <c r="I139" s="24">
        <v>0.05</v>
      </c>
      <c r="J139" s="24">
        <v>0</v>
      </c>
      <c r="K139" s="224">
        <f t="shared" si="22"/>
        <v>0</v>
      </c>
      <c r="L139" s="225">
        <f t="shared" si="23"/>
        <v>0</v>
      </c>
      <c r="M139" s="225">
        <f t="shared" si="24"/>
        <v>0</v>
      </c>
      <c r="N139" s="226">
        <f t="shared" si="25"/>
        <v>0</v>
      </c>
      <c r="O139" s="34">
        <v>0.3</v>
      </c>
      <c r="P139" s="226">
        <f t="shared" si="26"/>
        <v>0</v>
      </c>
      <c r="Q139" s="107" t="s">
        <v>1486</v>
      </c>
      <c r="R139" s="34">
        <v>0.3</v>
      </c>
      <c r="S139" s="226">
        <f t="shared" si="19"/>
        <v>0</v>
      </c>
      <c r="T139" s="156" t="s">
        <v>1486</v>
      </c>
      <c r="U139" s="2"/>
      <c r="V139" s="2" t="s">
        <v>47</v>
      </c>
      <c r="W139" s="2"/>
      <c r="X139" s="2"/>
      <c r="Y139" s="488" t="s">
        <v>1486</v>
      </c>
      <c r="Z139" s="293">
        <f t="shared" si="20"/>
        <v>0</v>
      </c>
      <c r="AA139" s="293">
        <f t="shared" si="21"/>
        <v>0</v>
      </c>
    </row>
    <row r="140" spans="1:27" s="320" customFormat="1" x14ac:dyDescent="0.25">
      <c r="A140" s="220" t="s">
        <v>1773</v>
      </c>
      <c r="B140" s="221" t="s">
        <v>80</v>
      </c>
      <c r="C140" s="223" t="s">
        <v>1486</v>
      </c>
      <c r="D140" s="220" t="s">
        <v>46</v>
      </c>
      <c r="E140" s="222"/>
      <c r="F140" s="192">
        <v>0</v>
      </c>
      <c r="G140" s="24">
        <v>0.2</v>
      </c>
      <c r="H140" s="24">
        <v>0.05</v>
      </c>
      <c r="I140" s="24">
        <v>0.05</v>
      </c>
      <c r="J140" s="24">
        <v>0</v>
      </c>
      <c r="K140" s="224">
        <f t="shared" si="22"/>
        <v>0</v>
      </c>
      <c r="L140" s="225">
        <f t="shared" si="23"/>
        <v>0</v>
      </c>
      <c r="M140" s="225">
        <f t="shared" si="24"/>
        <v>0</v>
      </c>
      <c r="N140" s="226">
        <f t="shared" si="25"/>
        <v>0</v>
      </c>
      <c r="O140" s="34">
        <v>0.3</v>
      </c>
      <c r="P140" s="226">
        <f t="shared" si="26"/>
        <v>0</v>
      </c>
      <c r="Q140" s="107" t="s">
        <v>1486</v>
      </c>
      <c r="R140" s="34">
        <v>0.3</v>
      </c>
      <c r="S140" s="226">
        <f t="shared" si="19"/>
        <v>0</v>
      </c>
      <c r="T140" s="156" t="s">
        <v>1486</v>
      </c>
      <c r="U140" s="2"/>
      <c r="V140" s="2" t="s">
        <v>47</v>
      </c>
      <c r="W140" s="2"/>
      <c r="X140" s="2"/>
      <c r="Y140" s="488" t="s">
        <v>1486</v>
      </c>
      <c r="Z140" s="293">
        <f t="shared" si="20"/>
        <v>0</v>
      </c>
      <c r="AA140" s="293">
        <f t="shared" si="21"/>
        <v>0</v>
      </c>
    </row>
    <row r="141" spans="1:27" s="320" customFormat="1" x14ac:dyDescent="0.25">
      <c r="A141" s="220" t="s">
        <v>1774</v>
      </c>
      <c r="B141" s="221" t="s">
        <v>82</v>
      </c>
      <c r="C141" s="223" t="s">
        <v>1486</v>
      </c>
      <c r="D141" s="220" t="s">
        <v>46</v>
      </c>
      <c r="E141" s="222"/>
      <c r="F141" s="192">
        <v>0</v>
      </c>
      <c r="G141" s="24">
        <v>0.2</v>
      </c>
      <c r="H141" s="24">
        <v>0.05</v>
      </c>
      <c r="I141" s="24">
        <v>0.05</v>
      </c>
      <c r="J141" s="24">
        <v>0</v>
      </c>
      <c r="K141" s="224">
        <f t="shared" si="22"/>
        <v>0</v>
      </c>
      <c r="L141" s="225">
        <f t="shared" si="23"/>
        <v>0</v>
      </c>
      <c r="M141" s="225">
        <f t="shared" si="24"/>
        <v>0</v>
      </c>
      <c r="N141" s="226">
        <f t="shared" si="25"/>
        <v>0</v>
      </c>
      <c r="O141" s="34">
        <v>0.3</v>
      </c>
      <c r="P141" s="226">
        <f t="shared" si="26"/>
        <v>0</v>
      </c>
      <c r="Q141" s="107" t="s">
        <v>1486</v>
      </c>
      <c r="R141" s="34">
        <v>0.3</v>
      </c>
      <c r="S141" s="226">
        <f t="shared" si="19"/>
        <v>0</v>
      </c>
      <c r="T141" s="156" t="s">
        <v>1486</v>
      </c>
      <c r="U141" s="2"/>
      <c r="V141" s="2" t="s">
        <v>47</v>
      </c>
      <c r="W141" s="2"/>
      <c r="X141" s="2"/>
      <c r="Y141" s="488" t="s">
        <v>1486</v>
      </c>
      <c r="Z141" s="293">
        <f t="shared" si="20"/>
        <v>0</v>
      </c>
      <c r="AA141" s="293">
        <f t="shared" si="21"/>
        <v>0</v>
      </c>
    </row>
    <row r="142" spans="1:27" s="320" customFormat="1" x14ac:dyDescent="0.25">
      <c r="A142" s="220" t="s">
        <v>1775</v>
      </c>
      <c r="B142" s="221" t="s">
        <v>84</v>
      </c>
      <c r="C142" s="223" t="s">
        <v>1486</v>
      </c>
      <c r="D142" s="220" t="s">
        <v>46</v>
      </c>
      <c r="E142" s="222"/>
      <c r="F142" s="192">
        <v>0</v>
      </c>
      <c r="G142" s="24">
        <v>0.2</v>
      </c>
      <c r="H142" s="24">
        <v>0.05</v>
      </c>
      <c r="I142" s="24">
        <v>0.05</v>
      </c>
      <c r="J142" s="24">
        <v>0</v>
      </c>
      <c r="K142" s="224">
        <f t="shared" si="22"/>
        <v>0</v>
      </c>
      <c r="L142" s="225">
        <f t="shared" si="23"/>
        <v>0</v>
      </c>
      <c r="M142" s="225">
        <f t="shared" si="24"/>
        <v>0</v>
      </c>
      <c r="N142" s="226">
        <f t="shared" si="25"/>
        <v>0</v>
      </c>
      <c r="O142" s="34">
        <v>0.3</v>
      </c>
      <c r="P142" s="226">
        <f t="shared" si="26"/>
        <v>0</v>
      </c>
      <c r="Q142" s="107" t="s">
        <v>1486</v>
      </c>
      <c r="R142" s="34">
        <v>0.3</v>
      </c>
      <c r="S142" s="226">
        <f t="shared" si="19"/>
        <v>0</v>
      </c>
      <c r="T142" s="156" t="s">
        <v>1486</v>
      </c>
      <c r="U142" s="2"/>
      <c r="V142" s="2" t="s">
        <v>47</v>
      </c>
      <c r="W142" s="2"/>
      <c r="X142" s="2"/>
      <c r="Y142" s="488" t="s">
        <v>1486</v>
      </c>
      <c r="Z142" s="293">
        <f t="shared" si="20"/>
        <v>0</v>
      </c>
      <c r="AA142" s="293">
        <f t="shared" si="21"/>
        <v>0</v>
      </c>
    </row>
    <row r="143" spans="1:27" s="320" customFormat="1" x14ac:dyDescent="0.25">
      <c r="A143" s="220" t="s">
        <v>1776</v>
      </c>
      <c r="B143" s="221" t="s">
        <v>86</v>
      </c>
      <c r="C143" s="223" t="s">
        <v>1486</v>
      </c>
      <c r="D143" s="220" t="s">
        <v>46</v>
      </c>
      <c r="E143" s="222"/>
      <c r="F143" s="192">
        <v>0</v>
      </c>
      <c r="G143" s="24">
        <v>0.2</v>
      </c>
      <c r="H143" s="24">
        <v>0.05</v>
      </c>
      <c r="I143" s="24">
        <v>0.05</v>
      </c>
      <c r="J143" s="24">
        <v>0</v>
      </c>
      <c r="K143" s="224">
        <f t="shared" si="22"/>
        <v>0</v>
      </c>
      <c r="L143" s="225">
        <f t="shared" si="23"/>
        <v>0</v>
      </c>
      <c r="M143" s="225">
        <f t="shared" si="24"/>
        <v>0</v>
      </c>
      <c r="N143" s="226">
        <f t="shared" si="25"/>
        <v>0</v>
      </c>
      <c r="O143" s="34">
        <v>0.3</v>
      </c>
      <c r="P143" s="226">
        <f t="shared" si="26"/>
        <v>0</v>
      </c>
      <c r="Q143" s="107" t="s">
        <v>1486</v>
      </c>
      <c r="R143" s="34">
        <v>0.3</v>
      </c>
      <c r="S143" s="226">
        <f t="shared" si="19"/>
        <v>0</v>
      </c>
      <c r="T143" s="156" t="s">
        <v>1486</v>
      </c>
      <c r="U143" s="2"/>
      <c r="V143" s="2" t="s">
        <v>47</v>
      </c>
      <c r="W143" s="2"/>
      <c r="X143" s="2"/>
      <c r="Y143" s="488" t="s">
        <v>1486</v>
      </c>
      <c r="Z143" s="293">
        <f t="shared" si="20"/>
        <v>0</v>
      </c>
      <c r="AA143" s="293">
        <f t="shared" si="21"/>
        <v>0</v>
      </c>
    </row>
    <row r="144" spans="1:27" s="320" customFormat="1" x14ac:dyDescent="0.25">
      <c r="A144" s="220" t="s">
        <v>1777</v>
      </c>
      <c r="B144" s="194" t="s">
        <v>5477</v>
      </c>
      <c r="C144" s="223" t="s">
        <v>1569</v>
      </c>
      <c r="D144" s="195" t="s">
        <v>89</v>
      </c>
      <c r="E144" s="362">
        <v>2</v>
      </c>
      <c r="F144" s="192">
        <v>9526</v>
      </c>
      <c r="G144" s="24">
        <v>0.2</v>
      </c>
      <c r="H144" s="24">
        <v>0.05</v>
      </c>
      <c r="I144" s="24">
        <v>0.05</v>
      </c>
      <c r="J144" s="24">
        <v>0</v>
      </c>
      <c r="K144" s="224">
        <f t="shared" si="22"/>
        <v>0.27800000000000002</v>
      </c>
      <c r="L144" s="363">
        <f t="shared" si="23"/>
        <v>26387.811634349033</v>
      </c>
      <c r="M144" s="363">
        <f t="shared" si="24"/>
        <v>13193.905817174516</v>
      </c>
      <c r="N144" s="364">
        <f t="shared" si="25"/>
        <v>15700.747922437673</v>
      </c>
      <c r="O144" s="34">
        <v>0.3</v>
      </c>
      <c r="P144" s="226">
        <f t="shared" si="26"/>
        <v>20410.972299168974</v>
      </c>
      <c r="Q144" s="107" t="s">
        <v>1486</v>
      </c>
      <c r="R144" s="34">
        <v>0.3</v>
      </c>
      <c r="S144" s="226">
        <f t="shared" si="19"/>
        <v>16194.2</v>
      </c>
      <c r="T144" s="156" t="s">
        <v>1486</v>
      </c>
      <c r="U144" s="2">
        <v>8</v>
      </c>
      <c r="V144" s="2" t="s">
        <v>47</v>
      </c>
      <c r="W144" s="2" t="s">
        <v>5883</v>
      </c>
      <c r="X144" s="2" t="s">
        <v>48</v>
      </c>
      <c r="Y144" s="488" t="s">
        <v>1486</v>
      </c>
      <c r="Z144" s="293">
        <f t="shared" si="20"/>
        <v>3667.9058171745164</v>
      </c>
      <c r="AA144" s="293">
        <f t="shared" si="21"/>
        <v>4082.5714285714294</v>
      </c>
    </row>
    <row r="145" spans="1:27" s="320" customFormat="1" x14ac:dyDescent="0.25">
      <c r="A145" s="220" t="s">
        <v>1778</v>
      </c>
      <c r="B145" s="221" t="s">
        <v>2738</v>
      </c>
      <c r="C145" s="223" t="s">
        <v>1569</v>
      </c>
      <c r="D145" s="220" t="s">
        <v>89</v>
      </c>
      <c r="E145" s="222">
        <v>4</v>
      </c>
      <c r="F145" s="192">
        <v>2394</v>
      </c>
      <c r="G145" s="24">
        <v>0.2</v>
      </c>
      <c r="H145" s="24">
        <v>0.05</v>
      </c>
      <c r="I145" s="24">
        <v>0.05</v>
      </c>
      <c r="J145" s="24">
        <v>0</v>
      </c>
      <c r="K145" s="224">
        <f t="shared" si="22"/>
        <v>0.27800000000000002</v>
      </c>
      <c r="L145" s="225">
        <f t="shared" si="23"/>
        <v>13263.157894736843</v>
      </c>
      <c r="M145" s="225">
        <f t="shared" si="24"/>
        <v>3315.7894736842109</v>
      </c>
      <c r="N145" s="226">
        <f t="shared" si="25"/>
        <v>3945.7894736842109</v>
      </c>
      <c r="O145" s="34">
        <v>0.3</v>
      </c>
      <c r="P145" s="226">
        <f t="shared" si="26"/>
        <v>5129.5263157894742</v>
      </c>
      <c r="Q145" s="107" t="s">
        <v>1486</v>
      </c>
      <c r="R145" s="34">
        <v>0.3</v>
      </c>
      <c r="S145" s="226">
        <f t="shared" si="19"/>
        <v>4069.7999999999997</v>
      </c>
      <c r="T145" s="156" t="s">
        <v>1486</v>
      </c>
      <c r="U145" s="2" t="s">
        <v>109</v>
      </c>
      <c r="V145" s="2" t="s">
        <v>47</v>
      </c>
      <c r="W145" s="2" t="s">
        <v>5883</v>
      </c>
      <c r="X145" s="2" t="s">
        <v>48</v>
      </c>
      <c r="Y145" s="488" t="s">
        <v>1486</v>
      </c>
      <c r="Z145" s="293">
        <f t="shared" si="20"/>
        <v>921.78947368421086</v>
      </c>
      <c r="AA145" s="293">
        <f t="shared" si="21"/>
        <v>1026</v>
      </c>
    </row>
    <row r="146" spans="1:27" s="320" customFormat="1" x14ac:dyDescent="0.25">
      <c r="A146" s="220" t="s">
        <v>1779</v>
      </c>
      <c r="B146" s="221" t="s">
        <v>5971</v>
      </c>
      <c r="C146" s="223" t="s">
        <v>1569</v>
      </c>
      <c r="D146" s="220" t="s">
        <v>94</v>
      </c>
      <c r="E146" s="222">
        <v>12</v>
      </c>
      <c r="F146" s="192">
        <v>1190</v>
      </c>
      <c r="G146" s="24">
        <v>0.2</v>
      </c>
      <c r="H146" s="24">
        <v>0.05</v>
      </c>
      <c r="I146" s="24">
        <v>0.05</v>
      </c>
      <c r="J146" s="24">
        <v>0</v>
      </c>
      <c r="K146" s="224">
        <f t="shared" si="22"/>
        <v>0.27800000000000014</v>
      </c>
      <c r="L146" s="225">
        <f t="shared" si="23"/>
        <v>19778.393351800558</v>
      </c>
      <c r="M146" s="225">
        <f t="shared" si="24"/>
        <v>1648.1994459833797</v>
      </c>
      <c r="N146" s="226">
        <f t="shared" si="25"/>
        <v>1961.3573407202218</v>
      </c>
      <c r="O146" s="34">
        <v>0.3</v>
      </c>
      <c r="P146" s="226">
        <f t="shared" si="26"/>
        <v>2549.7645429362883</v>
      </c>
      <c r="Q146" s="107" t="s">
        <v>1486</v>
      </c>
      <c r="R146" s="34">
        <v>0.35</v>
      </c>
      <c r="S146" s="226">
        <f t="shared" si="19"/>
        <v>2178.6153846153843</v>
      </c>
      <c r="T146" s="156" t="s">
        <v>1486</v>
      </c>
      <c r="U146" s="2">
        <v>2</v>
      </c>
      <c r="V146" s="2" t="s">
        <v>47</v>
      </c>
      <c r="W146" s="2" t="s">
        <v>5883</v>
      </c>
      <c r="X146" s="2" t="s">
        <v>48</v>
      </c>
      <c r="Y146" s="488" t="s">
        <v>1486</v>
      </c>
      <c r="Z146" s="293">
        <f t="shared" si="20"/>
        <v>458.19944598337975</v>
      </c>
      <c r="AA146" s="293">
        <f t="shared" si="21"/>
        <v>640.76923076923049</v>
      </c>
    </row>
    <row r="147" spans="1:27" s="320" customFormat="1" x14ac:dyDescent="0.25">
      <c r="A147" s="220" t="s">
        <v>1780</v>
      </c>
      <c r="B147" s="221" t="s">
        <v>5972</v>
      </c>
      <c r="C147" s="223" t="s">
        <v>1569</v>
      </c>
      <c r="D147" s="220" t="s">
        <v>94</v>
      </c>
      <c r="E147" s="222">
        <v>12</v>
      </c>
      <c r="F147" s="192">
        <v>2100</v>
      </c>
      <c r="G147" s="24">
        <v>0.2</v>
      </c>
      <c r="H147" s="24">
        <v>0.05</v>
      </c>
      <c r="I147" s="24">
        <v>0.05</v>
      </c>
      <c r="J147" s="24">
        <v>0</v>
      </c>
      <c r="K147" s="224">
        <f t="shared" si="22"/>
        <v>0.27800000000000002</v>
      </c>
      <c r="L147" s="225">
        <f t="shared" si="23"/>
        <v>34903.047091412744</v>
      </c>
      <c r="M147" s="225">
        <f t="shared" si="24"/>
        <v>2908.5872576177285</v>
      </c>
      <c r="N147" s="226">
        <f t="shared" si="25"/>
        <v>3461.2188365650968</v>
      </c>
      <c r="O147" s="34">
        <v>0.3</v>
      </c>
      <c r="P147" s="226">
        <f t="shared" si="26"/>
        <v>4499.5844875346256</v>
      </c>
      <c r="Q147" s="107" t="s">
        <v>1486</v>
      </c>
      <c r="R147" s="34">
        <v>0.35</v>
      </c>
      <c r="S147" s="226">
        <f t="shared" si="19"/>
        <v>3844.6153846153843</v>
      </c>
      <c r="T147" s="156" t="s">
        <v>1486</v>
      </c>
      <c r="U147" s="2">
        <v>3</v>
      </c>
      <c r="V147" s="2" t="s">
        <v>47</v>
      </c>
      <c r="W147" s="2" t="s">
        <v>5883</v>
      </c>
      <c r="X147" s="2" t="s">
        <v>48</v>
      </c>
      <c r="Y147" s="488" t="s">
        <v>1486</v>
      </c>
      <c r="Z147" s="293">
        <f t="shared" si="20"/>
        <v>808.58725761772848</v>
      </c>
      <c r="AA147" s="293">
        <f t="shared" si="21"/>
        <v>1130.7692307692305</v>
      </c>
    </row>
    <row r="148" spans="1:27" s="320" customFormat="1" x14ac:dyDescent="0.25">
      <c r="A148" s="220" t="s">
        <v>1781</v>
      </c>
      <c r="B148" s="221" t="s">
        <v>5973</v>
      </c>
      <c r="C148" s="223" t="s">
        <v>1569</v>
      </c>
      <c r="D148" s="220" t="s">
        <v>94</v>
      </c>
      <c r="E148" s="222">
        <v>6</v>
      </c>
      <c r="F148" s="192">
        <v>3800</v>
      </c>
      <c r="G148" s="24">
        <v>0.2</v>
      </c>
      <c r="H148" s="24">
        <v>0.05</v>
      </c>
      <c r="I148" s="24">
        <v>0.05</v>
      </c>
      <c r="J148" s="24">
        <v>0</v>
      </c>
      <c r="K148" s="224">
        <f t="shared" si="22"/>
        <v>0.27800000000000002</v>
      </c>
      <c r="L148" s="225">
        <f t="shared" si="23"/>
        <v>31578.947368421053</v>
      </c>
      <c r="M148" s="225">
        <f t="shared" si="24"/>
        <v>5263.1578947368425</v>
      </c>
      <c r="N148" s="226">
        <f t="shared" si="25"/>
        <v>6263.1578947368425</v>
      </c>
      <c r="O148" s="34">
        <v>0.3</v>
      </c>
      <c r="P148" s="226">
        <f t="shared" si="26"/>
        <v>8142.1052631578959</v>
      </c>
      <c r="Q148" s="107" t="s">
        <v>1486</v>
      </c>
      <c r="R148" s="34">
        <v>0.3</v>
      </c>
      <c r="S148" s="226">
        <f t="shared" si="19"/>
        <v>6460.0000000000009</v>
      </c>
      <c r="T148" s="156" t="s">
        <v>1486</v>
      </c>
      <c r="U148" s="2">
        <v>4</v>
      </c>
      <c r="V148" s="2" t="s">
        <v>47</v>
      </c>
      <c r="W148" s="2" t="s">
        <v>5883</v>
      </c>
      <c r="X148" s="2" t="s">
        <v>48</v>
      </c>
      <c r="Y148" s="488" t="s">
        <v>1486</v>
      </c>
      <c r="Z148" s="293">
        <f t="shared" si="20"/>
        <v>1463.1578947368425</v>
      </c>
      <c r="AA148" s="293">
        <f t="shared" si="21"/>
        <v>1628.5714285714294</v>
      </c>
    </row>
    <row r="149" spans="1:27" s="320" customFormat="1" x14ac:dyDescent="0.25">
      <c r="A149" s="220" t="s">
        <v>1782</v>
      </c>
      <c r="B149" s="221" t="s">
        <v>5974</v>
      </c>
      <c r="C149" s="223" t="s">
        <v>1569</v>
      </c>
      <c r="D149" s="220" t="s">
        <v>94</v>
      </c>
      <c r="E149" s="222">
        <v>4</v>
      </c>
      <c r="F149" s="192">
        <v>6950</v>
      </c>
      <c r="G149" s="24">
        <v>0.2</v>
      </c>
      <c r="H149" s="24">
        <v>0.05</v>
      </c>
      <c r="I149" s="24">
        <v>0.05</v>
      </c>
      <c r="J149" s="24">
        <v>0</v>
      </c>
      <c r="K149" s="224">
        <f t="shared" si="22"/>
        <v>0.27800000000000002</v>
      </c>
      <c r="L149" s="225">
        <f t="shared" si="23"/>
        <v>38504.155124653742</v>
      </c>
      <c r="M149" s="225">
        <f t="shared" si="24"/>
        <v>9626.0387811634355</v>
      </c>
      <c r="N149" s="226">
        <f t="shared" si="25"/>
        <v>11454.986149584487</v>
      </c>
      <c r="O149" s="34">
        <v>0.3</v>
      </c>
      <c r="P149" s="226">
        <f t="shared" si="26"/>
        <v>14891.481994459833</v>
      </c>
      <c r="Q149" s="107" t="s">
        <v>1486</v>
      </c>
      <c r="R149" s="34">
        <v>0.3</v>
      </c>
      <c r="S149" s="226">
        <f t="shared" si="19"/>
        <v>11815</v>
      </c>
      <c r="T149" s="156" t="s">
        <v>1486</v>
      </c>
      <c r="U149" s="2">
        <v>5</v>
      </c>
      <c r="V149" s="2" t="s">
        <v>47</v>
      </c>
      <c r="W149" s="2" t="s">
        <v>5883</v>
      </c>
      <c r="X149" s="2" t="s">
        <v>48</v>
      </c>
      <c r="Y149" s="488" t="s">
        <v>1486</v>
      </c>
      <c r="Z149" s="293">
        <f t="shared" si="20"/>
        <v>2676.0387811634355</v>
      </c>
      <c r="AA149" s="293">
        <f t="shared" si="21"/>
        <v>2978.5714285714294</v>
      </c>
    </row>
    <row r="150" spans="1:27" s="320" customFormat="1" x14ac:dyDescent="0.25">
      <c r="A150" s="220" t="s">
        <v>1783</v>
      </c>
      <c r="B150" s="221" t="s">
        <v>5380</v>
      </c>
      <c r="C150" s="223" t="s">
        <v>1626</v>
      </c>
      <c r="D150" s="220" t="s">
        <v>5448</v>
      </c>
      <c r="E150" s="222">
        <v>20</v>
      </c>
      <c r="F150" s="192">
        <v>2547</v>
      </c>
      <c r="G150" s="24">
        <v>0.2</v>
      </c>
      <c r="H150" s="24">
        <v>0.05</v>
      </c>
      <c r="I150" s="24">
        <v>0.05</v>
      </c>
      <c r="J150" s="24">
        <v>0</v>
      </c>
      <c r="K150" s="224">
        <f t="shared" si="22"/>
        <v>0.27800000000000002</v>
      </c>
      <c r="L150" s="225">
        <f t="shared" si="23"/>
        <v>70554.016620498616</v>
      </c>
      <c r="M150" s="225">
        <f t="shared" si="24"/>
        <v>3527.7008310249307</v>
      </c>
      <c r="N150" s="226">
        <f t="shared" si="25"/>
        <v>4197.9639889196669</v>
      </c>
      <c r="O150" s="34">
        <v>0.3</v>
      </c>
      <c r="P150" s="226">
        <f t="shared" si="26"/>
        <v>5457.3531855955671</v>
      </c>
      <c r="Q150" s="107" t="s">
        <v>1486</v>
      </c>
      <c r="R150" s="34">
        <v>0.3</v>
      </c>
      <c r="S150" s="226">
        <f t="shared" si="19"/>
        <v>4329.9000000000005</v>
      </c>
      <c r="T150" s="156" t="s">
        <v>1486</v>
      </c>
      <c r="U150" s="2" t="s">
        <v>109</v>
      </c>
      <c r="V150" s="2" t="s">
        <v>47</v>
      </c>
      <c r="W150" s="2" t="s">
        <v>5883</v>
      </c>
      <c r="X150" s="2" t="s">
        <v>101</v>
      </c>
      <c r="Y150" s="488" t="s">
        <v>1486</v>
      </c>
      <c r="Z150" s="293">
        <f t="shared" si="20"/>
        <v>980.70083102493072</v>
      </c>
      <c r="AA150" s="293">
        <f t="shared" si="21"/>
        <v>1091.5714285714294</v>
      </c>
    </row>
    <row r="151" spans="1:27" s="320" customFormat="1" x14ac:dyDescent="0.25">
      <c r="A151" s="220" t="s">
        <v>1784</v>
      </c>
      <c r="B151" s="221" t="s">
        <v>103</v>
      </c>
      <c r="C151" s="223" t="s">
        <v>1626</v>
      </c>
      <c r="D151" s="220" t="s">
        <v>100</v>
      </c>
      <c r="E151" s="222">
        <v>20</v>
      </c>
      <c r="F151" s="192">
        <v>0</v>
      </c>
      <c r="G151" s="24">
        <v>0.2</v>
      </c>
      <c r="H151" s="24">
        <v>0.05</v>
      </c>
      <c r="I151" s="24">
        <v>0.05</v>
      </c>
      <c r="J151" s="24">
        <v>0</v>
      </c>
      <c r="K151" s="224">
        <f t="shared" si="22"/>
        <v>0</v>
      </c>
      <c r="L151" s="225">
        <f t="shared" si="23"/>
        <v>0</v>
      </c>
      <c r="M151" s="225">
        <f t="shared" si="24"/>
        <v>0</v>
      </c>
      <c r="N151" s="226">
        <f t="shared" si="25"/>
        <v>0</v>
      </c>
      <c r="O151" s="34">
        <v>0.3</v>
      </c>
      <c r="P151" s="226">
        <f t="shared" si="26"/>
        <v>0</v>
      </c>
      <c r="Q151" s="107" t="s">
        <v>1486</v>
      </c>
      <c r="R151" s="34">
        <v>0.3</v>
      </c>
      <c r="S151" s="226">
        <f t="shared" si="19"/>
        <v>0</v>
      </c>
      <c r="T151" s="156" t="s">
        <v>1486</v>
      </c>
      <c r="U151" s="2" t="s">
        <v>109</v>
      </c>
      <c r="V151" s="2" t="s">
        <v>47</v>
      </c>
      <c r="W151" s="2" t="s">
        <v>5883</v>
      </c>
      <c r="X151" s="2" t="s">
        <v>101</v>
      </c>
      <c r="Y151" s="488" t="s">
        <v>1486</v>
      </c>
      <c r="Z151" s="293">
        <f t="shared" si="20"/>
        <v>0</v>
      </c>
      <c r="AA151" s="293">
        <f t="shared" si="21"/>
        <v>0</v>
      </c>
    </row>
    <row r="152" spans="1:27" s="320" customFormat="1" x14ac:dyDescent="0.25">
      <c r="A152" s="220" t="s">
        <v>1785</v>
      </c>
      <c r="B152" s="221" t="s">
        <v>105</v>
      </c>
      <c r="C152" s="223" t="s">
        <v>1626</v>
      </c>
      <c r="D152" s="220" t="s">
        <v>100</v>
      </c>
      <c r="E152" s="222">
        <v>20</v>
      </c>
      <c r="F152" s="192">
        <v>0</v>
      </c>
      <c r="G152" s="24">
        <v>0.2</v>
      </c>
      <c r="H152" s="24">
        <v>0.05</v>
      </c>
      <c r="I152" s="24">
        <v>0.05</v>
      </c>
      <c r="J152" s="24">
        <v>0</v>
      </c>
      <c r="K152" s="224">
        <f t="shared" si="22"/>
        <v>0</v>
      </c>
      <c r="L152" s="225">
        <f t="shared" si="23"/>
        <v>0</v>
      </c>
      <c r="M152" s="225">
        <f t="shared" si="24"/>
        <v>0</v>
      </c>
      <c r="N152" s="226">
        <f t="shared" si="25"/>
        <v>0</v>
      </c>
      <c r="O152" s="34">
        <v>0.3</v>
      </c>
      <c r="P152" s="226">
        <f t="shared" si="26"/>
        <v>0</v>
      </c>
      <c r="Q152" s="107" t="s">
        <v>1486</v>
      </c>
      <c r="R152" s="34">
        <v>0.3</v>
      </c>
      <c r="S152" s="226">
        <f t="shared" si="19"/>
        <v>0</v>
      </c>
      <c r="T152" s="156" t="s">
        <v>1486</v>
      </c>
      <c r="U152" s="2" t="s">
        <v>109</v>
      </c>
      <c r="V152" s="2" t="s">
        <v>47</v>
      </c>
      <c r="W152" s="2" t="s">
        <v>5883</v>
      </c>
      <c r="X152" s="2" t="s">
        <v>101</v>
      </c>
      <c r="Y152" s="488" t="s">
        <v>1486</v>
      </c>
      <c r="Z152" s="293">
        <f t="shared" si="20"/>
        <v>0</v>
      </c>
      <c r="AA152" s="293">
        <f t="shared" si="21"/>
        <v>0</v>
      </c>
    </row>
    <row r="153" spans="1:27" s="320" customFormat="1" x14ac:dyDescent="0.25">
      <c r="A153" s="220" t="s">
        <v>51</v>
      </c>
      <c r="B153" s="221" t="s">
        <v>111</v>
      </c>
      <c r="C153" s="223" t="s">
        <v>1626</v>
      </c>
      <c r="D153" s="220" t="s">
        <v>112</v>
      </c>
      <c r="E153" s="222">
        <v>12</v>
      </c>
      <c r="F153" s="192">
        <v>1668</v>
      </c>
      <c r="G153" s="24">
        <v>0.2</v>
      </c>
      <c r="H153" s="24">
        <v>0.05</v>
      </c>
      <c r="I153" s="24">
        <v>0.05</v>
      </c>
      <c r="J153" s="24">
        <v>0</v>
      </c>
      <c r="K153" s="224">
        <f t="shared" si="22"/>
        <v>0.27800000000000002</v>
      </c>
      <c r="L153" s="225">
        <f t="shared" si="23"/>
        <v>27722.991689750696</v>
      </c>
      <c r="M153" s="225">
        <f t="shared" si="24"/>
        <v>2310.2493074792246</v>
      </c>
      <c r="N153" s="226">
        <f t="shared" si="25"/>
        <v>2749.1966759002771</v>
      </c>
      <c r="O153" s="34">
        <v>0.3</v>
      </c>
      <c r="P153" s="226">
        <f t="shared" si="26"/>
        <v>3573.9556786703602</v>
      </c>
      <c r="Q153" s="107" t="s">
        <v>1486</v>
      </c>
      <c r="R153" s="34">
        <v>0.3</v>
      </c>
      <c r="S153" s="226">
        <f t="shared" si="19"/>
        <v>2835.6000000000004</v>
      </c>
      <c r="T153" s="156" t="s">
        <v>1486</v>
      </c>
      <c r="U153" s="2" t="s">
        <v>109</v>
      </c>
      <c r="V153" s="2" t="s">
        <v>47</v>
      </c>
      <c r="W153" s="2" t="s">
        <v>5886</v>
      </c>
      <c r="X153" s="2"/>
      <c r="Y153" s="488" t="s">
        <v>1486</v>
      </c>
      <c r="Z153" s="293">
        <f t="shared" si="20"/>
        <v>642.24930747922463</v>
      </c>
      <c r="AA153" s="293">
        <f t="shared" si="21"/>
        <v>714.85714285714312</v>
      </c>
    </row>
    <row r="154" spans="1:27" s="320" customFormat="1" x14ac:dyDescent="0.25">
      <c r="A154" s="220" t="s">
        <v>53</v>
      </c>
      <c r="B154" s="221" t="s">
        <v>113</v>
      </c>
      <c r="C154" s="223" t="s">
        <v>1626</v>
      </c>
      <c r="D154" s="220" t="s">
        <v>112</v>
      </c>
      <c r="E154" s="222">
        <v>12</v>
      </c>
      <c r="F154" s="192">
        <v>1668</v>
      </c>
      <c r="G154" s="24">
        <v>0.2</v>
      </c>
      <c r="H154" s="24">
        <v>0.05</v>
      </c>
      <c r="I154" s="24">
        <v>0.05</v>
      </c>
      <c r="J154" s="24">
        <v>0</v>
      </c>
      <c r="K154" s="224">
        <f t="shared" si="22"/>
        <v>0.27800000000000002</v>
      </c>
      <c r="L154" s="225">
        <f t="shared" si="23"/>
        <v>27722.991689750696</v>
      </c>
      <c r="M154" s="225">
        <f t="shared" si="24"/>
        <v>2310.2493074792246</v>
      </c>
      <c r="N154" s="226">
        <f t="shared" si="25"/>
        <v>2749.1966759002771</v>
      </c>
      <c r="O154" s="34">
        <v>0.3</v>
      </c>
      <c r="P154" s="226">
        <f t="shared" si="26"/>
        <v>3573.9556786703602</v>
      </c>
      <c r="Q154" s="107" t="s">
        <v>1486</v>
      </c>
      <c r="R154" s="34">
        <v>0.3</v>
      </c>
      <c r="S154" s="226">
        <f t="shared" si="19"/>
        <v>2835.6000000000004</v>
      </c>
      <c r="T154" s="156" t="s">
        <v>1486</v>
      </c>
      <c r="U154" s="2" t="s">
        <v>109</v>
      </c>
      <c r="V154" s="2" t="s">
        <v>47</v>
      </c>
      <c r="W154" s="2" t="s">
        <v>5886</v>
      </c>
      <c r="X154" s="2"/>
      <c r="Y154" s="488" t="s">
        <v>1486</v>
      </c>
      <c r="Z154" s="293">
        <f t="shared" si="20"/>
        <v>642.24930747922463</v>
      </c>
      <c r="AA154" s="293">
        <f t="shared" si="21"/>
        <v>714.85714285714312</v>
      </c>
    </row>
    <row r="155" spans="1:27" s="320" customFormat="1" x14ac:dyDescent="0.25">
      <c r="A155" s="220" t="s">
        <v>55</v>
      </c>
      <c r="B155" s="221" t="s">
        <v>114</v>
      </c>
      <c r="C155" s="223" t="s">
        <v>1626</v>
      </c>
      <c r="D155" s="220" t="s">
        <v>112</v>
      </c>
      <c r="E155" s="222">
        <v>12</v>
      </c>
      <c r="F155" s="192">
        <v>1668</v>
      </c>
      <c r="G155" s="24">
        <v>0.2</v>
      </c>
      <c r="H155" s="24">
        <v>0.05</v>
      </c>
      <c r="I155" s="24">
        <v>0.05</v>
      </c>
      <c r="J155" s="24">
        <v>0</v>
      </c>
      <c r="K155" s="224">
        <f t="shared" si="22"/>
        <v>0.27800000000000002</v>
      </c>
      <c r="L155" s="225">
        <f t="shared" si="23"/>
        <v>27722.991689750696</v>
      </c>
      <c r="M155" s="225">
        <f t="shared" si="24"/>
        <v>2310.2493074792246</v>
      </c>
      <c r="N155" s="226">
        <f t="shared" si="25"/>
        <v>2749.1966759002771</v>
      </c>
      <c r="O155" s="34">
        <v>0.3</v>
      </c>
      <c r="P155" s="226">
        <f t="shared" si="26"/>
        <v>3573.9556786703602</v>
      </c>
      <c r="Q155" s="107" t="s">
        <v>1486</v>
      </c>
      <c r="R155" s="34">
        <v>0.3</v>
      </c>
      <c r="S155" s="226">
        <f t="shared" si="19"/>
        <v>2835.6000000000004</v>
      </c>
      <c r="T155" s="156" t="s">
        <v>1486</v>
      </c>
      <c r="U155" s="2" t="s">
        <v>109</v>
      </c>
      <c r="V155" s="2" t="s">
        <v>47</v>
      </c>
      <c r="W155" s="2" t="s">
        <v>5886</v>
      </c>
      <c r="X155" s="2"/>
      <c r="Y155" s="488" t="s">
        <v>1486</v>
      </c>
      <c r="Z155" s="293">
        <f t="shared" si="20"/>
        <v>642.24930747922463</v>
      </c>
      <c r="AA155" s="293">
        <f t="shared" si="21"/>
        <v>714.85714285714312</v>
      </c>
    </row>
    <row r="156" spans="1:27" s="320" customFormat="1" x14ac:dyDescent="0.25">
      <c r="A156" s="220" t="s">
        <v>57</v>
      </c>
      <c r="B156" s="221" t="s">
        <v>115</v>
      </c>
      <c r="C156" s="223" t="s">
        <v>1626</v>
      </c>
      <c r="D156" s="220" t="s">
        <v>112</v>
      </c>
      <c r="E156" s="222">
        <v>12</v>
      </c>
      <c r="F156" s="192">
        <v>1668</v>
      </c>
      <c r="G156" s="24">
        <v>0.2</v>
      </c>
      <c r="H156" s="24">
        <v>0.05</v>
      </c>
      <c r="I156" s="24">
        <v>0.05</v>
      </c>
      <c r="J156" s="24">
        <v>0</v>
      </c>
      <c r="K156" s="224">
        <f t="shared" si="22"/>
        <v>0.27800000000000002</v>
      </c>
      <c r="L156" s="225">
        <f t="shared" si="23"/>
        <v>27722.991689750696</v>
      </c>
      <c r="M156" s="225">
        <f t="shared" si="24"/>
        <v>2310.2493074792246</v>
      </c>
      <c r="N156" s="226">
        <f t="shared" si="25"/>
        <v>2749.1966759002771</v>
      </c>
      <c r="O156" s="34">
        <v>0.3</v>
      </c>
      <c r="P156" s="226">
        <f t="shared" si="26"/>
        <v>3573.9556786703602</v>
      </c>
      <c r="Q156" s="107" t="s">
        <v>1486</v>
      </c>
      <c r="R156" s="34">
        <v>0.3</v>
      </c>
      <c r="S156" s="226">
        <f t="shared" si="19"/>
        <v>2835.6000000000004</v>
      </c>
      <c r="T156" s="156" t="s">
        <v>1486</v>
      </c>
      <c r="U156" s="2" t="s">
        <v>109</v>
      </c>
      <c r="V156" s="2" t="s">
        <v>47</v>
      </c>
      <c r="W156" s="2" t="s">
        <v>5886</v>
      </c>
      <c r="X156" s="2"/>
      <c r="Y156" s="488" t="s">
        <v>1486</v>
      </c>
      <c r="Z156" s="293">
        <f t="shared" si="20"/>
        <v>642.24930747922463</v>
      </c>
      <c r="AA156" s="293">
        <f t="shared" si="21"/>
        <v>714.85714285714312</v>
      </c>
    </row>
    <row r="157" spans="1:27" s="320" customFormat="1" x14ac:dyDescent="0.25">
      <c r="A157" s="220" t="s">
        <v>59</v>
      </c>
      <c r="B157" s="221" t="s">
        <v>116</v>
      </c>
      <c r="C157" s="223" t="s">
        <v>1626</v>
      </c>
      <c r="D157" s="220" t="s">
        <v>117</v>
      </c>
      <c r="E157" s="222">
        <v>12</v>
      </c>
      <c r="F157" s="192">
        <v>1766</v>
      </c>
      <c r="G157" s="24">
        <v>0.2</v>
      </c>
      <c r="H157" s="24">
        <v>0.05</v>
      </c>
      <c r="I157" s="24">
        <v>0.05</v>
      </c>
      <c r="J157" s="24">
        <v>0</v>
      </c>
      <c r="K157" s="224">
        <f t="shared" si="22"/>
        <v>0.27800000000000002</v>
      </c>
      <c r="L157" s="225">
        <f t="shared" si="23"/>
        <v>29351.80055401662</v>
      </c>
      <c r="M157" s="225">
        <f t="shared" si="24"/>
        <v>2445.9833795013851</v>
      </c>
      <c r="N157" s="226">
        <f t="shared" si="25"/>
        <v>2910.720221606648</v>
      </c>
      <c r="O157" s="34">
        <v>0.3</v>
      </c>
      <c r="P157" s="226">
        <f t="shared" si="26"/>
        <v>3783.9362880886424</v>
      </c>
      <c r="Q157" s="107" t="s">
        <v>1486</v>
      </c>
      <c r="R157" s="34">
        <v>0.3</v>
      </c>
      <c r="S157" s="226">
        <f t="shared" ref="S157:S220" si="27">+(F157/(1-R157))*1.19</f>
        <v>3002.2000000000003</v>
      </c>
      <c r="T157" s="156" t="s">
        <v>1486</v>
      </c>
      <c r="U157" s="2" t="s">
        <v>50</v>
      </c>
      <c r="V157" s="2" t="s">
        <v>47</v>
      </c>
      <c r="W157" s="2" t="s">
        <v>5886</v>
      </c>
      <c r="X157" s="2" t="s">
        <v>108</v>
      </c>
      <c r="Y157" s="488" t="s">
        <v>1486</v>
      </c>
      <c r="Z157" s="293">
        <f t="shared" si="20"/>
        <v>679.98337950138512</v>
      </c>
      <c r="AA157" s="293">
        <f t="shared" si="21"/>
        <v>756.85714285714312</v>
      </c>
    </row>
    <row r="158" spans="1:27" s="320" customFormat="1" x14ac:dyDescent="0.25">
      <c r="A158" s="220" t="s">
        <v>61</v>
      </c>
      <c r="B158" s="221" t="s">
        <v>118</v>
      </c>
      <c r="C158" s="223" t="s">
        <v>1626</v>
      </c>
      <c r="D158" s="220" t="s">
        <v>117</v>
      </c>
      <c r="E158" s="222">
        <v>12</v>
      </c>
      <c r="F158" s="192">
        <v>1766</v>
      </c>
      <c r="G158" s="24">
        <v>0.2</v>
      </c>
      <c r="H158" s="24">
        <v>0.05</v>
      </c>
      <c r="I158" s="24">
        <v>0.05</v>
      </c>
      <c r="J158" s="24">
        <v>0</v>
      </c>
      <c r="K158" s="224">
        <f t="shared" si="22"/>
        <v>0.27800000000000002</v>
      </c>
      <c r="L158" s="225">
        <f t="shared" si="23"/>
        <v>29351.80055401662</v>
      </c>
      <c r="M158" s="225">
        <f t="shared" si="24"/>
        <v>2445.9833795013851</v>
      </c>
      <c r="N158" s="226">
        <f t="shared" si="25"/>
        <v>2910.720221606648</v>
      </c>
      <c r="O158" s="34">
        <v>0.3</v>
      </c>
      <c r="P158" s="226">
        <f t="shared" si="26"/>
        <v>3783.9362880886424</v>
      </c>
      <c r="Q158" s="107" t="s">
        <v>1486</v>
      </c>
      <c r="R158" s="34">
        <v>0.3</v>
      </c>
      <c r="S158" s="226">
        <f t="shared" si="27"/>
        <v>3002.2000000000003</v>
      </c>
      <c r="T158" s="156" t="s">
        <v>1486</v>
      </c>
      <c r="U158" s="2" t="s">
        <v>50</v>
      </c>
      <c r="V158" s="2" t="s">
        <v>47</v>
      </c>
      <c r="W158" s="2" t="s">
        <v>5886</v>
      </c>
      <c r="X158" s="2" t="s">
        <v>108</v>
      </c>
      <c r="Y158" s="488" t="s">
        <v>1486</v>
      </c>
      <c r="Z158" s="293">
        <f t="shared" si="20"/>
        <v>679.98337950138512</v>
      </c>
      <c r="AA158" s="293">
        <f t="shared" si="21"/>
        <v>756.85714285714312</v>
      </c>
    </row>
    <row r="159" spans="1:27" s="320" customFormat="1" x14ac:dyDescent="0.25">
      <c r="A159" s="220" t="s">
        <v>63</v>
      </c>
      <c r="B159" s="221" t="s">
        <v>4081</v>
      </c>
      <c r="C159" s="223" t="s">
        <v>1626</v>
      </c>
      <c r="D159" s="220" t="s">
        <v>119</v>
      </c>
      <c r="E159" s="222">
        <v>12</v>
      </c>
      <c r="F159" s="192">
        <v>1739</v>
      </c>
      <c r="G159" s="24">
        <v>0.2</v>
      </c>
      <c r="H159" s="24">
        <v>0.05</v>
      </c>
      <c r="I159" s="24">
        <v>0.05</v>
      </c>
      <c r="J159" s="24">
        <v>0</v>
      </c>
      <c r="K159" s="224">
        <f t="shared" si="22"/>
        <v>0.27800000000000002</v>
      </c>
      <c r="L159" s="225">
        <f t="shared" si="23"/>
        <v>28903.047091412744</v>
      </c>
      <c r="M159" s="225">
        <f t="shared" si="24"/>
        <v>2408.5872576177285</v>
      </c>
      <c r="N159" s="226">
        <f t="shared" si="25"/>
        <v>2866.2188365650968</v>
      </c>
      <c r="O159" s="34">
        <v>0.3</v>
      </c>
      <c r="P159" s="226">
        <f t="shared" si="26"/>
        <v>3726.0844875346261</v>
      </c>
      <c r="Q159" s="107" t="s">
        <v>1486</v>
      </c>
      <c r="R159" s="34">
        <v>0.3</v>
      </c>
      <c r="S159" s="226">
        <f t="shared" si="27"/>
        <v>2956.2999999999997</v>
      </c>
      <c r="T159" s="156" t="s">
        <v>1486</v>
      </c>
      <c r="U159" s="2" t="s">
        <v>50</v>
      </c>
      <c r="V159" s="2" t="s">
        <v>47</v>
      </c>
      <c r="W159" s="2" t="s">
        <v>5886</v>
      </c>
      <c r="X159" s="2" t="s">
        <v>1467</v>
      </c>
      <c r="Y159" s="488" t="s">
        <v>1486</v>
      </c>
      <c r="Z159" s="293">
        <f t="shared" si="20"/>
        <v>669.58725761772848</v>
      </c>
      <c r="AA159" s="293">
        <f t="shared" si="21"/>
        <v>745.28571428571422</v>
      </c>
    </row>
    <row r="160" spans="1:27" s="320" customFormat="1" x14ac:dyDescent="0.25">
      <c r="A160" s="220" t="s">
        <v>65</v>
      </c>
      <c r="B160" s="221" t="s">
        <v>120</v>
      </c>
      <c r="C160" s="223" t="s">
        <v>1626</v>
      </c>
      <c r="D160" s="220" t="s">
        <v>117</v>
      </c>
      <c r="E160" s="222">
        <v>12</v>
      </c>
      <c r="F160" s="192">
        <v>2610</v>
      </c>
      <c r="G160" s="24">
        <v>0.2</v>
      </c>
      <c r="H160" s="24">
        <v>0.05</v>
      </c>
      <c r="I160" s="24">
        <v>0.05</v>
      </c>
      <c r="J160" s="24">
        <v>0</v>
      </c>
      <c r="K160" s="224">
        <f t="shared" si="22"/>
        <v>0.27800000000000014</v>
      </c>
      <c r="L160" s="225">
        <f t="shared" si="23"/>
        <v>43379.501385041556</v>
      </c>
      <c r="M160" s="225">
        <f t="shared" si="24"/>
        <v>3614.958448753463</v>
      </c>
      <c r="N160" s="226">
        <f t="shared" si="25"/>
        <v>4301.8005540166205</v>
      </c>
      <c r="O160" s="34">
        <v>0.3</v>
      </c>
      <c r="P160" s="226">
        <f t="shared" si="26"/>
        <v>5592.3407202216067</v>
      </c>
      <c r="Q160" s="107" t="s">
        <v>1486</v>
      </c>
      <c r="R160" s="34">
        <v>0.3</v>
      </c>
      <c r="S160" s="226">
        <f t="shared" si="27"/>
        <v>4437</v>
      </c>
      <c r="T160" s="156" t="s">
        <v>1486</v>
      </c>
      <c r="U160" s="2" t="s">
        <v>50</v>
      </c>
      <c r="V160" s="2" t="s">
        <v>47</v>
      </c>
      <c r="W160" s="2" t="s">
        <v>5886</v>
      </c>
      <c r="X160" s="2" t="s">
        <v>108</v>
      </c>
      <c r="Y160" s="488" t="s">
        <v>1486</v>
      </c>
      <c r="Z160" s="293">
        <f t="shared" si="20"/>
        <v>1004.958448753463</v>
      </c>
      <c r="AA160" s="293">
        <f t="shared" si="21"/>
        <v>1118.5714285714289</v>
      </c>
    </row>
    <row r="161" spans="1:27" s="320" customFormat="1" x14ac:dyDescent="0.25">
      <c r="A161" s="220" t="s">
        <v>67</v>
      </c>
      <c r="B161" s="221" t="s">
        <v>4089</v>
      </c>
      <c r="C161" s="223" t="s">
        <v>1626</v>
      </c>
      <c r="D161" s="220" t="s">
        <v>117</v>
      </c>
      <c r="E161" s="222">
        <v>12</v>
      </c>
      <c r="F161" s="192">
        <v>1928</v>
      </c>
      <c r="G161" s="24">
        <v>0.2</v>
      </c>
      <c r="H161" s="24">
        <v>0.05</v>
      </c>
      <c r="I161" s="24">
        <v>0.05</v>
      </c>
      <c r="J161" s="24">
        <v>0</v>
      </c>
      <c r="K161" s="224">
        <f t="shared" si="22"/>
        <v>0.27800000000000014</v>
      </c>
      <c r="L161" s="225">
        <f t="shared" si="23"/>
        <v>32044.321329639894</v>
      </c>
      <c r="M161" s="225">
        <f t="shared" si="24"/>
        <v>2670.3601108033245</v>
      </c>
      <c r="N161" s="226">
        <f t="shared" si="25"/>
        <v>3177.7285318559561</v>
      </c>
      <c r="O161" s="34">
        <v>0.3</v>
      </c>
      <c r="P161" s="226">
        <f t="shared" si="26"/>
        <v>4131.0470914127427</v>
      </c>
      <c r="Q161" s="107" t="s">
        <v>1486</v>
      </c>
      <c r="R161" s="34">
        <v>0.3</v>
      </c>
      <c r="S161" s="226">
        <f t="shared" si="27"/>
        <v>3277.6000000000004</v>
      </c>
      <c r="T161" s="156" t="s">
        <v>1486</v>
      </c>
      <c r="U161" s="2" t="s">
        <v>50</v>
      </c>
      <c r="V161" s="2" t="s">
        <v>47</v>
      </c>
      <c r="W161" s="2" t="s">
        <v>5886</v>
      </c>
      <c r="X161" s="2" t="s">
        <v>108</v>
      </c>
      <c r="Y161" s="488" t="s">
        <v>1486</v>
      </c>
      <c r="Z161" s="293">
        <f t="shared" si="20"/>
        <v>742.36011080332446</v>
      </c>
      <c r="AA161" s="293">
        <f t="shared" si="21"/>
        <v>826.28571428571468</v>
      </c>
    </row>
    <row r="162" spans="1:27" s="320" customFormat="1" x14ac:dyDescent="0.25">
      <c r="A162" s="220" t="s">
        <v>69</v>
      </c>
      <c r="B162" s="221" t="s">
        <v>121</v>
      </c>
      <c r="C162" s="223" t="s">
        <v>1626</v>
      </c>
      <c r="D162" s="220" t="s">
        <v>117</v>
      </c>
      <c r="E162" s="222">
        <v>6</v>
      </c>
      <c r="F162" s="192">
        <v>3390</v>
      </c>
      <c r="G162" s="24">
        <v>0.2</v>
      </c>
      <c r="H162" s="24">
        <v>0.05</v>
      </c>
      <c r="I162" s="24">
        <v>0.05</v>
      </c>
      <c r="J162" s="24">
        <v>0</v>
      </c>
      <c r="K162" s="224">
        <f t="shared" si="22"/>
        <v>0.27800000000000014</v>
      </c>
      <c r="L162" s="225">
        <f t="shared" si="23"/>
        <v>28171.745152354575</v>
      </c>
      <c r="M162" s="225">
        <f t="shared" si="24"/>
        <v>4695.2908587257625</v>
      </c>
      <c r="N162" s="226">
        <f t="shared" si="25"/>
        <v>5587.3961218836575</v>
      </c>
      <c r="O162" s="34">
        <v>0.3</v>
      </c>
      <c r="P162" s="226">
        <f t="shared" si="26"/>
        <v>7263.6149584487548</v>
      </c>
      <c r="Q162" s="107" t="s">
        <v>1486</v>
      </c>
      <c r="R162" s="34">
        <v>0.3</v>
      </c>
      <c r="S162" s="226">
        <f t="shared" si="27"/>
        <v>5763</v>
      </c>
      <c r="T162" s="156" t="s">
        <v>1486</v>
      </c>
      <c r="U162" s="2" t="s">
        <v>50</v>
      </c>
      <c r="V162" s="2" t="s">
        <v>47</v>
      </c>
      <c r="W162" s="2" t="s">
        <v>5886</v>
      </c>
      <c r="X162" s="2" t="s">
        <v>108</v>
      </c>
      <c r="Y162" s="488" t="s">
        <v>1486</v>
      </c>
      <c r="Z162" s="293">
        <f t="shared" si="20"/>
        <v>1305.2908587257625</v>
      </c>
      <c r="AA162" s="293">
        <f t="shared" si="21"/>
        <v>1452.8571428571431</v>
      </c>
    </row>
    <row r="163" spans="1:27" s="320" customFormat="1" x14ac:dyDescent="0.25">
      <c r="A163" s="220" t="s">
        <v>71</v>
      </c>
      <c r="B163" s="221" t="s">
        <v>122</v>
      </c>
      <c r="C163" s="223" t="s">
        <v>1626</v>
      </c>
      <c r="D163" s="220" t="s">
        <v>117</v>
      </c>
      <c r="E163" s="222">
        <v>12</v>
      </c>
      <c r="F163" s="192">
        <v>1766</v>
      </c>
      <c r="G163" s="24">
        <v>0.2</v>
      </c>
      <c r="H163" s="24">
        <v>0.05</v>
      </c>
      <c r="I163" s="24">
        <v>0.05</v>
      </c>
      <c r="J163" s="24">
        <v>0</v>
      </c>
      <c r="K163" s="224">
        <f t="shared" si="22"/>
        <v>0.27800000000000002</v>
      </c>
      <c r="L163" s="225">
        <f t="shared" si="23"/>
        <v>29351.80055401662</v>
      </c>
      <c r="M163" s="225">
        <f t="shared" si="24"/>
        <v>2445.9833795013851</v>
      </c>
      <c r="N163" s="226">
        <f t="shared" si="25"/>
        <v>2910.720221606648</v>
      </c>
      <c r="O163" s="34">
        <v>0.3</v>
      </c>
      <c r="P163" s="226">
        <f t="shared" si="26"/>
        <v>3783.9362880886424</v>
      </c>
      <c r="Q163" s="107" t="s">
        <v>1486</v>
      </c>
      <c r="R163" s="34">
        <v>0.32</v>
      </c>
      <c r="S163" s="226">
        <f t="shared" si="27"/>
        <v>3090.5000000000005</v>
      </c>
      <c r="T163" s="156" t="s">
        <v>1486</v>
      </c>
      <c r="U163" s="2" t="s">
        <v>50</v>
      </c>
      <c r="V163" s="2" t="s">
        <v>47</v>
      </c>
      <c r="W163" s="2" t="s">
        <v>5886</v>
      </c>
      <c r="X163" s="2" t="s">
        <v>108</v>
      </c>
      <c r="Y163" s="488" t="s">
        <v>1486</v>
      </c>
      <c r="Z163" s="293">
        <f t="shared" si="20"/>
        <v>679.98337950138512</v>
      </c>
      <c r="AA163" s="293">
        <f t="shared" si="21"/>
        <v>831.05882352941217</v>
      </c>
    </row>
    <row r="164" spans="1:27" s="320" customFormat="1" x14ac:dyDescent="0.25">
      <c r="A164" s="220" t="s">
        <v>73</v>
      </c>
      <c r="B164" s="221" t="s">
        <v>123</v>
      </c>
      <c r="C164" s="223" t="s">
        <v>1626</v>
      </c>
      <c r="D164" s="220" t="s">
        <v>117</v>
      </c>
      <c r="E164" s="222">
        <v>12</v>
      </c>
      <c r="F164" s="192">
        <v>899</v>
      </c>
      <c r="G164" s="24">
        <v>0.2</v>
      </c>
      <c r="H164" s="24">
        <v>0.05</v>
      </c>
      <c r="I164" s="24">
        <v>0.05</v>
      </c>
      <c r="J164" s="24">
        <v>0</v>
      </c>
      <c r="K164" s="224">
        <f t="shared" si="22"/>
        <v>0.27800000000000014</v>
      </c>
      <c r="L164" s="225">
        <f t="shared" si="23"/>
        <v>14941.828254847647</v>
      </c>
      <c r="M164" s="225">
        <f t="shared" si="24"/>
        <v>1245.1523545706373</v>
      </c>
      <c r="N164" s="226">
        <f t="shared" si="25"/>
        <v>1481.7313019390583</v>
      </c>
      <c r="O164" s="34">
        <v>0.3</v>
      </c>
      <c r="P164" s="226">
        <f t="shared" si="26"/>
        <v>1926.2506925207758</v>
      </c>
      <c r="Q164" s="107" t="s">
        <v>1486</v>
      </c>
      <c r="R164" s="34">
        <v>0.3</v>
      </c>
      <c r="S164" s="226">
        <f t="shared" si="27"/>
        <v>1528.3000000000002</v>
      </c>
      <c r="T164" s="156" t="s">
        <v>1486</v>
      </c>
      <c r="U164" s="2" t="s">
        <v>50</v>
      </c>
      <c r="V164" s="2" t="s">
        <v>47</v>
      </c>
      <c r="W164" s="2" t="s">
        <v>5886</v>
      </c>
      <c r="X164" s="2" t="s">
        <v>108</v>
      </c>
      <c r="Y164" s="488" t="s">
        <v>1486</v>
      </c>
      <c r="Z164" s="293">
        <f t="shared" si="20"/>
        <v>346.15235457063727</v>
      </c>
      <c r="AA164" s="293">
        <f t="shared" si="21"/>
        <v>385.28571428571445</v>
      </c>
    </row>
    <row r="165" spans="1:27" s="320" customFormat="1" x14ac:dyDescent="0.25">
      <c r="A165" s="220" t="s">
        <v>75</v>
      </c>
      <c r="B165" s="221" t="s">
        <v>124</v>
      </c>
      <c r="C165" s="223" t="s">
        <v>1626</v>
      </c>
      <c r="D165" s="220" t="s">
        <v>117</v>
      </c>
      <c r="E165" s="222">
        <v>12</v>
      </c>
      <c r="F165" s="192">
        <v>1766</v>
      </c>
      <c r="G165" s="24">
        <v>0.2</v>
      </c>
      <c r="H165" s="24">
        <v>0.05</v>
      </c>
      <c r="I165" s="24">
        <v>0.05</v>
      </c>
      <c r="J165" s="24">
        <v>0</v>
      </c>
      <c r="K165" s="224">
        <f t="shared" si="22"/>
        <v>0.27800000000000002</v>
      </c>
      <c r="L165" s="225">
        <f t="shared" si="23"/>
        <v>29351.80055401662</v>
      </c>
      <c r="M165" s="225">
        <f t="shared" si="24"/>
        <v>2445.9833795013851</v>
      </c>
      <c r="N165" s="226">
        <f t="shared" si="25"/>
        <v>2910.720221606648</v>
      </c>
      <c r="O165" s="34">
        <v>0.3</v>
      </c>
      <c r="P165" s="226">
        <f t="shared" si="26"/>
        <v>3783.9362880886424</v>
      </c>
      <c r="Q165" s="107" t="s">
        <v>1486</v>
      </c>
      <c r="R165" s="34">
        <v>0.3</v>
      </c>
      <c r="S165" s="226">
        <f t="shared" si="27"/>
        <v>3002.2000000000003</v>
      </c>
      <c r="T165" s="156" t="s">
        <v>1486</v>
      </c>
      <c r="U165" s="2" t="s">
        <v>50</v>
      </c>
      <c r="V165" s="2" t="s">
        <v>47</v>
      </c>
      <c r="W165" s="2" t="s">
        <v>5886</v>
      </c>
      <c r="X165" s="2" t="s">
        <v>108</v>
      </c>
      <c r="Y165" s="488" t="s">
        <v>1486</v>
      </c>
      <c r="Z165" s="293">
        <f t="shared" si="20"/>
        <v>679.98337950138512</v>
      </c>
      <c r="AA165" s="293">
        <f t="shared" si="21"/>
        <v>756.85714285714312</v>
      </c>
    </row>
    <row r="166" spans="1:27" s="320" customFormat="1" x14ac:dyDescent="0.25">
      <c r="A166" s="220" t="s">
        <v>77</v>
      </c>
      <c r="B166" s="221" t="s">
        <v>4080</v>
      </c>
      <c r="C166" s="223" t="s">
        <v>1626</v>
      </c>
      <c r="D166" s="220" t="s">
        <v>117</v>
      </c>
      <c r="E166" s="222">
        <v>12</v>
      </c>
      <c r="F166" s="192">
        <v>1908</v>
      </c>
      <c r="G166" s="24">
        <v>0.2</v>
      </c>
      <c r="H166" s="24">
        <v>0.05</v>
      </c>
      <c r="I166" s="24">
        <v>0.05</v>
      </c>
      <c r="J166" s="24">
        <v>0</v>
      </c>
      <c r="K166" s="224">
        <f t="shared" si="22"/>
        <v>0.27800000000000014</v>
      </c>
      <c r="L166" s="225">
        <f t="shared" si="23"/>
        <v>31711.911357340723</v>
      </c>
      <c r="M166" s="225">
        <f t="shared" si="24"/>
        <v>2642.6592797783937</v>
      </c>
      <c r="N166" s="226">
        <f t="shared" si="25"/>
        <v>3144.7645429362883</v>
      </c>
      <c r="O166" s="34">
        <v>0.3</v>
      </c>
      <c r="P166" s="226">
        <f t="shared" si="26"/>
        <v>4088.1939058171752</v>
      </c>
      <c r="Q166" s="107" t="s">
        <v>1486</v>
      </c>
      <c r="R166" s="34">
        <v>0.3</v>
      </c>
      <c r="S166" s="226">
        <f t="shared" si="27"/>
        <v>3243.6</v>
      </c>
      <c r="T166" s="156" t="s">
        <v>1486</v>
      </c>
      <c r="U166" s="2" t="s">
        <v>50</v>
      </c>
      <c r="V166" s="2" t="s">
        <v>47</v>
      </c>
      <c r="W166" s="2" t="s">
        <v>5886</v>
      </c>
      <c r="X166" s="2" t="s">
        <v>108</v>
      </c>
      <c r="Y166" s="488" t="s">
        <v>1486</v>
      </c>
      <c r="Z166" s="293">
        <f t="shared" si="20"/>
        <v>734.65927977839374</v>
      </c>
      <c r="AA166" s="293">
        <f t="shared" si="21"/>
        <v>817.71428571428578</v>
      </c>
    </row>
    <row r="167" spans="1:27" s="320" customFormat="1" x14ac:dyDescent="0.25">
      <c r="A167" s="220" t="s">
        <v>79</v>
      </c>
      <c r="B167" s="221" t="s">
        <v>4078</v>
      </c>
      <c r="C167" s="223" t="s">
        <v>1626</v>
      </c>
      <c r="D167" s="220" t="s">
        <v>119</v>
      </c>
      <c r="E167" s="222">
        <v>12</v>
      </c>
      <c r="F167" s="192">
        <v>1739</v>
      </c>
      <c r="G167" s="24">
        <v>0.2</v>
      </c>
      <c r="H167" s="24">
        <v>0.05</v>
      </c>
      <c r="I167" s="24">
        <v>0.05</v>
      </c>
      <c r="J167" s="24">
        <v>0</v>
      </c>
      <c r="K167" s="224">
        <f t="shared" si="22"/>
        <v>0.27800000000000002</v>
      </c>
      <c r="L167" s="225">
        <f t="shared" si="23"/>
        <v>28903.047091412744</v>
      </c>
      <c r="M167" s="225">
        <f t="shared" si="24"/>
        <v>2408.5872576177285</v>
      </c>
      <c r="N167" s="226">
        <f t="shared" si="25"/>
        <v>2866.2188365650968</v>
      </c>
      <c r="O167" s="34">
        <v>0.3</v>
      </c>
      <c r="P167" s="226">
        <f t="shared" si="26"/>
        <v>3726.0844875346261</v>
      </c>
      <c r="Q167" s="107" t="s">
        <v>1486</v>
      </c>
      <c r="R167" s="34">
        <v>0.3</v>
      </c>
      <c r="S167" s="226">
        <f t="shared" si="27"/>
        <v>2956.2999999999997</v>
      </c>
      <c r="T167" s="156" t="s">
        <v>1486</v>
      </c>
      <c r="U167" s="2" t="s">
        <v>50</v>
      </c>
      <c r="V167" s="2" t="s">
        <v>47</v>
      </c>
      <c r="W167" s="2" t="s">
        <v>5886</v>
      </c>
      <c r="X167" s="2" t="s">
        <v>1467</v>
      </c>
      <c r="Y167" s="488" t="s">
        <v>1486</v>
      </c>
      <c r="Z167" s="293">
        <f t="shared" si="20"/>
        <v>669.58725761772848</v>
      </c>
      <c r="AA167" s="293">
        <f t="shared" si="21"/>
        <v>745.28571428571422</v>
      </c>
    </row>
    <row r="168" spans="1:27" s="320" customFormat="1" x14ac:dyDescent="0.25">
      <c r="A168" s="220" t="s">
        <v>81</v>
      </c>
      <c r="B168" s="221" t="s">
        <v>125</v>
      </c>
      <c r="C168" s="223" t="s">
        <v>1626</v>
      </c>
      <c r="D168" s="220" t="s">
        <v>112</v>
      </c>
      <c r="E168" s="222">
        <v>12</v>
      </c>
      <c r="F168" s="192">
        <v>1433</v>
      </c>
      <c r="G168" s="24">
        <v>0.2</v>
      </c>
      <c r="H168" s="24">
        <v>0.05</v>
      </c>
      <c r="I168" s="24">
        <v>0.05</v>
      </c>
      <c r="J168" s="24">
        <v>0</v>
      </c>
      <c r="K168" s="224">
        <f t="shared" si="22"/>
        <v>0.27800000000000002</v>
      </c>
      <c r="L168" s="225">
        <f t="shared" si="23"/>
        <v>23817.17451523546</v>
      </c>
      <c r="M168" s="225">
        <f t="shared" si="24"/>
        <v>1984.7645429362883</v>
      </c>
      <c r="N168" s="226">
        <f t="shared" si="25"/>
        <v>2361.8698060941829</v>
      </c>
      <c r="O168" s="34">
        <v>0.3</v>
      </c>
      <c r="P168" s="226">
        <f t="shared" si="26"/>
        <v>3070.4307479224381</v>
      </c>
      <c r="Q168" s="107" t="s">
        <v>1486</v>
      </c>
      <c r="R168" s="34">
        <v>0.3</v>
      </c>
      <c r="S168" s="226">
        <f t="shared" si="27"/>
        <v>2436.1</v>
      </c>
      <c r="T168" s="156" t="s">
        <v>1486</v>
      </c>
      <c r="U168" s="2" t="s">
        <v>109</v>
      </c>
      <c r="V168" s="2" t="s">
        <v>47</v>
      </c>
      <c r="W168" s="2" t="s">
        <v>5886</v>
      </c>
      <c r="X168" s="2"/>
      <c r="Y168" s="488" t="s">
        <v>1486</v>
      </c>
      <c r="Z168" s="293">
        <f t="shared" si="20"/>
        <v>551.76454293628831</v>
      </c>
      <c r="AA168" s="293">
        <f t="shared" si="21"/>
        <v>614.14285714285711</v>
      </c>
    </row>
    <row r="169" spans="1:27" s="320" customFormat="1" x14ac:dyDescent="0.25">
      <c r="A169" s="220" t="s">
        <v>83</v>
      </c>
      <c r="B169" s="221" t="s">
        <v>126</v>
      </c>
      <c r="C169" s="223" t="s">
        <v>1626</v>
      </c>
      <c r="D169" s="220" t="s">
        <v>112</v>
      </c>
      <c r="E169" s="222">
        <v>12</v>
      </c>
      <c r="F169" s="192">
        <v>1433</v>
      </c>
      <c r="G169" s="24">
        <v>0.2</v>
      </c>
      <c r="H169" s="24">
        <v>0.05</v>
      </c>
      <c r="I169" s="24">
        <v>0.05</v>
      </c>
      <c r="J169" s="24">
        <v>0</v>
      </c>
      <c r="K169" s="224">
        <f t="shared" si="22"/>
        <v>0.27800000000000002</v>
      </c>
      <c r="L169" s="225">
        <f t="shared" si="23"/>
        <v>23817.17451523546</v>
      </c>
      <c r="M169" s="225">
        <f t="shared" si="24"/>
        <v>1984.7645429362883</v>
      </c>
      <c r="N169" s="226">
        <f t="shared" si="25"/>
        <v>2361.8698060941829</v>
      </c>
      <c r="O169" s="34">
        <v>0.3</v>
      </c>
      <c r="P169" s="226">
        <f t="shared" si="26"/>
        <v>3070.4307479224381</v>
      </c>
      <c r="Q169" s="107" t="s">
        <v>1486</v>
      </c>
      <c r="R169" s="34">
        <v>0.3</v>
      </c>
      <c r="S169" s="226">
        <f t="shared" si="27"/>
        <v>2436.1</v>
      </c>
      <c r="T169" s="156" t="s">
        <v>1486</v>
      </c>
      <c r="U169" s="2" t="s">
        <v>109</v>
      </c>
      <c r="V169" s="2" t="s">
        <v>47</v>
      </c>
      <c r="W169" s="2" t="s">
        <v>5886</v>
      </c>
      <c r="X169" s="2"/>
      <c r="Y169" s="488" t="s">
        <v>1486</v>
      </c>
      <c r="Z169" s="293">
        <f t="shared" si="20"/>
        <v>551.76454293628831</v>
      </c>
      <c r="AA169" s="293">
        <f t="shared" si="21"/>
        <v>614.14285714285711</v>
      </c>
    </row>
    <row r="170" spans="1:27" s="320" customFormat="1" x14ac:dyDescent="0.25">
      <c r="A170" s="220" t="s">
        <v>85</v>
      </c>
      <c r="B170" s="221" t="s">
        <v>127</v>
      </c>
      <c r="C170" s="223" t="s">
        <v>1626</v>
      </c>
      <c r="D170" s="220" t="s">
        <v>112</v>
      </c>
      <c r="E170" s="222">
        <v>12</v>
      </c>
      <c r="F170" s="192">
        <v>1433</v>
      </c>
      <c r="G170" s="24">
        <v>0.2</v>
      </c>
      <c r="H170" s="24">
        <v>0.05</v>
      </c>
      <c r="I170" s="24">
        <v>0.05</v>
      </c>
      <c r="J170" s="24">
        <v>0</v>
      </c>
      <c r="K170" s="224">
        <f t="shared" si="22"/>
        <v>0.27800000000000002</v>
      </c>
      <c r="L170" s="225">
        <f t="shared" si="23"/>
        <v>23817.17451523546</v>
      </c>
      <c r="M170" s="225">
        <f t="shared" si="24"/>
        <v>1984.7645429362883</v>
      </c>
      <c r="N170" s="226">
        <f t="shared" si="25"/>
        <v>2361.8698060941829</v>
      </c>
      <c r="O170" s="34">
        <v>0.3</v>
      </c>
      <c r="P170" s="226">
        <f t="shared" si="26"/>
        <v>3070.4307479224381</v>
      </c>
      <c r="Q170" s="107" t="s">
        <v>1486</v>
      </c>
      <c r="R170" s="34">
        <v>0.3</v>
      </c>
      <c r="S170" s="226">
        <f t="shared" si="27"/>
        <v>2436.1</v>
      </c>
      <c r="T170" s="156" t="s">
        <v>1486</v>
      </c>
      <c r="U170" s="2" t="s">
        <v>109</v>
      </c>
      <c r="V170" s="2" t="s">
        <v>47</v>
      </c>
      <c r="W170" s="2" t="s">
        <v>5886</v>
      </c>
      <c r="X170" s="2"/>
      <c r="Y170" s="488" t="s">
        <v>1486</v>
      </c>
      <c r="Z170" s="293">
        <f t="shared" si="20"/>
        <v>551.76454293628831</v>
      </c>
      <c r="AA170" s="293">
        <f t="shared" si="21"/>
        <v>614.14285714285711</v>
      </c>
    </row>
    <row r="171" spans="1:27" s="320" customFormat="1" x14ac:dyDescent="0.25">
      <c r="A171" s="220" t="s">
        <v>87</v>
      </c>
      <c r="B171" s="221" t="s">
        <v>4082</v>
      </c>
      <c r="C171" s="223" t="s">
        <v>1626</v>
      </c>
      <c r="D171" s="220" t="s">
        <v>119</v>
      </c>
      <c r="E171" s="222">
        <v>12</v>
      </c>
      <c r="F171" s="192">
        <v>1395</v>
      </c>
      <c r="G171" s="24">
        <v>0.2</v>
      </c>
      <c r="H171" s="24">
        <v>0.05</v>
      </c>
      <c r="I171" s="24">
        <v>0.05</v>
      </c>
      <c r="J171" s="24">
        <v>0</v>
      </c>
      <c r="K171" s="224">
        <f t="shared" si="22"/>
        <v>0.27800000000000002</v>
      </c>
      <c r="L171" s="225">
        <f t="shared" si="23"/>
        <v>23185.595567867036</v>
      </c>
      <c r="M171" s="225">
        <f t="shared" si="24"/>
        <v>1932.1329639889198</v>
      </c>
      <c r="N171" s="226">
        <f t="shared" si="25"/>
        <v>2299.2382271468146</v>
      </c>
      <c r="O171" s="34">
        <v>0.3</v>
      </c>
      <c r="P171" s="226">
        <f t="shared" si="26"/>
        <v>2989.0096952908589</v>
      </c>
      <c r="Q171" s="107" t="s">
        <v>1486</v>
      </c>
      <c r="R171" s="34">
        <v>0.3</v>
      </c>
      <c r="S171" s="226">
        <f t="shared" si="27"/>
        <v>2371.5</v>
      </c>
      <c r="T171" s="156" t="s">
        <v>1486</v>
      </c>
      <c r="U171" s="2" t="s">
        <v>109</v>
      </c>
      <c r="V171" s="2" t="s">
        <v>47</v>
      </c>
      <c r="W171" s="2" t="s">
        <v>5886</v>
      </c>
      <c r="X171" s="2" t="s">
        <v>1467</v>
      </c>
      <c r="Y171" s="488" t="s">
        <v>1486</v>
      </c>
      <c r="Z171" s="293">
        <f t="shared" si="20"/>
        <v>537.13296398891976</v>
      </c>
      <c r="AA171" s="293">
        <f t="shared" si="21"/>
        <v>597.85714285714289</v>
      </c>
    </row>
    <row r="172" spans="1:27" s="320" customFormat="1" x14ac:dyDescent="0.25">
      <c r="A172" s="220" t="s">
        <v>91</v>
      </c>
      <c r="B172" s="221" t="s">
        <v>129</v>
      </c>
      <c r="C172" s="223" t="s">
        <v>1626</v>
      </c>
      <c r="D172" s="220" t="s">
        <v>112</v>
      </c>
      <c r="E172" s="222">
        <v>12</v>
      </c>
      <c r="F172" s="192">
        <v>1166</v>
      </c>
      <c r="G172" s="24">
        <v>0.2</v>
      </c>
      <c r="H172" s="24">
        <v>0.05</v>
      </c>
      <c r="I172" s="24">
        <v>0.05</v>
      </c>
      <c r="J172" s="24">
        <v>0</v>
      </c>
      <c r="K172" s="224">
        <f t="shared" si="22"/>
        <v>0.27800000000000014</v>
      </c>
      <c r="L172" s="225">
        <f t="shared" si="23"/>
        <v>19379.501385041553</v>
      </c>
      <c r="M172" s="225">
        <f t="shared" si="24"/>
        <v>1614.9584487534628</v>
      </c>
      <c r="N172" s="226">
        <f t="shared" si="25"/>
        <v>1921.8005540166207</v>
      </c>
      <c r="O172" s="34">
        <v>0.3</v>
      </c>
      <c r="P172" s="226">
        <f t="shared" si="26"/>
        <v>2498.3407202216072</v>
      </c>
      <c r="Q172" s="107" t="s">
        <v>1486</v>
      </c>
      <c r="R172" s="34">
        <v>0.3</v>
      </c>
      <c r="S172" s="226">
        <f t="shared" si="27"/>
        <v>1982.2</v>
      </c>
      <c r="T172" s="156" t="s">
        <v>1486</v>
      </c>
      <c r="U172" s="2" t="s">
        <v>109</v>
      </c>
      <c r="V172" s="2" t="s">
        <v>47</v>
      </c>
      <c r="W172" s="2" t="s">
        <v>5886</v>
      </c>
      <c r="X172" s="2"/>
      <c r="Y172" s="488" t="s">
        <v>1486</v>
      </c>
      <c r="Z172" s="293">
        <f t="shared" si="20"/>
        <v>448.95844875346279</v>
      </c>
      <c r="AA172" s="293">
        <f t="shared" si="21"/>
        <v>499.71428571428578</v>
      </c>
    </row>
    <row r="173" spans="1:27" s="320" customFormat="1" x14ac:dyDescent="0.25">
      <c r="A173" s="220" t="s">
        <v>92</v>
      </c>
      <c r="B173" s="221" t="s">
        <v>131</v>
      </c>
      <c r="C173" s="223" t="s">
        <v>1626</v>
      </c>
      <c r="D173" s="220" t="s">
        <v>112</v>
      </c>
      <c r="E173" s="222">
        <v>12</v>
      </c>
      <c r="F173" s="192">
        <v>1166</v>
      </c>
      <c r="G173" s="24">
        <v>0.2</v>
      </c>
      <c r="H173" s="24">
        <v>0.05</v>
      </c>
      <c r="I173" s="24">
        <v>0.05</v>
      </c>
      <c r="J173" s="24">
        <v>0</v>
      </c>
      <c r="K173" s="224">
        <f t="shared" si="22"/>
        <v>0.27800000000000014</v>
      </c>
      <c r="L173" s="225">
        <f t="shared" si="23"/>
        <v>19379.501385041553</v>
      </c>
      <c r="M173" s="225">
        <f t="shared" si="24"/>
        <v>1614.9584487534628</v>
      </c>
      <c r="N173" s="226">
        <f t="shared" si="25"/>
        <v>1921.8005540166207</v>
      </c>
      <c r="O173" s="34">
        <v>0.3</v>
      </c>
      <c r="P173" s="226">
        <f t="shared" si="26"/>
        <v>2498.3407202216072</v>
      </c>
      <c r="Q173" s="107" t="s">
        <v>1486</v>
      </c>
      <c r="R173" s="34">
        <v>0.3</v>
      </c>
      <c r="S173" s="226">
        <f t="shared" si="27"/>
        <v>1982.2</v>
      </c>
      <c r="T173" s="156" t="s">
        <v>1486</v>
      </c>
      <c r="U173" s="2" t="s">
        <v>109</v>
      </c>
      <c r="V173" s="2" t="s">
        <v>47</v>
      </c>
      <c r="W173" s="2" t="s">
        <v>5886</v>
      </c>
      <c r="X173" s="2"/>
      <c r="Y173" s="488" t="s">
        <v>1486</v>
      </c>
      <c r="Z173" s="293">
        <f t="shared" si="20"/>
        <v>448.95844875346279</v>
      </c>
      <c r="AA173" s="293">
        <f t="shared" si="21"/>
        <v>499.71428571428578</v>
      </c>
    </row>
    <row r="174" spans="1:27" s="320" customFormat="1" x14ac:dyDescent="0.25">
      <c r="A174" s="220" t="s">
        <v>93</v>
      </c>
      <c r="B174" s="221" t="s">
        <v>133</v>
      </c>
      <c r="C174" s="223" t="s">
        <v>1626</v>
      </c>
      <c r="D174" s="220" t="s">
        <v>112</v>
      </c>
      <c r="E174" s="222">
        <v>12</v>
      </c>
      <c r="F174" s="192">
        <v>1166</v>
      </c>
      <c r="G174" s="24">
        <v>0.2</v>
      </c>
      <c r="H174" s="24">
        <v>0.05</v>
      </c>
      <c r="I174" s="24">
        <v>0.05</v>
      </c>
      <c r="J174" s="24">
        <v>0</v>
      </c>
      <c r="K174" s="224">
        <f t="shared" si="22"/>
        <v>0.27800000000000014</v>
      </c>
      <c r="L174" s="225">
        <f t="shared" si="23"/>
        <v>19379.501385041553</v>
      </c>
      <c r="M174" s="225">
        <f t="shared" si="24"/>
        <v>1614.9584487534628</v>
      </c>
      <c r="N174" s="226">
        <f t="shared" si="25"/>
        <v>1921.8005540166207</v>
      </c>
      <c r="O174" s="34">
        <v>0.3</v>
      </c>
      <c r="P174" s="226">
        <f t="shared" si="26"/>
        <v>2498.3407202216072</v>
      </c>
      <c r="Q174" s="107" t="s">
        <v>1486</v>
      </c>
      <c r="R174" s="34">
        <v>0.3</v>
      </c>
      <c r="S174" s="226">
        <f t="shared" si="27"/>
        <v>1982.2</v>
      </c>
      <c r="T174" s="156" t="s">
        <v>1486</v>
      </c>
      <c r="U174" s="2" t="s">
        <v>109</v>
      </c>
      <c r="V174" s="2" t="s">
        <v>47</v>
      </c>
      <c r="W174" s="2" t="s">
        <v>5886</v>
      </c>
      <c r="X174" s="2"/>
      <c r="Y174" s="488" t="s">
        <v>1486</v>
      </c>
      <c r="Z174" s="293">
        <f t="shared" si="20"/>
        <v>448.95844875346279</v>
      </c>
      <c r="AA174" s="293">
        <f t="shared" si="21"/>
        <v>499.71428571428578</v>
      </c>
    </row>
    <row r="175" spans="1:27" s="320" customFormat="1" x14ac:dyDescent="0.25">
      <c r="A175" s="220" t="s">
        <v>96</v>
      </c>
      <c r="B175" s="221" t="s">
        <v>135</v>
      </c>
      <c r="C175" s="223" t="s">
        <v>1626</v>
      </c>
      <c r="D175" s="220" t="s">
        <v>136</v>
      </c>
      <c r="E175" s="222">
        <v>24</v>
      </c>
      <c r="F175" s="192">
        <v>1199</v>
      </c>
      <c r="G175" s="24">
        <v>0.2</v>
      </c>
      <c r="H175" s="24">
        <v>0.05</v>
      </c>
      <c r="I175" s="24">
        <v>0.05</v>
      </c>
      <c r="J175" s="24">
        <v>0</v>
      </c>
      <c r="K175" s="224">
        <f t="shared" si="22"/>
        <v>0.27800000000000014</v>
      </c>
      <c r="L175" s="225">
        <f t="shared" si="23"/>
        <v>39855.955678670362</v>
      </c>
      <c r="M175" s="225">
        <f t="shared" si="24"/>
        <v>1660.6648199445985</v>
      </c>
      <c r="N175" s="226">
        <f t="shared" si="25"/>
        <v>1976.1911357340721</v>
      </c>
      <c r="O175" s="34">
        <v>0.3</v>
      </c>
      <c r="P175" s="226">
        <f t="shared" si="26"/>
        <v>2569.0484764542939</v>
      </c>
      <c r="Q175" s="107" t="s">
        <v>1486</v>
      </c>
      <c r="R175" s="34">
        <v>0.3</v>
      </c>
      <c r="S175" s="226">
        <f t="shared" si="27"/>
        <v>2038.3</v>
      </c>
      <c r="T175" s="156" t="s">
        <v>1486</v>
      </c>
      <c r="U175" s="2" t="s">
        <v>50</v>
      </c>
      <c r="V175" s="2" t="s">
        <v>47</v>
      </c>
      <c r="W175" s="2" t="s">
        <v>5886</v>
      </c>
      <c r="X175" s="2"/>
      <c r="Y175" s="488" t="s">
        <v>1486</v>
      </c>
      <c r="Z175" s="293">
        <f t="shared" si="20"/>
        <v>461.66481994459855</v>
      </c>
      <c r="AA175" s="293">
        <f t="shared" si="21"/>
        <v>513.85714285714289</v>
      </c>
    </row>
    <row r="176" spans="1:27" s="320" customFormat="1" x14ac:dyDescent="0.25">
      <c r="A176" s="220" t="s">
        <v>97</v>
      </c>
      <c r="B176" s="221" t="s">
        <v>138</v>
      </c>
      <c r="C176" s="223" t="s">
        <v>1626</v>
      </c>
      <c r="D176" s="220" t="s">
        <v>136</v>
      </c>
      <c r="E176" s="222">
        <v>24</v>
      </c>
      <c r="F176" s="192">
        <v>1918</v>
      </c>
      <c r="G176" s="24">
        <v>0.2</v>
      </c>
      <c r="H176" s="24">
        <v>0.05</v>
      </c>
      <c r="I176" s="24">
        <v>0.05</v>
      </c>
      <c r="J176" s="24">
        <v>0</v>
      </c>
      <c r="K176" s="224">
        <f t="shared" si="22"/>
        <v>0.27800000000000002</v>
      </c>
      <c r="L176" s="225">
        <f t="shared" si="23"/>
        <v>63756.232686980613</v>
      </c>
      <c r="M176" s="225">
        <f t="shared" si="24"/>
        <v>2656.5096952908589</v>
      </c>
      <c r="N176" s="226">
        <f t="shared" si="25"/>
        <v>3161.2465373961218</v>
      </c>
      <c r="O176" s="34">
        <v>0.3</v>
      </c>
      <c r="P176" s="226">
        <f t="shared" si="26"/>
        <v>4109.6204986149587</v>
      </c>
      <c r="Q176" s="107" t="s">
        <v>1486</v>
      </c>
      <c r="R176" s="34">
        <v>0.3</v>
      </c>
      <c r="S176" s="226">
        <f t="shared" si="27"/>
        <v>3260.6</v>
      </c>
      <c r="T176" s="156" t="s">
        <v>1486</v>
      </c>
      <c r="U176" s="2" t="s">
        <v>50</v>
      </c>
      <c r="V176" s="2" t="s">
        <v>47</v>
      </c>
      <c r="W176" s="2" t="s">
        <v>5886</v>
      </c>
      <c r="X176" s="2"/>
      <c r="Y176" s="488" t="s">
        <v>1486</v>
      </c>
      <c r="Z176" s="293">
        <f t="shared" si="20"/>
        <v>738.50969529085887</v>
      </c>
      <c r="AA176" s="293">
        <f t="shared" si="21"/>
        <v>822</v>
      </c>
    </row>
    <row r="177" spans="1:27" s="320" customFormat="1" x14ac:dyDescent="0.25">
      <c r="A177" s="220" t="s">
        <v>98</v>
      </c>
      <c r="B177" s="221" t="s">
        <v>140</v>
      </c>
      <c r="C177" s="223" t="s">
        <v>1626</v>
      </c>
      <c r="D177" s="220" t="s">
        <v>136</v>
      </c>
      <c r="E177" s="222">
        <v>24</v>
      </c>
      <c r="F177" s="192">
        <v>627</v>
      </c>
      <c r="G177" s="24">
        <v>0.2</v>
      </c>
      <c r="H177" s="24">
        <v>0.05</v>
      </c>
      <c r="I177" s="24">
        <v>0.05</v>
      </c>
      <c r="J177" s="24">
        <v>0</v>
      </c>
      <c r="K177" s="224">
        <f t="shared" si="22"/>
        <v>0.27800000000000002</v>
      </c>
      <c r="L177" s="225">
        <f t="shared" si="23"/>
        <v>20842.105263157893</v>
      </c>
      <c r="M177" s="225">
        <f t="shared" si="24"/>
        <v>868.42105263157896</v>
      </c>
      <c r="N177" s="226">
        <f t="shared" si="25"/>
        <v>1033.421052631579</v>
      </c>
      <c r="O177" s="34">
        <v>0.3</v>
      </c>
      <c r="P177" s="226">
        <f t="shared" si="26"/>
        <v>1343.4473684210527</v>
      </c>
      <c r="Q177" s="107" t="s">
        <v>1486</v>
      </c>
      <c r="R177" s="34">
        <v>0.3</v>
      </c>
      <c r="S177" s="226">
        <f t="shared" si="27"/>
        <v>1065.9000000000001</v>
      </c>
      <c r="T177" s="156" t="s">
        <v>1486</v>
      </c>
      <c r="U177" s="2" t="s">
        <v>50</v>
      </c>
      <c r="V177" s="2" t="s">
        <v>47</v>
      </c>
      <c r="W177" s="2" t="s">
        <v>5886</v>
      </c>
      <c r="X177" s="2"/>
      <c r="Y177" s="488" t="s">
        <v>1486</v>
      </c>
      <c r="Z177" s="293">
        <f t="shared" si="20"/>
        <v>241.42105263157896</v>
      </c>
      <c r="AA177" s="293">
        <f t="shared" si="21"/>
        <v>268.71428571428578</v>
      </c>
    </row>
    <row r="178" spans="1:27" s="320" customFormat="1" x14ac:dyDescent="0.25">
      <c r="A178" s="220" t="s">
        <v>99</v>
      </c>
      <c r="B178" s="221" t="s">
        <v>142</v>
      </c>
      <c r="C178" s="223" t="s">
        <v>1626</v>
      </c>
      <c r="D178" s="220" t="s">
        <v>136</v>
      </c>
      <c r="E178" s="222">
        <v>24</v>
      </c>
      <c r="F178" s="192">
        <v>1199</v>
      </c>
      <c r="G178" s="24">
        <v>0.2</v>
      </c>
      <c r="H178" s="24">
        <v>0.05</v>
      </c>
      <c r="I178" s="24">
        <v>0.05</v>
      </c>
      <c r="J178" s="24">
        <v>0</v>
      </c>
      <c r="K178" s="224">
        <f t="shared" si="22"/>
        <v>0.27800000000000014</v>
      </c>
      <c r="L178" s="225">
        <f t="shared" si="23"/>
        <v>39855.955678670362</v>
      </c>
      <c r="M178" s="225">
        <f t="shared" si="24"/>
        <v>1660.6648199445985</v>
      </c>
      <c r="N178" s="226">
        <f t="shared" si="25"/>
        <v>1976.1911357340721</v>
      </c>
      <c r="O178" s="34">
        <v>0.3</v>
      </c>
      <c r="P178" s="226">
        <f t="shared" si="26"/>
        <v>2569.0484764542939</v>
      </c>
      <c r="Q178" s="107" t="s">
        <v>1486</v>
      </c>
      <c r="R178" s="34">
        <v>0.3</v>
      </c>
      <c r="S178" s="226">
        <f t="shared" si="27"/>
        <v>2038.3</v>
      </c>
      <c r="T178" s="156" t="s">
        <v>1486</v>
      </c>
      <c r="U178" s="2" t="s">
        <v>50</v>
      </c>
      <c r="V178" s="2" t="s">
        <v>47</v>
      </c>
      <c r="W178" s="2" t="s">
        <v>5886</v>
      </c>
      <c r="X178" s="2"/>
      <c r="Y178" s="488" t="s">
        <v>1486</v>
      </c>
      <c r="Z178" s="293">
        <f t="shared" si="20"/>
        <v>461.66481994459855</v>
      </c>
      <c r="AA178" s="293">
        <f t="shared" si="21"/>
        <v>513.85714285714289</v>
      </c>
    </row>
    <row r="179" spans="1:27" s="320" customFormat="1" x14ac:dyDescent="0.25">
      <c r="A179" s="220" t="s">
        <v>102</v>
      </c>
      <c r="B179" s="221" t="s">
        <v>4002</v>
      </c>
      <c r="C179" s="223" t="s">
        <v>1626</v>
      </c>
      <c r="D179" s="220" t="s">
        <v>136</v>
      </c>
      <c r="E179" s="222">
        <v>24</v>
      </c>
      <c r="F179" s="192">
        <v>697</v>
      </c>
      <c r="G179" s="24">
        <v>0.2</v>
      </c>
      <c r="H179" s="24">
        <v>0.05</v>
      </c>
      <c r="I179" s="24">
        <v>0.05</v>
      </c>
      <c r="J179" s="24">
        <v>0</v>
      </c>
      <c r="K179" s="224">
        <f t="shared" si="22"/>
        <v>0.27800000000000014</v>
      </c>
      <c r="L179" s="225">
        <f t="shared" si="23"/>
        <v>23168.975069252083</v>
      </c>
      <c r="M179" s="225">
        <f t="shared" si="24"/>
        <v>965.37396121883671</v>
      </c>
      <c r="N179" s="226">
        <f t="shared" si="25"/>
        <v>1148.7950138504157</v>
      </c>
      <c r="O179" s="34">
        <v>0.3</v>
      </c>
      <c r="P179" s="226">
        <f t="shared" si="26"/>
        <v>1493.4335180055405</v>
      </c>
      <c r="Q179" s="107" t="s">
        <v>1486</v>
      </c>
      <c r="R179" s="34">
        <v>0.3</v>
      </c>
      <c r="S179" s="226">
        <f t="shared" si="27"/>
        <v>1184.9000000000001</v>
      </c>
      <c r="T179" s="156" t="s">
        <v>1486</v>
      </c>
      <c r="U179" s="2" t="s">
        <v>50</v>
      </c>
      <c r="V179" s="2" t="s">
        <v>47</v>
      </c>
      <c r="W179" s="2" t="s">
        <v>5886</v>
      </c>
      <c r="X179" s="2" t="s">
        <v>1467</v>
      </c>
      <c r="Y179" s="488" t="s">
        <v>1486</v>
      </c>
      <c r="Z179" s="293">
        <f t="shared" si="20"/>
        <v>268.37396121883671</v>
      </c>
      <c r="AA179" s="293">
        <f t="shared" si="21"/>
        <v>298.71428571428578</v>
      </c>
    </row>
    <row r="180" spans="1:27" s="320" customFormat="1" x14ac:dyDescent="0.25">
      <c r="A180" s="220" t="s">
        <v>104</v>
      </c>
      <c r="B180" s="221" t="s">
        <v>145</v>
      </c>
      <c r="C180" s="223" t="s">
        <v>1626</v>
      </c>
      <c r="D180" s="220" t="s">
        <v>136</v>
      </c>
      <c r="E180" s="222">
        <v>1</v>
      </c>
      <c r="F180" s="192">
        <v>9810</v>
      </c>
      <c r="G180" s="24">
        <v>0.2</v>
      </c>
      <c r="H180" s="24">
        <v>0.05</v>
      </c>
      <c r="I180" s="24">
        <v>0.05</v>
      </c>
      <c r="J180" s="24">
        <v>0</v>
      </c>
      <c r="K180" s="224">
        <f t="shared" si="22"/>
        <v>0.27800000000000002</v>
      </c>
      <c r="L180" s="225">
        <f t="shared" si="23"/>
        <v>13587.257617728532</v>
      </c>
      <c r="M180" s="225">
        <f t="shared" si="24"/>
        <v>13587.257617728532</v>
      </c>
      <c r="N180" s="226">
        <f t="shared" si="25"/>
        <v>16168.836565096952</v>
      </c>
      <c r="O180" s="34">
        <v>0.3</v>
      </c>
      <c r="P180" s="226">
        <f t="shared" si="26"/>
        <v>21019.487534626038</v>
      </c>
      <c r="Q180" s="107" t="s">
        <v>1486</v>
      </c>
      <c r="R180" s="34">
        <v>0.3</v>
      </c>
      <c r="S180" s="226">
        <f t="shared" si="27"/>
        <v>16677</v>
      </c>
      <c r="T180" s="156" t="s">
        <v>1486</v>
      </c>
      <c r="U180" s="2" t="s">
        <v>50</v>
      </c>
      <c r="V180" s="2" t="s">
        <v>47</v>
      </c>
      <c r="W180" s="2" t="s">
        <v>5886</v>
      </c>
      <c r="X180" s="2"/>
      <c r="Y180" s="488" t="s">
        <v>1486</v>
      </c>
      <c r="Z180" s="293">
        <f t="shared" si="20"/>
        <v>3777.2576177285318</v>
      </c>
      <c r="AA180" s="293">
        <f t="shared" si="21"/>
        <v>4204.2857142857156</v>
      </c>
    </row>
    <row r="181" spans="1:27" s="320" customFormat="1" x14ac:dyDescent="0.25">
      <c r="A181" s="220" t="s">
        <v>106</v>
      </c>
      <c r="B181" s="221" t="s">
        <v>4004</v>
      </c>
      <c r="C181" s="223" t="s">
        <v>1626</v>
      </c>
      <c r="D181" s="220" t="s">
        <v>136</v>
      </c>
      <c r="E181" s="222">
        <v>24</v>
      </c>
      <c r="F181" s="192">
        <v>1635</v>
      </c>
      <c r="G181" s="24">
        <v>0.2</v>
      </c>
      <c r="H181" s="24">
        <v>0.05</v>
      </c>
      <c r="I181" s="24">
        <v>0.05</v>
      </c>
      <c r="J181" s="24">
        <v>0</v>
      </c>
      <c r="K181" s="224">
        <f t="shared" si="22"/>
        <v>0.27800000000000002</v>
      </c>
      <c r="L181" s="225">
        <f t="shared" si="23"/>
        <v>54349.030470914127</v>
      </c>
      <c r="M181" s="225">
        <f t="shared" si="24"/>
        <v>2264.5429362880886</v>
      </c>
      <c r="N181" s="226">
        <f t="shared" si="25"/>
        <v>2694.8060941828253</v>
      </c>
      <c r="O181" s="34">
        <v>0.3</v>
      </c>
      <c r="P181" s="226">
        <f t="shared" si="26"/>
        <v>3503.247922437673</v>
      </c>
      <c r="Q181" s="107" t="s">
        <v>1486</v>
      </c>
      <c r="R181" s="34">
        <v>0.3</v>
      </c>
      <c r="S181" s="226">
        <f t="shared" si="27"/>
        <v>2779.5</v>
      </c>
      <c r="T181" s="156" t="s">
        <v>1486</v>
      </c>
      <c r="U181" s="2" t="s">
        <v>50</v>
      </c>
      <c r="V181" s="2" t="s">
        <v>47</v>
      </c>
      <c r="W181" s="2" t="s">
        <v>5886</v>
      </c>
      <c r="X181" s="2" t="s">
        <v>1467</v>
      </c>
      <c r="Y181" s="488" t="s">
        <v>1486</v>
      </c>
      <c r="Z181" s="293">
        <f t="shared" si="20"/>
        <v>629.54293628808864</v>
      </c>
      <c r="AA181" s="293">
        <f t="shared" si="21"/>
        <v>700.71428571428578</v>
      </c>
    </row>
    <row r="182" spans="1:27" s="320" customFormat="1" x14ac:dyDescent="0.25">
      <c r="A182" s="220" t="s">
        <v>110</v>
      </c>
      <c r="B182" s="221" t="s">
        <v>148</v>
      </c>
      <c r="C182" s="223" t="s">
        <v>1626</v>
      </c>
      <c r="D182" s="220" t="s">
        <v>112</v>
      </c>
      <c r="E182" s="222">
        <v>12</v>
      </c>
      <c r="F182" s="192">
        <v>1166</v>
      </c>
      <c r="G182" s="24">
        <v>0.2</v>
      </c>
      <c r="H182" s="24">
        <v>0.05</v>
      </c>
      <c r="I182" s="24">
        <v>0.05</v>
      </c>
      <c r="J182" s="24">
        <v>0</v>
      </c>
      <c r="K182" s="224">
        <f t="shared" si="22"/>
        <v>0.27800000000000014</v>
      </c>
      <c r="L182" s="225">
        <f t="shared" si="23"/>
        <v>19379.501385041553</v>
      </c>
      <c r="M182" s="225">
        <f t="shared" si="24"/>
        <v>1614.9584487534628</v>
      </c>
      <c r="N182" s="226">
        <f t="shared" si="25"/>
        <v>1921.8005540166207</v>
      </c>
      <c r="O182" s="34">
        <v>0.3</v>
      </c>
      <c r="P182" s="226">
        <f t="shared" si="26"/>
        <v>2498.3407202216072</v>
      </c>
      <c r="Q182" s="107" t="s">
        <v>1486</v>
      </c>
      <c r="R182" s="34">
        <v>0.3</v>
      </c>
      <c r="S182" s="226">
        <f t="shared" si="27"/>
        <v>1982.2</v>
      </c>
      <c r="T182" s="156" t="s">
        <v>1486</v>
      </c>
      <c r="U182" s="2" t="s">
        <v>50</v>
      </c>
      <c r="V182" s="2" t="s">
        <v>47</v>
      </c>
      <c r="W182" s="2" t="s">
        <v>5886</v>
      </c>
      <c r="X182" s="2"/>
      <c r="Y182" s="488" t="s">
        <v>1486</v>
      </c>
      <c r="Z182" s="293">
        <f t="shared" si="20"/>
        <v>448.95844875346279</v>
      </c>
      <c r="AA182" s="293">
        <f t="shared" si="21"/>
        <v>499.71428571428578</v>
      </c>
    </row>
    <row r="183" spans="1:27" s="320" customFormat="1" x14ac:dyDescent="0.25">
      <c r="A183" s="220" t="s">
        <v>128</v>
      </c>
      <c r="B183" s="221" t="s">
        <v>2265</v>
      </c>
      <c r="C183" s="223" t="s">
        <v>693</v>
      </c>
      <c r="D183" s="220" t="s">
        <v>164</v>
      </c>
      <c r="E183" s="222">
        <v>24</v>
      </c>
      <c r="F183" s="192">
        <v>0</v>
      </c>
      <c r="G183" s="24">
        <v>0.2</v>
      </c>
      <c r="H183" s="24">
        <v>0.05</v>
      </c>
      <c r="I183" s="24">
        <v>0.05</v>
      </c>
      <c r="J183" s="24">
        <v>0</v>
      </c>
      <c r="K183" s="224">
        <f t="shared" si="22"/>
        <v>0</v>
      </c>
      <c r="L183" s="225">
        <f t="shared" si="23"/>
        <v>0</v>
      </c>
      <c r="M183" s="225">
        <f t="shared" si="24"/>
        <v>0</v>
      </c>
      <c r="N183" s="226">
        <f t="shared" si="25"/>
        <v>0</v>
      </c>
      <c r="O183" s="34">
        <v>0.3</v>
      </c>
      <c r="P183" s="226">
        <f t="shared" si="26"/>
        <v>0</v>
      </c>
      <c r="Q183" s="107" t="s">
        <v>1486</v>
      </c>
      <c r="R183" s="34">
        <v>0.3</v>
      </c>
      <c r="S183" s="226">
        <f t="shared" si="27"/>
        <v>0</v>
      </c>
      <c r="T183" s="156" t="s">
        <v>1486</v>
      </c>
      <c r="U183" s="2"/>
      <c r="V183" s="2" t="s">
        <v>47</v>
      </c>
      <c r="W183" s="2"/>
      <c r="X183" s="2"/>
      <c r="Y183" s="488" t="s">
        <v>1486</v>
      </c>
      <c r="Z183" s="293">
        <f t="shared" si="20"/>
        <v>0</v>
      </c>
      <c r="AA183" s="293">
        <f t="shared" si="21"/>
        <v>0</v>
      </c>
    </row>
    <row r="184" spans="1:27" s="320" customFormat="1" x14ac:dyDescent="0.25">
      <c r="A184" s="220" t="s">
        <v>130</v>
      </c>
      <c r="B184" s="221" t="s">
        <v>163</v>
      </c>
      <c r="C184" s="223" t="s">
        <v>1486</v>
      </c>
      <c r="D184" s="220" t="s">
        <v>164</v>
      </c>
      <c r="E184" s="222">
        <v>24</v>
      </c>
      <c r="F184" s="192">
        <v>0</v>
      </c>
      <c r="G184" s="24">
        <v>0.2</v>
      </c>
      <c r="H184" s="24">
        <v>0.05</v>
      </c>
      <c r="I184" s="24">
        <v>0.05</v>
      </c>
      <c r="J184" s="24">
        <v>0</v>
      </c>
      <c r="K184" s="224">
        <f t="shared" si="22"/>
        <v>0</v>
      </c>
      <c r="L184" s="225">
        <f t="shared" si="23"/>
        <v>0</v>
      </c>
      <c r="M184" s="225">
        <f t="shared" si="24"/>
        <v>0</v>
      </c>
      <c r="N184" s="226">
        <f t="shared" si="25"/>
        <v>0</v>
      </c>
      <c r="O184" s="34">
        <v>0.3</v>
      </c>
      <c r="P184" s="226">
        <f t="shared" si="26"/>
        <v>0</v>
      </c>
      <c r="Q184" s="107" t="s">
        <v>1486</v>
      </c>
      <c r="R184" s="34">
        <v>0.3</v>
      </c>
      <c r="S184" s="226">
        <f t="shared" si="27"/>
        <v>0</v>
      </c>
      <c r="T184" s="156" t="s">
        <v>1486</v>
      </c>
      <c r="U184" s="2"/>
      <c r="V184" s="2" t="s">
        <v>47</v>
      </c>
      <c r="W184" s="2"/>
      <c r="X184" s="2"/>
      <c r="Y184" s="488" t="s">
        <v>1486</v>
      </c>
      <c r="Z184" s="293">
        <f t="shared" si="20"/>
        <v>0</v>
      </c>
      <c r="AA184" s="293">
        <f t="shared" si="21"/>
        <v>0</v>
      </c>
    </row>
    <row r="185" spans="1:27" s="320" customFormat="1" x14ac:dyDescent="0.25">
      <c r="A185" s="220" t="s">
        <v>132</v>
      </c>
      <c r="B185" s="221" t="s">
        <v>166</v>
      </c>
      <c r="C185" s="223" t="s">
        <v>1626</v>
      </c>
      <c r="D185" s="220" t="s">
        <v>167</v>
      </c>
      <c r="E185" s="222">
        <v>6</v>
      </c>
      <c r="F185" s="192">
        <v>0</v>
      </c>
      <c r="G185" s="24">
        <v>0.2</v>
      </c>
      <c r="H185" s="24">
        <v>0.05</v>
      </c>
      <c r="I185" s="24">
        <v>0.05</v>
      </c>
      <c r="J185" s="24">
        <v>0</v>
      </c>
      <c r="K185" s="224">
        <f t="shared" si="22"/>
        <v>0</v>
      </c>
      <c r="L185" s="225">
        <f t="shared" si="23"/>
        <v>0</v>
      </c>
      <c r="M185" s="225">
        <f t="shared" si="24"/>
        <v>0</v>
      </c>
      <c r="N185" s="226">
        <f t="shared" si="25"/>
        <v>0</v>
      </c>
      <c r="O185" s="34">
        <v>0.3</v>
      </c>
      <c r="P185" s="226">
        <f t="shared" si="26"/>
        <v>0</v>
      </c>
      <c r="Q185" s="107" t="s">
        <v>1486</v>
      </c>
      <c r="R185" s="34">
        <v>0.3</v>
      </c>
      <c r="S185" s="226">
        <f t="shared" si="27"/>
        <v>0</v>
      </c>
      <c r="T185" s="156" t="s">
        <v>1486</v>
      </c>
      <c r="U185" s="2" t="s">
        <v>109</v>
      </c>
      <c r="V185" s="2" t="s">
        <v>47</v>
      </c>
      <c r="W185" s="2" t="s">
        <v>5886</v>
      </c>
      <c r="X185" s="2"/>
      <c r="Y185" s="488" t="s">
        <v>1486</v>
      </c>
      <c r="Z185" s="293">
        <f t="shared" si="20"/>
        <v>0</v>
      </c>
      <c r="AA185" s="293">
        <f t="shared" si="21"/>
        <v>0</v>
      </c>
    </row>
    <row r="186" spans="1:27" s="320" customFormat="1" x14ac:dyDescent="0.25">
      <c r="A186" s="220" t="s">
        <v>134</v>
      </c>
      <c r="B186" s="221" t="s">
        <v>168</v>
      </c>
      <c r="C186" s="223" t="s">
        <v>1626</v>
      </c>
      <c r="D186" s="220" t="s">
        <v>167</v>
      </c>
      <c r="E186" s="222">
        <v>6</v>
      </c>
      <c r="F186" s="192">
        <v>0</v>
      </c>
      <c r="G186" s="24">
        <v>0.2</v>
      </c>
      <c r="H186" s="24">
        <v>0.05</v>
      </c>
      <c r="I186" s="24">
        <v>0.05</v>
      </c>
      <c r="J186" s="24">
        <v>0</v>
      </c>
      <c r="K186" s="224">
        <f t="shared" si="22"/>
        <v>0</v>
      </c>
      <c r="L186" s="225">
        <f t="shared" si="23"/>
        <v>0</v>
      </c>
      <c r="M186" s="225">
        <f t="shared" si="24"/>
        <v>0</v>
      </c>
      <c r="N186" s="226">
        <f t="shared" si="25"/>
        <v>0</v>
      </c>
      <c r="O186" s="34">
        <v>0.3</v>
      </c>
      <c r="P186" s="226">
        <f t="shared" si="26"/>
        <v>0</v>
      </c>
      <c r="Q186" s="107" t="s">
        <v>1486</v>
      </c>
      <c r="R186" s="34">
        <v>0.3</v>
      </c>
      <c r="S186" s="226">
        <f t="shared" si="27"/>
        <v>0</v>
      </c>
      <c r="T186" s="156" t="s">
        <v>1486</v>
      </c>
      <c r="U186" s="2" t="s">
        <v>109</v>
      </c>
      <c r="V186" s="2" t="s">
        <v>47</v>
      </c>
      <c r="W186" s="2" t="s">
        <v>5886</v>
      </c>
      <c r="X186" s="2"/>
      <c r="Y186" s="488" t="s">
        <v>1486</v>
      </c>
      <c r="Z186" s="293">
        <f t="shared" si="20"/>
        <v>0</v>
      </c>
      <c r="AA186" s="293">
        <f t="shared" si="21"/>
        <v>0</v>
      </c>
    </row>
    <row r="187" spans="1:27" s="320" customFormat="1" x14ac:dyDescent="0.25">
      <c r="A187" s="220" t="s">
        <v>137</v>
      </c>
      <c r="B187" s="221" t="s">
        <v>169</v>
      </c>
      <c r="C187" s="223" t="s">
        <v>1626</v>
      </c>
      <c r="D187" s="220" t="s">
        <v>167</v>
      </c>
      <c r="E187" s="222">
        <v>6</v>
      </c>
      <c r="F187" s="192">
        <v>1297</v>
      </c>
      <c r="G187" s="24">
        <v>0.2</v>
      </c>
      <c r="H187" s="24">
        <v>0.05</v>
      </c>
      <c r="I187" s="24">
        <v>0.05</v>
      </c>
      <c r="J187" s="24">
        <v>0</v>
      </c>
      <c r="K187" s="224">
        <f t="shared" si="22"/>
        <v>0.27800000000000002</v>
      </c>
      <c r="L187" s="225">
        <f t="shared" si="23"/>
        <v>10778.393351800554</v>
      </c>
      <c r="M187" s="225">
        <f t="shared" si="24"/>
        <v>1796.398891966759</v>
      </c>
      <c r="N187" s="226">
        <f t="shared" si="25"/>
        <v>2137.7146814404432</v>
      </c>
      <c r="O187" s="34">
        <v>0.3</v>
      </c>
      <c r="P187" s="226">
        <f t="shared" si="26"/>
        <v>2779.0290858725762</v>
      </c>
      <c r="Q187" s="107" t="s">
        <v>1486</v>
      </c>
      <c r="R187" s="34">
        <v>0.3</v>
      </c>
      <c r="S187" s="226">
        <f t="shared" si="27"/>
        <v>2204.9</v>
      </c>
      <c r="T187" s="156" t="s">
        <v>1486</v>
      </c>
      <c r="U187" s="2" t="s">
        <v>109</v>
      </c>
      <c r="V187" s="2" t="s">
        <v>47</v>
      </c>
      <c r="W187" s="2" t="s">
        <v>5886</v>
      </c>
      <c r="X187" s="2"/>
      <c r="Y187" s="488" t="s">
        <v>1486</v>
      </c>
      <c r="Z187" s="293">
        <f t="shared" si="20"/>
        <v>499.39889196675904</v>
      </c>
      <c r="AA187" s="293">
        <f t="shared" si="21"/>
        <v>555.85714285714312</v>
      </c>
    </row>
    <row r="188" spans="1:27" s="320" customFormat="1" x14ac:dyDescent="0.25">
      <c r="A188" s="220" t="s">
        <v>139</v>
      </c>
      <c r="B188" s="221" t="s">
        <v>170</v>
      </c>
      <c r="C188" s="223" t="s">
        <v>1626</v>
      </c>
      <c r="D188" s="220" t="s">
        <v>167</v>
      </c>
      <c r="E188" s="222">
        <v>6</v>
      </c>
      <c r="F188" s="192">
        <v>0</v>
      </c>
      <c r="G188" s="24">
        <v>0.2</v>
      </c>
      <c r="H188" s="24">
        <v>0.05</v>
      </c>
      <c r="I188" s="24">
        <v>0.05</v>
      </c>
      <c r="J188" s="24">
        <v>0</v>
      </c>
      <c r="K188" s="224">
        <f t="shared" si="22"/>
        <v>0</v>
      </c>
      <c r="L188" s="225">
        <f t="shared" si="23"/>
        <v>0</v>
      </c>
      <c r="M188" s="225">
        <f t="shared" si="24"/>
        <v>0</v>
      </c>
      <c r="N188" s="226">
        <f t="shared" si="25"/>
        <v>0</v>
      </c>
      <c r="O188" s="34">
        <v>0.3</v>
      </c>
      <c r="P188" s="226">
        <f t="shared" si="26"/>
        <v>0</v>
      </c>
      <c r="Q188" s="107" t="s">
        <v>1486</v>
      </c>
      <c r="R188" s="34">
        <v>0.3</v>
      </c>
      <c r="S188" s="226">
        <f t="shared" si="27"/>
        <v>0</v>
      </c>
      <c r="T188" s="156" t="s">
        <v>1486</v>
      </c>
      <c r="U188" s="2" t="s">
        <v>109</v>
      </c>
      <c r="V188" s="2" t="s">
        <v>47</v>
      </c>
      <c r="W188" s="2" t="s">
        <v>5886</v>
      </c>
      <c r="X188" s="2"/>
      <c r="Y188" s="488" t="s">
        <v>1486</v>
      </c>
      <c r="Z188" s="293">
        <f t="shared" si="20"/>
        <v>0</v>
      </c>
      <c r="AA188" s="293">
        <f t="shared" si="21"/>
        <v>0</v>
      </c>
    </row>
    <row r="189" spans="1:27" s="320" customFormat="1" x14ac:dyDescent="0.25">
      <c r="A189" s="220" t="s">
        <v>141</v>
      </c>
      <c r="B189" s="221" t="s">
        <v>5864</v>
      </c>
      <c r="C189" s="223" t="s">
        <v>2755</v>
      </c>
      <c r="D189" s="220" t="s">
        <v>2792</v>
      </c>
      <c r="E189" s="222">
        <v>24</v>
      </c>
      <c r="F189" s="192">
        <v>1829</v>
      </c>
      <c r="G189" s="24">
        <v>0.2</v>
      </c>
      <c r="H189" s="24">
        <v>0.05</v>
      </c>
      <c r="I189" s="24">
        <v>0.05</v>
      </c>
      <c r="J189" s="24">
        <v>0</v>
      </c>
      <c r="K189" s="224">
        <f t="shared" si="22"/>
        <v>0.27800000000000014</v>
      </c>
      <c r="L189" s="225">
        <f t="shared" si="23"/>
        <v>60797.783933518018</v>
      </c>
      <c r="M189" s="225">
        <f t="shared" si="24"/>
        <v>2533.2409972299174</v>
      </c>
      <c r="N189" s="226">
        <f t="shared" si="25"/>
        <v>3014.5567867036016</v>
      </c>
      <c r="O189" s="34">
        <v>0.3</v>
      </c>
      <c r="P189" s="226">
        <f t="shared" si="26"/>
        <v>3918.923822714682</v>
      </c>
      <c r="Q189" s="107" t="s">
        <v>1486</v>
      </c>
      <c r="R189" s="34">
        <v>0.3</v>
      </c>
      <c r="S189" s="226">
        <f t="shared" si="27"/>
        <v>3109.3</v>
      </c>
      <c r="T189" s="156" t="s">
        <v>1486</v>
      </c>
      <c r="U189" s="2">
        <v>1</v>
      </c>
      <c r="V189" s="2" t="s">
        <v>47</v>
      </c>
      <c r="W189" s="2" t="s">
        <v>2900</v>
      </c>
      <c r="X189" s="2" t="s">
        <v>2901</v>
      </c>
      <c r="Y189" s="488" t="s">
        <v>1486</v>
      </c>
      <c r="Z189" s="293">
        <f t="shared" si="20"/>
        <v>704.24099722991741</v>
      </c>
      <c r="AA189" s="293">
        <f t="shared" si="21"/>
        <v>783.85714285714312</v>
      </c>
    </row>
    <row r="190" spans="1:27" s="320" customFormat="1" x14ac:dyDescent="0.25">
      <c r="A190" s="220" t="s">
        <v>143</v>
      </c>
      <c r="B190" s="221" t="s">
        <v>5865</v>
      </c>
      <c r="C190" s="223" t="s">
        <v>2755</v>
      </c>
      <c r="D190" s="220" t="s">
        <v>2792</v>
      </c>
      <c r="E190" s="222">
        <v>12</v>
      </c>
      <c r="F190" s="192">
        <v>2106</v>
      </c>
      <c r="G190" s="24">
        <v>0.2</v>
      </c>
      <c r="H190" s="24">
        <v>0.05</v>
      </c>
      <c r="I190" s="24">
        <v>0.05</v>
      </c>
      <c r="J190" s="24">
        <v>0</v>
      </c>
      <c r="K190" s="224">
        <f t="shared" si="22"/>
        <v>0.27800000000000002</v>
      </c>
      <c r="L190" s="225">
        <f t="shared" si="23"/>
        <v>35002.770083102492</v>
      </c>
      <c r="M190" s="225">
        <f t="shared" si="24"/>
        <v>2916.8975069252078</v>
      </c>
      <c r="N190" s="226">
        <f t="shared" si="25"/>
        <v>3471.108033240997</v>
      </c>
      <c r="O190" s="34">
        <v>0.3</v>
      </c>
      <c r="P190" s="226">
        <f t="shared" si="26"/>
        <v>4512.440443213296</v>
      </c>
      <c r="Q190" s="107" t="s">
        <v>1486</v>
      </c>
      <c r="R190" s="34">
        <v>0.3</v>
      </c>
      <c r="S190" s="226">
        <f t="shared" si="27"/>
        <v>3580.2000000000003</v>
      </c>
      <c r="T190" s="156" t="s">
        <v>1486</v>
      </c>
      <c r="U190" s="2">
        <v>2</v>
      </c>
      <c r="V190" s="2" t="s">
        <v>47</v>
      </c>
      <c r="W190" s="2" t="s">
        <v>2900</v>
      </c>
      <c r="X190" s="2" t="s">
        <v>2901</v>
      </c>
      <c r="Y190" s="488" t="s">
        <v>1486</v>
      </c>
      <c r="Z190" s="293">
        <f t="shared" si="20"/>
        <v>810.89750692520784</v>
      </c>
      <c r="AA190" s="293">
        <f t="shared" si="21"/>
        <v>902.5714285714289</v>
      </c>
    </row>
    <row r="191" spans="1:27" s="320" customFormat="1" x14ac:dyDescent="0.25">
      <c r="A191" s="220" t="s">
        <v>144</v>
      </c>
      <c r="B191" s="221" t="s">
        <v>3177</v>
      </c>
      <c r="C191" s="223" t="s">
        <v>2755</v>
      </c>
      <c r="D191" s="220" t="s">
        <v>2792</v>
      </c>
      <c r="E191" s="222">
        <v>6</v>
      </c>
      <c r="F191" s="192">
        <v>4280.0159999999996</v>
      </c>
      <c r="G191" s="24">
        <v>0.2</v>
      </c>
      <c r="H191" s="24">
        <v>0.05</v>
      </c>
      <c r="I191" s="24">
        <v>0.05</v>
      </c>
      <c r="J191" s="24">
        <v>0</v>
      </c>
      <c r="K191" s="224">
        <f t="shared" si="22"/>
        <v>0.27800000000000002</v>
      </c>
      <c r="L191" s="225">
        <f t="shared" si="23"/>
        <v>35568</v>
      </c>
      <c r="M191" s="225">
        <f t="shared" si="24"/>
        <v>5928</v>
      </c>
      <c r="N191" s="226">
        <f t="shared" si="25"/>
        <v>7054.32</v>
      </c>
      <c r="O191" s="34">
        <v>0.3</v>
      </c>
      <c r="P191" s="226">
        <f t="shared" si="26"/>
        <v>9170.616</v>
      </c>
      <c r="Q191" s="107" t="s">
        <v>1486</v>
      </c>
      <c r="R191" s="34">
        <v>0.3</v>
      </c>
      <c r="S191" s="226">
        <f t="shared" si="27"/>
        <v>7276.0271999999995</v>
      </c>
      <c r="T191" s="156" t="s">
        <v>1486</v>
      </c>
      <c r="U191" s="2">
        <v>3</v>
      </c>
      <c r="V191" s="2" t="s">
        <v>47</v>
      </c>
      <c r="W191" s="2" t="s">
        <v>2900</v>
      </c>
      <c r="X191" s="2" t="s">
        <v>2901</v>
      </c>
      <c r="Y191" s="488" t="s">
        <v>1486</v>
      </c>
      <c r="Z191" s="293">
        <f t="shared" si="20"/>
        <v>1647.9840000000004</v>
      </c>
      <c r="AA191" s="293">
        <f t="shared" si="21"/>
        <v>1834.292571428572</v>
      </c>
    </row>
    <row r="192" spans="1:27" s="320" customFormat="1" x14ac:dyDescent="0.25">
      <c r="A192" s="220" t="s">
        <v>146</v>
      </c>
      <c r="B192" s="221" t="s">
        <v>2804</v>
      </c>
      <c r="C192" s="223" t="s">
        <v>2755</v>
      </c>
      <c r="D192" s="220" t="s">
        <v>2792</v>
      </c>
      <c r="E192" s="222">
        <v>24</v>
      </c>
      <c r="F192" s="192">
        <v>1059.174</v>
      </c>
      <c r="G192" s="24">
        <v>0.2</v>
      </c>
      <c r="H192" s="24">
        <v>0.05</v>
      </c>
      <c r="I192" s="24">
        <v>0.05</v>
      </c>
      <c r="J192" s="24">
        <v>0</v>
      </c>
      <c r="K192" s="224">
        <f t="shared" si="22"/>
        <v>0.27800000000000014</v>
      </c>
      <c r="L192" s="225">
        <f t="shared" si="23"/>
        <v>35208.000000000007</v>
      </c>
      <c r="M192" s="225">
        <f t="shared" si="24"/>
        <v>1467.0000000000002</v>
      </c>
      <c r="N192" s="226">
        <f t="shared" si="25"/>
        <v>1745.7300000000002</v>
      </c>
      <c r="O192" s="34">
        <v>0.3</v>
      </c>
      <c r="P192" s="226">
        <f t="shared" si="26"/>
        <v>2269.4490000000005</v>
      </c>
      <c r="Q192" s="107" t="s">
        <v>1486</v>
      </c>
      <c r="R192" s="34">
        <v>0.3</v>
      </c>
      <c r="S192" s="226">
        <f t="shared" si="27"/>
        <v>1800.5958000000001</v>
      </c>
      <c r="T192" s="156" t="s">
        <v>1486</v>
      </c>
      <c r="U192" s="2">
        <v>4</v>
      </c>
      <c r="V192" s="2" t="s">
        <v>47</v>
      </c>
      <c r="W192" s="2" t="s">
        <v>2900</v>
      </c>
      <c r="X192" s="2" t="s">
        <v>2901</v>
      </c>
      <c r="Y192" s="488" t="s">
        <v>1486</v>
      </c>
      <c r="Z192" s="293">
        <f t="shared" ref="Z192:Z255" si="28">+M192-F192</f>
        <v>407.82600000000025</v>
      </c>
      <c r="AA192" s="293">
        <f t="shared" ref="AA192:AA255" si="29">+(S192/1.19)-F192</f>
        <v>453.93171428571441</v>
      </c>
    </row>
    <row r="193" spans="1:27" s="320" customFormat="1" x14ac:dyDescent="0.25">
      <c r="A193" s="220" t="s">
        <v>147</v>
      </c>
      <c r="B193" s="221" t="s">
        <v>2805</v>
      </c>
      <c r="C193" s="223" t="s">
        <v>2755</v>
      </c>
      <c r="D193" s="220" t="s">
        <v>2792</v>
      </c>
      <c r="E193" s="222">
        <v>24</v>
      </c>
      <c r="F193" s="192">
        <v>1272</v>
      </c>
      <c r="G193" s="24">
        <v>0.2</v>
      </c>
      <c r="H193" s="24">
        <v>0.05</v>
      </c>
      <c r="I193" s="24">
        <v>0.05</v>
      </c>
      <c r="J193" s="24">
        <v>0</v>
      </c>
      <c r="K193" s="224">
        <f t="shared" si="22"/>
        <v>0.27800000000000002</v>
      </c>
      <c r="L193" s="225">
        <f t="shared" si="23"/>
        <v>42282.5484764543</v>
      </c>
      <c r="M193" s="225">
        <f t="shared" si="24"/>
        <v>1761.7728531855957</v>
      </c>
      <c r="N193" s="226">
        <f t="shared" si="25"/>
        <v>2096.5096952908589</v>
      </c>
      <c r="O193" s="34">
        <v>0.3</v>
      </c>
      <c r="P193" s="226">
        <f t="shared" si="26"/>
        <v>2725.4626038781166</v>
      </c>
      <c r="Q193" s="107" t="s">
        <v>1486</v>
      </c>
      <c r="R193" s="34">
        <v>0.3</v>
      </c>
      <c r="S193" s="226">
        <f t="shared" si="27"/>
        <v>2162.4</v>
      </c>
      <c r="T193" s="156" t="s">
        <v>1486</v>
      </c>
      <c r="U193" s="2">
        <v>5</v>
      </c>
      <c r="V193" s="2" t="s">
        <v>47</v>
      </c>
      <c r="W193" s="2" t="s">
        <v>2900</v>
      </c>
      <c r="X193" s="2" t="s">
        <v>2901</v>
      </c>
      <c r="Y193" s="488" t="s">
        <v>1486</v>
      </c>
      <c r="Z193" s="293">
        <f t="shared" si="28"/>
        <v>489.77285318559575</v>
      </c>
      <c r="AA193" s="293">
        <f t="shared" si="29"/>
        <v>545.14285714285734</v>
      </c>
    </row>
    <row r="194" spans="1:27" s="320" customFormat="1" x14ac:dyDescent="0.25">
      <c r="A194" s="220" t="s">
        <v>150</v>
      </c>
      <c r="B194" s="221" t="s">
        <v>2812</v>
      </c>
      <c r="C194" s="223" t="s">
        <v>2755</v>
      </c>
      <c r="D194" s="220" t="s">
        <v>2792</v>
      </c>
      <c r="E194" s="222">
        <v>24</v>
      </c>
      <c r="F194" s="192">
        <v>971</v>
      </c>
      <c r="G194" s="24">
        <v>0.2</v>
      </c>
      <c r="H194" s="24">
        <v>0.05</v>
      </c>
      <c r="I194" s="24">
        <v>0.05</v>
      </c>
      <c r="J194" s="24">
        <v>0</v>
      </c>
      <c r="K194" s="224">
        <f t="shared" si="22"/>
        <v>0.27800000000000002</v>
      </c>
      <c r="L194" s="225">
        <f t="shared" si="23"/>
        <v>32277.008310249308</v>
      </c>
      <c r="M194" s="225">
        <f t="shared" si="24"/>
        <v>1344.8753462603879</v>
      </c>
      <c r="N194" s="226">
        <f t="shared" si="25"/>
        <v>1600.4016620498614</v>
      </c>
      <c r="O194" s="34">
        <v>0.3</v>
      </c>
      <c r="P194" s="226">
        <f t="shared" si="26"/>
        <v>2080.5221606648201</v>
      </c>
      <c r="Q194" s="107" t="s">
        <v>1486</v>
      </c>
      <c r="R194" s="34">
        <v>0.3</v>
      </c>
      <c r="S194" s="226">
        <f t="shared" si="27"/>
        <v>1650.7</v>
      </c>
      <c r="T194" s="156" t="s">
        <v>1486</v>
      </c>
      <c r="U194" s="2">
        <v>6</v>
      </c>
      <c r="V194" s="2" t="s">
        <v>47</v>
      </c>
      <c r="W194" s="2" t="s">
        <v>2900</v>
      </c>
      <c r="X194" s="2" t="s">
        <v>2901</v>
      </c>
      <c r="Y194" s="488" t="s">
        <v>1486</v>
      </c>
      <c r="Z194" s="293">
        <f t="shared" si="28"/>
        <v>373.87534626038791</v>
      </c>
      <c r="AA194" s="293">
        <f t="shared" si="29"/>
        <v>416.14285714285734</v>
      </c>
    </row>
    <row r="195" spans="1:27" s="320" customFormat="1" x14ac:dyDescent="0.25">
      <c r="A195" s="220" t="s">
        <v>151</v>
      </c>
      <c r="B195" s="221" t="s">
        <v>2813</v>
      </c>
      <c r="C195" s="223" t="s">
        <v>2755</v>
      </c>
      <c r="D195" s="220" t="s">
        <v>2792</v>
      </c>
      <c r="E195" s="222">
        <v>24</v>
      </c>
      <c r="F195" s="192">
        <v>888</v>
      </c>
      <c r="G195" s="24">
        <v>0.2</v>
      </c>
      <c r="H195" s="24">
        <v>0.05</v>
      </c>
      <c r="I195" s="24">
        <v>0.05</v>
      </c>
      <c r="J195" s="24">
        <v>0</v>
      </c>
      <c r="K195" s="224">
        <f t="shared" ref="K195:K258" si="30">IF(F195=0,0,1-(F195/M195))</f>
        <v>0.27800000000000014</v>
      </c>
      <c r="L195" s="225">
        <f t="shared" ref="L195:L258" si="31">+M195*E195</f>
        <v>29518.00554016621</v>
      </c>
      <c r="M195" s="225">
        <f t="shared" ref="M195:M258" si="32">+F195/(1-G195)/(1-H195)/(1-I195)/(1-J195)</f>
        <v>1229.9168975069254</v>
      </c>
      <c r="N195" s="226">
        <f t="shared" ref="N195:N258" si="33">+M195*1.19</f>
        <v>1463.6011080332412</v>
      </c>
      <c r="O195" s="34">
        <v>0.3</v>
      </c>
      <c r="P195" s="226">
        <f t="shared" ref="P195:P258" si="34">+N195*(1+O195)</f>
        <v>1902.6814404432137</v>
      </c>
      <c r="Q195" s="107" t="s">
        <v>1486</v>
      </c>
      <c r="R195" s="34">
        <v>0.3</v>
      </c>
      <c r="S195" s="226">
        <f t="shared" si="27"/>
        <v>1509.6000000000001</v>
      </c>
      <c r="T195" s="156" t="s">
        <v>1486</v>
      </c>
      <c r="U195" s="2">
        <v>7</v>
      </c>
      <c r="V195" s="2" t="s">
        <v>47</v>
      </c>
      <c r="W195" s="2" t="s">
        <v>2900</v>
      </c>
      <c r="X195" s="2" t="s">
        <v>2901</v>
      </c>
      <c r="Y195" s="488" t="s">
        <v>1486</v>
      </c>
      <c r="Z195" s="293">
        <f t="shared" si="28"/>
        <v>341.91689750692535</v>
      </c>
      <c r="AA195" s="293">
        <f t="shared" si="29"/>
        <v>380.57142857142867</v>
      </c>
    </row>
    <row r="196" spans="1:27" s="320" customFormat="1" x14ac:dyDescent="0.25">
      <c r="A196" s="220" t="s">
        <v>152</v>
      </c>
      <c r="B196" s="221" t="s">
        <v>2814</v>
      </c>
      <c r="C196" s="223" t="s">
        <v>2755</v>
      </c>
      <c r="D196" s="220" t="s">
        <v>2792</v>
      </c>
      <c r="E196" s="222">
        <v>12</v>
      </c>
      <c r="F196" s="192">
        <v>1698</v>
      </c>
      <c r="G196" s="24">
        <v>0.2</v>
      </c>
      <c r="H196" s="24">
        <v>0.05</v>
      </c>
      <c r="I196" s="24">
        <v>0.05</v>
      </c>
      <c r="J196" s="24">
        <v>0</v>
      </c>
      <c r="K196" s="224">
        <f t="shared" si="30"/>
        <v>0.27800000000000014</v>
      </c>
      <c r="L196" s="225">
        <f t="shared" si="31"/>
        <v>28221.606648199449</v>
      </c>
      <c r="M196" s="225">
        <f t="shared" si="32"/>
        <v>2351.8005540166209</v>
      </c>
      <c r="N196" s="226">
        <f t="shared" si="33"/>
        <v>2798.6426592797789</v>
      </c>
      <c r="O196" s="34">
        <v>0.3</v>
      </c>
      <c r="P196" s="226">
        <f t="shared" si="34"/>
        <v>3638.2354570637126</v>
      </c>
      <c r="Q196" s="107" t="s">
        <v>1486</v>
      </c>
      <c r="R196" s="34">
        <v>0.3</v>
      </c>
      <c r="S196" s="226">
        <f t="shared" si="27"/>
        <v>2886.6</v>
      </c>
      <c r="T196" s="156" t="s">
        <v>1486</v>
      </c>
      <c r="U196" s="2">
        <v>8</v>
      </c>
      <c r="V196" s="2" t="s">
        <v>47</v>
      </c>
      <c r="W196" s="2" t="s">
        <v>2900</v>
      </c>
      <c r="X196" s="2" t="s">
        <v>2901</v>
      </c>
      <c r="Y196" s="488" t="s">
        <v>1486</v>
      </c>
      <c r="Z196" s="293">
        <f t="shared" si="28"/>
        <v>653.80055401662094</v>
      </c>
      <c r="AA196" s="293">
        <f t="shared" si="29"/>
        <v>727.71428571428578</v>
      </c>
    </row>
    <row r="197" spans="1:27" s="320" customFormat="1" x14ac:dyDescent="0.25">
      <c r="A197" s="220" t="s">
        <v>153</v>
      </c>
      <c r="B197" s="221" t="s">
        <v>2815</v>
      </c>
      <c r="C197" s="223" t="s">
        <v>2755</v>
      </c>
      <c r="D197" s="220" t="s">
        <v>2792</v>
      </c>
      <c r="E197" s="222">
        <v>6</v>
      </c>
      <c r="F197" s="192">
        <v>3009</v>
      </c>
      <c r="G197" s="24">
        <v>0.2</v>
      </c>
      <c r="H197" s="24">
        <v>0.05</v>
      </c>
      <c r="I197" s="24">
        <v>0.05</v>
      </c>
      <c r="J197" s="24">
        <v>0</v>
      </c>
      <c r="K197" s="224">
        <f t="shared" si="30"/>
        <v>0.27800000000000002</v>
      </c>
      <c r="L197" s="225">
        <f t="shared" si="31"/>
        <v>25005.540166204988</v>
      </c>
      <c r="M197" s="225">
        <f t="shared" si="32"/>
        <v>4167.5900277008313</v>
      </c>
      <c r="N197" s="226">
        <f t="shared" si="33"/>
        <v>4959.4321329639888</v>
      </c>
      <c r="O197" s="34">
        <v>0.3</v>
      </c>
      <c r="P197" s="226">
        <f t="shared" si="34"/>
        <v>6447.2617728531859</v>
      </c>
      <c r="Q197" s="107" t="s">
        <v>1486</v>
      </c>
      <c r="R197" s="34">
        <v>0.3</v>
      </c>
      <c r="S197" s="226">
        <f t="shared" si="27"/>
        <v>5115.2999999999993</v>
      </c>
      <c r="T197" s="156" t="s">
        <v>1486</v>
      </c>
      <c r="U197" s="2">
        <v>9</v>
      </c>
      <c r="V197" s="2" t="s">
        <v>47</v>
      </c>
      <c r="W197" s="2" t="s">
        <v>2900</v>
      </c>
      <c r="X197" s="2" t="s">
        <v>2901</v>
      </c>
      <c r="Y197" s="488" t="s">
        <v>1486</v>
      </c>
      <c r="Z197" s="293">
        <f t="shared" si="28"/>
        <v>1158.5900277008313</v>
      </c>
      <c r="AA197" s="293">
        <f t="shared" si="29"/>
        <v>1289.5714285714284</v>
      </c>
    </row>
    <row r="198" spans="1:27" s="320" customFormat="1" x14ac:dyDescent="0.25">
      <c r="A198" s="220" t="s">
        <v>154</v>
      </c>
      <c r="B198" s="221" t="s">
        <v>2816</v>
      </c>
      <c r="C198" s="223" t="s">
        <v>2755</v>
      </c>
      <c r="D198" s="220" t="s">
        <v>2792</v>
      </c>
      <c r="E198" s="222">
        <v>6</v>
      </c>
      <c r="F198" s="192">
        <v>47220</v>
      </c>
      <c r="G198" s="24">
        <v>0.2</v>
      </c>
      <c r="H198" s="24">
        <v>0.05</v>
      </c>
      <c r="I198" s="24">
        <v>0.05</v>
      </c>
      <c r="J198" s="24">
        <v>0</v>
      </c>
      <c r="K198" s="224">
        <f t="shared" si="30"/>
        <v>0.27800000000000014</v>
      </c>
      <c r="L198" s="225">
        <f t="shared" si="31"/>
        <v>392409.97229916905</v>
      </c>
      <c r="M198" s="225">
        <f t="shared" si="32"/>
        <v>65401.662049861508</v>
      </c>
      <c r="N198" s="226">
        <f t="shared" si="33"/>
        <v>77827.977839335188</v>
      </c>
      <c r="O198" s="34">
        <v>0.3</v>
      </c>
      <c r="P198" s="226">
        <f t="shared" si="34"/>
        <v>101176.37119113575</v>
      </c>
      <c r="Q198" s="107" t="s">
        <v>1486</v>
      </c>
      <c r="R198" s="34">
        <v>0.3</v>
      </c>
      <c r="S198" s="226">
        <f t="shared" si="27"/>
        <v>80274</v>
      </c>
      <c r="T198" s="156" t="s">
        <v>1486</v>
      </c>
      <c r="U198" s="2">
        <v>10</v>
      </c>
      <c r="V198" s="2" t="s">
        <v>47</v>
      </c>
      <c r="W198" s="2" t="s">
        <v>2900</v>
      </c>
      <c r="X198" s="2" t="s">
        <v>2901</v>
      </c>
      <c r="Y198" s="488" t="s">
        <v>1486</v>
      </c>
      <c r="Z198" s="293">
        <f t="shared" si="28"/>
        <v>18181.662049861508</v>
      </c>
      <c r="AA198" s="293">
        <f t="shared" si="29"/>
        <v>20237.142857142855</v>
      </c>
    </row>
    <row r="199" spans="1:27" s="320" customFormat="1" x14ac:dyDescent="0.25">
      <c r="A199" s="220" t="s">
        <v>155</v>
      </c>
      <c r="B199" s="221" t="s">
        <v>2817</v>
      </c>
      <c r="C199" s="223" t="s">
        <v>2755</v>
      </c>
      <c r="D199" s="220" t="s">
        <v>2792</v>
      </c>
      <c r="E199" s="222">
        <v>12</v>
      </c>
      <c r="F199" s="192">
        <v>2213</v>
      </c>
      <c r="G199" s="24">
        <v>0.2</v>
      </c>
      <c r="H199" s="24">
        <v>0.05</v>
      </c>
      <c r="I199" s="24">
        <v>0.05</v>
      </c>
      <c r="J199" s="24">
        <v>0</v>
      </c>
      <c r="K199" s="224">
        <f t="shared" si="30"/>
        <v>0.27800000000000002</v>
      </c>
      <c r="L199" s="225">
        <f t="shared" si="31"/>
        <v>36781.16343490305</v>
      </c>
      <c r="M199" s="225">
        <f t="shared" si="32"/>
        <v>3065.0969529085874</v>
      </c>
      <c r="N199" s="226">
        <f t="shared" si="33"/>
        <v>3647.4653739612186</v>
      </c>
      <c r="O199" s="34">
        <v>0.3</v>
      </c>
      <c r="P199" s="226">
        <f t="shared" si="34"/>
        <v>4741.7049861495843</v>
      </c>
      <c r="Q199" s="107" t="s">
        <v>1486</v>
      </c>
      <c r="R199" s="34">
        <v>0.3</v>
      </c>
      <c r="S199" s="226">
        <f t="shared" si="27"/>
        <v>3762.1</v>
      </c>
      <c r="T199" s="156" t="s">
        <v>1486</v>
      </c>
      <c r="U199" s="2">
        <v>11</v>
      </c>
      <c r="V199" s="2" t="s">
        <v>47</v>
      </c>
      <c r="W199" s="2" t="s">
        <v>2900</v>
      </c>
      <c r="X199" s="2" t="s">
        <v>2901</v>
      </c>
      <c r="Y199" s="488" t="s">
        <v>1486</v>
      </c>
      <c r="Z199" s="293">
        <f t="shared" si="28"/>
        <v>852.09695290858735</v>
      </c>
      <c r="AA199" s="293">
        <f t="shared" si="29"/>
        <v>948.42857142857156</v>
      </c>
    </row>
    <row r="200" spans="1:27" s="320" customFormat="1" x14ac:dyDescent="0.25">
      <c r="A200" s="220" t="s">
        <v>156</v>
      </c>
      <c r="B200" s="221" t="s">
        <v>2806</v>
      </c>
      <c r="C200" s="223" t="s">
        <v>2755</v>
      </c>
      <c r="D200" s="220" t="s">
        <v>2792</v>
      </c>
      <c r="E200" s="222">
        <v>24</v>
      </c>
      <c r="F200" s="192">
        <v>631</v>
      </c>
      <c r="G200" s="24">
        <v>0.2</v>
      </c>
      <c r="H200" s="24">
        <v>0.05</v>
      </c>
      <c r="I200" s="24">
        <v>0.05</v>
      </c>
      <c r="J200" s="24">
        <v>0</v>
      </c>
      <c r="K200" s="224">
        <f t="shared" si="30"/>
        <v>0.27800000000000014</v>
      </c>
      <c r="L200" s="225">
        <f t="shared" si="31"/>
        <v>20975.069252077563</v>
      </c>
      <c r="M200" s="225">
        <f t="shared" si="32"/>
        <v>873.96121883656519</v>
      </c>
      <c r="N200" s="226">
        <f t="shared" si="33"/>
        <v>1040.0138504155125</v>
      </c>
      <c r="O200" s="34">
        <v>0.3</v>
      </c>
      <c r="P200" s="226">
        <f t="shared" si="34"/>
        <v>1352.0180055401663</v>
      </c>
      <c r="Q200" s="107" t="s">
        <v>1486</v>
      </c>
      <c r="R200" s="34">
        <v>0.24</v>
      </c>
      <c r="S200" s="226">
        <f t="shared" si="27"/>
        <v>988.01315789473688</v>
      </c>
      <c r="T200" s="156" t="s">
        <v>1486</v>
      </c>
      <c r="U200" s="2">
        <v>12</v>
      </c>
      <c r="V200" s="2" t="s">
        <v>47</v>
      </c>
      <c r="W200" s="2" t="s">
        <v>2900</v>
      </c>
      <c r="X200" s="2" t="s">
        <v>2901</v>
      </c>
      <c r="Y200" s="488" t="s">
        <v>1486</v>
      </c>
      <c r="Z200" s="293">
        <f t="shared" si="28"/>
        <v>242.96121883656519</v>
      </c>
      <c r="AA200" s="293">
        <f t="shared" si="29"/>
        <v>199.26315789473688</v>
      </c>
    </row>
    <row r="201" spans="1:27" s="320" customFormat="1" x14ac:dyDescent="0.25">
      <c r="A201" s="220" t="s">
        <v>157</v>
      </c>
      <c r="B201" s="221" t="s">
        <v>2142</v>
      </c>
      <c r="C201" s="223" t="s">
        <v>2755</v>
      </c>
      <c r="D201" s="220" t="s">
        <v>2792</v>
      </c>
      <c r="E201" s="222">
        <v>48</v>
      </c>
      <c r="F201" s="192">
        <v>891.67</v>
      </c>
      <c r="G201" s="24">
        <v>0.2</v>
      </c>
      <c r="H201" s="24">
        <v>0.05</v>
      </c>
      <c r="I201" s="24">
        <v>0.05</v>
      </c>
      <c r="J201" s="24">
        <v>0</v>
      </c>
      <c r="K201" s="224">
        <f t="shared" si="30"/>
        <v>0.27800000000000002</v>
      </c>
      <c r="L201" s="225">
        <f t="shared" si="31"/>
        <v>59280</v>
      </c>
      <c r="M201" s="225">
        <f t="shared" si="32"/>
        <v>1235</v>
      </c>
      <c r="N201" s="226">
        <f t="shared" si="33"/>
        <v>1469.6499999999999</v>
      </c>
      <c r="O201" s="34">
        <v>0.3</v>
      </c>
      <c r="P201" s="226">
        <f t="shared" si="34"/>
        <v>1910.5449999999998</v>
      </c>
      <c r="Q201" s="107" t="s">
        <v>1486</v>
      </c>
      <c r="R201" s="34">
        <v>0.3</v>
      </c>
      <c r="S201" s="226">
        <f t="shared" si="27"/>
        <v>1515.8389999999999</v>
      </c>
      <c r="T201" s="156" t="s">
        <v>1486</v>
      </c>
      <c r="U201" s="2">
        <v>13</v>
      </c>
      <c r="V201" s="2" t="s">
        <v>47</v>
      </c>
      <c r="W201" s="2" t="s">
        <v>2900</v>
      </c>
      <c r="X201" s="2" t="s">
        <v>2901</v>
      </c>
      <c r="Y201" s="488" t="s">
        <v>1486</v>
      </c>
      <c r="Z201" s="293">
        <f t="shared" si="28"/>
        <v>343.33000000000004</v>
      </c>
      <c r="AA201" s="293">
        <f t="shared" si="29"/>
        <v>382.14428571428573</v>
      </c>
    </row>
    <row r="202" spans="1:27" s="320" customFormat="1" x14ac:dyDescent="0.25">
      <c r="A202" s="220" t="s">
        <v>158</v>
      </c>
      <c r="B202" s="221" t="s">
        <v>2811</v>
      </c>
      <c r="C202" s="223" t="s">
        <v>2755</v>
      </c>
      <c r="D202" s="220" t="s">
        <v>2792</v>
      </c>
      <c r="E202" s="222">
        <v>12</v>
      </c>
      <c r="F202" s="192">
        <v>3135.6460000000002</v>
      </c>
      <c r="G202" s="24">
        <v>0.2</v>
      </c>
      <c r="H202" s="24">
        <v>0.05</v>
      </c>
      <c r="I202" s="24">
        <v>0.05</v>
      </c>
      <c r="J202" s="24">
        <v>0</v>
      </c>
      <c r="K202" s="224">
        <f t="shared" si="30"/>
        <v>0.27800000000000014</v>
      </c>
      <c r="L202" s="225">
        <f t="shared" si="31"/>
        <v>52116.000000000015</v>
      </c>
      <c r="M202" s="225">
        <f t="shared" si="32"/>
        <v>4343.0000000000009</v>
      </c>
      <c r="N202" s="226">
        <f t="shared" si="33"/>
        <v>5168.170000000001</v>
      </c>
      <c r="O202" s="34">
        <v>0.3</v>
      </c>
      <c r="P202" s="226">
        <f t="shared" si="34"/>
        <v>6718.6210000000019</v>
      </c>
      <c r="Q202" s="107" t="s">
        <v>1486</v>
      </c>
      <c r="R202" s="34">
        <v>0.3</v>
      </c>
      <c r="S202" s="226">
        <f t="shared" si="27"/>
        <v>5330.5982000000004</v>
      </c>
      <c r="T202" s="156" t="s">
        <v>1486</v>
      </c>
      <c r="U202" s="2">
        <v>14</v>
      </c>
      <c r="V202" s="2" t="s">
        <v>47</v>
      </c>
      <c r="W202" s="2" t="s">
        <v>2900</v>
      </c>
      <c r="X202" s="2" t="s">
        <v>2901</v>
      </c>
      <c r="Y202" s="488" t="s">
        <v>1486</v>
      </c>
      <c r="Z202" s="293">
        <f t="shared" si="28"/>
        <v>1207.3540000000007</v>
      </c>
      <c r="AA202" s="293">
        <f t="shared" si="29"/>
        <v>1343.8482857142858</v>
      </c>
    </row>
    <row r="203" spans="1:27" s="320" customFormat="1" x14ac:dyDescent="0.25">
      <c r="A203" s="220" t="s">
        <v>159</v>
      </c>
      <c r="B203" s="221" t="s">
        <v>2807</v>
      </c>
      <c r="C203" s="223" t="s">
        <v>2755</v>
      </c>
      <c r="D203" s="220" t="s">
        <v>2792</v>
      </c>
      <c r="E203" s="222">
        <v>24</v>
      </c>
      <c r="F203" s="192">
        <v>555.93999999999994</v>
      </c>
      <c r="G203" s="24">
        <v>0.2</v>
      </c>
      <c r="H203" s="24">
        <v>0.05</v>
      </c>
      <c r="I203" s="24">
        <v>0.05</v>
      </c>
      <c r="J203" s="24">
        <v>0</v>
      </c>
      <c r="K203" s="224">
        <f t="shared" si="30"/>
        <v>0.27800000000000002</v>
      </c>
      <c r="L203" s="225">
        <f t="shared" si="31"/>
        <v>18479.999999999996</v>
      </c>
      <c r="M203" s="225">
        <f t="shared" si="32"/>
        <v>769.99999999999989</v>
      </c>
      <c r="N203" s="226">
        <f t="shared" si="33"/>
        <v>916.29999999999984</v>
      </c>
      <c r="O203" s="34">
        <v>0.3</v>
      </c>
      <c r="P203" s="226">
        <f t="shared" si="34"/>
        <v>1191.1899999999998</v>
      </c>
      <c r="Q203" s="107" t="s">
        <v>1486</v>
      </c>
      <c r="R203" s="34">
        <v>0.3</v>
      </c>
      <c r="S203" s="226">
        <f t="shared" si="27"/>
        <v>945.09799999999984</v>
      </c>
      <c r="T203" s="156" t="s">
        <v>1486</v>
      </c>
      <c r="U203" s="2">
        <v>15</v>
      </c>
      <c r="V203" s="2" t="s">
        <v>47</v>
      </c>
      <c r="W203" s="2" t="s">
        <v>2900</v>
      </c>
      <c r="X203" s="2" t="s">
        <v>2901</v>
      </c>
      <c r="Y203" s="488" t="s">
        <v>1486</v>
      </c>
      <c r="Z203" s="293">
        <f t="shared" si="28"/>
        <v>214.05999999999995</v>
      </c>
      <c r="AA203" s="293">
        <f t="shared" si="29"/>
        <v>238.26</v>
      </c>
    </row>
    <row r="204" spans="1:27" s="320" customFormat="1" x14ac:dyDescent="0.25">
      <c r="A204" s="220" t="s">
        <v>160</v>
      </c>
      <c r="B204" s="221" t="s">
        <v>2808</v>
      </c>
      <c r="C204" s="223" t="s">
        <v>2755</v>
      </c>
      <c r="D204" s="220" t="s">
        <v>2792</v>
      </c>
      <c r="E204" s="222">
        <v>24</v>
      </c>
      <c r="F204" s="192">
        <v>654</v>
      </c>
      <c r="G204" s="24">
        <v>0.2</v>
      </c>
      <c r="H204" s="24">
        <v>0.05</v>
      </c>
      <c r="I204" s="24">
        <v>0.05</v>
      </c>
      <c r="J204" s="24">
        <v>0</v>
      </c>
      <c r="K204" s="224">
        <f t="shared" si="30"/>
        <v>0.27800000000000014</v>
      </c>
      <c r="L204" s="225">
        <f t="shared" si="31"/>
        <v>21739.612188365652</v>
      </c>
      <c r="M204" s="225">
        <f t="shared" si="32"/>
        <v>905.81717451523559</v>
      </c>
      <c r="N204" s="226">
        <f t="shared" si="33"/>
        <v>1077.9224376731304</v>
      </c>
      <c r="O204" s="34">
        <v>0.3</v>
      </c>
      <c r="P204" s="226">
        <f t="shared" si="34"/>
        <v>1401.2991689750695</v>
      </c>
      <c r="Q204" s="107" t="s">
        <v>1486</v>
      </c>
      <c r="R204" s="34">
        <v>0.3</v>
      </c>
      <c r="S204" s="226">
        <f t="shared" si="27"/>
        <v>1111.8</v>
      </c>
      <c r="T204" s="156" t="s">
        <v>1486</v>
      </c>
      <c r="U204" s="2">
        <v>16</v>
      </c>
      <c r="V204" s="2" t="s">
        <v>47</v>
      </c>
      <c r="W204" s="2" t="s">
        <v>2900</v>
      </c>
      <c r="X204" s="2" t="s">
        <v>2901</v>
      </c>
      <c r="Y204" s="488" t="s">
        <v>1486</v>
      </c>
      <c r="Z204" s="293">
        <f t="shared" si="28"/>
        <v>251.81717451523559</v>
      </c>
      <c r="AA204" s="293">
        <f t="shared" si="29"/>
        <v>280.28571428571433</v>
      </c>
    </row>
    <row r="205" spans="1:27" s="320" customFormat="1" x14ac:dyDescent="0.25">
      <c r="A205" s="220" t="s">
        <v>161</v>
      </c>
      <c r="B205" s="221" t="s">
        <v>2809</v>
      </c>
      <c r="C205" s="223" t="s">
        <v>2755</v>
      </c>
      <c r="D205" s="220" t="s">
        <v>2792</v>
      </c>
      <c r="E205" s="222">
        <v>24</v>
      </c>
      <c r="F205" s="192">
        <v>1024</v>
      </c>
      <c r="G205" s="24">
        <v>0.2</v>
      </c>
      <c r="H205" s="24">
        <v>0.05</v>
      </c>
      <c r="I205" s="24">
        <v>0.05</v>
      </c>
      <c r="J205" s="24">
        <v>0</v>
      </c>
      <c r="K205" s="224">
        <f t="shared" si="30"/>
        <v>0.27800000000000002</v>
      </c>
      <c r="L205" s="225">
        <f t="shared" si="31"/>
        <v>34038.781163434905</v>
      </c>
      <c r="M205" s="225">
        <f t="shared" si="32"/>
        <v>1418.2825484764544</v>
      </c>
      <c r="N205" s="226">
        <f t="shared" si="33"/>
        <v>1687.7562326869806</v>
      </c>
      <c r="O205" s="34">
        <v>0.3</v>
      </c>
      <c r="P205" s="226">
        <f t="shared" si="34"/>
        <v>2194.0831024930749</v>
      </c>
      <c r="Q205" s="107" t="s">
        <v>1486</v>
      </c>
      <c r="R205" s="34">
        <v>0.3</v>
      </c>
      <c r="S205" s="226">
        <f t="shared" si="27"/>
        <v>1740.8</v>
      </c>
      <c r="T205" s="156" t="s">
        <v>1486</v>
      </c>
      <c r="U205" s="2">
        <v>17</v>
      </c>
      <c r="V205" s="2" t="s">
        <v>47</v>
      </c>
      <c r="W205" s="2" t="s">
        <v>2900</v>
      </c>
      <c r="X205" s="2" t="s">
        <v>2901</v>
      </c>
      <c r="Y205" s="488" t="s">
        <v>1486</v>
      </c>
      <c r="Z205" s="293">
        <f t="shared" si="28"/>
        <v>394.28254847645439</v>
      </c>
      <c r="AA205" s="293">
        <f t="shared" si="29"/>
        <v>438.85714285714289</v>
      </c>
    </row>
    <row r="206" spans="1:27" s="320" customFormat="1" x14ac:dyDescent="0.25">
      <c r="A206" s="220" t="s">
        <v>162</v>
      </c>
      <c r="B206" s="221" t="s">
        <v>1819</v>
      </c>
      <c r="C206" s="223" t="s">
        <v>2755</v>
      </c>
      <c r="D206" s="220" t="s">
        <v>2792</v>
      </c>
      <c r="E206" s="222">
        <v>24</v>
      </c>
      <c r="F206" s="192">
        <v>838</v>
      </c>
      <c r="G206" s="24">
        <v>0.2</v>
      </c>
      <c r="H206" s="24">
        <v>0.05</v>
      </c>
      <c r="I206" s="24">
        <v>0.05</v>
      </c>
      <c r="J206" s="24">
        <v>0</v>
      </c>
      <c r="K206" s="224">
        <f t="shared" si="30"/>
        <v>0.27800000000000014</v>
      </c>
      <c r="L206" s="225">
        <f t="shared" si="31"/>
        <v>27855.955678670365</v>
      </c>
      <c r="M206" s="225">
        <f t="shared" si="32"/>
        <v>1160.6648199445985</v>
      </c>
      <c r="N206" s="226">
        <f t="shared" si="33"/>
        <v>1381.1911357340723</v>
      </c>
      <c r="O206" s="34">
        <v>0.3</v>
      </c>
      <c r="P206" s="226">
        <f t="shared" si="34"/>
        <v>1795.5484764542941</v>
      </c>
      <c r="Q206" s="107" t="s">
        <v>1486</v>
      </c>
      <c r="R206" s="34">
        <v>0.3</v>
      </c>
      <c r="S206" s="226">
        <f t="shared" si="27"/>
        <v>1424.6</v>
      </c>
      <c r="T206" s="156" t="s">
        <v>1486</v>
      </c>
      <c r="U206" s="2">
        <v>18</v>
      </c>
      <c r="V206" s="2" t="s">
        <v>47</v>
      </c>
      <c r="W206" s="2" t="s">
        <v>2900</v>
      </c>
      <c r="X206" s="2" t="s">
        <v>2901</v>
      </c>
      <c r="Y206" s="488" t="s">
        <v>1486</v>
      </c>
      <c r="Z206" s="293">
        <f t="shared" si="28"/>
        <v>322.66481994459855</v>
      </c>
      <c r="AA206" s="293">
        <f t="shared" si="29"/>
        <v>359.14285714285711</v>
      </c>
    </row>
    <row r="207" spans="1:27" s="320" customFormat="1" x14ac:dyDescent="0.25">
      <c r="A207" s="220" t="s">
        <v>165</v>
      </c>
      <c r="B207" s="221" t="s">
        <v>2810</v>
      </c>
      <c r="C207" s="223" t="s">
        <v>2755</v>
      </c>
      <c r="D207" s="220" t="s">
        <v>2792</v>
      </c>
      <c r="E207" s="222">
        <v>24</v>
      </c>
      <c r="F207" s="192">
        <v>920</v>
      </c>
      <c r="G207" s="24">
        <v>0.2</v>
      </c>
      <c r="H207" s="24">
        <v>0.05</v>
      </c>
      <c r="I207" s="24">
        <v>0.05</v>
      </c>
      <c r="J207" s="24">
        <v>0</v>
      </c>
      <c r="K207" s="224">
        <f t="shared" si="30"/>
        <v>0.27800000000000014</v>
      </c>
      <c r="L207" s="225">
        <f t="shared" si="31"/>
        <v>30581.717451523549</v>
      </c>
      <c r="M207" s="225">
        <f t="shared" si="32"/>
        <v>1274.2382271468146</v>
      </c>
      <c r="N207" s="226">
        <f t="shared" si="33"/>
        <v>1516.3434903047093</v>
      </c>
      <c r="O207" s="34">
        <v>0.3</v>
      </c>
      <c r="P207" s="226">
        <f t="shared" si="34"/>
        <v>1971.2465373961222</v>
      </c>
      <c r="Q207" s="107" t="s">
        <v>1486</v>
      </c>
      <c r="R207" s="34">
        <v>0.27026984619915184</v>
      </c>
      <c r="S207" s="226">
        <f t="shared" si="27"/>
        <v>1500.280609616666</v>
      </c>
      <c r="T207" s="156" t="s">
        <v>1486</v>
      </c>
      <c r="U207" s="2">
        <v>19</v>
      </c>
      <c r="V207" s="2" t="s">
        <v>47</v>
      </c>
      <c r="W207" s="2" t="s">
        <v>2900</v>
      </c>
      <c r="X207" s="2" t="s">
        <v>2901</v>
      </c>
      <c r="Y207" s="488" t="s">
        <v>1486</v>
      </c>
      <c r="Z207" s="293">
        <f t="shared" si="28"/>
        <v>354.23822714681455</v>
      </c>
      <c r="AA207" s="293">
        <f t="shared" si="29"/>
        <v>340.74000808123196</v>
      </c>
    </row>
    <row r="208" spans="1:27" s="320" customFormat="1" x14ac:dyDescent="0.25">
      <c r="A208" s="220" t="s">
        <v>172</v>
      </c>
      <c r="B208" s="221" t="s">
        <v>4090</v>
      </c>
      <c r="C208" s="223" t="s">
        <v>1626</v>
      </c>
      <c r="D208" s="220" t="s">
        <v>112</v>
      </c>
      <c r="E208" s="222">
        <v>24</v>
      </c>
      <c r="F208" s="192">
        <v>1635</v>
      </c>
      <c r="G208" s="24">
        <v>0.2</v>
      </c>
      <c r="H208" s="24">
        <v>0.05</v>
      </c>
      <c r="I208" s="24">
        <v>0.05</v>
      </c>
      <c r="J208" s="24">
        <v>0</v>
      </c>
      <c r="K208" s="224">
        <f t="shared" si="30"/>
        <v>0.27800000000000002</v>
      </c>
      <c r="L208" s="225">
        <f t="shared" si="31"/>
        <v>54349.030470914127</v>
      </c>
      <c r="M208" s="225">
        <f t="shared" si="32"/>
        <v>2264.5429362880886</v>
      </c>
      <c r="N208" s="226">
        <f t="shared" si="33"/>
        <v>2694.8060941828253</v>
      </c>
      <c r="O208" s="34">
        <v>0.3</v>
      </c>
      <c r="P208" s="226">
        <f t="shared" si="34"/>
        <v>3503.247922437673</v>
      </c>
      <c r="Q208" s="107" t="s">
        <v>1486</v>
      </c>
      <c r="R208" s="34">
        <v>0.3</v>
      </c>
      <c r="S208" s="226">
        <f t="shared" si="27"/>
        <v>2779.5</v>
      </c>
      <c r="T208" s="156" t="s">
        <v>1486</v>
      </c>
      <c r="U208" s="2" t="s">
        <v>50</v>
      </c>
      <c r="V208" s="2" t="s">
        <v>47</v>
      </c>
      <c r="W208" s="2" t="s">
        <v>2900</v>
      </c>
      <c r="X208" s="2" t="s">
        <v>2901</v>
      </c>
      <c r="Y208" s="488" t="s">
        <v>1486</v>
      </c>
      <c r="Z208" s="293">
        <f t="shared" si="28"/>
        <v>629.54293628808864</v>
      </c>
      <c r="AA208" s="293">
        <f t="shared" si="29"/>
        <v>700.71428571428578</v>
      </c>
    </row>
    <row r="209" spans="1:27" s="320" customFormat="1" x14ac:dyDescent="0.25">
      <c r="A209" s="220" t="s">
        <v>173</v>
      </c>
      <c r="B209" s="221" t="s">
        <v>4093</v>
      </c>
      <c r="C209" s="223" t="s">
        <v>1626</v>
      </c>
      <c r="D209" s="220" t="s">
        <v>3364</v>
      </c>
      <c r="E209" s="222">
        <v>24</v>
      </c>
      <c r="F209" s="192">
        <v>2734</v>
      </c>
      <c r="G209" s="24">
        <v>0.2</v>
      </c>
      <c r="H209" s="24">
        <v>0.05</v>
      </c>
      <c r="I209" s="24">
        <v>0.05</v>
      </c>
      <c r="J209" s="24">
        <v>0</v>
      </c>
      <c r="K209" s="224">
        <f t="shared" si="30"/>
        <v>0.27800000000000002</v>
      </c>
      <c r="L209" s="225">
        <f t="shared" si="31"/>
        <v>90880.886426592799</v>
      </c>
      <c r="M209" s="225">
        <f t="shared" si="32"/>
        <v>3786.7036011080336</v>
      </c>
      <c r="N209" s="226">
        <f t="shared" si="33"/>
        <v>4506.1772853185594</v>
      </c>
      <c r="O209" s="34">
        <v>0.3</v>
      </c>
      <c r="P209" s="226">
        <f t="shared" si="34"/>
        <v>5858.0304709141274</v>
      </c>
      <c r="Q209" s="107" t="s">
        <v>1486</v>
      </c>
      <c r="R209" s="34">
        <v>0.3</v>
      </c>
      <c r="S209" s="226">
        <f t="shared" si="27"/>
        <v>4647.8</v>
      </c>
      <c r="T209" s="156" t="s">
        <v>1486</v>
      </c>
      <c r="U209" s="2" t="s">
        <v>50</v>
      </c>
      <c r="V209" s="2" t="s">
        <v>47</v>
      </c>
      <c r="W209" s="2" t="s">
        <v>2900</v>
      </c>
      <c r="X209" s="2" t="s">
        <v>2901</v>
      </c>
      <c r="Y209" s="488" t="s">
        <v>1486</v>
      </c>
      <c r="Z209" s="293">
        <f t="shared" si="28"/>
        <v>1052.7036011080336</v>
      </c>
      <c r="AA209" s="293">
        <f t="shared" si="29"/>
        <v>1171.7142857142862</v>
      </c>
    </row>
    <row r="210" spans="1:27" s="320" customFormat="1" x14ac:dyDescent="0.25">
      <c r="A210" s="220" t="s">
        <v>174</v>
      </c>
      <c r="B210" s="221" t="s">
        <v>4091</v>
      </c>
      <c r="C210" s="223" t="s">
        <v>1626</v>
      </c>
      <c r="D210" s="220" t="s">
        <v>112</v>
      </c>
      <c r="E210" s="222">
        <v>24</v>
      </c>
      <c r="F210" s="192">
        <v>1417</v>
      </c>
      <c r="G210" s="24">
        <v>0.2</v>
      </c>
      <c r="H210" s="24">
        <v>0.05</v>
      </c>
      <c r="I210" s="24">
        <v>0.05</v>
      </c>
      <c r="J210" s="24">
        <v>0</v>
      </c>
      <c r="K210" s="224">
        <f t="shared" si="30"/>
        <v>0.27800000000000014</v>
      </c>
      <c r="L210" s="225">
        <f t="shared" si="31"/>
        <v>47102.493074792248</v>
      </c>
      <c r="M210" s="225">
        <f t="shared" si="32"/>
        <v>1962.6038781163438</v>
      </c>
      <c r="N210" s="226">
        <f t="shared" si="33"/>
        <v>2335.4986149584493</v>
      </c>
      <c r="O210" s="34">
        <v>0.3</v>
      </c>
      <c r="P210" s="226">
        <f t="shared" si="34"/>
        <v>3036.1481994459841</v>
      </c>
      <c r="Q210" s="107" t="s">
        <v>1486</v>
      </c>
      <c r="R210" s="34">
        <v>0.3</v>
      </c>
      <c r="S210" s="226">
        <f t="shared" si="27"/>
        <v>2408.9</v>
      </c>
      <c r="T210" s="156" t="s">
        <v>1486</v>
      </c>
      <c r="U210" s="2" t="s">
        <v>50</v>
      </c>
      <c r="V210" s="2" t="s">
        <v>47</v>
      </c>
      <c r="W210" s="2" t="s">
        <v>2900</v>
      </c>
      <c r="X210" s="2" t="s">
        <v>2901</v>
      </c>
      <c r="Y210" s="488" t="s">
        <v>1486</v>
      </c>
      <c r="Z210" s="293">
        <f t="shared" si="28"/>
        <v>545.60387811634382</v>
      </c>
      <c r="AA210" s="293">
        <f t="shared" si="29"/>
        <v>607.28571428571445</v>
      </c>
    </row>
    <row r="211" spans="1:27" s="320" customFormat="1" x14ac:dyDescent="0.25">
      <c r="A211" s="220" t="s">
        <v>175</v>
      </c>
      <c r="B211" s="221" t="s">
        <v>3363</v>
      </c>
      <c r="C211" s="223" t="s">
        <v>1626</v>
      </c>
      <c r="D211" s="220" t="s">
        <v>3364</v>
      </c>
      <c r="E211" s="222">
        <v>12</v>
      </c>
      <c r="F211" s="192">
        <v>1512</v>
      </c>
      <c r="G211" s="24">
        <v>0.2</v>
      </c>
      <c r="H211" s="24">
        <v>0.05</v>
      </c>
      <c r="I211" s="24">
        <v>0.05</v>
      </c>
      <c r="J211" s="24">
        <v>0</v>
      </c>
      <c r="K211" s="224">
        <f t="shared" si="30"/>
        <v>0.27800000000000002</v>
      </c>
      <c r="L211" s="225">
        <f t="shared" si="31"/>
        <v>25130.193905817177</v>
      </c>
      <c r="M211" s="225">
        <f t="shared" si="32"/>
        <v>2094.1828254847646</v>
      </c>
      <c r="N211" s="226">
        <f t="shared" si="33"/>
        <v>2492.0775623268696</v>
      </c>
      <c r="O211" s="34">
        <v>0.3</v>
      </c>
      <c r="P211" s="226">
        <f t="shared" si="34"/>
        <v>3239.7008310249307</v>
      </c>
      <c r="Q211" s="107" t="s">
        <v>1486</v>
      </c>
      <c r="R211" s="34">
        <v>0.3</v>
      </c>
      <c r="S211" s="226">
        <f t="shared" si="27"/>
        <v>2570.4</v>
      </c>
      <c r="T211" s="156" t="s">
        <v>1486</v>
      </c>
      <c r="U211" s="2" t="s">
        <v>50</v>
      </c>
      <c r="V211" s="2" t="s">
        <v>47</v>
      </c>
      <c r="W211" s="2" t="s">
        <v>2900</v>
      </c>
      <c r="X211" s="2" t="s">
        <v>2901</v>
      </c>
      <c r="Y211" s="488" t="s">
        <v>1486</v>
      </c>
      <c r="Z211" s="293">
        <f t="shared" si="28"/>
        <v>582.18282548476463</v>
      </c>
      <c r="AA211" s="293">
        <f t="shared" si="29"/>
        <v>648</v>
      </c>
    </row>
    <row r="212" spans="1:27" s="320" customFormat="1" x14ac:dyDescent="0.25">
      <c r="A212" s="220" t="s">
        <v>176</v>
      </c>
      <c r="B212" s="221" t="s">
        <v>4092</v>
      </c>
      <c r="C212" s="223" t="s">
        <v>1626</v>
      </c>
      <c r="D212" s="220" t="s">
        <v>112</v>
      </c>
      <c r="E212" s="222">
        <v>24</v>
      </c>
      <c r="F212" s="192">
        <v>1635</v>
      </c>
      <c r="G212" s="24">
        <v>0.2</v>
      </c>
      <c r="H212" s="24">
        <v>0.05</v>
      </c>
      <c r="I212" s="24">
        <v>0.05</v>
      </c>
      <c r="J212" s="24">
        <v>0</v>
      </c>
      <c r="K212" s="224">
        <f t="shared" si="30"/>
        <v>0.27800000000000002</v>
      </c>
      <c r="L212" s="225">
        <f t="shared" si="31"/>
        <v>54349.030470914127</v>
      </c>
      <c r="M212" s="225">
        <f t="shared" si="32"/>
        <v>2264.5429362880886</v>
      </c>
      <c r="N212" s="226">
        <f t="shared" si="33"/>
        <v>2694.8060941828253</v>
      </c>
      <c r="O212" s="34">
        <v>0.3</v>
      </c>
      <c r="P212" s="226">
        <f t="shared" si="34"/>
        <v>3503.247922437673</v>
      </c>
      <c r="Q212" s="107" t="s">
        <v>1486</v>
      </c>
      <c r="R212" s="34">
        <v>0.3</v>
      </c>
      <c r="S212" s="226">
        <f t="shared" si="27"/>
        <v>2779.5</v>
      </c>
      <c r="T212" s="156" t="s">
        <v>1486</v>
      </c>
      <c r="U212" s="2" t="s">
        <v>50</v>
      </c>
      <c r="V212" s="2" t="s">
        <v>47</v>
      </c>
      <c r="W212" s="2" t="s">
        <v>2900</v>
      </c>
      <c r="X212" s="2" t="s">
        <v>2901</v>
      </c>
      <c r="Y212" s="488" t="s">
        <v>1486</v>
      </c>
      <c r="Z212" s="293">
        <f t="shared" si="28"/>
        <v>629.54293628808864</v>
      </c>
      <c r="AA212" s="293">
        <f t="shared" si="29"/>
        <v>700.71428571428578</v>
      </c>
    </row>
    <row r="213" spans="1:27" s="320" customFormat="1" x14ac:dyDescent="0.25">
      <c r="A213" s="220" t="s">
        <v>177</v>
      </c>
      <c r="B213" s="221" t="s">
        <v>187</v>
      </c>
      <c r="C213" s="223" t="s">
        <v>2822</v>
      </c>
      <c r="D213" s="220" t="s">
        <v>188</v>
      </c>
      <c r="E213" s="222">
        <v>12</v>
      </c>
      <c r="F213" s="192">
        <v>0</v>
      </c>
      <c r="G213" s="24">
        <v>0.2</v>
      </c>
      <c r="H213" s="24">
        <v>0.05</v>
      </c>
      <c r="I213" s="24">
        <v>0.05</v>
      </c>
      <c r="J213" s="24">
        <v>0</v>
      </c>
      <c r="K213" s="224">
        <f t="shared" si="30"/>
        <v>0</v>
      </c>
      <c r="L213" s="225">
        <f t="shared" si="31"/>
        <v>0</v>
      </c>
      <c r="M213" s="225">
        <f t="shared" si="32"/>
        <v>0</v>
      </c>
      <c r="N213" s="226">
        <f t="shared" si="33"/>
        <v>0</v>
      </c>
      <c r="O213" s="34">
        <v>0.3</v>
      </c>
      <c r="P213" s="226">
        <f t="shared" si="34"/>
        <v>0</v>
      </c>
      <c r="Q213" s="107" t="s">
        <v>1486</v>
      </c>
      <c r="R213" s="34">
        <v>0.3</v>
      </c>
      <c r="S213" s="226">
        <f t="shared" si="27"/>
        <v>0</v>
      </c>
      <c r="T213" s="156" t="s">
        <v>1486</v>
      </c>
      <c r="U213" s="2"/>
      <c r="V213" s="2" t="s">
        <v>47</v>
      </c>
      <c r="W213" s="2" t="s">
        <v>2900</v>
      </c>
      <c r="X213" s="2" t="s">
        <v>2901</v>
      </c>
      <c r="Y213" s="488" t="s">
        <v>1486</v>
      </c>
      <c r="Z213" s="293">
        <f t="shared" si="28"/>
        <v>0</v>
      </c>
      <c r="AA213" s="293">
        <f t="shared" si="29"/>
        <v>0</v>
      </c>
    </row>
    <row r="214" spans="1:27" s="320" customFormat="1" x14ac:dyDescent="0.25">
      <c r="A214" s="220" t="s">
        <v>178</v>
      </c>
      <c r="B214" s="221" t="s">
        <v>2823</v>
      </c>
      <c r="C214" s="223" t="s">
        <v>2822</v>
      </c>
      <c r="D214" s="220" t="s">
        <v>188</v>
      </c>
      <c r="E214" s="222">
        <v>12</v>
      </c>
      <c r="F214" s="192">
        <v>2600</v>
      </c>
      <c r="G214" s="24">
        <v>0.2</v>
      </c>
      <c r="H214" s="24">
        <v>0.05</v>
      </c>
      <c r="I214" s="24">
        <v>0.05</v>
      </c>
      <c r="J214" s="24">
        <v>0</v>
      </c>
      <c r="K214" s="224">
        <f t="shared" si="30"/>
        <v>0.27800000000000002</v>
      </c>
      <c r="L214" s="225">
        <f t="shared" si="31"/>
        <v>43213.296398891966</v>
      </c>
      <c r="M214" s="225">
        <f t="shared" si="32"/>
        <v>3601.1080332409974</v>
      </c>
      <c r="N214" s="226">
        <f t="shared" si="33"/>
        <v>4285.3185595567866</v>
      </c>
      <c r="O214" s="34">
        <v>0.3</v>
      </c>
      <c r="P214" s="226">
        <f t="shared" si="34"/>
        <v>5570.9141274238227</v>
      </c>
      <c r="Q214" s="107" t="s">
        <v>1486</v>
      </c>
      <c r="R214" s="34">
        <v>0.3</v>
      </c>
      <c r="S214" s="226">
        <f t="shared" si="27"/>
        <v>4420</v>
      </c>
      <c r="T214" s="156" t="s">
        <v>1486</v>
      </c>
      <c r="U214" s="2"/>
      <c r="V214" s="2" t="s">
        <v>47</v>
      </c>
      <c r="W214" s="2" t="s">
        <v>2900</v>
      </c>
      <c r="X214" s="2" t="s">
        <v>2901</v>
      </c>
      <c r="Y214" s="488" t="s">
        <v>1486</v>
      </c>
      <c r="Z214" s="293">
        <f t="shared" si="28"/>
        <v>1001.1080332409974</v>
      </c>
      <c r="AA214" s="293">
        <f t="shared" si="29"/>
        <v>1114.2857142857147</v>
      </c>
    </row>
    <row r="215" spans="1:27" s="320" customFormat="1" x14ac:dyDescent="0.25">
      <c r="A215" s="220" t="s">
        <v>179</v>
      </c>
      <c r="B215" s="221" t="s">
        <v>2301</v>
      </c>
      <c r="C215" s="223" t="s">
        <v>2822</v>
      </c>
      <c r="D215" s="220" t="s">
        <v>188</v>
      </c>
      <c r="E215" s="222">
        <v>12</v>
      </c>
      <c r="F215" s="192">
        <v>2600</v>
      </c>
      <c r="G215" s="24">
        <v>0.2</v>
      </c>
      <c r="H215" s="24">
        <v>0.05</v>
      </c>
      <c r="I215" s="24">
        <v>0.05</v>
      </c>
      <c r="J215" s="24">
        <v>0</v>
      </c>
      <c r="K215" s="224">
        <f t="shared" si="30"/>
        <v>0.27800000000000002</v>
      </c>
      <c r="L215" s="225">
        <f t="shared" si="31"/>
        <v>43213.296398891966</v>
      </c>
      <c r="M215" s="225">
        <f t="shared" si="32"/>
        <v>3601.1080332409974</v>
      </c>
      <c r="N215" s="226">
        <f t="shared" si="33"/>
        <v>4285.3185595567866</v>
      </c>
      <c r="O215" s="34">
        <v>0.3</v>
      </c>
      <c r="P215" s="226">
        <f t="shared" si="34"/>
        <v>5570.9141274238227</v>
      </c>
      <c r="Q215" s="107" t="s">
        <v>1486</v>
      </c>
      <c r="R215" s="34">
        <v>0.3</v>
      </c>
      <c r="S215" s="226">
        <f t="shared" si="27"/>
        <v>4420</v>
      </c>
      <c r="T215" s="156" t="s">
        <v>1486</v>
      </c>
      <c r="U215" s="2"/>
      <c r="V215" s="2" t="s">
        <v>47</v>
      </c>
      <c r="W215" s="2" t="s">
        <v>2900</v>
      </c>
      <c r="X215" s="2" t="s">
        <v>2901</v>
      </c>
      <c r="Y215" s="488" t="s">
        <v>1486</v>
      </c>
      <c r="Z215" s="293">
        <f t="shared" si="28"/>
        <v>1001.1080332409974</v>
      </c>
      <c r="AA215" s="293">
        <f t="shared" si="29"/>
        <v>1114.2857142857147</v>
      </c>
    </row>
    <row r="216" spans="1:27" s="320" customFormat="1" x14ac:dyDescent="0.25">
      <c r="A216" s="220" t="s">
        <v>180</v>
      </c>
      <c r="B216" s="221" t="s">
        <v>2824</v>
      </c>
      <c r="C216" s="223" t="s">
        <v>2822</v>
      </c>
      <c r="D216" s="220" t="s">
        <v>188</v>
      </c>
      <c r="E216" s="222">
        <v>6</v>
      </c>
      <c r="F216" s="192">
        <v>2500</v>
      </c>
      <c r="G216" s="24">
        <v>0.2</v>
      </c>
      <c r="H216" s="24">
        <v>0.05</v>
      </c>
      <c r="I216" s="24">
        <v>0.05</v>
      </c>
      <c r="J216" s="24">
        <v>0</v>
      </c>
      <c r="K216" s="224">
        <f t="shared" si="30"/>
        <v>0.27800000000000002</v>
      </c>
      <c r="L216" s="225">
        <f t="shared" si="31"/>
        <v>20775.623268698058</v>
      </c>
      <c r="M216" s="225">
        <f t="shared" si="32"/>
        <v>3462.6038781163434</v>
      </c>
      <c r="N216" s="226">
        <f t="shared" si="33"/>
        <v>4120.4986149584483</v>
      </c>
      <c r="O216" s="34">
        <v>0.3</v>
      </c>
      <c r="P216" s="226">
        <f t="shared" si="34"/>
        <v>5356.6481994459828</v>
      </c>
      <c r="Q216" s="107" t="s">
        <v>1486</v>
      </c>
      <c r="R216" s="34">
        <v>0.3</v>
      </c>
      <c r="S216" s="226">
        <f t="shared" si="27"/>
        <v>4250</v>
      </c>
      <c r="T216" s="156" t="s">
        <v>1486</v>
      </c>
      <c r="U216" s="2"/>
      <c r="V216" s="2" t="s">
        <v>47</v>
      </c>
      <c r="W216" s="2" t="s">
        <v>2900</v>
      </c>
      <c r="X216" s="2" t="s">
        <v>2901</v>
      </c>
      <c r="Y216" s="488" t="s">
        <v>1486</v>
      </c>
      <c r="Z216" s="293">
        <f t="shared" si="28"/>
        <v>962.60387811634337</v>
      </c>
      <c r="AA216" s="293">
        <f t="shared" si="29"/>
        <v>1071.4285714285716</v>
      </c>
    </row>
    <row r="217" spans="1:27" s="320" customFormat="1" x14ac:dyDescent="0.25">
      <c r="A217" s="220" t="s">
        <v>181</v>
      </c>
      <c r="B217" s="221" t="s">
        <v>2825</v>
      </c>
      <c r="C217" s="223" t="s">
        <v>2822</v>
      </c>
      <c r="D217" s="220" t="s">
        <v>188</v>
      </c>
      <c r="E217" s="222">
        <v>6</v>
      </c>
      <c r="F217" s="192">
        <v>3023</v>
      </c>
      <c r="G217" s="24">
        <v>0.2</v>
      </c>
      <c r="H217" s="24">
        <v>0.05</v>
      </c>
      <c r="I217" s="24">
        <v>0.05</v>
      </c>
      <c r="J217" s="24">
        <v>0</v>
      </c>
      <c r="K217" s="224">
        <f t="shared" si="30"/>
        <v>0.27800000000000014</v>
      </c>
      <c r="L217" s="225">
        <f t="shared" si="31"/>
        <v>25121.883656509701</v>
      </c>
      <c r="M217" s="225">
        <f t="shared" si="32"/>
        <v>4186.9806094182832</v>
      </c>
      <c r="N217" s="226">
        <f t="shared" si="33"/>
        <v>4982.5069252077565</v>
      </c>
      <c r="O217" s="34">
        <v>0.3</v>
      </c>
      <c r="P217" s="226">
        <f t="shared" si="34"/>
        <v>6477.2590027700835</v>
      </c>
      <c r="Q217" s="107" t="s">
        <v>1486</v>
      </c>
      <c r="R217" s="34">
        <v>0.3</v>
      </c>
      <c r="S217" s="226">
        <f t="shared" si="27"/>
        <v>5139.0999999999995</v>
      </c>
      <c r="T217" s="156" t="s">
        <v>1486</v>
      </c>
      <c r="U217" s="2"/>
      <c r="V217" s="2" t="s">
        <v>47</v>
      </c>
      <c r="W217" s="2" t="s">
        <v>2900</v>
      </c>
      <c r="X217" s="2" t="s">
        <v>2901</v>
      </c>
      <c r="Y217" s="488" t="s">
        <v>1486</v>
      </c>
      <c r="Z217" s="293">
        <f t="shared" si="28"/>
        <v>1163.9806094182832</v>
      </c>
      <c r="AA217" s="293">
        <f t="shared" si="29"/>
        <v>1295.5714285714284</v>
      </c>
    </row>
    <row r="218" spans="1:27" s="320" customFormat="1" x14ac:dyDescent="0.25">
      <c r="A218" s="220" t="s">
        <v>182</v>
      </c>
      <c r="B218" s="221" t="s">
        <v>2139</v>
      </c>
      <c r="C218" s="223" t="s">
        <v>2755</v>
      </c>
      <c r="D218" s="220" t="s">
        <v>2792</v>
      </c>
      <c r="E218" s="222">
        <v>24</v>
      </c>
      <c r="F218" s="192">
        <v>334</v>
      </c>
      <c r="G218" s="24">
        <v>0.2</v>
      </c>
      <c r="H218" s="24">
        <v>0.05</v>
      </c>
      <c r="I218" s="24">
        <v>0.05</v>
      </c>
      <c r="J218" s="24">
        <v>0</v>
      </c>
      <c r="K218" s="224">
        <f t="shared" si="30"/>
        <v>0.27800000000000002</v>
      </c>
      <c r="L218" s="225">
        <f t="shared" si="31"/>
        <v>11102.493074792244</v>
      </c>
      <c r="M218" s="225">
        <f t="shared" si="32"/>
        <v>462.60387811634354</v>
      </c>
      <c r="N218" s="226">
        <f t="shared" si="33"/>
        <v>550.4986149584488</v>
      </c>
      <c r="O218" s="34">
        <v>0.3</v>
      </c>
      <c r="P218" s="226">
        <f t="shared" si="34"/>
        <v>715.64819944598344</v>
      </c>
      <c r="Q218" s="107" t="s">
        <v>1486</v>
      </c>
      <c r="R218" s="34">
        <v>0.3</v>
      </c>
      <c r="S218" s="226">
        <f t="shared" si="27"/>
        <v>567.79999999999995</v>
      </c>
      <c r="T218" s="156" t="s">
        <v>1486</v>
      </c>
      <c r="U218" s="2">
        <v>1</v>
      </c>
      <c r="V218" s="2" t="s">
        <v>47</v>
      </c>
      <c r="W218" s="2" t="s">
        <v>2900</v>
      </c>
      <c r="X218" s="2" t="s">
        <v>2902</v>
      </c>
      <c r="Y218" s="488" t="s">
        <v>1486</v>
      </c>
      <c r="Z218" s="293">
        <f t="shared" si="28"/>
        <v>128.60387811634354</v>
      </c>
      <c r="AA218" s="293">
        <f t="shared" si="29"/>
        <v>143.14285714285711</v>
      </c>
    </row>
    <row r="219" spans="1:27" s="320" customFormat="1" x14ac:dyDescent="0.25">
      <c r="A219" s="220" t="s">
        <v>183</v>
      </c>
      <c r="B219" s="221" t="s">
        <v>4773</v>
      </c>
      <c r="C219" s="223" t="s">
        <v>2755</v>
      </c>
      <c r="D219" s="220" t="s">
        <v>2792</v>
      </c>
      <c r="E219" s="222">
        <v>24</v>
      </c>
      <c r="F219" s="192">
        <v>334</v>
      </c>
      <c r="G219" s="24">
        <v>0.2</v>
      </c>
      <c r="H219" s="24">
        <v>0.05</v>
      </c>
      <c r="I219" s="24">
        <v>0.05</v>
      </c>
      <c r="J219" s="24">
        <v>0</v>
      </c>
      <c r="K219" s="224">
        <f t="shared" si="30"/>
        <v>0.27800000000000002</v>
      </c>
      <c r="L219" s="225">
        <f t="shared" si="31"/>
        <v>11102.493074792244</v>
      </c>
      <c r="M219" s="225">
        <f t="shared" si="32"/>
        <v>462.60387811634354</v>
      </c>
      <c r="N219" s="226">
        <f t="shared" si="33"/>
        <v>550.4986149584488</v>
      </c>
      <c r="O219" s="34">
        <v>0.3</v>
      </c>
      <c r="P219" s="226">
        <f t="shared" si="34"/>
        <v>715.64819944598344</v>
      </c>
      <c r="Q219" s="107" t="s">
        <v>1486</v>
      </c>
      <c r="R219" s="34">
        <v>0.3</v>
      </c>
      <c r="S219" s="226">
        <f t="shared" si="27"/>
        <v>567.79999999999995</v>
      </c>
      <c r="T219" s="156" t="s">
        <v>1486</v>
      </c>
      <c r="U219" s="2">
        <v>2</v>
      </c>
      <c r="V219" s="2" t="s">
        <v>47</v>
      </c>
      <c r="W219" s="2" t="s">
        <v>2900</v>
      </c>
      <c r="X219" s="2" t="s">
        <v>2902</v>
      </c>
      <c r="Y219" s="488" t="s">
        <v>1486</v>
      </c>
      <c r="Z219" s="293">
        <f t="shared" si="28"/>
        <v>128.60387811634354</v>
      </c>
      <c r="AA219" s="293">
        <f t="shared" si="29"/>
        <v>143.14285714285711</v>
      </c>
    </row>
    <row r="220" spans="1:27" s="320" customFormat="1" x14ac:dyDescent="0.25">
      <c r="A220" s="220" t="s">
        <v>184</v>
      </c>
      <c r="B220" s="221" t="s">
        <v>194</v>
      </c>
      <c r="C220" s="223" t="s">
        <v>1626</v>
      </c>
      <c r="D220" s="220" t="s">
        <v>167</v>
      </c>
      <c r="E220" s="222">
        <v>6</v>
      </c>
      <c r="F220" s="192">
        <v>0</v>
      </c>
      <c r="G220" s="24">
        <v>0.2</v>
      </c>
      <c r="H220" s="24">
        <v>0.05</v>
      </c>
      <c r="I220" s="24">
        <v>0.05</v>
      </c>
      <c r="J220" s="24">
        <v>0</v>
      </c>
      <c r="K220" s="224">
        <f t="shared" si="30"/>
        <v>0</v>
      </c>
      <c r="L220" s="225">
        <f t="shared" si="31"/>
        <v>0</v>
      </c>
      <c r="M220" s="225">
        <f t="shared" si="32"/>
        <v>0</v>
      </c>
      <c r="N220" s="226">
        <f t="shared" si="33"/>
        <v>0</v>
      </c>
      <c r="O220" s="34">
        <v>0.3</v>
      </c>
      <c r="P220" s="226">
        <f t="shared" si="34"/>
        <v>0</v>
      </c>
      <c r="Q220" s="107" t="s">
        <v>1486</v>
      </c>
      <c r="R220" s="34">
        <v>0.3</v>
      </c>
      <c r="S220" s="226">
        <f t="shared" si="27"/>
        <v>0</v>
      </c>
      <c r="T220" s="156" t="s">
        <v>1486</v>
      </c>
      <c r="U220" s="2" t="s">
        <v>109</v>
      </c>
      <c r="V220" s="2" t="s">
        <v>47</v>
      </c>
      <c r="W220" s="2" t="s">
        <v>5886</v>
      </c>
      <c r="X220" s="2"/>
      <c r="Y220" s="488" t="s">
        <v>1486</v>
      </c>
      <c r="Z220" s="293">
        <f t="shared" si="28"/>
        <v>0</v>
      </c>
      <c r="AA220" s="293">
        <f t="shared" si="29"/>
        <v>0</v>
      </c>
    </row>
    <row r="221" spans="1:27" s="320" customFormat="1" x14ac:dyDescent="0.25">
      <c r="A221" s="220" t="s">
        <v>185</v>
      </c>
      <c r="B221" s="221" t="s">
        <v>197</v>
      </c>
      <c r="C221" s="223" t="s">
        <v>1626</v>
      </c>
      <c r="D221" s="220" t="s">
        <v>167</v>
      </c>
      <c r="E221" s="222">
        <v>6</v>
      </c>
      <c r="F221" s="192">
        <v>0</v>
      </c>
      <c r="G221" s="24">
        <v>0.2</v>
      </c>
      <c r="H221" s="24">
        <v>0.05</v>
      </c>
      <c r="I221" s="24">
        <v>0.05</v>
      </c>
      <c r="J221" s="24">
        <v>0</v>
      </c>
      <c r="K221" s="224">
        <f t="shared" si="30"/>
        <v>0</v>
      </c>
      <c r="L221" s="225">
        <f t="shared" si="31"/>
        <v>0</v>
      </c>
      <c r="M221" s="225">
        <f t="shared" si="32"/>
        <v>0</v>
      </c>
      <c r="N221" s="226">
        <f t="shared" si="33"/>
        <v>0</v>
      </c>
      <c r="O221" s="34">
        <v>0.3</v>
      </c>
      <c r="P221" s="226">
        <f t="shared" si="34"/>
        <v>0</v>
      </c>
      <c r="Q221" s="107" t="s">
        <v>1486</v>
      </c>
      <c r="R221" s="34">
        <v>0.3</v>
      </c>
      <c r="S221" s="226">
        <f t="shared" ref="S221:S284" si="35">+(F221/(1-R221))*1.19</f>
        <v>0</v>
      </c>
      <c r="T221" s="156" t="s">
        <v>1486</v>
      </c>
      <c r="U221" s="2" t="s">
        <v>109</v>
      </c>
      <c r="V221" s="2" t="s">
        <v>47</v>
      </c>
      <c r="W221" s="2" t="s">
        <v>5886</v>
      </c>
      <c r="X221" s="2"/>
      <c r="Y221" s="488" t="s">
        <v>1486</v>
      </c>
      <c r="Z221" s="293">
        <f t="shared" si="28"/>
        <v>0</v>
      </c>
      <c r="AA221" s="293">
        <f t="shared" si="29"/>
        <v>0</v>
      </c>
    </row>
    <row r="222" spans="1:27" s="320" customFormat="1" x14ac:dyDescent="0.25">
      <c r="A222" s="220" t="s">
        <v>190</v>
      </c>
      <c r="B222" s="221" t="s">
        <v>4083</v>
      </c>
      <c r="C222" s="223" t="s">
        <v>1626</v>
      </c>
      <c r="D222" s="220" t="s">
        <v>119</v>
      </c>
      <c r="E222" s="222">
        <v>6</v>
      </c>
      <c r="F222" s="192">
        <v>3248</v>
      </c>
      <c r="G222" s="24">
        <v>0.2</v>
      </c>
      <c r="H222" s="24">
        <v>0.05</v>
      </c>
      <c r="I222" s="24">
        <v>0.05</v>
      </c>
      <c r="J222" s="24">
        <v>0</v>
      </c>
      <c r="K222" s="224">
        <f t="shared" si="30"/>
        <v>0.27800000000000002</v>
      </c>
      <c r="L222" s="225">
        <f t="shared" si="31"/>
        <v>26991.689750692523</v>
      </c>
      <c r="M222" s="225">
        <f t="shared" si="32"/>
        <v>4498.6149584487539</v>
      </c>
      <c r="N222" s="226">
        <f t="shared" si="33"/>
        <v>5353.3518005540172</v>
      </c>
      <c r="O222" s="34">
        <v>0.3</v>
      </c>
      <c r="P222" s="226">
        <f t="shared" si="34"/>
        <v>6959.357340720223</v>
      </c>
      <c r="Q222" s="107" t="s">
        <v>1486</v>
      </c>
      <c r="R222" s="34">
        <v>0.3</v>
      </c>
      <c r="S222" s="226">
        <f t="shared" si="35"/>
        <v>5521.5999999999995</v>
      </c>
      <c r="T222" s="156" t="s">
        <v>1486</v>
      </c>
      <c r="U222" s="2" t="s">
        <v>109</v>
      </c>
      <c r="V222" s="2" t="s">
        <v>47</v>
      </c>
      <c r="W222" s="2" t="s">
        <v>2900</v>
      </c>
      <c r="X222" s="2" t="s">
        <v>2903</v>
      </c>
      <c r="Y222" s="488" t="s">
        <v>1486</v>
      </c>
      <c r="Z222" s="293">
        <f t="shared" si="28"/>
        <v>1250.6149584487539</v>
      </c>
      <c r="AA222" s="293">
        <f t="shared" si="29"/>
        <v>1392</v>
      </c>
    </row>
    <row r="223" spans="1:27" s="320" customFormat="1" x14ac:dyDescent="0.25">
      <c r="A223" s="220" t="s">
        <v>191</v>
      </c>
      <c r="B223" s="221" t="s">
        <v>4079</v>
      </c>
      <c r="C223" s="223" t="s">
        <v>1626</v>
      </c>
      <c r="D223" s="220" t="s">
        <v>119</v>
      </c>
      <c r="E223" s="222">
        <v>12</v>
      </c>
      <c r="F223" s="192">
        <v>1649</v>
      </c>
      <c r="G223" s="24">
        <v>0.2</v>
      </c>
      <c r="H223" s="24">
        <v>0.05</v>
      </c>
      <c r="I223" s="24">
        <v>0.05</v>
      </c>
      <c r="J223" s="24">
        <v>0</v>
      </c>
      <c r="K223" s="224">
        <f t="shared" si="30"/>
        <v>0.27800000000000014</v>
      </c>
      <c r="L223" s="225">
        <f t="shared" si="31"/>
        <v>27407.202216066486</v>
      </c>
      <c r="M223" s="225">
        <f t="shared" si="32"/>
        <v>2283.9335180055405</v>
      </c>
      <c r="N223" s="226">
        <f t="shared" si="33"/>
        <v>2717.880886426593</v>
      </c>
      <c r="O223" s="34">
        <v>0.3</v>
      </c>
      <c r="P223" s="226">
        <f t="shared" si="34"/>
        <v>3533.245152354571</v>
      </c>
      <c r="Q223" s="107" t="s">
        <v>1486</v>
      </c>
      <c r="R223" s="34">
        <v>0.3</v>
      </c>
      <c r="S223" s="226">
        <f t="shared" si="35"/>
        <v>2803.2999999999997</v>
      </c>
      <c r="T223" s="156" t="s">
        <v>1486</v>
      </c>
      <c r="U223" s="2" t="s">
        <v>109</v>
      </c>
      <c r="V223" s="2" t="s">
        <v>47</v>
      </c>
      <c r="W223" s="2" t="s">
        <v>2900</v>
      </c>
      <c r="X223" s="2" t="s">
        <v>2903</v>
      </c>
      <c r="Y223" s="488" t="s">
        <v>1486</v>
      </c>
      <c r="Z223" s="293">
        <f t="shared" si="28"/>
        <v>634.93351800554046</v>
      </c>
      <c r="AA223" s="293">
        <f t="shared" si="29"/>
        <v>706.71428571428578</v>
      </c>
    </row>
    <row r="224" spans="1:27" s="320" customFormat="1" x14ac:dyDescent="0.25">
      <c r="A224" s="220" t="s">
        <v>192</v>
      </c>
      <c r="B224" s="221" t="s">
        <v>227</v>
      </c>
      <c r="C224" s="223" t="s">
        <v>1626</v>
      </c>
      <c r="D224" s="220" t="s">
        <v>119</v>
      </c>
      <c r="E224" s="222">
        <v>12</v>
      </c>
      <c r="F224" s="192">
        <v>1401</v>
      </c>
      <c r="G224" s="24">
        <v>0.2</v>
      </c>
      <c r="H224" s="24">
        <v>0.05</v>
      </c>
      <c r="I224" s="24">
        <v>0.05</v>
      </c>
      <c r="J224" s="24">
        <v>0</v>
      </c>
      <c r="K224" s="224">
        <f t="shared" si="30"/>
        <v>0.27800000000000014</v>
      </c>
      <c r="L224" s="225">
        <f t="shared" si="31"/>
        <v>23285.318559556788</v>
      </c>
      <c r="M224" s="225">
        <f t="shared" si="32"/>
        <v>1940.4432132963991</v>
      </c>
      <c r="N224" s="226">
        <f t="shared" si="33"/>
        <v>2309.1274238227147</v>
      </c>
      <c r="O224" s="34">
        <v>0.3</v>
      </c>
      <c r="P224" s="226">
        <f t="shared" si="34"/>
        <v>3001.8656509695293</v>
      </c>
      <c r="Q224" s="107" t="s">
        <v>1486</v>
      </c>
      <c r="R224" s="34">
        <v>0.3</v>
      </c>
      <c r="S224" s="226">
        <f t="shared" si="35"/>
        <v>2381.7000000000003</v>
      </c>
      <c r="T224" s="156" t="s">
        <v>1486</v>
      </c>
      <c r="U224" s="2" t="s">
        <v>109</v>
      </c>
      <c r="V224" s="2" t="s">
        <v>47</v>
      </c>
      <c r="W224" s="2" t="s">
        <v>2900</v>
      </c>
      <c r="X224" s="2" t="s">
        <v>2903</v>
      </c>
      <c r="Y224" s="488" t="s">
        <v>1486</v>
      </c>
      <c r="Z224" s="293">
        <f t="shared" si="28"/>
        <v>539.44321329639911</v>
      </c>
      <c r="AA224" s="293">
        <f t="shared" si="29"/>
        <v>600.42857142857179</v>
      </c>
    </row>
    <row r="225" spans="1:27" s="320" customFormat="1" x14ac:dyDescent="0.25">
      <c r="A225" s="220" t="s">
        <v>193</v>
      </c>
      <c r="B225" s="221" t="s">
        <v>229</v>
      </c>
      <c r="C225" s="223" t="s">
        <v>1486</v>
      </c>
      <c r="D225" s="220" t="s">
        <v>230</v>
      </c>
      <c r="E225" s="222">
        <v>24</v>
      </c>
      <c r="F225" s="192">
        <v>0</v>
      </c>
      <c r="G225" s="24">
        <v>0.2</v>
      </c>
      <c r="H225" s="24">
        <v>0.05</v>
      </c>
      <c r="I225" s="24">
        <v>0.05</v>
      </c>
      <c r="J225" s="24">
        <v>0</v>
      </c>
      <c r="K225" s="224">
        <f t="shared" si="30"/>
        <v>0</v>
      </c>
      <c r="L225" s="225">
        <f t="shared" si="31"/>
        <v>0</v>
      </c>
      <c r="M225" s="225">
        <f t="shared" si="32"/>
        <v>0</v>
      </c>
      <c r="N225" s="226">
        <f t="shared" si="33"/>
        <v>0</v>
      </c>
      <c r="O225" s="34">
        <v>0.3</v>
      </c>
      <c r="P225" s="226">
        <f t="shared" si="34"/>
        <v>0</v>
      </c>
      <c r="Q225" s="107" t="s">
        <v>1486</v>
      </c>
      <c r="R225" s="34">
        <v>0.3</v>
      </c>
      <c r="S225" s="226">
        <f t="shared" si="35"/>
        <v>0</v>
      </c>
      <c r="T225" s="156" t="s">
        <v>1486</v>
      </c>
      <c r="U225" s="2"/>
      <c r="V225" s="2" t="s">
        <v>47</v>
      </c>
      <c r="W225" s="2" t="s">
        <v>2900</v>
      </c>
      <c r="X225" s="2" t="s">
        <v>2903</v>
      </c>
      <c r="Y225" s="488" t="s">
        <v>1486</v>
      </c>
      <c r="Z225" s="293">
        <f t="shared" si="28"/>
        <v>0</v>
      </c>
      <c r="AA225" s="293">
        <f t="shared" si="29"/>
        <v>0</v>
      </c>
    </row>
    <row r="226" spans="1:27" s="320" customFormat="1" x14ac:dyDescent="0.25">
      <c r="A226" s="220" t="s">
        <v>196</v>
      </c>
      <c r="B226" s="221" t="s">
        <v>229</v>
      </c>
      <c r="C226" s="223" t="s">
        <v>1486</v>
      </c>
      <c r="D226" s="220" t="s">
        <v>230</v>
      </c>
      <c r="E226" s="222">
        <v>12</v>
      </c>
      <c r="F226" s="192">
        <v>0</v>
      </c>
      <c r="G226" s="24">
        <v>0.2</v>
      </c>
      <c r="H226" s="24">
        <v>0.05</v>
      </c>
      <c r="I226" s="24">
        <v>0.05</v>
      </c>
      <c r="J226" s="24">
        <v>0</v>
      </c>
      <c r="K226" s="224">
        <f t="shared" si="30"/>
        <v>0</v>
      </c>
      <c r="L226" s="225">
        <f t="shared" si="31"/>
        <v>0</v>
      </c>
      <c r="M226" s="225">
        <f t="shared" si="32"/>
        <v>0</v>
      </c>
      <c r="N226" s="226">
        <f t="shared" si="33"/>
        <v>0</v>
      </c>
      <c r="O226" s="34">
        <v>0.3</v>
      </c>
      <c r="P226" s="226">
        <f t="shared" si="34"/>
        <v>0</v>
      </c>
      <c r="Q226" s="107" t="s">
        <v>1486</v>
      </c>
      <c r="R226" s="34">
        <v>0.3</v>
      </c>
      <c r="S226" s="226">
        <f t="shared" si="35"/>
        <v>0</v>
      </c>
      <c r="T226" s="156" t="s">
        <v>1486</v>
      </c>
      <c r="U226" s="2"/>
      <c r="V226" s="2" t="s">
        <v>47</v>
      </c>
      <c r="W226" s="2" t="s">
        <v>2900</v>
      </c>
      <c r="X226" s="2" t="s">
        <v>2903</v>
      </c>
      <c r="Y226" s="488" t="s">
        <v>1486</v>
      </c>
      <c r="Z226" s="293">
        <f t="shared" si="28"/>
        <v>0</v>
      </c>
      <c r="AA226" s="293">
        <f t="shared" si="29"/>
        <v>0</v>
      </c>
    </row>
    <row r="227" spans="1:27" s="320" customFormat="1" x14ac:dyDescent="0.25">
      <c r="A227" s="220" t="s">
        <v>198</v>
      </c>
      <c r="B227" s="221" t="s">
        <v>2801</v>
      </c>
      <c r="C227" s="223" t="s">
        <v>2755</v>
      </c>
      <c r="D227" s="220" t="s">
        <v>2792</v>
      </c>
      <c r="E227" s="222">
        <v>48</v>
      </c>
      <c r="F227" s="192">
        <v>729</v>
      </c>
      <c r="G227" s="24">
        <v>0.2</v>
      </c>
      <c r="H227" s="24">
        <v>0.05</v>
      </c>
      <c r="I227" s="24">
        <v>0.05</v>
      </c>
      <c r="J227" s="24">
        <v>0</v>
      </c>
      <c r="K227" s="224">
        <f t="shared" si="30"/>
        <v>0.27800000000000002</v>
      </c>
      <c r="L227" s="225">
        <f t="shared" si="31"/>
        <v>48465.373961218836</v>
      </c>
      <c r="M227" s="225">
        <f t="shared" si="32"/>
        <v>1009.6952908587258</v>
      </c>
      <c r="N227" s="226">
        <f t="shared" si="33"/>
        <v>1201.5373961218836</v>
      </c>
      <c r="O227" s="34">
        <v>0.3</v>
      </c>
      <c r="P227" s="226">
        <f t="shared" si="34"/>
        <v>1561.9986149584488</v>
      </c>
      <c r="Q227" s="107" t="s">
        <v>1486</v>
      </c>
      <c r="R227" s="34">
        <v>0.3</v>
      </c>
      <c r="S227" s="226">
        <f t="shared" si="35"/>
        <v>1239.3000000000002</v>
      </c>
      <c r="T227" s="156" t="s">
        <v>1486</v>
      </c>
      <c r="U227" s="2">
        <v>1</v>
      </c>
      <c r="V227" s="2" t="s">
        <v>47</v>
      </c>
      <c r="W227" s="2" t="s">
        <v>2900</v>
      </c>
      <c r="X227" s="2" t="s">
        <v>2903</v>
      </c>
      <c r="Y227" s="488" t="s">
        <v>1486</v>
      </c>
      <c r="Z227" s="293">
        <f t="shared" si="28"/>
        <v>280.6952908587258</v>
      </c>
      <c r="AA227" s="293">
        <f t="shared" si="29"/>
        <v>312.42857142857156</v>
      </c>
    </row>
    <row r="228" spans="1:27" s="320" customFormat="1" x14ac:dyDescent="0.25">
      <c r="A228" s="220" t="s">
        <v>200</v>
      </c>
      <c r="B228" s="221" t="s">
        <v>2588</v>
      </c>
      <c r="C228" s="223" t="s">
        <v>2755</v>
      </c>
      <c r="D228" s="220" t="s">
        <v>2792</v>
      </c>
      <c r="E228" s="222">
        <v>48</v>
      </c>
      <c r="F228" s="192">
        <v>222</v>
      </c>
      <c r="G228" s="24">
        <v>0.2</v>
      </c>
      <c r="H228" s="24">
        <v>0.05</v>
      </c>
      <c r="I228" s="24">
        <v>0.05</v>
      </c>
      <c r="J228" s="24">
        <v>0</v>
      </c>
      <c r="K228" s="224">
        <f t="shared" si="30"/>
        <v>0.27800000000000014</v>
      </c>
      <c r="L228" s="225">
        <f t="shared" si="31"/>
        <v>14759.002770083105</v>
      </c>
      <c r="M228" s="225">
        <f t="shared" si="32"/>
        <v>307.47922437673134</v>
      </c>
      <c r="N228" s="226">
        <f t="shared" si="33"/>
        <v>365.9002770083103</v>
      </c>
      <c r="O228" s="34">
        <v>0.3</v>
      </c>
      <c r="P228" s="226">
        <f t="shared" si="34"/>
        <v>475.67036011080341</v>
      </c>
      <c r="Q228" s="107" t="s">
        <v>1486</v>
      </c>
      <c r="R228" s="34">
        <v>0.3</v>
      </c>
      <c r="S228" s="226">
        <f t="shared" si="35"/>
        <v>377.40000000000003</v>
      </c>
      <c r="T228" s="156" t="s">
        <v>1486</v>
      </c>
      <c r="U228" s="2">
        <v>2</v>
      </c>
      <c r="V228" s="2" t="s">
        <v>47</v>
      </c>
      <c r="W228" s="2" t="s">
        <v>2900</v>
      </c>
      <c r="X228" s="2" t="s">
        <v>2903</v>
      </c>
      <c r="Y228" s="488" t="s">
        <v>1486</v>
      </c>
      <c r="Z228" s="293">
        <f t="shared" si="28"/>
        <v>85.479224376731338</v>
      </c>
      <c r="AA228" s="293">
        <f t="shared" si="29"/>
        <v>95.142857142857167</v>
      </c>
    </row>
    <row r="229" spans="1:27" s="320" customFormat="1" x14ac:dyDescent="0.25">
      <c r="A229" s="220" t="s">
        <v>201</v>
      </c>
      <c r="B229" s="221" t="s">
        <v>235</v>
      </c>
      <c r="C229" s="223" t="s">
        <v>2755</v>
      </c>
      <c r="D229" s="220" t="s">
        <v>2792</v>
      </c>
      <c r="E229" s="222">
        <v>48</v>
      </c>
      <c r="F229" s="192">
        <v>0</v>
      </c>
      <c r="G229" s="24">
        <v>0.2</v>
      </c>
      <c r="H229" s="24">
        <v>0.05</v>
      </c>
      <c r="I229" s="24">
        <v>0.05</v>
      </c>
      <c r="J229" s="24">
        <v>0</v>
      </c>
      <c r="K229" s="224">
        <f t="shared" si="30"/>
        <v>0</v>
      </c>
      <c r="L229" s="225">
        <f t="shared" si="31"/>
        <v>0</v>
      </c>
      <c r="M229" s="225">
        <f t="shared" si="32"/>
        <v>0</v>
      </c>
      <c r="N229" s="226">
        <f t="shared" si="33"/>
        <v>0</v>
      </c>
      <c r="O229" s="34">
        <v>0.3</v>
      </c>
      <c r="P229" s="226">
        <f t="shared" si="34"/>
        <v>0</v>
      </c>
      <c r="Q229" s="107" t="s">
        <v>1486</v>
      </c>
      <c r="R229" s="34">
        <v>0.3</v>
      </c>
      <c r="S229" s="226">
        <f t="shared" si="35"/>
        <v>0</v>
      </c>
      <c r="T229" s="156" t="s">
        <v>1486</v>
      </c>
      <c r="U229" s="2">
        <v>3</v>
      </c>
      <c r="V229" s="2" t="s">
        <v>47</v>
      </c>
      <c r="W229" s="2" t="s">
        <v>2900</v>
      </c>
      <c r="X229" s="2" t="s">
        <v>2903</v>
      </c>
      <c r="Y229" s="488" t="s">
        <v>1486</v>
      </c>
      <c r="Z229" s="293">
        <f t="shared" si="28"/>
        <v>0</v>
      </c>
      <c r="AA229" s="293">
        <f t="shared" si="29"/>
        <v>0</v>
      </c>
    </row>
    <row r="230" spans="1:27" s="320" customFormat="1" x14ac:dyDescent="0.25">
      <c r="A230" s="220" t="s">
        <v>202</v>
      </c>
      <c r="B230" s="221" t="s">
        <v>2802</v>
      </c>
      <c r="C230" s="223" t="s">
        <v>2755</v>
      </c>
      <c r="D230" s="220" t="s">
        <v>2792</v>
      </c>
      <c r="E230" s="222">
        <v>24</v>
      </c>
      <c r="F230" s="192">
        <v>734.99600000000021</v>
      </c>
      <c r="G230" s="24">
        <v>0.2</v>
      </c>
      <c r="H230" s="24">
        <v>0.05</v>
      </c>
      <c r="I230" s="24">
        <v>0.05</v>
      </c>
      <c r="J230" s="24">
        <v>0</v>
      </c>
      <c r="K230" s="224">
        <f t="shared" si="30"/>
        <v>0.27800000000000002</v>
      </c>
      <c r="L230" s="225">
        <f t="shared" si="31"/>
        <v>24432.000000000007</v>
      </c>
      <c r="M230" s="225">
        <f t="shared" si="32"/>
        <v>1018.0000000000003</v>
      </c>
      <c r="N230" s="226">
        <f t="shared" si="33"/>
        <v>1211.4200000000003</v>
      </c>
      <c r="O230" s="34">
        <v>0.3</v>
      </c>
      <c r="P230" s="226">
        <f t="shared" si="34"/>
        <v>1574.8460000000005</v>
      </c>
      <c r="Q230" s="107" t="s">
        <v>1486</v>
      </c>
      <c r="R230" s="34">
        <v>0.3</v>
      </c>
      <c r="S230" s="226">
        <f t="shared" si="35"/>
        <v>1249.4932000000003</v>
      </c>
      <c r="T230" s="156" t="s">
        <v>1486</v>
      </c>
      <c r="U230" s="2">
        <v>4</v>
      </c>
      <c r="V230" s="2" t="s">
        <v>47</v>
      </c>
      <c r="W230" s="2" t="s">
        <v>2900</v>
      </c>
      <c r="X230" s="2" t="s">
        <v>2903</v>
      </c>
      <c r="Y230" s="488" t="s">
        <v>1486</v>
      </c>
      <c r="Z230" s="293">
        <f t="shared" si="28"/>
        <v>283.00400000000013</v>
      </c>
      <c r="AA230" s="293">
        <f t="shared" si="29"/>
        <v>314.99828571428577</v>
      </c>
    </row>
    <row r="231" spans="1:27" s="320" customFormat="1" x14ac:dyDescent="0.25">
      <c r="A231" s="220" t="s">
        <v>203</v>
      </c>
      <c r="B231" s="221" t="s">
        <v>2803</v>
      </c>
      <c r="C231" s="223" t="s">
        <v>2755</v>
      </c>
      <c r="D231" s="220" t="s">
        <v>2792</v>
      </c>
      <c r="E231" s="222">
        <v>12</v>
      </c>
      <c r="F231" s="192">
        <v>1438.9460000000006</v>
      </c>
      <c r="G231" s="24">
        <v>0.2</v>
      </c>
      <c r="H231" s="24">
        <v>0.05</v>
      </c>
      <c r="I231" s="24">
        <v>0.05</v>
      </c>
      <c r="J231" s="24">
        <v>0</v>
      </c>
      <c r="K231" s="224">
        <f t="shared" si="30"/>
        <v>0.27799999999999991</v>
      </c>
      <c r="L231" s="225">
        <f t="shared" si="31"/>
        <v>23916.000000000007</v>
      </c>
      <c r="M231" s="225">
        <f t="shared" si="32"/>
        <v>1993.0000000000007</v>
      </c>
      <c r="N231" s="226">
        <f t="shared" si="33"/>
        <v>2371.6700000000005</v>
      </c>
      <c r="O231" s="34">
        <v>0.3</v>
      </c>
      <c r="P231" s="226">
        <f t="shared" si="34"/>
        <v>3083.1710000000007</v>
      </c>
      <c r="Q231" s="107" t="s">
        <v>1486</v>
      </c>
      <c r="R231" s="34">
        <v>0.3</v>
      </c>
      <c r="S231" s="226">
        <f t="shared" si="35"/>
        <v>2446.2082000000009</v>
      </c>
      <c r="T231" s="156" t="s">
        <v>1486</v>
      </c>
      <c r="U231" s="2">
        <v>5</v>
      </c>
      <c r="V231" s="2" t="s">
        <v>47</v>
      </c>
      <c r="W231" s="2" t="s">
        <v>2900</v>
      </c>
      <c r="X231" s="2" t="s">
        <v>2903</v>
      </c>
      <c r="Y231" s="488" t="s">
        <v>1486</v>
      </c>
      <c r="Z231" s="293">
        <f t="shared" si="28"/>
        <v>554.05400000000009</v>
      </c>
      <c r="AA231" s="293">
        <f t="shared" si="29"/>
        <v>616.69114285714318</v>
      </c>
    </row>
    <row r="232" spans="1:27" s="320" customFormat="1" x14ac:dyDescent="0.25">
      <c r="A232" s="220" t="s">
        <v>204</v>
      </c>
      <c r="B232" s="221" t="s">
        <v>1689</v>
      </c>
      <c r="C232" s="223" t="s">
        <v>2755</v>
      </c>
      <c r="D232" s="220" t="s">
        <v>2792</v>
      </c>
      <c r="E232" s="222">
        <v>48</v>
      </c>
      <c r="F232" s="192">
        <v>650.52199999999959</v>
      </c>
      <c r="G232" s="24">
        <v>0.2</v>
      </c>
      <c r="H232" s="24">
        <v>0.05</v>
      </c>
      <c r="I232" s="24">
        <v>0.05</v>
      </c>
      <c r="J232" s="24">
        <v>0</v>
      </c>
      <c r="K232" s="224">
        <f t="shared" si="30"/>
        <v>0.27800000000000014</v>
      </c>
      <c r="L232" s="225">
        <f t="shared" si="31"/>
        <v>43247.999999999978</v>
      </c>
      <c r="M232" s="225">
        <f t="shared" si="32"/>
        <v>900.99999999999955</v>
      </c>
      <c r="N232" s="226">
        <f t="shared" si="33"/>
        <v>1072.1899999999994</v>
      </c>
      <c r="O232" s="34">
        <v>0.3</v>
      </c>
      <c r="P232" s="226">
        <f t="shared" si="34"/>
        <v>1393.8469999999993</v>
      </c>
      <c r="Q232" s="107" t="s">
        <v>1486</v>
      </c>
      <c r="R232" s="34">
        <v>0.3</v>
      </c>
      <c r="S232" s="226">
        <f t="shared" si="35"/>
        <v>1105.8873999999994</v>
      </c>
      <c r="T232" s="156" t="s">
        <v>1486</v>
      </c>
      <c r="U232" s="2">
        <v>6</v>
      </c>
      <c r="V232" s="2" t="s">
        <v>47</v>
      </c>
      <c r="W232" s="2" t="s">
        <v>2900</v>
      </c>
      <c r="X232" s="2" t="s">
        <v>2903</v>
      </c>
      <c r="Y232" s="488" t="s">
        <v>1486</v>
      </c>
      <c r="Z232" s="293">
        <f t="shared" si="28"/>
        <v>250.47799999999995</v>
      </c>
      <c r="AA232" s="293">
        <f t="shared" si="29"/>
        <v>278.79514285714276</v>
      </c>
    </row>
    <row r="233" spans="1:27" s="320" customFormat="1" x14ac:dyDescent="0.25">
      <c r="A233" s="220" t="s">
        <v>205</v>
      </c>
      <c r="B233" s="221" t="s">
        <v>2826</v>
      </c>
      <c r="C233" s="223" t="s">
        <v>2822</v>
      </c>
      <c r="D233" s="220" t="s">
        <v>188</v>
      </c>
      <c r="E233" s="222">
        <v>12</v>
      </c>
      <c r="F233" s="192">
        <v>2500</v>
      </c>
      <c r="G233" s="24">
        <v>0.2</v>
      </c>
      <c r="H233" s="24">
        <v>0.05</v>
      </c>
      <c r="I233" s="24">
        <v>0.05</v>
      </c>
      <c r="J233" s="24">
        <v>0</v>
      </c>
      <c r="K233" s="224">
        <f t="shared" si="30"/>
        <v>0.27800000000000002</v>
      </c>
      <c r="L233" s="225">
        <f t="shared" si="31"/>
        <v>41551.246537396117</v>
      </c>
      <c r="M233" s="225">
        <f t="shared" si="32"/>
        <v>3462.6038781163434</v>
      </c>
      <c r="N233" s="226">
        <f t="shared" si="33"/>
        <v>4120.4986149584483</v>
      </c>
      <c r="O233" s="34">
        <v>0.3</v>
      </c>
      <c r="P233" s="226">
        <f t="shared" si="34"/>
        <v>5356.6481994459828</v>
      </c>
      <c r="Q233" s="107" t="s">
        <v>1486</v>
      </c>
      <c r="R233" s="34">
        <v>0.3</v>
      </c>
      <c r="S233" s="226">
        <f t="shared" si="35"/>
        <v>4250</v>
      </c>
      <c r="T233" s="156" t="s">
        <v>1486</v>
      </c>
      <c r="U233" s="2"/>
      <c r="V233" s="2" t="s">
        <v>47</v>
      </c>
      <c r="W233" s="2" t="s">
        <v>2900</v>
      </c>
      <c r="X233" s="2" t="s">
        <v>2903</v>
      </c>
      <c r="Y233" s="488" t="s">
        <v>1486</v>
      </c>
      <c r="Z233" s="293">
        <f t="shared" si="28"/>
        <v>962.60387811634337</v>
      </c>
      <c r="AA233" s="293">
        <f t="shared" si="29"/>
        <v>1071.4285714285716</v>
      </c>
    </row>
    <row r="234" spans="1:27" s="320" customFormat="1" x14ac:dyDescent="0.25">
      <c r="A234" s="220" t="s">
        <v>206</v>
      </c>
      <c r="B234" s="221" t="s">
        <v>2827</v>
      </c>
      <c r="C234" s="223" t="s">
        <v>2822</v>
      </c>
      <c r="D234" s="220" t="s">
        <v>188</v>
      </c>
      <c r="E234" s="222">
        <v>12</v>
      </c>
      <c r="F234" s="192">
        <v>2500</v>
      </c>
      <c r="G234" s="24">
        <v>0.2</v>
      </c>
      <c r="H234" s="24">
        <v>0.05</v>
      </c>
      <c r="I234" s="24">
        <v>0.05</v>
      </c>
      <c r="J234" s="24">
        <v>0</v>
      </c>
      <c r="K234" s="224">
        <f t="shared" si="30"/>
        <v>0.27800000000000002</v>
      </c>
      <c r="L234" s="225">
        <f t="shared" si="31"/>
        <v>41551.246537396117</v>
      </c>
      <c r="M234" s="225">
        <f t="shared" si="32"/>
        <v>3462.6038781163434</v>
      </c>
      <c r="N234" s="226">
        <f t="shared" si="33"/>
        <v>4120.4986149584483</v>
      </c>
      <c r="O234" s="34">
        <v>0.3</v>
      </c>
      <c r="P234" s="226">
        <f t="shared" si="34"/>
        <v>5356.6481994459828</v>
      </c>
      <c r="Q234" s="107" t="s">
        <v>1486</v>
      </c>
      <c r="R234" s="34">
        <v>0.3</v>
      </c>
      <c r="S234" s="226">
        <f t="shared" si="35"/>
        <v>4250</v>
      </c>
      <c r="T234" s="156" t="s">
        <v>1486</v>
      </c>
      <c r="U234" s="2"/>
      <c r="V234" s="2" t="s">
        <v>47</v>
      </c>
      <c r="W234" s="2" t="s">
        <v>2900</v>
      </c>
      <c r="X234" s="2" t="s">
        <v>2903</v>
      </c>
      <c r="Y234" s="488" t="s">
        <v>1486</v>
      </c>
      <c r="Z234" s="293">
        <f t="shared" si="28"/>
        <v>962.60387811634337</v>
      </c>
      <c r="AA234" s="293">
        <f t="shared" si="29"/>
        <v>1071.4285714285716</v>
      </c>
    </row>
    <row r="235" spans="1:27" s="320" customFormat="1" x14ac:dyDescent="0.25">
      <c r="A235" s="220" t="s">
        <v>207</v>
      </c>
      <c r="B235" s="221" t="s">
        <v>2828</v>
      </c>
      <c r="C235" s="223" t="s">
        <v>2822</v>
      </c>
      <c r="D235" s="220" t="s">
        <v>188</v>
      </c>
      <c r="E235" s="222">
        <v>24</v>
      </c>
      <c r="F235" s="192">
        <v>448</v>
      </c>
      <c r="G235" s="24">
        <v>0.2</v>
      </c>
      <c r="H235" s="24">
        <v>0.05</v>
      </c>
      <c r="I235" s="24">
        <v>0.05</v>
      </c>
      <c r="J235" s="24">
        <v>0</v>
      </c>
      <c r="K235" s="224">
        <f t="shared" si="30"/>
        <v>0.27800000000000002</v>
      </c>
      <c r="L235" s="225">
        <f t="shared" si="31"/>
        <v>14891.966759002771</v>
      </c>
      <c r="M235" s="225">
        <f t="shared" si="32"/>
        <v>620.4986149584488</v>
      </c>
      <c r="N235" s="226">
        <f t="shared" si="33"/>
        <v>738.393351800554</v>
      </c>
      <c r="O235" s="34">
        <v>0.3</v>
      </c>
      <c r="P235" s="226">
        <f t="shared" si="34"/>
        <v>959.9113573407202</v>
      </c>
      <c r="Q235" s="107" t="s">
        <v>1486</v>
      </c>
      <c r="R235" s="34">
        <v>0.3</v>
      </c>
      <c r="S235" s="226">
        <f t="shared" si="35"/>
        <v>761.59999999999991</v>
      </c>
      <c r="T235" s="156" t="s">
        <v>1486</v>
      </c>
      <c r="U235" s="2"/>
      <c r="V235" s="2" t="s">
        <v>47</v>
      </c>
      <c r="W235" s="2" t="s">
        <v>2900</v>
      </c>
      <c r="X235" s="2" t="s">
        <v>2903</v>
      </c>
      <c r="Y235" s="488" t="s">
        <v>1486</v>
      </c>
      <c r="Z235" s="293">
        <f t="shared" si="28"/>
        <v>172.4986149584488</v>
      </c>
      <c r="AA235" s="293">
        <f t="shared" si="29"/>
        <v>192</v>
      </c>
    </row>
    <row r="236" spans="1:27" s="320" customFormat="1" x14ac:dyDescent="0.25">
      <c r="A236" s="220" t="s">
        <v>208</v>
      </c>
      <c r="B236" s="221" t="s">
        <v>2829</v>
      </c>
      <c r="C236" s="223" t="s">
        <v>2822</v>
      </c>
      <c r="D236" s="220" t="s">
        <v>188</v>
      </c>
      <c r="E236" s="222">
        <v>24</v>
      </c>
      <c r="F236" s="192">
        <v>693</v>
      </c>
      <c r="G236" s="24">
        <v>0.2</v>
      </c>
      <c r="H236" s="24">
        <v>0.05</v>
      </c>
      <c r="I236" s="24">
        <v>0.05</v>
      </c>
      <c r="J236" s="24">
        <v>0</v>
      </c>
      <c r="K236" s="224">
        <f t="shared" si="30"/>
        <v>0.27800000000000002</v>
      </c>
      <c r="L236" s="225">
        <f t="shared" si="31"/>
        <v>23036.011080332413</v>
      </c>
      <c r="M236" s="225">
        <f t="shared" si="32"/>
        <v>959.83379501385048</v>
      </c>
      <c r="N236" s="226">
        <f t="shared" si="33"/>
        <v>1142.2022160664819</v>
      </c>
      <c r="O236" s="34">
        <v>0.3</v>
      </c>
      <c r="P236" s="226">
        <f t="shared" si="34"/>
        <v>1484.8628808864266</v>
      </c>
      <c r="Q236" s="107" t="s">
        <v>1486</v>
      </c>
      <c r="R236" s="34">
        <v>0.3</v>
      </c>
      <c r="S236" s="226">
        <f t="shared" si="35"/>
        <v>1178.1000000000001</v>
      </c>
      <c r="T236" s="156" t="s">
        <v>1486</v>
      </c>
      <c r="U236" s="2"/>
      <c r="V236" s="2" t="s">
        <v>47</v>
      </c>
      <c r="W236" s="2" t="s">
        <v>2900</v>
      </c>
      <c r="X236" s="2" t="s">
        <v>2903</v>
      </c>
      <c r="Y236" s="488" t="s">
        <v>1486</v>
      </c>
      <c r="Z236" s="293">
        <f t="shared" si="28"/>
        <v>266.83379501385048</v>
      </c>
      <c r="AA236" s="293">
        <f t="shared" si="29"/>
        <v>297.00000000000011</v>
      </c>
    </row>
    <row r="237" spans="1:27" s="320" customFormat="1" x14ac:dyDescent="0.25">
      <c r="A237" s="220" t="s">
        <v>209</v>
      </c>
      <c r="B237" s="221" t="s">
        <v>2830</v>
      </c>
      <c r="C237" s="223" t="s">
        <v>2822</v>
      </c>
      <c r="D237" s="220" t="s">
        <v>188</v>
      </c>
      <c r="E237" s="222">
        <v>12</v>
      </c>
      <c r="F237" s="192">
        <v>1332</v>
      </c>
      <c r="G237" s="24">
        <v>0.2</v>
      </c>
      <c r="H237" s="24">
        <v>0.05</v>
      </c>
      <c r="I237" s="24">
        <v>0.05</v>
      </c>
      <c r="J237" s="24">
        <v>0</v>
      </c>
      <c r="K237" s="224">
        <f t="shared" si="30"/>
        <v>0.27800000000000014</v>
      </c>
      <c r="L237" s="225">
        <f t="shared" si="31"/>
        <v>22138.504155124658</v>
      </c>
      <c r="M237" s="225">
        <f t="shared" si="32"/>
        <v>1844.8753462603881</v>
      </c>
      <c r="N237" s="226">
        <f t="shared" si="33"/>
        <v>2195.4016620498619</v>
      </c>
      <c r="O237" s="34">
        <v>0.3</v>
      </c>
      <c r="P237" s="226">
        <f t="shared" si="34"/>
        <v>2854.0221606648206</v>
      </c>
      <c r="Q237" s="107" t="s">
        <v>1486</v>
      </c>
      <c r="R237" s="34">
        <v>0.3</v>
      </c>
      <c r="S237" s="226">
        <f t="shared" si="35"/>
        <v>2264.4</v>
      </c>
      <c r="T237" s="156" t="s">
        <v>1486</v>
      </c>
      <c r="U237" s="2"/>
      <c r="V237" s="2" t="s">
        <v>47</v>
      </c>
      <c r="W237" s="2" t="s">
        <v>2900</v>
      </c>
      <c r="X237" s="2" t="s">
        <v>2903</v>
      </c>
      <c r="Y237" s="488" t="s">
        <v>1486</v>
      </c>
      <c r="Z237" s="293">
        <f t="shared" si="28"/>
        <v>512.87534626038814</v>
      </c>
      <c r="AA237" s="293">
        <f t="shared" si="29"/>
        <v>570.85714285714312</v>
      </c>
    </row>
    <row r="238" spans="1:27" s="320" customFormat="1" x14ac:dyDescent="0.25">
      <c r="A238" s="220" t="s">
        <v>210</v>
      </c>
      <c r="B238" s="221" t="s">
        <v>2831</v>
      </c>
      <c r="C238" s="223" t="s">
        <v>2822</v>
      </c>
      <c r="D238" s="220" t="s">
        <v>188</v>
      </c>
      <c r="E238" s="222">
        <v>6</v>
      </c>
      <c r="F238" s="192">
        <v>3603</v>
      </c>
      <c r="G238" s="24">
        <v>0.2</v>
      </c>
      <c r="H238" s="24">
        <v>0.05</v>
      </c>
      <c r="I238" s="24">
        <v>0.05</v>
      </c>
      <c r="J238" s="24">
        <v>0</v>
      </c>
      <c r="K238" s="224">
        <f t="shared" si="30"/>
        <v>0.27800000000000002</v>
      </c>
      <c r="L238" s="225">
        <f t="shared" si="31"/>
        <v>29941.828254847649</v>
      </c>
      <c r="M238" s="225">
        <f t="shared" si="32"/>
        <v>4990.3047091412745</v>
      </c>
      <c r="N238" s="226">
        <f t="shared" si="33"/>
        <v>5938.4626038781162</v>
      </c>
      <c r="O238" s="34">
        <v>0.3</v>
      </c>
      <c r="P238" s="226">
        <f t="shared" si="34"/>
        <v>7720.0013850415517</v>
      </c>
      <c r="Q238" s="107" t="s">
        <v>1486</v>
      </c>
      <c r="R238" s="34">
        <v>0.3</v>
      </c>
      <c r="S238" s="226">
        <f t="shared" si="35"/>
        <v>6125.1</v>
      </c>
      <c r="T238" s="156" t="s">
        <v>1486</v>
      </c>
      <c r="U238" s="2"/>
      <c r="V238" s="2" t="s">
        <v>47</v>
      </c>
      <c r="W238" s="2" t="s">
        <v>2900</v>
      </c>
      <c r="X238" s="2" t="s">
        <v>2903</v>
      </c>
      <c r="Y238" s="488" t="s">
        <v>1486</v>
      </c>
      <c r="Z238" s="293">
        <f t="shared" si="28"/>
        <v>1387.3047091412745</v>
      </c>
      <c r="AA238" s="293">
        <f t="shared" si="29"/>
        <v>1544.1428571428578</v>
      </c>
    </row>
    <row r="239" spans="1:27" s="320" customFormat="1" x14ac:dyDescent="0.25">
      <c r="A239" s="220" t="s">
        <v>211</v>
      </c>
      <c r="B239" s="221" t="s">
        <v>2832</v>
      </c>
      <c r="C239" s="223" t="s">
        <v>2822</v>
      </c>
      <c r="D239" s="220" t="s">
        <v>188</v>
      </c>
      <c r="E239" s="222">
        <v>6</v>
      </c>
      <c r="F239" s="192">
        <v>0</v>
      </c>
      <c r="G239" s="24">
        <v>0.2</v>
      </c>
      <c r="H239" s="24">
        <v>0.05</v>
      </c>
      <c r="I239" s="24">
        <v>0.05</v>
      </c>
      <c r="J239" s="24">
        <v>0</v>
      </c>
      <c r="K239" s="224">
        <f t="shared" si="30"/>
        <v>0</v>
      </c>
      <c r="L239" s="225">
        <f t="shared" si="31"/>
        <v>0</v>
      </c>
      <c r="M239" s="225">
        <f t="shared" si="32"/>
        <v>0</v>
      </c>
      <c r="N239" s="226">
        <f t="shared" si="33"/>
        <v>0</v>
      </c>
      <c r="O239" s="34">
        <v>0.3</v>
      </c>
      <c r="P239" s="226">
        <f t="shared" si="34"/>
        <v>0</v>
      </c>
      <c r="Q239" s="107" t="s">
        <v>1486</v>
      </c>
      <c r="R239" s="34">
        <v>0.3</v>
      </c>
      <c r="S239" s="226">
        <f t="shared" si="35"/>
        <v>0</v>
      </c>
      <c r="T239" s="156" t="s">
        <v>1486</v>
      </c>
      <c r="U239" s="2"/>
      <c r="V239" s="2" t="s">
        <v>47</v>
      </c>
      <c r="W239" s="2" t="s">
        <v>2900</v>
      </c>
      <c r="X239" s="2" t="s">
        <v>2903</v>
      </c>
      <c r="Y239" s="488" t="s">
        <v>1486</v>
      </c>
      <c r="Z239" s="293">
        <f t="shared" si="28"/>
        <v>0</v>
      </c>
      <c r="AA239" s="293">
        <f t="shared" si="29"/>
        <v>0</v>
      </c>
    </row>
    <row r="240" spans="1:27" s="320" customFormat="1" x14ac:dyDescent="0.25">
      <c r="A240" s="220" t="s">
        <v>212</v>
      </c>
      <c r="B240" s="221" t="s">
        <v>2833</v>
      </c>
      <c r="C240" s="223" t="s">
        <v>2822</v>
      </c>
      <c r="D240" s="220" t="s">
        <v>188</v>
      </c>
      <c r="E240" s="222">
        <v>12</v>
      </c>
      <c r="F240" s="192">
        <v>1041</v>
      </c>
      <c r="G240" s="24">
        <v>0.2</v>
      </c>
      <c r="H240" s="24">
        <v>0.05</v>
      </c>
      <c r="I240" s="24">
        <v>0.05</v>
      </c>
      <c r="J240" s="24">
        <v>0</v>
      </c>
      <c r="K240" s="224">
        <f t="shared" si="30"/>
        <v>0.27800000000000002</v>
      </c>
      <c r="L240" s="225">
        <f t="shared" si="31"/>
        <v>17301.939058171745</v>
      </c>
      <c r="M240" s="225">
        <f t="shared" si="32"/>
        <v>1441.8282548476454</v>
      </c>
      <c r="N240" s="226">
        <f t="shared" si="33"/>
        <v>1715.7756232686979</v>
      </c>
      <c r="O240" s="34">
        <v>0.3</v>
      </c>
      <c r="P240" s="226">
        <f t="shared" si="34"/>
        <v>2230.5083102493072</v>
      </c>
      <c r="Q240" s="107" t="s">
        <v>1486</v>
      </c>
      <c r="R240" s="34">
        <v>0.3</v>
      </c>
      <c r="S240" s="226">
        <f t="shared" si="35"/>
        <v>1769.7</v>
      </c>
      <c r="T240" s="156" t="s">
        <v>1486</v>
      </c>
      <c r="U240" s="2"/>
      <c r="V240" s="2" t="s">
        <v>47</v>
      </c>
      <c r="W240" s="2" t="s">
        <v>2900</v>
      </c>
      <c r="X240" s="2" t="s">
        <v>2903</v>
      </c>
      <c r="Y240" s="488" t="s">
        <v>1486</v>
      </c>
      <c r="Z240" s="293">
        <f t="shared" si="28"/>
        <v>400.82825484764544</v>
      </c>
      <c r="AA240" s="293">
        <f t="shared" si="29"/>
        <v>446.14285714285734</v>
      </c>
    </row>
    <row r="241" spans="1:27" s="320" customFormat="1" x14ac:dyDescent="0.25">
      <c r="A241" s="220" t="s">
        <v>213</v>
      </c>
      <c r="B241" s="221" t="s">
        <v>2834</v>
      </c>
      <c r="C241" s="223" t="s">
        <v>2822</v>
      </c>
      <c r="D241" s="220" t="s">
        <v>188</v>
      </c>
      <c r="E241" s="222">
        <v>12</v>
      </c>
      <c r="F241" s="192">
        <v>950</v>
      </c>
      <c r="G241" s="24">
        <v>0.2</v>
      </c>
      <c r="H241" s="24">
        <v>0.05</v>
      </c>
      <c r="I241" s="24">
        <v>0.05</v>
      </c>
      <c r="J241" s="24">
        <v>0</v>
      </c>
      <c r="K241" s="224">
        <f t="shared" si="30"/>
        <v>0.27800000000000002</v>
      </c>
      <c r="L241" s="225">
        <f t="shared" si="31"/>
        <v>15789.473684210527</v>
      </c>
      <c r="M241" s="225">
        <f t="shared" si="32"/>
        <v>1315.7894736842106</v>
      </c>
      <c r="N241" s="226">
        <f t="shared" si="33"/>
        <v>1565.7894736842106</v>
      </c>
      <c r="O241" s="34">
        <v>0.3</v>
      </c>
      <c r="P241" s="226">
        <f t="shared" si="34"/>
        <v>2035.526315789474</v>
      </c>
      <c r="Q241" s="107" t="s">
        <v>1486</v>
      </c>
      <c r="R241" s="34">
        <v>0.3</v>
      </c>
      <c r="S241" s="226">
        <f t="shared" si="35"/>
        <v>1615.0000000000002</v>
      </c>
      <c r="T241" s="156" t="s">
        <v>1486</v>
      </c>
      <c r="U241" s="2"/>
      <c r="V241" s="2" t="s">
        <v>47</v>
      </c>
      <c r="W241" s="2" t="s">
        <v>2900</v>
      </c>
      <c r="X241" s="2" t="s">
        <v>2903</v>
      </c>
      <c r="Y241" s="488" t="s">
        <v>1486</v>
      </c>
      <c r="Z241" s="293">
        <f t="shared" si="28"/>
        <v>365.78947368421063</v>
      </c>
      <c r="AA241" s="293">
        <f t="shared" si="29"/>
        <v>407.14285714285734</v>
      </c>
    </row>
    <row r="242" spans="1:27" s="320" customFormat="1" x14ac:dyDescent="0.25">
      <c r="A242" s="220" t="s">
        <v>214</v>
      </c>
      <c r="B242" s="221" t="s">
        <v>2835</v>
      </c>
      <c r="C242" s="223" t="s">
        <v>2822</v>
      </c>
      <c r="D242" s="220" t="s">
        <v>188</v>
      </c>
      <c r="E242" s="222">
        <v>6</v>
      </c>
      <c r="F242" s="192">
        <v>0</v>
      </c>
      <c r="G242" s="24">
        <v>0.2</v>
      </c>
      <c r="H242" s="24">
        <v>0.05</v>
      </c>
      <c r="I242" s="24">
        <v>0.05</v>
      </c>
      <c r="J242" s="24">
        <v>0</v>
      </c>
      <c r="K242" s="224">
        <f t="shared" si="30"/>
        <v>0</v>
      </c>
      <c r="L242" s="225">
        <f t="shared" si="31"/>
        <v>0</v>
      </c>
      <c r="M242" s="225">
        <f t="shared" si="32"/>
        <v>0</v>
      </c>
      <c r="N242" s="226">
        <f t="shared" si="33"/>
        <v>0</v>
      </c>
      <c r="O242" s="34">
        <v>0.3</v>
      </c>
      <c r="P242" s="226">
        <f t="shared" si="34"/>
        <v>0</v>
      </c>
      <c r="Q242" s="107" t="s">
        <v>1486</v>
      </c>
      <c r="R242" s="34">
        <v>0.3</v>
      </c>
      <c r="S242" s="226">
        <f t="shared" si="35"/>
        <v>0</v>
      </c>
      <c r="T242" s="156" t="s">
        <v>1486</v>
      </c>
      <c r="U242" s="2"/>
      <c r="V242" s="2" t="s">
        <v>47</v>
      </c>
      <c r="W242" s="2" t="s">
        <v>2900</v>
      </c>
      <c r="X242" s="2" t="s">
        <v>2903</v>
      </c>
      <c r="Y242" s="488" t="s">
        <v>1486</v>
      </c>
      <c r="Z242" s="293">
        <f t="shared" si="28"/>
        <v>0</v>
      </c>
      <c r="AA242" s="293">
        <f t="shared" si="29"/>
        <v>0</v>
      </c>
    </row>
    <row r="243" spans="1:27" s="320" customFormat="1" x14ac:dyDescent="0.25">
      <c r="A243" s="220" t="s">
        <v>215</v>
      </c>
      <c r="B243" s="221" t="s">
        <v>2836</v>
      </c>
      <c r="C243" s="223" t="s">
        <v>2822</v>
      </c>
      <c r="D243" s="220" t="s">
        <v>188</v>
      </c>
      <c r="E243" s="222">
        <v>12</v>
      </c>
      <c r="F243" s="192">
        <v>0</v>
      </c>
      <c r="G243" s="24">
        <v>0.2</v>
      </c>
      <c r="H243" s="24">
        <v>0.05</v>
      </c>
      <c r="I243" s="24">
        <v>0.05</v>
      </c>
      <c r="J243" s="24">
        <v>0</v>
      </c>
      <c r="K243" s="224">
        <f t="shared" si="30"/>
        <v>0</v>
      </c>
      <c r="L243" s="225">
        <f t="shared" si="31"/>
        <v>0</v>
      </c>
      <c r="M243" s="225">
        <f t="shared" si="32"/>
        <v>0</v>
      </c>
      <c r="N243" s="226">
        <f t="shared" si="33"/>
        <v>0</v>
      </c>
      <c r="O243" s="34">
        <v>0.3</v>
      </c>
      <c r="P243" s="226">
        <f t="shared" si="34"/>
        <v>0</v>
      </c>
      <c r="Q243" s="107" t="s">
        <v>1486</v>
      </c>
      <c r="R243" s="34">
        <v>0.3</v>
      </c>
      <c r="S243" s="226">
        <f t="shared" si="35"/>
        <v>0</v>
      </c>
      <c r="T243" s="156" t="s">
        <v>1486</v>
      </c>
      <c r="U243" s="2"/>
      <c r="V243" s="2" t="s">
        <v>47</v>
      </c>
      <c r="W243" s="2" t="s">
        <v>2900</v>
      </c>
      <c r="X243" s="2" t="s">
        <v>2903</v>
      </c>
      <c r="Y243" s="488" t="s">
        <v>1486</v>
      </c>
      <c r="Z243" s="293">
        <f t="shared" si="28"/>
        <v>0</v>
      </c>
      <c r="AA243" s="293">
        <f t="shared" si="29"/>
        <v>0</v>
      </c>
    </row>
    <row r="244" spans="1:27" s="320" customFormat="1" x14ac:dyDescent="0.25">
      <c r="A244" s="220" t="s">
        <v>216</v>
      </c>
      <c r="B244" s="221" t="s">
        <v>2837</v>
      </c>
      <c r="C244" s="223" t="s">
        <v>2822</v>
      </c>
      <c r="D244" s="220" t="s">
        <v>188</v>
      </c>
      <c r="E244" s="222">
        <v>12</v>
      </c>
      <c r="F244" s="192">
        <v>1450</v>
      </c>
      <c r="G244" s="24">
        <v>0.2</v>
      </c>
      <c r="H244" s="24">
        <v>0.05</v>
      </c>
      <c r="I244" s="24">
        <v>0.05</v>
      </c>
      <c r="J244" s="24">
        <v>0</v>
      </c>
      <c r="K244" s="224">
        <f t="shared" si="30"/>
        <v>0.27800000000000014</v>
      </c>
      <c r="L244" s="225">
        <f t="shared" si="31"/>
        <v>24099.722991689756</v>
      </c>
      <c r="M244" s="225">
        <f t="shared" si="32"/>
        <v>2008.3102493074796</v>
      </c>
      <c r="N244" s="226">
        <f t="shared" si="33"/>
        <v>2389.8891966759006</v>
      </c>
      <c r="O244" s="34">
        <v>0.3</v>
      </c>
      <c r="P244" s="226">
        <f t="shared" si="34"/>
        <v>3106.8559556786709</v>
      </c>
      <c r="Q244" s="107" t="s">
        <v>1486</v>
      </c>
      <c r="R244" s="34">
        <v>0.3</v>
      </c>
      <c r="S244" s="226">
        <f t="shared" si="35"/>
        <v>2465</v>
      </c>
      <c r="T244" s="156" t="s">
        <v>1486</v>
      </c>
      <c r="U244" s="2"/>
      <c r="V244" s="2" t="s">
        <v>47</v>
      </c>
      <c r="W244" s="2" t="s">
        <v>2900</v>
      </c>
      <c r="X244" s="2" t="s">
        <v>2903</v>
      </c>
      <c r="Y244" s="488" t="s">
        <v>1486</v>
      </c>
      <c r="Z244" s="293">
        <f t="shared" si="28"/>
        <v>558.31024930747958</v>
      </c>
      <c r="AA244" s="293">
        <f t="shared" si="29"/>
        <v>621.42857142857156</v>
      </c>
    </row>
    <row r="245" spans="1:27" s="320" customFormat="1" x14ac:dyDescent="0.25">
      <c r="A245" s="220" t="s">
        <v>217</v>
      </c>
      <c r="B245" s="221" t="s">
        <v>2838</v>
      </c>
      <c r="C245" s="223" t="s">
        <v>2822</v>
      </c>
      <c r="D245" s="220" t="s">
        <v>188</v>
      </c>
      <c r="E245" s="222">
        <v>24</v>
      </c>
      <c r="F245" s="192">
        <v>760</v>
      </c>
      <c r="G245" s="24">
        <v>0.2</v>
      </c>
      <c r="H245" s="24">
        <v>0.05</v>
      </c>
      <c r="I245" s="24">
        <v>0.05</v>
      </c>
      <c r="J245" s="24">
        <v>0</v>
      </c>
      <c r="K245" s="224">
        <f t="shared" si="30"/>
        <v>0.27800000000000014</v>
      </c>
      <c r="L245" s="225">
        <f t="shared" si="31"/>
        <v>25263.157894736847</v>
      </c>
      <c r="M245" s="225">
        <f t="shared" si="32"/>
        <v>1052.6315789473686</v>
      </c>
      <c r="N245" s="226">
        <f t="shared" si="33"/>
        <v>1252.6315789473686</v>
      </c>
      <c r="O245" s="34">
        <v>0.3</v>
      </c>
      <c r="P245" s="226">
        <f t="shared" si="34"/>
        <v>1628.4210526315792</v>
      </c>
      <c r="Q245" s="107" t="s">
        <v>1486</v>
      </c>
      <c r="R245" s="34">
        <v>0.3</v>
      </c>
      <c r="S245" s="226">
        <f t="shared" si="35"/>
        <v>1292</v>
      </c>
      <c r="T245" s="156" t="s">
        <v>1486</v>
      </c>
      <c r="U245" s="2"/>
      <c r="V245" s="2" t="s">
        <v>47</v>
      </c>
      <c r="W245" s="2" t="s">
        <v>2900</v>
      </c>
      <c r="X245" s="2" t="s">
        <v>2903</v>
      </c>
      <c r="Y245" s="488" t="s">
        <v>1486</v>
      </c>
      <c r="Z245" s="293">
        <f t="shared" si="28"/>
        <v>292.63157894736855</v>
      </c>
      <c r="AA245" s="293">
        <f t="shared" si="29"/>
        <v>325.71428571428578</v>
      </c>
    </row>
    <row r="246" spans="1:27" s="320" customFormat="1" x14ac:dyDescent="0.25">
      <c r="A246" s="220" t="s">
        <v>218</v>
      </c>
      <c r="B246" s="221" t="s">
        <v>2839</v>
      </c>
      <c r="C246" s="223" t="s">
        <v>2822</v>
      </c>
      <c r="D246" s="220" t="s">
        <v>188</v>
      </c>
      <c r="E246" s="222">
        <v>12</v>
      </c>
      <c r="F246" s="192">
        <v>910</v>
      </c>
      <c r="G246" s="24">
        <v>0.2</v>
      </c>
      <c r="H246" s="24">
        <v>0.05</v>
      </c>
      <c r="I246" s="24">
        <v>0.05</v>
      </c>
      <c r="J246" s="24">
        <v>0</v>
      </c>
      <c r="K246" s="224">
        <f t="shared" si="30"/>
        <v>0.27800000000000014</v>
      </c>
      <c r="L246" s="225">
        <f t="shared" si="31"/>
        <v>15124.653739612189</v>
      </c>
      <c r="M246" s="225">
        <f t="shared" si="32"/>
        <v>1260.3878116343492</v>
      </c>
      <c r="N246" s="226">
        <f t="shared" si="33"/>
        <v>1499.8614958448754</v>
      </c>
      <c r="O246" s="34">
        <v>0.3</v>
      </c>
      <c r="P246" s="226">
        <f t="shared" si="34"/>
        <v>1949.8199445983382</v>
      </c>
      <c r="Q246" s="107" t="s">
        <v>1486</v>
      </c>
      <c r="R246" s="34">
        <v>0.3</v>
      </c>
      <c r="S246" s="226">
        <f t="shared" si="35"/>
        <v>1547</v>
      </c>
      <c r="T246" s="156" t="s">
        <v>1486</v>
      </c>
      <c r="U246" s="2"/>
      <c r="V246" s="2" t="s">
        <v>47</v>
      </c>
      <c r="W246" s="2" t="s">
        <v>2900</v>
      </c>
      <c r="X246" s="2" t="s">
        <v>2903</v>
      </c>
      <c r="Y246" s="488" t="s">
        <v>1486</v>
      </c>
      <c r="Z246" s="293">
        <f t="shared" si="28"/>
        <v>350.38781163434919</v>
      </c>
      <c r="AA246" s="293">
        <f t="shared" si="29"/>
        <v>390</v>
      </c>
    </row>
    <row r="247" spans="1:27" s="320" customFormat="1" x14ac:dyDescent="0.25">
      <c r="A247" s="220" t="s">
        <v>219</v>
      </c>
      <c r="B247" s="221" t="s">
        <v>2840</v>
      </c>
      <c r="C247" s="223" t="s">
        <v>2822</v>
      </c>
      <c r="D247" s="220" t="s">
        <v>188</v>
      </c>
      <c r="E247" s="222">
        <v>24</v>
      </c>
      <c r="F247" s="192">
        <v>489</v>
      </c>
      <c r="G247" s="24">
        <v>0.2</v>
      </c>
      <c r="H247" s="24">
        <v>0.05</v>
      </c>
      <c r="I247" s="24">
        <v>0.05</v>
      </c>
      <c r="J247" s="24">
        <v>0</v>
      </c>
      <c r="K247" s="224">
        <f t="shared" si="30"/>
        <v>0.27800000000000002</v>
      </c>
      <c r="L247" s="225">
        <f t="shared" si="31"/>
        <v>16254.847645429363</v>
      </c>
      <c r="M247" s="225">
        <f t="shared" si="32"/>
        <v>677.2853185595568</v>
      </c>
      <c r="N247" s="226">
        <f t="shared" si="33"/>
        <v>805.96952908587252</v>
      </c>
      <c r="O247" s="34">
        <v>0.3</v>
      </c>
      <c r="P247" s="226">
        <f t="shared" si="34"/>
        <v>1047.7603878116342</v>
      </c>
      <c r="Q247" s="107" t="s">
        <v>1486</v>
      </c>
      <c r="R247" s="34">
        <v>0.35343320916817078</v>
      </c>
      <c r="S247" s="226">
        <f t="shared" si="35"/>
        <v>899.99982716612124</v>
      </c>
      <c r="T247" s="156" t="s">
        <v>1486</v>
      </c>
      <c r="U247" s="2"/>
      <c r="V247" s="2" t="s">
        <v>47</v>
      </c>
      <c r="W247" s="2" t="s">
        <v>2900</v>
      </c>
      <c r="X247" s="2" t="s">
        <v>2903</v>
      </c>
      <c r="Y247" s="488" t="s">
        <v>1486</v>
      </c>
      <c r="Z247" s="293">
        <f t="shared" si="28"/>
        <v>188.2853185595568</v>
      </c>
      <c r="AA247" s="293">
        <f t="shared" si="29"/>
        <v>267.30237576984985</v>
      </c>
    </row>
    <row r="248" spans="1:27" s="320" customFormat="1" x14ac:dyDescent="0.25">
      <c r="A248" s="220" t="s">
        <v>220</v>
      </c>
      <c r="B248" s="221" t="s">
        <v>255</v>
      </c>
      <c r="C248" s="223" t="s">
        <v>2822</v>
      </c>
      <c r="D248" s="220" t="s">
        <v>188</v>
      </c>
      <c r="E248" s="222">
        <v>12</v>
      </c>
      <c r="F248" s="192">
        <v>0</v>
      </c>
      <c r="G248" s="24">
        <v>0.2</v>
      </c>
      <c r="H248" s="24">
        <v>0.05</v>
      </c>
      <c r="I248" s="24">
        <v>0.05</v>
      </c>
      <c r="J248" s="24">
        <v>0</v>
      </c>
      <c r="K248" s="224">
        <f t="shared" si="30"/>
        <v>0</v>
      </c>
      <c r="L248" s="225">
        <f t="shared" si="31"/>
        <v>0</v>
      </c>
      <c r="M248" s="225">
        <f t="shared" si="32"/>
        <v>0</v>
      </c>
      <c r="N248" s="226">
        <f t="shared" si="33"/>
        <v>0</v>
      </c>
      <c r="O248" s="34">
        <v>0.3</v>
      </c>
      <c r="P248" s="226">
        <f t="shared" si="34"/>
        <v>0</v>
      </c>
      <c r="Q248" s="107" t="s">
        <v>1486</v>
      </c>
      <c r="R248" s="34">
        <v>0.3</v>
      </c>
      <c r="S248" s="226">
        <f t="shared" si="35"/>
        <v>0</v>
      </c>
      <c r="T248" s="156" t="s">
        <v>1486</v>
      </c>
      <c r="U248" s="2"/>
      <c r="V248" s="2" t="s">
        <v>47</v>
      </c>
      <c r="W248" s="2" t="s">
        <v>2900</v>
      </c>
      <c r="X248" s="2" t="s">
        <v>2903</v>
      </c>
      <c r="Y248" s="488" t="s">
        <v>1486</v>
      </c>
      <c r="Z248" s="293">
        <f t="shared" si="28"/>
        <v>0</v>
      </c>
      <c r="AA248" s="293">
        <f t="shared" si="29"/>
        <v>0</v>
      </c>
    </row>
    <row r="249" spans="1:27" s="320" customFormat="1" x14ac:dyDescent="0.25">
      <c r="A249" s="220" t="s">
        <v>221</v>
      </c>
      <c r="B249" s="221" t="s">
        <v>255</v>
      </c>
      <c r="C249" s="223" t="s">
        <v>2822</v>
      </c>
      <c r="D249" s="220" t="s">
        <v>188</v>
      </c>
      <c r="E249" s="222">
        <v>24</v>
      </c>
      <c r="F249" s="192">
        <v>0</v>
      </c>
      <c r="G249" s="24">
        <v>0.2</v>
      </c>
      <c r="H249" s="24">
        <v>0.05</v>
      </c>
      <c r="I249" s="24">
        <v>0.05</v>
      </c>
      <c r="J249" s="24">
        <v>0</v>
      </c>
      <c r="K249" s="224">
        <f t="shared" si="30"/>
        <v>0</v>
      </c>
      <c r="L249" s="225">
        <f t="shared" si="31"/>
        <v>0</v>
      </c>
      <c r="M249" s="225">
        <f t="shared" si="32"/>
        <v>0</v>
      </c>
      <c r="N249" s="226">
        <f t="shared" si="33"/>
        <v>0</v>
      </c>
      <c r="O249" s="34">
        <v>0.3</v>
      </c>
      <c r="P249" s="226">
        <f t="shared" si="34"/>
        <v>0</v>
      </c>
      <c r="Q249" s="107" t="s">
        <v>1486</v>
      </c>
      <c r="R249" s="34">
        <v>0.3</v>
      </c>
      <c r="S249" s="226">
        <f t="shared" si="35"/>
        <v>0</v>
      </c>
      <c r="T249" s="156" t="s">
        <v>1486</v>
      </c>
      <c r="U249" s="2"/>
      <c r="V249" s="2" t="s">
        <v>47</v>
      </c>
      <c r="W249" s="2" t="s">
        <v>2900</v>
      </c>
      <c r="X249" s="2" t="s">
        <v>2903</v>
      </c>
      <c r="Y249" s="488" t="s">
        <v>1486</v>
      </c>
      <c r="Z249" s="293">
        <f t="shared" si="28"/>
        <v>0</v>
      </c>
      <c r="AA249" s="293">
        <f t="shared" si="29"/>
        <v>0</v>
      </c>
    </row>
    <row r="250" spans="1:27" s="320" customFormat="1" x14ac:dyDescent="0.25">
      <c r="A250" s="220" t="s">
        <v>222</v>
      </c>
      <c r="B250" s="221" t="s">
        <v>2841</v>
      </c>
      <c r="C250" s="223" t="s">
        <v>2822</v>
      </c>
      <c r="D250" s="220" t="s">
        <v>188</v>
      </c>
      <c r="E250" s="222">
        <v>24</v>
      </c>
      <c r="F250" s="192">
        <v>299</v>
      </c>
      <c r="G250" s="24">
        <v>0.2</v>
      </c>
      <c r="H250" s="24">
        <v>0.05</v>
      </c>
      <c r="I250" s="24">
        <v>0.05</v>
      </c>
      <c r="J250" s="24">
        <v>0</v>
      </c>
      <c r="K250" s="224">
        <f t="shared" si="30"/>
        <v>0.27800000000000002</v>
      </c>
      <c r="L250" s="225">
        <f t="shared" si="31"/>
        <v>9939.0581717451532</v>
      </c>
      <c r="M250" s="225">
        <f t="shared" si="32"/>
        <v>414.12742382271472</v>
      </c>
      <c r="N250" s="226">
        <f t="shared" si="33"/>
        <v>492.8116343490305</v>
      </c>
      <c r="O250" s="34">
        <v>0.3</v>
      </c>
      <c r="P250" s="226">
        <f t="shared" si="34"/>
        <v>640.65512465373968</v>
      </c>
      <c r="Q250" s="107" t="s">
        <v>1486</v>
      </c>
      <c r="R250" s="34">
        <v>0.3</v>
      </c>
      <c r="S250" s="226">
        <f t="shared" si="35"/>
        <v>508.3</v>
      </c>
      <c r="T250" s="156" t="s">
        <v>1486</v>
      </c>
      <c r="U250" s="2"/>
      <c r="V250" s="2" t="s">
        <v>47</v>
      </c>
      <c r="W250" s="2" t="s">
        <v>2900</v>
      </c>
      <c r="X250" s="2" t="s">
        <v>2903</v>
      </c>
      <c r="Y250" s="488" t="s">
        <v>1486</v>
      </c>
      <c r="Z250" s="293">
        <f t="shared" si="28"/>
        <v>115.12742382271472</v>
      </c>
      <c r="AA250" s="293">
        <f t="shared" si="29"/>
        <v>128.14285714285717</v>
      </c>
    </row>
    <row r="251" spans="1:27" s="320" customFormat="1" x14ac:dyDescent="0.25">
      <c r="A251" s="220" t="s">
        <v>223</v>
      </c>
      <c r="B251" s="221" t="s">
        <v>2842</v>
      </c>
      <c r="C251" s="223" t="s">
        <v>2822</v>
      </c>
      <c r="D251" s="220" t="s">
        <v>188</v>
      </c>
      <c r="E251" s="222">
        <v>24</v>
      </c>
      <c r="F251" s="192">
        <v>546</v>
      </c>
      <c r="G251" s="24">
        <v>0.2</v>
      </c>
      <c r="H251" s="24">
        <v>0.05</v>
      </c>
      <c r="I251" s="24">
        <v>0.05</v>
      </c>
      <c r="J251" s="24">
        <v>0</v>
      </c>
      <c r="K251" s="224">
        <f t="shared" si="30"/>
        <v>0.27800000000000014</v>
      </c>
      <c r="L251" s="225">
        <f t="shared" si="31"/>
        <v>18149.58448753463</v>
      </c>
      <c r="M251" s="225">
        <f t="shared" si="32"/>
        <v>756.23268698060951</v>
      </c>
      <c r="N251" s="226">
        <f t="shared" si="33"/>
        <v>899.91689750692524</v>
      </c>
      <c r="O251" s="34">
        <v>0.3</v>
      </c>
      <c r="P251" s="226">
        <f t="shared" si="34"/>
        <v>1169.8919667590028</v>
      </c>
      <c r="Q251" s="107" t="s">
        <v>1486</v>
      </c>
      <c r="R251" s="34">
        <v>0.3</v>
      </c>
      <c r="S251" s="226">
        <f t="shared" si="35"/>
        <v>928.19999999999993</v>
      </c>
      <c r="T251" s="156" t="s">
        <v>1486</v>
      </c>
      <c r="U251" s="2"/>
      <c r="V251" s="2" t="s">
        <v>47</v>
      </c>
      <c r="W251" s="2" t="s">
        <v>2900</v>
      </c>
      <c r="X251" s="2" t="s">
        <v>2903</v>
      </c>
      <c r="Y251" s="488" t="s">
        <v>1486</v>
      </c>
      <c r="Z251" s="293">
        <f t="shared" si="28"/>
        <v>210.23268698060951</v>
      </c>
      <c r="AA251" s="293">
        <f t="shared" si="29"/>
        <v>234</v>
      </c>
    </row>
    <row r="252" spans="1:27" s="320" customFormat="1" x14ac:dyDescent="0.25">
      <c r="A252" s="220" t="s">
        <v>224</v>
      </c>
      <c r="B252" s="221" t="s">
        <v>2843</v>
      </c>
      <c r="C252" s="223" t="s">
        <v>2822</v>
      </c>
      <c r="D252" s="220" t="s">
        <v>188</v>
      </c>
      <c r="E252" s="222">
        <v>24</v>
      </c>
      <c r="F252" s="192">
        <v>472</v>
      </c>
      <c r="G252" s="24">
        <v>0.2</v>
      </c>
      <c r="H252" s="24">
        <v>0.05</v>
      </c>
      <c r="I252" s="24">
        <v>0.05</v>
      </c>
      <c r="J252" s="24">
        <v>0</v>
      </c>
      <c r="K252" s="224">
        <f t="shared" si="30"/>
        <v>0.27800000000000014</v>
      </c>
      <c r="L252" s="225">
        <f t="shared" si="31"/>
        <v>15689.750692520778</v>
      </c>
      <c r="M252" s="225">
        <f t="shared" si="32"/>
        <v>653.73961218836575</v>
      </c>
      <c r="N252" s="226">
        <f t="shared" si="33"/>
        <v>777.95013850415523</v>
      </c>
      <c r="O252" s="34">
        <v>0.3</v>
      </c>
      <c r="P252" s="226">
        <f t="shared" si="34"/>
        <v>1011.3351800554018</v>
      </c>
      <c r="Q252" s="107" t="s">
        <v>1486</v>
      </c>
      <c r="R252" s="34">
        <v>0.3</v>
      </c>
      <c r="S252" s="226">
        <f t="shared" si="35"/>
        <v>802.4</v>
      </c>
      <c r="T252" s="156" t="s">
        <v>1486</v>
      </c>
      <c r="U252" s="2"/>
      <c r="V252" s="2" t="s">
        <v>47</v>
      </c>
      <c r="W252" s="2" t="s">
        <v>2900</v>
      </c>
      <c r="X252" s="2" t="s">
        <v>2903</v>
      </c>
      <c r="Y252" s="488" t="s">
        <v>1486</v>
      </c>
      <c r="Z252" s="293">
        <f t="shared" si="28"/>
        <v>181.73961218836575</v>
      </c>
      <c r="AA252" s="293">
        <f t="shared" si="29"/>
        <v>202.28571428571433</v>
      </c>
    </row>
    <row r="253" spans="1:27" s="320" customFormat="1" x14ac:dyDescent="0.25">
      <c r="A253" s="220" t="s">
        <v>225</v>
      </c>
      <c r="B253" s="221" t="s">
        <v>2844</v>
      </c>
      <c r="C253" s="223" t="s">
        <v>2822</v>
      </c>
      <c r="D253" s="220" t="s">
        <v>188</v>
      </c>
      <c r="E253" s="222">
        <v>6</v>
      </c>
      <c r="F253" s="192">
        <v>4105</v>
      </c>
      <c r="G253" s="24">
        <v>0.2</v>
      </c>
      <c r="H253" s="24">
        <v>0.05</v>
      </c>
      <c r="I253" s="24">
        <v>0.05</v>
      </c>
      <c r="J253" s="24">
        <v>0</v>
      </c>
      <c r="K253" s="224">
        <f t="shared" si="30"/>
        <v>0.27800000000000002</v>
      </c>
      <c r="L253" s="225">
        <f t="shared" si="31"/>
        <v>34113.573407202217</v>
      </c>
      <c r="M253" s="225">
        <f t="shared" si="32"/>
        <v>5685.5955678670362</v>
      </c>
      <c r="N253" s="226">
        <f t="shared" si="33"/>
        <v>6765.8587257617728</v>
      </c>
      <c r="O253" s="34">
        <v>0.3</v>
      </c>
      <c r="P253" s="226">
        <f t="shared" si="34"/>
        <v>8795.6163434903046</v>
      </c>
      <c r="Q253" s="107" t="s">
        <v>1486</v>
      </c>
      <c r="R253" s="34">
        <v>0.3</v>
      </c>
      <c r="S253" s="226">
        <f t="shared" si="35"/>
        <v>6978.5</v>
      </c>
      <c r="T253" s="156" t="s">
        <v>1486</v>
      </c>
      <c r="U253" s="2"/>
      <c r="V253" s="2" t="s">
        <v>47</v>
      </c>
      <c r="W253" s="2" t="s">
        <v>2900</v>
      </c>
      <c r="X253" s="2" t="s">
        <v>2903</v>
      </c>
      <c r="Y253" s="488" t="s">
        <v>1486</v>
      </c>
      <c r="Z253" s="293">
        <f t="shared" si="28"/>
        <v>1580.5955678670362</v>
      </c>
      <c r="AA253" s="293">
        <f t="shared" si="29"/>
        <v>1759.2857142857147</v>
      </c>
    </row>
    <row r="254" spans="1:27" s="320" customFormat="1" x14ac:dyDescent="0.25">
      <c r="A254" s="220" t="s">
        <v>226</v>
      </c>
      <c r="B254" s="221" t="s">
        <v>2244</v>
      </c>
      <c r="C254" s="223" t="s">
        <v>1626</v>
      </c>
      <c r="D254" s="220" t="s">
        <v>1690</v>
      </c>
      <c r="E254" s="222">
        <v>12</v>
      </c>
      <c r="F254" s="192">
        <v>816</v>
      </c>
      <c r="G254" s="24">
        <v>0.2</v>
      </c>
      <c r="H254" s="24">
        <v>0.05</v>
      </c>
      <c r="I254" s="24">
        <v>0.05</v>
      </c>
      <c r="J254" s="24">
        <v>0</v>
      </c>
      <c r="K254" s="224">
        <f t="shared" si="30"/>
        <v>0.27800000000000014</v>
      </c>
      <c r="L254" s="225">
        <f t="shared" si="31"/>
        <v>13562.326869806097</v>
      </c>
      <c r="M254" s="225">
        <f t="shared" si="32"/>
        <v>1130.1939058171747</v>
      </c>
      <c r="N254" s="226">
        <f t="shared" si="33"/>
        <v>1344.9307479224378</v>
      </c>
      <c r="O254" s="34">
        <v>0.3</v>
      </c>
      <c r="P254" s="226">
        <f t="shared" si="34"/>
        <v>1748.4099722991693</v>
      </c>
      <c r="Q254" s="107" t="s">
        <v>1486</v>
      </c>
      <c r="R254" s="34">
        <v>0.3</v>
      </c>
      <c r="S254" s="226">
        <f t="shared" si="35"/>
        <v>1387.2</v>
      </c>
      <c r="T254" s="156" t="s">
        <v>1486</v>
      </c>
      <c r="U254" s="2" t="s">
        <v>50</v>
      </c>
      <c r="V254" s="2" t="s">
        <v>47</v>
      </c>
      <c r="W254" s="2" t="s">
        <v>5963</v>
      </c>
      <c r="X254" s="2"/>
      <c r="Y254" s="488" t="s">
        <v>1486</v>
      </c>
      <c r="Z254" s="293">
        <f t="shared" si="28"/>
        <v>314.19390581717471</v>
      </c>
      <c r="AA254" s="293">
        <f t="shared" si="29"/>
        <v>349.71428571428578</v>
      </c>
    </row>
    <row r="255" spans="1:27" s="320" customFormat="1" x14ac:dyDescent="0.25">
      <c r="A255" s="220" t="s">
        <v>228</v>
      </c>
      <c r="B255" s="221" t="s">
        <v>4523</v>
      </c>
      <c r="C255" s="223" t="s">
        <v>1626</v>
      </c>
      <c r="D255" s="220" t="s">
        <v>1690</v>
      </c>
      <c r="E255" s="222">
        <v>12</v>
      </c>
      <c r="F255" s="192">
        <v>816</v>
      </c>
      <c r="G255" s="24">
        <v>0.2</v>
      </c>
      <c r="H255" s="24">
        <v>0.05</v>
      </c>
      <c r="I255" s="24">
        <v>0.05</v>
      </c>
      <c r="J255" s="24">
        <v>0</v>
      </c>
      <c r="K255" s="224">
        <f t="shared" si="30"/>
        <v>0.27800000000000014</v>
      </c>
      <c r="L255" s="225">
        <f t="shared" si="31"/>
        <v>13562.326869806097</v>
      </c>
      <c r="M255" s="225">
        <f t="shared" si="32"/>
        <v>1130.1939058171747</v>
      </c>
      <c r="N255" s="226">
        <f t="shared" si="33"/>
        <v>1344.9307479224378</v>
      </c>
      <c r="O255" s="34">
        <v>0.3</v>
      </c>
      <c r="P255" s="226">
        <f t="shared" si="34"/>
        <v>1748.4099722991693</v>
      </c>
      <c r="Q255" s="107" t="s">
        <v>1486</v>
      </c>
      <c r="R255" s="34">
        <v>0.3</v>
      </c>
      <c r="S255" s="226">
        <f t="shared" si="35"/>
        <v>1387.2</v>
      </c>
      <c r="T255" s="156" t="s">
        <v>1486</v>
      </c>
      <c r="U255" s="2" t="s">
        <v>50</v>
      </c>
      <c r="V255" s="2" t="s">
        <v>47</v>
      </c>
      <c r="W255" s="2" t="s">
        <v>5963</v>
      </c>
      <c r="X255" s="2" t="s">
        <v>1467</v>
      </c>
      <c r="Y255" s="488" t="s">
        <v>1486</v>
      </c>
      <c r="Z255" s="293">
        <f t="shared" si="28"/>
        <v>314.19390581717471</v>
      </c>
      <c r="AA255" s="293">
        <f t="shared" si="29"/>
        <v>349.71428571428578</v>
      </c>
    </row>
    <row r="256" spans="1:27" s="320" customFormat="1" x14ac:dyDescent="0.25">
      <c r="A256" s="220" t="s">
        <v>231</v>
      </c>
      <c r="B256" s="221" t="s">
        <v>2245</v>
      </c>
      <c r="C256" s="223" t="s">
        <v>1626</v>
      </c>
      <c r="D256" s="220" t="s">
        <v>1690</v>
      </c>
      <c r="E256" s="222">
        <v>12</v>
      </c>
      <c r="F256" s="192">
        <v>816</v>
      </c>
      <c r="G256" s="24">
        <v>0.2</v>
      </c>
      <c r="H256" s="24">
        <v>0.05</v>
      </c>
      <c r="I256" s="24">
        <v>0.05</v>
      </c>
      <c r="J256" s="24">
        <v>0</v>
      </c>
      <c r="K256" s="224">
        <f t="shared" si="30"/>
        <v>0.27800000000000014</v>
      </c>
      <c r="L256" s="225">
        <f t="shared" si="31"/>
        <v>13562.326869806097</v>
      </c>
      <c r="M256" s="225">
        <f t="shared" si="32"/>
        <v>1130.1939058171747</v>
      </c>
      <c r="N256" s="226">
        <f t="shared" si="33"/>
        <v>1344.9307479224378</v>
      </c>
      <c r="O256" s="34">
        <v>0.3</v>
      </c>
      <c r="P256" s="226">
        <f t="shared" si="34"/>
        <v>1748.4099722991693</v>
      </c>
      <c r="Q256" s="107" t="s">
        <v>1486</v>
      </c>
      <c r="R256" s="34">
        <v>0.3</v>
      </c>
      <c r="S256" s="226">
        <f t="shared" si="35"/>
        <v>1387.2</v>
      </c>
      <c r="T256" s="156" t="s">
        <v>1486</v>
      </c>
      <c r="U256" s="2" t="s">
        <v>50</v>
      </c>
      <c r="V256" s="2" t="s">
        <v>47</v>
      </c>
      <c r="W256" s="2" t="s">
        <v>5963</v>
      </c>
      <c r="X256" s="2"/>
      <c r="Y256" s="488" t="s">
        <v>1486</v>
      </c>
      <c r="Z256" s="293">
        <f t="shared" ref="Z256:Z319" si="36">+M256-F256</f>
        <v>314.19390581717471</v>
      </c>
      <c r="AA256" s="293">
        <f t="shared" ref="AA256:AA319" si="37">+(S256/1.19)-F256</f>
        <v>349.71428571428578</v>
      </c>
    </row>
    <row r="257" spans="1:27" s="320" customFormat="1" x14ac:dyDescent="0.25">
      <c r="A257" s="220" t="s">
        <v>232</v>
      </c>
      <c r="B257" s="221" t="s">
        <v>2246</v>
      </c>
      <c r="C257" s="223" t="s">
        <v>1626</v>
      </c>
      <c r="D257" s="220" t="s">
        <v>1690</v>
      </c>
      <c r="E257" s="222">
        <v>12</v>
      </c>
      <c r="F257" s="192">
        <v>816</v>
      </c>
      <c r="G257" s="24">
        <v>0.2</v>
      </c>
      <c r="H257" s="24">
        <v>0.05</v>
      </c>
      <c r="I257" s="24">
        <v>0.05</v>
      </c>
      <c r="J257" s="24">
        <v>0</v>
      </c>
      <c r="K257" s="224">
        <f t="shared" si="30"/>
        <v>0.27800000000000014</v>
      </c>
      <c r="L257" s="225">
        <f t="shared" si="31"/>
        <v>13562.326869806097</v>
      </c>
      <c r="M257" s="225">
        <f t="shared" si="32"/>
        <v>1130.1939058171747</v>
      </c>
      <c r="N257" s="226">
        <f t="shared" si="33"/>
        <v>1344.9307479224378</v>
      </c>
      <c r="O257" s="34">
        <v>0.3</v>
      </c>
      <c r="P257" s="226">
        <f t="shared" si="34"/>
        <v>1748.4099722991693</v>
      </c>
      <c r="Q257" s="107" t="s">
        <v>1486</v>
      </c>
      <c r="R257" s="34">
        <v>0.3</v>
      </c>
      <c r="S257" s="226">
        <f t="shared" si="35"/>
        <v>1387.2</v>
      </c>
      <c r="T257" s="156" t="s">
        <v>1486</v>
      </c>
      <c r="U257" s="2" t="s">
        <v>50</v>
      </c>
      <c r="V257" s="2" t="s">
        <v>47</v>
      </c>
      <c r="W257" s="2" t="s">
        <v>5963</v>
      </c>
      <c r="X257" s="2"/>
      <c r="Y257" s="488" t="s">
        <v>1486</v>
      </c>
      <c r="Z257" s="293">
        <f t="shared" si="36"/>
        <v>314.19390581717471</v>
      </c>
      <c r="AA257" s="293">
        <f t="shared" si="37"/>
        <v>349.71428571428578</v>
      </c>
    </row>
    <row r="258" spans="1:27" s="320" customFormat="1" x14ac:dyDescent="0.25">
      <c r="A258" s="220" t="s">
        <v>233</v>
      </c>
      <c r="B258" s="221" t="s">
        <v>2247</v>
      </c>
      <c r="C258" s="223" t="s">
        <v>1626</v>
      </c>
      <c r="D258" s="220" t="s">
        <v>1690</v>
      </c>
      <c r="E258" s="222">
        <v>12</v>
      </c>
      <c r="F258" s="192">
        <v>816</v>
      </c>
      <c r="G258" s="24">
        <v>0.2</v>
      </c>
      <c r="H258" s="24">
        <v>0.05</v>
      </c>
      <c r="I258" s="24">
        <v>0.05</v>
      </c>
      <c r="J258" s="24">
        <v>0</v>
      </c>
      <c r="K258" s="224">
        <f t="shared" si="30"/>
        <v>0.27800000000000014</v>
      </c>
      <c r="L258" s="225">
        <f t="shared" si="31"/>
        <v>13562.326869806097</v>
      </c>
      <c r="M258" s="225">
        <f t="shared" si="32"/>
        <v>1130.1939058171747</v>
      </c>
      <c r="N258" s="226">
        <f t="shared" si="33"/>
        <v>1344.9307479224378</v>
      </c>
      <c r="O258" s="34">
        <v>0.3</v>
      </c>
      <c r="P258" s="226">
        <f t="shared" si="34"/>
        <v>1748.4099722991693</v>
      </c>
      <c r="Q258" s="107" t="s">
        <v>1486</v>
      </c>
      <c r="R258" s="34">
        <v>0.3</v>
      </c>
      <c r="S258" s="226">
        <f t="shared" si="35"/>
        <v>1387.2</v>
      </c>
      <c r="T258" s="156" t="s">
        <v>1486</v>
      </c>
      <c r="U258" s="2" t="s">
        <v>50</v>
      </c>
      <c r="V258" s="2" t="s">
        <v>47</v>
      </c>
      <c r="W258" s="2" t="s">
        <v>5963</v>
      </c>
      <c r="X258" s="2"/>
      <c r="Y258" s="488" t="s">
        <v>1486</v>
      </c>
      <c r="Z258" s="293">
        <f t="shared" si="36"/>
        <v>314.19390581717471</v>
      </c>
      <c r="AA258" s="293">
        <f t="shared" si="37"/>
        <v>349.71428571428578</v>
      </c>
    </row>
    <row r="259" spans="1:27" s="320" customFormat="1" x14ac:dyDescent="0.25">
      <c r="A259" s="220" t="s">
        <v>234</v>
      </c>
      <c r="B259" s="221" t="s">
        <v>268</v>
      </c>
      <c r="C259" s="223" t="s">
        <v>1626</v>
      </c>
      <c r="D259" s="220" t="s">
        <v>269</v>
      </c>
      <c r="E259" s="222">
        <v>24</v>
      </c>
      <c r="F259" s="192">
        <v>0</v>
      </c>
      <c r="G259" s="24">
        <v>0.2</v>
      </c>
      <c r="H259" s="24">
        <v>0.05</v>
      </c>
      <c r="I259" s="24">
        <v>0.05</v>
      </c>
      <c r="J259" s="24">
        <v>0</v>
      </c>
      <c r="K259" s="224">
        <f t="shared" ref="K259:K322" si="38">IF(F259=0,0,1-(F259/M259))</f>
        <v>0</v>
      </c>
      <c r="L259" s="225">
        <f t="shared" ref="L259:L322" si="39">+M259*E259</f>
        <v>0</v>
      </c>
      <c r="M259" s="225">
        <f t="shared" ref="M259:M322" si="40">+F259/(1-G259)/(1-H259)/(1-I259)/(1-J259)</f>
        <v>0</v>
      </c>
      <c r="N259" s="226">
        <f t="shared" ref="N259:N322" si="41">+M259*1.19</f>
        <v>0</v>
      </c>
      <c r="O259" s="34">
        <v>0.3</v>
      </c>
      <c r="P259" s="226">
        <f t="shared" ref="P259:P322" si="42">+N259*(1+O259)</f>
        <v>0</v>
      </c>
      <c r="Q259" s="107" t="s">
        <v>1486</v>
      </c>
      <c r="R259" s="34">
        <v>0.3</v>
      </c>
      <c r="S259" s="226">
        <f t="shared" si="35"/>
        <v>0</v>
      </c>
      <c r="T259" s="156" t="s">
        <v>1486</v>
      </c>
      <c r="U259" s="2" t="s">
        <v>109</v>
      </c>
      <c r="V259" s="2" t="s">
        <v>47</v>
      </c>
      <c r="W259" s="2" t="s">
        <v>5963</v>
      </c>
      <c r="X259" s="2"/>
      <c r="Y259" s="488" t="s">
        <v>1486</v>
      </c>
      <c r="Z259" s="293">
        <f t="shared" si="36"/>
        <v>0</v>
      </c>
      <c r="AA259" s="293">
        <f t="shared" si="37"/>
        <v>0</v>
      </c>
    </row>
    <row r="260" spans="1:27" s="320" customFormat="1" x14ac:dyDescent="0.25">
      <c r="A260" s="220" t="s">
        <v>236</v>
      </c>
      <c r="B260" s="221" t="s">
        <v>271</v>
      </c>
      <c r="C260" s="223" t="s">
        <v>1626</v>
      </c>
      <c r="D260" s="220" t="s">
        <v>269</v>
      </c>
      <c r="E260" s="222">
        <v>24</v>
      </c>
      <c r="F260" s="192">
        <v>0</v>
      </c>
      <c r="G260" s="24">
        <v>0.2</v>
      </c>
      <c r="H260" s="24">
        <v>0.05</v>
      </c>
      <c r="I260" s="24">
        <v>0.05</v>
      </c>
      <c r="J260" s="24">
        <v>0</v>
      </c>
      <c r="K260" s="224">
        <f t="shared" si="38"/>
        <v>0</v>
      </c>
      <c r="L260" s="225">
        <f t="shared" si="39"/>
        <v>0</v>
      </c>
      <c r="M260" s="225">
        <f t="shared" si="40"/>
        <v>0</v>
      </c>
      <c r="N260" s="226">
        <f t="shared" si="41"/>
        <v>0</v>
      </c>
      <c r="O260" s="34">
        <v>0.3</v>
      </c>
      <c r="P260" s="226">
        <f t="shared" si="42"/>
        <v>0</v>
      </c>
      <c r="Q260" s="107" t="s">
        <v>1486</v>
      </c>
      <c r="R260" s="34">
        <v>0.3</v>
      </c>
      <c r="S260" s="226">
        <f t="shared" si="35"/>
        <v>0</v>
      </c>
      <c r="T260" s="156" t="s">
        <v>1486</v>
      </c>
      <c r="U260" s="2" t="s">
        <v>109</v>
      </c>
      <c r="V260" s="2" t="s">
        <v>47</v>
      </c>
      <c r="W260" s="2" t="s">
        <v>5963</v>
      </c>
      <c r="X260" s="2"/>
      <c r="Y260" s="488" t="s">
        <v>1486</v>
      </c>
      <c r="Z260" s="293">
        <f t="shared" si="36"/>
        <v>0</v>
      </c>
      <c r="AA260" s="293">
        <f t="shared" si="37"/>
        <v>0</v>
      </c>
    </row>
    <row r="261" spans="1:27" s="320" customFormat="1" x14ac:dyDescent="0.25">
      <c r="A261" s="220" t="s">
        <v>237</v>
      </c>
      <c r="B261" s="221" t="s">
        <v>273</v>
      </c>
      <c r="C261" s="223" t="s">
        <v>1626</v>
      </c>
      <c r="D261" s="220" t="s">
        <v>269</v>
      </c>
      <c r="E261" s="222">
        <v>24</v>
      </c>
      <c r="F261" s="192">
        <v>0</v>
      </c>
      <c r="G261" s="24">
        <v>0.2</v>
      </c>
      <c r="H261" s="24">
        <v>0.05</v>
      </c>
      <c r="I261" s="24">
        <v>0.05</v>
      </c>
      <c r="J261" s="24">
        <v>0</v>
      </c>
      <c r="K261" s="224">
        <f t="shared" si="38"/>
        <v>0</v>
      </c>
      <c r="L261" s="225">
        <f t="shared" si="39"/>
        <v>0</v>
      </c>
      <c r="M261" s="225">
        <f t="shared" si="40"/>
        <v>0</v>
      </c>
      <c r="N261" s="226">
        <f t="shared" si="41"/>
        <v>0</v>
      </c>
      <c r="O261" s="34">
        <v>0.3</v>
      </c>
      <c r="P261" s="226">
        <f t="shared" si="42"/>
        <v>0</v>
      </c>
      <c r="Q261" s="107" t="s">
        <v>1486</v>
      </c>
      <c r="R261" s="34">
        <v>0.3</v>
      </c>
      <c r="S261" s="226">
        <f t="shared" si="35"/>
        <v>0</v>
      </c>
      <c r="T261" s="156" t="s">
        <v>1486</v>
      </c>
      <c r="U261" s="2" t="s">
        <v>109</v>
      </c>
      <c r="V261" s="2" t="s">
        <v>47</v>
      </c>
      <c r="W261" s="2" t="s">
        <v>5963</v>
      </c>
      <c r="X261" s="2"/>
      <c r="Y261" s="488" t="s">
        <v>1486</v>
      </c>
      <c r="Z261" s="293">
        <f t="shared" si="36"/>
        <v>0</v>
      </c>
      <c r="AA261" s="293">
        <f t="shared" si="37"/>
        <v>0</v>
      </c>
    </row>
    <row r="262" spans="1:27" s="320" customFormat="1" x14ac:dyDescent="0.25">
      <c r="A262" s="220" t="s">
        <v>238</v>
      </c>
      <c r="B262" s="221" t="s">
        <v>275</v>
      </c>
      <c r="C262" s="223" t="s">
        <v>1626</v>
      </c>
      <c r="D262" s="220" t="s">
        <v>269</v>
      </c>
      <c r="E262" s="222">
        <v>24</v>
      </c>
      <c r="F262" s="192">
        <v>0</v>
      </c>
      <c r="G262" s="24">
        <v>0.2</v>
      </c>
      <c r="H262" s="24">
        <v>0.05</v>
      </c>
      <c r="I262" s="24">
        <v>0.05</v>
      </c>
      <c r="J262" s="24">
        <v>0</v>
      </c>
      <c r="K262" s="224">
        <f t="shared" si="38"/>
        <v>0</v>
      </c>
      <c r="L262" s="225">
        <f t="shared" si="39"/>
        <v>0</v>
      </c>
      <c r="M262" s="225">
        <f t="shared" si="40"/>
        <v>0</v>
      </c>
      <c r="N262" s="226">
        <f t="shared" si="41"/>
        <v>0</v>
      </c>
      <c r="O262" s="34">
        <v>0.3</v>
      </c>
      <c r="P262" s="226">
        <f t="shared" si="42"/>
        <v>0</v>
      </c>
      <c r="Q262" s="107" t="s">
        <v>1486</v>
      </c>
      <c r="R262" s="34">
        <v>0.3</v>
      </c>
      <c r="S262" s="226">
        <f t="shared" si="35"/>
        <v>0</v>
      </c>
      <c r="T262" s="156" t="s">
        <v>1486</v>
      </c>
      <c r="U262" s="2" t="s">
        <v>109</v>
      </c>
      <c r="V262" s="2" t="s">
        <v>47</v>
      </c>
      <c r="W262" s="2" t="s">
        <v>5963</v>
      </c>
      <c r="X262" s="2"/>
      <c r="Y262" s="488" t="s">
        <v>1486</v>
      </c>
      <c r="Z262" s="293">
        <f t="shared" si="36"/>
        <v>0</v>
      </c>
      <c r="AA262" s="293">
        <f t="shared" si="37"/>
        <v>0</v>
      </c>
    </row>
    <row r="263" spans="1:27" s="320" customFormat="1" x14ac:dyDescent="0.25">
      <c r="A263" s="220" t="s">
        <v>239</v>
      </c>
      <c r="B263" s="221" t="s">
        <v>277</v>
      </c>
      <c r="C263" s="223" t="s">
        <v>1626</v>
      </c>
      <c r="D263" s="220" t="s">
        <v>269</v>
      </c>
      <c r="E263" s="222">
        <v>24</v>
      </c>
      <c r="F263" s="192">
        <v>0</v>
      </c>
      <c r="G263" s="24">
        <v>0.2</v>
      </c>
      <c r="H263" s="24">
        <v>0.05</v>
      </c>
      <c r="I263" s="24">
        <v>0.05</v>
      </c>
      <c r="J263" s="24">
        <v>0</v>
      </c>
      <c r="K263" s="224">
        <f t="shared" si="38"/>
        <v>0</v>
      </c>
      <c r="L263" s="225">
        <f t="shared" si="39"/>
        <v>0</v>
      </c>
      <c r="M263" s="225">
        <f t="shared" si="40"/>
        <v>0</v>
      </c>
      <c r="N263" s="226">
        <f t="shared" si="41"/>
        <v>0</v>
      </c>
      <c r="O263" s="34">
        <v>0.3</v>
      </c>
      <c r="P263" s="226">
        <f t="shared" si="42"/>
        <v>0</v>
      </c>
      <c r="Q263" s="107" t="s">
        <v>1486</v>
      </c>
      <c r="R263" s="34">
        <v>0.3</v>
      </c>
      <c r="S263" s="226">
        <f t="shared" si="35"/>
        <v>0</v>
      </c>
      <c r="T263" s="156" t="s">
        <v>1486</v>
      </c>
      <c r="U263" s="2" t="s">
        <v>109</v>
      </c>
      <c r="V263" s="2" t="s">
        <v>47</v>
      </c>
      <c r="W263" s="2" t="s">
        <v>5963</v>
      </c>
      <c r="X263" s="2"/>
      <c r="Y263" s="488" t="s">
        <v>1486</v>
      </c>
      <c r="Z263" s="293">
        <f t="shared" si="36"/>
        <v>0</v>
      </c>
      <c r="AA263" s="293">
        <f t="shared" si="37"/>
        <v>0</v>
      </c>
    </row>
    <row r="264" spans="1:27" s="320" customFormat="1" x14ac:dyDescent="0.25">
      <c r="A264" s="220" t="s">
        <v>240</v>
      </c>
      <c r="B264" s="221" t="s">
        <v>279</v>
      </c>
      <c r="C264" s="223" t="s">
        <v>1626</v>
      </c>
      <c r="D264" s="220" t="s">
        <v>269</v>
      </c>
      <c r="E264" s="222">
        <v>24</v>
      </c>
      <c r="F264" s="192">
        <v>0</v>
      </c>
      <c r="G264" s="24">
        <v>0.2</v>
      </c>
      <c r="H264" s="24">
        <v>0.05</v>
      </c>
      <c r="I264" s="24">
        <v>0.05</v>
      </c>
      <c r="J264" s="24">
        <v>0</v>
      </c>
      <c r="K264" s="224">
        <f t="shared" si="38"/>
        <v>0</v>
      </c>
      <c r="L264" s="225">
        <f t="shared" si="39"/>
        <v>0</v>
      </c>
      <c r="M264" s="225">
        <f t="shared" si="40"/>
        <v>0</v>
      </c>
      <c r="N264" s="226">
        <f t="shared" si="41"/>
        <v>0</v>
      </c>
      <c r="O264" s="34">
        <v>0.3</v>
      </c>
      <c r="P264" s="226">
        <f t="shared" si="42"/>
        <v>0</v>
      </c>
      <c r="Q264" s="107" t="s">
        <v>1486</v>
      </c>
      <c r="R264" s="34">
        <v>0.3</v>
      </c>
      <c r="S264" s="226">
        <f t="shared" si="35"/>
        <v>0</v>
      </c>
      <c r="T264" s="156" t="s">
        <v>1486</v>
      </c>
      <c r="U264" s="2" t="s">
        <v>109</v>
      </c>
      <c r="V264" s="2" t="s">
        <v>47</v>
      </c>
      <c r="W264" s="2" t="s">
        <v>5963</v>
      </c>
      <c r="X264" s="2"/>
      <c r="Y264" s="488" t="s">
        <v>1486</v>
      </c>
      <c r="Z264" s="293">
        <f t="shared" si="36"/>
        <v>0</v>
      </c>
      <c r="AA264" s="293">
        <f t="shared" si="37"/>
        <v>0</v>
      </c>
    </row>
    <row r="265" spans="1:27" s="320" customFormat="1" x14ac:dyDescent="0.25">
      <c r="A265" s="220" t="s">
        <v>241</v>
      </c>
      <c r="B265" s="221" t="s">
        <v>281</v>
      </c>
      <c r="C265" s="223" t="s">
        <v>1626</v>
      </c>
      <c r="D265" s="220" t="s">
        <v>269</v>
      </c>
      <c r="E265" s="222">
        <v>24</v>
      </c>
      <c r="F265" s="192">
        <v>0</v>
      </c>
      <c r="G265" s="24">
        <v>0.2</v>
      </c>
      <c r="H265" s="24">
        <v>0.05</v>
      </c>
      <c r="I265" s="24">
        <v>0.05</v>
      </c>
      <c r="J265" s="24">
        <v>0</v>
      </c>
      <c r="K265" s="224">
        <f t="shared" si="38"/>
        <v>0</v>
      </c>
      <c r="L265" s="225">
        <f t="shared" si="39"/>
        <v>0</v>
      </c>
      <c r="M265" s="225">
        <f t="shared" si="40"/>
        <v>0</v>
      </c>
      <c r="N265" s="226">
        <f t="shared" si="41"/>
        <v>0</v>
      </c>
      <c r="O265" s="34">
        <v>0.3</v>
      </c>
      <c r="P265" s="226">
        <f t="shared" si="42"/>
        <v>0</v>
      </c>
      <c r="Q265" s="107" t="s">
        <v>1486</v>
      </c>
      <c r="R265" s="34">
        <v>0.3</v>
      </c>
      <c r="S265" s="226">
        <f t="shared" si="35"/>
        <v>0</v>
      </c>
      <c r="T265" s="156" t="s">
        <v>1486</v>
      </c>
      <c r="U265" s="2" t="s">
        <v>109</v>
      </c>
      <c r="V265" s="2" t="s">
        <v>47</v>
      </c>
      <c r="W265" s="2" t="s">
        <v>5963</v>
      </c>
      <c r="X265" s="2"/>
      <c r="Y265" s="488" t="s">
        <v>1486</v>
      </c>
      <c r="Z265" s="293">
        <f t="shared" si="36"/>
        <v>0</v>
      </c>
      <c r="AA265" s="293">
        <f t="shared" si="37"/>
        <v>0</v>
      </c>
    </row>
    <row r="266" spans="1:27" s="320" customFormat="1" x14ac:dyDescent="0.25">
      <c r="A266" s="220" t="s">
        <v>242</v>
      </c>
      <c r="B266" s="221" t="s">
        <v>283</v>
      </c>
      <c r="C266" s="223" t="s">
        <v>1626</v>
      </c>
      <c r="D266" s="220" t="s">
        <v>269</v>
      </c>
      <c r="E266" s="222">
        <v>32</v>
      </c>
      <c r="F266" s="192">
        <v>0</v>
      </c>
      <c r="G266" s="24">
        <v>0.2</v>
      </c>
      <c r="H266" s="24">
        <v>0.05</v>
      </c>
      <c r="I266" s="24">
        <v>0.05</v>
      </c>
      <c r="J266" s="24">
        <v>0</v>
      </c>
      <c r="K266" s="224">
        <f t="shared" si="38"/>
        <v>0</v>
      </c>
      <c r="L266" s="225">
        <f t="shared" si="39"/>
        <v>0</v>
      </c>
      <c r="M266" s="225">
        <f t="shared" si="40"/>
        <v>0</v>
      </c>
      <c r="N266" s="226">
        <f t="shared" si="41"/>
        <v>0</v>
      </c>
      <c r="O266" s="34">
        <v>0.3</v>
      </c>
      <c r="P266" s="226">
        <f t="shared" si="42"/>
        <v>0</v>
      </c>
      <c r="Q266" s="107" t="s">
        <v>1486</v>
      </c>
      <c r="R266" s="34">
        <v>0.3</v>
      </c>
      <c r="S266" s="226">
        <f t="shared" si="35"/>
        <v>0</v>
      </c>
      <c r="T266" s="156" t="s">
        <v>1486</v>
      </c>
      <c r="U266" s="2" t="s">
        <v>109</v>
      </c>
      <c r="V266" s="2" t="s">
        <v>47</v>
      </c>
      <c r="W266" s="2" t="s">
        <v>5963</v>
      </c>
      <c r="X266" s="2"/>
      <c r="Y266" s="488" t="s">
        <v>1486</v>
      </c>
      <c r="Z266" s="293">
        <f t="shared" si="36"/>
        <v>0</v>
      </c>
      <c r="AA266" s="293">
        <f t="shared" si="37"/>
        <v>0</v>
      </c>
    </row>
    <row r="267" spans="1:27" s="320" customFormat="1" x14ac:dyDescent="0.25">
      <c r="A267" s="220" t="s">
        <v>243</v>
      </c>
      <c r="B267" s="221" t="s">
        <v>284</v>
      </c>
      <c r="C267" s="223" t="s">
        <v>1626</v>
      </c>
      <c r="D267" s="220" t="s">
        <v>269</v>
      </c>
      <c r="E267" s="222">
        <v>30</v>
      </c>
      <c r="F267" s="192">
        <v>0</v>
      </c>
      <c r="G267" s="24">
        <v>0.2</v>
      </c>
      <c r="H267" s="24">
        <v>0.05</v>
      </c>
      <c r="I267" s="24">
        <v>0.05</v>
      </c>
      <c r="J267" s="24">
        <v>0</v>
      </c>
      <c r="K267" s="224">
        <f t="shared" si="38"/>
        <v>0</v>
      </c>
      <c r="L267" s="225">
        <f t="shared" si="39"/>
        <v>0</v>
      </c>
      <c r="M267" s="225">
        <f t="shared" si="40"/>
        <v>0</v>
      </c>
      <c r="N267" s="226">
        <f t="shared" si="41"/>
        <v>0</v>
      </c>
      <c r="O267" s="34">
        <v>0.3</v>
      </c>
      <c r="P267" s="226">
        <f t="shared" si="42"/>
        <v>0</v>
      </c>
      <c r="Q267" s="107" t="s">
        <v>1486</v>
      </c>
      <c r="R267" s="34">
        <v>0.3</v>
      </c>
      <c r="S267" s="226">
        <f t="shared" si="35"/>
        <v>0</v>
      </c>
      <c r="T267" s="156" t="s">
        <v>1486</v>
      </c>
      <c r="U267" s="2" t="s">
        <v>109</v>
      </c>
      <c r="V267" s="2" t="s">
        <v>47</v>
      </c>
      <c r="W267" s="2" t="s">
        <v>5963</v>
      </c>
      <c r="X267" s="2"/>
      <c r="Y267" s="488" t="s">
        <v>1486</v>
      </c>
      <c r="Z267" s="293">
        <f t="shared" si="36"/>
        <v>0</v>
      </c>
      <c r="AA267" s="293">
        <f t="shared" si="37"/>
        <v>0</v>
      </c>
    </row>
    <row r="268" spans="1:27" s="320" customFormat="1" x14ac:dyDescent="0.25">
      <c r="A268" s="220" t="s">
        <v>244</v>
      </c>
      <c r="B268" s="221" t="s">
        <v>285</v>
      </c>
      <c r="C268" s="223" t="s">
        <v>1626</v>
      </c>
      <c r="D268" s="220" t="s">
        <v>269</v>
      </c>
      <c r="E268" s="222">
        <v>30</v>
      </c>
      <c r="F268" s="192">
        <v>0</v>
      </c>
      <c r="G268" s="24">
        <v>0.2</v>
      </c>
      <c r="H268" s="24">
        <v>0.05</v>
      </c>
      <c r="I268" s="24">
        <v>0.05</v>
      </c>
      <c r="J268" s="24">
        <v>0</v>
      </c>
      <c r="K268" s="224">
        <f t="shared" si="38"/>
        <v>0</v>
      </c>
      <c r="L268" s="225">
        <f t="shared" si="39"/>
        <v>0</v>
      </c>
      <c r="M268" s="225">
        <f t="shared" si="40"/>
        <v>0</v>
      </c>
      <c r="N268" s="226">
        <f t="shared" si="41"/>
        <v>0</v>
      </c>
      <c r="O268" s="34">
        <v>0.3</v>
      </c>
      <c r="P268" s="226">
        <f t="shared" si="42"/>
        <v>0</v>
      </c>
      <c r="Q268" s="107" t="s">
        <v>1486</v>
      </c>
      <c r="R268" s="34">
        <v>0.3</v>
      </c>
      <c r="S268" s="226">
        <f t="shared" si="35"/>
        <v>0</v>
      </c>
      <c r="T268" s="156" t="s">
        <v>1486</v>
      </c>
      <c r="U268" s="2" t="s">
        <v>109</v>
      </c>
      <c r="V268" s="2" t="s">
        <v>47</v>
      </c>
      <c r="W268" s="2" t="s">
        <v>5963</v>
      </c>
      <c r="X268" s="2"/>
      <c r="Y268" s="488" t="s">
        <v>1486</v>
      </c>
      <c r="Z268" s="293">
        <f t="shared" si="36"/>
        <v>0</v>
      </c>
      <c r="AA268" s="293">
        <f t="shared" si="37"/>
        <v>0</v>
      </c>
    </row>
    <row r="269" spans="1:27" s="320" customFormat="1" x14ac:dyDescent="0.25">
      <c r="A269" s="220" t="s">
        <v>245</v>
      </c>
      <c r="B269" s="221" t="s">
        <v>287</v>
      </c>
      <c r="C269" s="223" t="s">
        <v>1626</v>
      </c>
      <c r="D269" s="220" t="s">
        <v>269</v>
      </c>
      <c r="E269" s="222">
        <v>24</v>
      </c>
      <c r="F269" s="192">
        <v>0</v>
      </c>
      <c r="G269" s="24">
        <v>0.2</v>
      </c>
      <c r="H269" s="24">
        <v>0.05</v>
      </c>
      <c r="I269" s="24">
        <v>0.05</v>
      </c>
      <c r="J269" s="24">
        <v>0</v>
      </c>
      <c r="K269" s="224">
        <f t="shared" si="38"/>
        <v>0</v>
      </c>
      <c r="L269" s="225">
        <f t="shared" si="39"/>
        <v>0</v>
      </c>
      <c r="M269" s="225">
        <f t="shared" si="40"/>
        <v>0</v>
      </c>
      <c r="N269" s="226">
        <f t="shared" si="41"/>
        <v>0</v>
      </c>
      <c r="O269" s="34">
        <v>0.3</v>
      </c>
      <c r="P269" s="226">
        <f t="shared" si="42"/>
        <v>0</v>
      </c>
      <c r="Q269" s="107" t="s">
        <v>1486</v>
      </c>
      <c r="R269" s="34">
        <v>0.3</v>
      </c>
      <c r="S269" s="226">
        <f t="shared" si="35"/>
        <v>0</v>
      </c>
      <c r="T269" s="156" t="s">
        <v>1486</v>
      </c>
      <c r="U269" s="2" t="s">
        <v>109</v>
      </c>
      <c r="V269" s="2" t="s">
        <v>47</v>
      </c>
      <c r="W269" s="2" t="s">
        <v>5963</v>
      </c>
      <c r="X269" s="2"/>
      <c r="Y269" s="488" t="s">
        <v>1486</v>
      </c>
      <c r="Z269" s="293">
        <f t="shared" si="36"/>
        <v>0</v>
      </c>
      <c r="AA269" s="293">
        <f t="shared" si="37"/>
        <v>0</v>
      </c>
    </row>
    <row r="270" spans="1:27" s="320" customFormat="1" x14ac:dyDescent="0.25">
      <c r="A270" s="220" t="s">
        <v>246</v>
      </c>
      <c r="B270" s="221" t="s">
        <v>289</v>
      </c>
      <c r="C270" s="223" t="s">
        <v>1626</v>
      </c>
      <c r="D270" s="220" t="s">
        <v>269</v>
      </c>
      <c r="E270" s="222">
        <v>24</v>
      </c>
      <c r="F270" s="192">
        <v>0</v>
      </c>
      <c r="G270" s="24">
        <v>0.2</v>
      </c>
      <c r="H270" s="24">
        <v>0.05</v>
      </c>
      <c r="I270" s="24">
        <v>0.05</v>
      </c>
      <c r="J270" s="24">
        <v>0</v>
      </c>
      <c r="K270" s="224">
        <f t="shared" si="38"/>
        <v>0</v>
      </c>
      <c r="L270" s="225">
        <f t="shared" si="39"/>
        <v>0</v>
      </c>
      <c r="M270" s="225">
        <f t="shared" si="40"/>
        <v>0</v>
      </c>
      <c r="N270" s="226">
        <f t="shared" si="41"/>
        <v>0</v>
      </c>
      <c r="O270" s="34">
        <v>0.3</v>
      </c>
      <c r="P270" s="226">
        <f t="shared" si="42"/>
        <v>0</v>
      </c>
      <c r="Q270" s="107" t="s">
        <v>1486</v>
      </c>
      <c r="R270" s="34">
        <v>0.3</v>
      </c>
      <c r="S270" s="226">
        <f t="shared" si="35"/>
        <v>0</v>
      </c>
      <c r="T270" s="156" t="s">
        <v>1486</v>
      </c>
      <c r="U270" s="2" t="s">
        <v>109</v>
      </c>
      <c r="V270" s="2" t="s">
        <v>47</v>
      </c>
      <c r="W270" s="2" t="s">
        <v>5963</v>
      </c>
      <c r="X270" s="2"/>
      <c r="Y270" s="488" t="s">
        <v>1486</v>
      </c>
      <c r="Z270" s="293">
        <f t="shared" si="36"/>
        <v>0</v>
      </c>
      <c r="AA270" s="293">
        <f t="shared" si="37"/>
        <v>0</v>
      </c>
    </row>
    <row r="271" spans="1:27" s="320" customFormat="1" x14ac:dyDescent="0.25">
      <c r="A271" s="220" t="s">
        <v>247</v>
      </c>
      <c r="B271" s="221" t="s">
        <v>291</v>
      </c>
      <c r="C271" s="223" t="s">
        <v>1626</v>
      </c>
      <c r="D271" s="220" t="s">
        <v>269</v>
      </c>
      <c r="E271" s="222">
        <v>24</v>
      </c>
      <c r="F271" s="192">
        <v>0</v>
      </c>
      <c r="G271" s="24">
        <v>0.2</v>
      </c>
      <c r="H271" s="24">
        <v>0.05</v>
      </c>
      <c r="I271" s="24">
        <v>0.05</v>
      </c>
      <c r="J271" s="24">
        <v>0</v>
      </c>
      <c r="K271" s="224">
        <f t="shared" si="38"/>
        <v>0</v>
      </c>
      <c r="L271" s="225">
        <f t="shared" si="39"/>
        <v>0</v>
      </c>
      <c r="M271" s="225">
        <f t="shared" si="40"/>
        <v>0</v>
      </c>
      <c r="N271" s="226">
        <f t="shared" si="41"/>
        <v>0</v>
      </c>
      <c r="O271" s="34">
        <v>0.3</v>
      </c>
      <c r="P271" s="226">
        <f t="shared" si="42"/>
        <v>0</v>
      </c>
      <c r="Q271" s="107" t="s">
        <v>1486</v>
      </c>
      <c r="R271" s="34">
        <v>0.3</v>
      </c>
      <c r="S271" s="226">
        <f t="shared" si="35"/>
        <v>0</v>
      </c>
      <c r="T271" s="156" t="s">
        <v>1486</v>
      </c>
      <c r="U271" s="2" t="s">
        <v>109</v>
      </c>
      <c r="V271" s="2" t="s">
        <v>47</v>
      </c>
      <c r="W271" s="2" t="s">
        <v>5963</v>
      </c>
      <c r="X271" s="2"/>
      <c r="Y271" s="488" t="s">
        <v>1486</v>
      </c>
      <c r="Z271" s="293">
        <f t="shared" si="36"/>
        <v>0</v>
      </c>
      <c r="AA271" s="293">
        <f t="shared" si="37"/>
        <v>0</v>
      </c>
    </row>
    <row r="272" spans="1:27" s="320" customFormat="1" x14ac:dyDescent="0.25">
      <c r="A272" s="220" t="s">
        <v>248</v>
      </c>
      <c r="B272" s="221" t="s">
        <v>293</v>
      </c>
      <c r="C272" s="223" t="s">
        <v>1626</v>
      </c>
      <c r="D272" s="220" t="s">
        <v>269</v>
      </c>
      <c r="E272" s="222">
        <v>24</v>
      </c>
      <c r="F272" s="192">
        <v>0</v>
      </c>
      <c r="G272" s="24">
        <v>0.2</v>
      </c>
      <c r="H272" s="24">
        <v>0.05</v>
      </c>
      <c r="I272" s="24">
        <v>0.05</v>
      </c>
      <c r="J272" s="24">
        <v>0</v>
      </c>
      <c r="K272" s="224">
        <f t="shared" si="38"/>
        <v>0</v>
      </c>
      <c r="L272" s="225">
        <f t="shared" si="39"/>
        <v>0</v>
      </c>
      <c r="M272" s="225">
        <f t="shared" si="40"/>
        <v>0</v>
      </c>
      <c r="N272" s="226">
        <f t="shared" si="41"/>
        <v>0</v>
      </c>
      <c r="O272" s="34">
        <v>0.3</v>
      </c>
      <c r="P272" s="226">
        <f t="shared" si="42"/>
        <v>0</v>
      </c>
      <c r="Q272" s="107" t="s">
        <v>1486</v>
      </c>
      <c r="R272" s="34">
        <v>0.3</v>
      </c>
      <c r="S272" s="226">
        <f t="shared" si="35"/>
        <v>0</v>
      </c>
      <c r="T272" s="156" t="s">
        <v>1486</v>
      </c>
      <c r="U272" s="2" t="s">
        <v>109</v>
      </c>
      <c r="V272" s="2" t="s">
        <v>47</v>
      </c>
      <c r="W272" s="2" t="s">
        <v>5963</v>
      </c>
      <c r="X272" s="2"/>
      <c r="Y272" s="488" t="s">
        <v>1486</v>
      </c>
      <c r="Z272" s="293">
        <f t="shared" si="36"/>
        <v>0</v>
      </c>
      <c r="AA272" s="293">
        <f t="shared" si="37"/>
        <v>0</v>
      </c>
    </row>
    <row r="273" spans="1:27" s="320" customFormat="1" x14ac:dyDescent="0.25">
      <c r="A273" s="220" t="s">
        <v>249</v>
      </c>
      <c r="B273" s="221" t="s">
        <v>295</v>
      </c>
      <c r="C273" s="223" t="s">
        <v>1626</v>
      </c>
      <c r="D273" s="220" t="s">
        <v>269</v>
      </c>
      <c r="E273" s="222">
        <v>24</v>
      </c>
      <c r="F273" s="192">
        <v>0</v>
      </c>
      <c r="G273" s="24">
        <v>0.2</v>
      </c>
      <c r="H273" s="24">
        <v>0.05</v>
      </c>
      <c r="I273" s="24">
        <v>0.05</v>
      </c>
      <c r="J273" s="24">
        <v>0</v>
      </c>
      <c r="K273" s="224">
        <f t="shared" si="38"/>
        <v>0</v>
      </c>
      <c r="L273" s="225">
        <f t="shared" si="39"/>
        <v>0</v>
      </c>
      <c r="M273" s="225">
        <f t="shared" si="40"/>
        <v>0</v>
      </c>
      <c r="N273" s="226">
        <f t="shared" si="41"/>
        <v>0</v>
      </c>
      <c r="O273" s="34">
        <v>0.3</v>
      </c>
      <c r="P273" s="226">
        <f t="shared" si="42"/>
        <v>0</v>
      </c>
      <c r="Q273" s="107" t="s">
        <v>1486</v>
      </c>
      <c r="R273" s="34">
        <v>0.3</v>
      </c>
      <c r="S273" s="226">
        <f t="shared" si="35"/>
        <v>0</v>
      </c>
      <c r="T273" s="156" t="s">
        <v>1486</v>
      </c>
      <c r="U273" s="2" t="s">
        <v>109</v>
      </c>
      <c r="V273" s="2" t="s">
        <v>47</v>
      </c>
      <c r="W273" s="2" t="s">
        <v>5883</v>
      </c>
      <c r="X273" s="2"/>
      <c r="Y273" s="488" t="s">
        <v>1486</v>
      </c>
      <c r="Z273" s="293">
        <f t="shared" si="36"/>
        <v>0</v>
      </c>
      <c r="AA273" s="293">
        <f t="shared" si="37"/>
        <v>0</v>
      </c>
    </row>
    <row r="274" spans="1:27" s="320" customFormat="1" x14ac:dyDescent="0.25">
      <c r="A274" s="220" t="s">
        <v>250</v>
      </c>
      <c r="B274" s="221" t="s">
        <v>297</v>
      </c>
      <c r="C274" s="223" t="s">
        <v>1626</v>
      </c>
      <c r="D274" s="220" t="s">
        <v>5969</v>
      </c>
      <c r="E274" s="222">
        <v>12</v>
      </c>
      <c r="F274" s="192">
        <v>630</v>
      </c>
      <c r="G274" s="24">
        <v>0.2</v>
      </c>
      <c r="H274" s="24">
        <v>0.05</v>
      </c>
      <c r="I274" s="24">
        <v>0.05</v>
      </c>
      <c r="J274" s="24">
        <v>0</v>
      </c>
      <c r="K274" s="224">
        <f t="shared" si="38"/>
        <v>0.27800000000000002</v>
      </c>
      <c r="L274" s="225">
        <f t="shared" si="39"/>
        <v>10470.914127423825</v>
      </c>
      <c r="M274" s="225">
        <f t="shared" si="40"/>
        <v>872.57617728531864</v>
      </c>
      <c r="N274" s="226">
        <f t="shared" si="41"/>
        <v>1038.365650969529</v>
      </c>
      <c r="O274" s="34">
        <v>0.3</v>
      </c>
      <c r="P274" s="226">
        <f t="shared" si="42"/>
        <v>1349.8753462603879</v>
      </c>
      <c r="Q274" s="107" t="s">
        <v>1486</v>
      </c>
      <c r="R274" s="34">
        <v>0.30087499191618705</v>
      </c>
      <c r="S274" s="226">
        <f t="shared" si="35"/>
        <v>1072.3404131327025</v>
      </c>
      <c r="T274" s="156" t="s">
        <v>1486</v>
      </c>
      <c r="U274" s="2">
        <v>5</v>
      </c>
      <c r="V274" s="2" t="s">
        <v>47</v>
      </c>
      <c r="W274" s="2" t="s">
        <v>5883</v>
      </c>
      <c r="X274" s="2" t="s">
        <v>262</v>
      </c>
      <c r="Y274" s="488" t="s">
        <v>1486</v>
      </c>
      <c r="Z274" s="293">
        <f t="shared" si="36"/>
        <v>242.57617728531864</v>
      </c>
      <c r="AA274" s="293">
        <f t="shared" si="37"/>
        <v>271.12639759050626</v>
      </c>
    </row>
    <row r="275" spans="1:27" s="320" customFormat="1" x14ac:dyDescent="0.25">
      <c r="A275" s="220" t="s">
        <v>251</v>
      </c>
      <c r="B275" s="221" t="s">
        <v>300</v>
      </c>
      <c r="C275" s="223" t="s">
        <v>1626</v>
      </c>
      <c r="D275" s="220" t="s">
        <v>5969</v>
      </c>
      <c r="E275" s="222">
        <v>12</v>
      </c>
      <c r="F275" s="192">
        <v>630</v>
      </c>
      <c r="G275" s="24">
        <v>0.2</v>
      </c>
      <c r="H275" s="24">
        <v>0.05</v>
      </c>
      <c r="I275" s="24">
        <v>0.05</v>
      </c>
      <c r="J275" s="24">
        <v>0</v>
      </c>
      <c r="K275" s="224">
        <f t="shared" si="38"/>
        <v>0.27800000000000002</v>
      </c>
      <c r="L275" s="225">
        <f t="shared" si="39"/>
        <v>10470.914127423825</v>
      </c>
      <c r="M275" s="225">
        <f t="shared" si="40"/>
        <v>872.57617728531864</v>
      </c>
      <c r="N275" s="226">
        <f t="shared" si="41"/>
        <v>1038.365650969529</v>
      </c>
      <c r="O275" s="34">
        <v>0.3</v>
      </c>
      <c r="P275" s="226">
        <f t="shared" si="42"/>
        <v>1349.8753462603879</v>
      </c>
      <c r="Q275" s="107" t="s">
        <v>1486</v>
      </c>
      <c r="R275" s="34">
        <v>0.3</v>
      </c>
      <c r="S275" s="226">
        <f t="shared" si="35"/>
        <v>1071</v>
      </c>
      <c r="T275" s="156" t="s">
        <v>1486</v>
      </c>
      <c r="U275" s="2">
        <v>6</v>
      </c>
      <c r="V275" s="2" t="s">
        <v>47</v>
      </c>
      <c r="W275" s="2" t="s">
        <v>5883</v>
      </c>
      <c r="X275" s="2" t="s">
        <v>262</v>
      </c>
      <c r="Y275" s="488" t="s">
        <v>1486</v>
      </c>
      <c r="Z275" s="293">
        <f t="shared" si="36"/>
        <v>242.57617728531864</v>
      </c>
      <c r="AA275" s="293">
        <f t="shared" si="37"/>
        <v>270</v>
      </c>
    </row>
    <row r="276" spans="1:27" s="320" customFormat="1" x14ac:dyDescent="0.25">
      <c r="A276" s="220" t="s">
        <v>252</v>
      </c>
      <c r="B276" s="221" t="s">
        <v>302</v>
      </c>
      <c r="C276" s="223" t="s">
        <v>1626</v>
      </c>
      <c r="D276" s="220" t="s">
        <v>5969</v>
      </c>
      <c r="E276" s="222">
        <v>12</v>
      </c>
      <c r="F276" s="192">
        <v>630</v>
      </c>
      <c r="G276" s="24">
        <v>0.2</v>
      </c>
      <c r="H276" s="24">
        <v>0.05</v>
      </c>
      <c r="I276" s="24">
        <v>0.05</v>
      </c>
      <c r="J276" s="24">
        <v>0</v>
      </c>
      <c r="K276" s="224">
        <f t="shared" si="38"/>
        <v>0.27800000000000002</v>
      </c>
      <c r="L276" s="225">
        <f t="shared" si="39"/>
        <v>10470.914127423825</v>
      </c>
      <c r="M276" s="225">
        <f t="shared" si="40"/>
        <v>872.57617728531864</v>
      </c>
      <c r="N276" s="226">
        <f t="shared" si="41"/>
        <v>1038.365650969529</v>
      </c>
      <c r="O276" s="34">
        <v>0.3</v>
      </c>
      <c r="P276" s="226">
        <f t="shared" si="42"/>
        <v>1349.8753462603879</v>
      </c>
      <c r="Q276" s="107" t="s">
        <v>1486</v>
      </c>
      <c r="R276" s="34">
        <v>0.30087499191618705</v>
      </c>
      <c r="S276" s="226">
        <f t="shared" si="35"/>
        <v>1072.3404131327025</v>
      </c>
      <c r="T276" s="156" t="s">
        <v>1486</v>
      </c>
      <c r="U276" s="2">
        <v>7</v>
      </c>
      <c r="V276" s="2" t="s">
        <v>47</v>
      </c>
      <c r="W276" s="2" t="s">
        <v>5883</v>
      </c>
      <c r="X276" s="2" t="s">
        <v>262</v>
      </c>
      <c r="Y276" s="488" t="s">
        <v>1486</v>
      </c>
      <c r="Z276" s="293">
        <f t="shared" si="36"/>
        <v>242.57617728531864</v>
      </c>
      <c r="AA276" s="293">
        <f t="shared" si="37"/>
        <v>271.12639759050626</v>
      </c>
    </row>
    <row r="277" spans="1:27" s="320" customFormat="1" x14ac:dyDescent="0.25">
      <c r="A277" s="220" t="s">
        <v>253</v>
      </c>
      <c r="B277" s="221" t="s">
        <v>304</v>
      </c>
      <c r="C277" s="223" t="s">
        <v>1626</v>
      </c>
      <c r="D277" s="220" t="s">
        <v>298</v>
      </c>
      <c r="E277" s="222">
        <v>12</v>
      </c>
      <c r="F277" s="192">
        <v>0</v>
      </c>
      <c r="G277" s="24">
        <v>0.2</v>
      </c>
      <c r="H277" s="24">
        <v>0.05</v>
      </c>
      <c r="I277" s="24">
        <v>0.05</v>
      </c>
      <c r="J277" s="24">
        <v>0</v>
      </c>
      <c r="K277" s="224">
        <f t="shared" si="38"/>
        <v>0</v>
      </c>
      <c r="L277" s="225">
        <f t="shared" si="39"/>
        <v>0</v>
      </c>
      <c r="M277" s="225">
        <f t="shared" si="40"/>
        <v>0</v>
      </c>
      <c r="N277" s="226">
        <f t="shared" si="41"/>
        <v>0</v>
      </c>
      <c r="O277" s="34">
        <v>0.3</v>
      </c>
      <c r="P277" s="226">
        <f t="shared" si="42"/>
        <v>0</v>
      </c>
      <c r="Q277" s="107" t="s">
        <v>1486</v>
      </c>
      <c r="R277" s="34">
        <v>0.3</v>
      </c>
      <c r="S277" s="226">
        <f t="shared" si="35"/>
        <v>0</v>
      </c>
      <c r="T277" s="156" t="s">
        <v>1486</v>
      </c>
      <c r="U277" s="2" t="s">
        <v>109</v>
      </c>
      <c r="V277" s="2" t="s">
        <v>47</v>
      </c>
      <c r="W277" s="2" t="s">
        <v>5883</v>
      </c>
      <c r="X277" s="2"/>
      <c r="Y277" s="488" t="s">
        <v>1486</v>
      </c>
      <c r="Z277" s="293">
        <f t="shared" si="36"/>
        <v>0</v>
      </c>
      <c r="AA277" s="293">
        <f t="shared" si="37"/>
        <v>0</v>
      </c>
    </row>
    <row r="278" spans="1:27" s="320" customFormat="1" x14ac:dyDescent="0.25">
      <c r="A278" s="220" t="s">
        <v>254</v>
      </c>
      <c r="B278" s="221" t="s">
        <v>2586</v>
      </c>
      <c r="C278" s="223" t="s">
        <v>2755</v>
      </c>
      <c r="D278" s="220" t="s">
        <v>2792</v>
      </c>
      <c r="E278" s="222">
        <v>24</v>
      </c>
      <c r="F278" s="192">
        <v>197</v>
      </c>
      <c r="G278" s="24">
        <v>0.2</v>
      </c>
      <c r="H278" s="24">
        <v>0.05</v>
      </c>
      <c r="I278" s="24">
        <v>0.05</v>
      </c>
      <c r="J278" s="24">
        <v>0</v>
      </c>
      <c r="K278" s="224">
        <f t="shared" si="38"/>
        <v>0.27800000000000002</v>
      </c>
      <c r="L278" s="225">
        <f t="shared" si="39"/>
        <v>6548.4764542936291</v>
      </c>
      <c r="M278" s="225">
        <f t="shared" si="40"/>
        <v>272.85318559556788</v>
      </c>
      <c r="N278" s="226">
        <f t="shared" si="41"/>
        <v>324.69529085872574</v>
      </c>
      <c r="O278" s="34">
        <v>0.3</v>
      </c>
      <c r="P278" s="226">
        <f t="shared" si="42"/>
        <v>422.10387811634348</v>
      </c>
      <c r="Q278" s="107" t="s">
        <v>1486</v>
      </c>
      <c r="R278" s="34">
        <v>0.4139250052420807</v>
      </c>
      <c r="S278" s="226">
        <f t="shared" si="35"/>
        <v>400.00000357775417</v>
      </c>
      <c r="T278" s="156" t="s">
        <v>1486</v>
      </c>
      <c r="U278" s="2">
        <v>1</v>
      </c>
      <c r="V278" s="2" t="s">
        <v>47</v>
      </c>
      <c r="W278" s="2" t="s">
        <v>2900</v>
      </c>
      <c r="X278" s="2" t="s">
        <v>2904</v>
      </c>
      <c r="Y278" s="488" t="s">
        <v>1486</v>
      </c>
      <c r="Z278" s="293">
        <f t="shared" si="36"/>
        <v>75.853185595567879</v>
      </c>
      <c r="AA278" s="293">
        <f t="shared" si="37"/>
        <v>139.13445678802873</v>
      </c>
    </row>
    <row r="279" spans="1:27" s="320" customFormat="1" x14ac:dyDescent="0.25">
      <c r="A279" s="220" t="s">
        <v>256</v>
      </c>
      <c r="B279" s="221" t="s">
        <v>2590</v>
      </c>
      <c r="C279" s="223" t="s">
        <v>2755</v>
      </c>
      <c r="D279" s="220" t="s">
        <v>2792</v>
      </c>
      <c r="E279" s="222">
        <v>24</v>
      </c>
      <c r="F279" s="192">
        <v>197</v>
      </c>
      <c r="G279" s="24">
        <v>0.2</v>
      </c>
      <c r="H279" s="24">
        <v>0.05</v>
      </c>
      <c r="I279" s="24">
        <v>0.05</v>
      </c>
      <c r="J279" s="24">
        <v>0</v>
      </c>
      <c r="K279" s="224">
        <f t="shared" si="38"/>
        <v>0.27800000000000002</v>
      </c>
      <c r="L279" s="225">
        <f t="shared" si="39"/>
        <v>6548.4764542936291</v>
      </c>
      <c r="M279" s="225">
        <f t="shared" si="40"/>
        <v>272.85318559556788</v>
      </c>
      <c r="N279" s="226">
        <f t="shared" si="41"/>
        <v>324.69529085872574</v>
      </c>
      <c r="O279" s="34">
        <v>0.3</v>
      </c>
      <c r="P279" s="226">
        <f t="shared" si="42"/>
        <v>422.10387811634348</v>
      </c>
      <c r="Q279" s="107" t="s">
        <v>1486</v>
      </c>
      <c r="R279" s="34">
        <v>0.41392449143199866</v>
      </c>
      <c r="S279" s="226">
        <f t="shared" si="35"/>
        <v>399.99965289933192</v>
      </c>
      <c r="T279" s="156" t="s">
        <v>1486</v>
      </c>
      <c r="U279" s="2">
        <v>2</v>
      </c>
      <c r="V279" s="2" t="s">
        <v>47</v>
      </c>
      <c r="W279" s="2" t="s">
        <v>2900</v>
      </c>
      <c r="X279" s="2" t="s">
        <v>2904</v>
      </c>
      <c r="Y279" s="488" t="s">
        <v>1486</v>
      </c>
      <c r="Z279" s="293">
        <f t="shared" si="36"/>
        <v>75.853185595567879</v>
      </c>
      <c r="AA279" s="293">
        <f t="shared" si="37"/>
        <v>139.13416210027896</v>
      </c>
    </row>
    <row r="280" spans="1:27" s="320" customFormat="1" x14ac:dyDescent="0.25">
      <c r="A280" s="220" t="s">
        <v>257</v>
      </c>
      <c r="B280" s="221" t="s">
        <v>2589</v>
      </c>
      <c r="C280" s="223" t="s">
        <v>2755</v>
      </c>
      <c r="D280" s="220" t="s">
        <v>2792</v>
      </c>
      <c r="E280" s="222">
        <v>24</v>
      </c>
      <c r="F280" s="192">
        <v>227</v>
      </c>
      <c r="G280" s="24">
        <v>0.2</v>
      </c>
      <c r="H280" s="24">
        <v>0.05</v>
      </c>
      <c r="I280" s="24">
        <v>0.05</v>
      </c>
      <c r="J280" s="24">
        <v>0</v>
      </c>
      <c r="K280" s="224">
        <f t="shared" si="38"/>
        <v>0.27800000000000002</v>
      </c>
      <c r="L280" s="225">
        <f t="shared" si="39"/>
        <v>7545.706371191136</v>
      </c>
      <c r="M280" s="225">
        <f t="shared" si="40"/>
        <v>314.40443213296402</v>
      </c>
      <c r="N280" s="226">
        <f t="shared" si="41"/>
        <v>374.14127423822714</v>
      </c>
      <c r="O280" s="34">
        <v>0.3</v>
      </c>
      <c r="P280" s="226">
        <f t="shared" si="42"/>
        <v>486.3836565096953</v>
      </c>
      <c r="Q280" s="107" t="s">
        <v>1486</v>
      </c>
      <c r="R280" s="34">
        <v>0.32467497019148567</v>
      </c>
      <c r="S280" s="226">
        <f t="shared" si="35"/>
        <v>399.99998234419695</v>
      </c>
      <c r="T280" s="156" t="s">
        <v>1486</v>
      </c>
      <c r="U280" s="2">
        <v>3</v>
      </c>
      <c r="V280" s="2" t="s">
        <v>47</v>
      </c>
      <c r="W280" s="2" t="s">
        <v>2900</v>
      </c>
      <c r="X280" s="2" t="s">
        <v>2904</v>
      </c>
      <c r="Y280" s="488" t="s">
        <v>1486</v>
      </c>
      <c r="Z280" s="293">
        <f t="shared" si="36"/>
        <v>87.404432132964018</v>
      </c>
      <c r="AA280" s="293">
        <f t="shared" si="37"/>
        <v>109.13443894470333</v>
      </c>
    </row>
    <row r="281" spans="1:27" s="320" customFormat="1" x14ac:dyDescent="0.25">
      <c r="A281" s="220" t="s">
        <v>258</v>
      </c>
      <c r="B281" s="221" t="s">
        <v>2818</v>
      </c>
      <c r="C281" s="223" t="s">
        <v>2755</v>
      </c>
      <c r="D281" s="220" t="s">
        <v>2792</v>
      </c>
      <c r="E281" s="222">
        <v>24</v>
      </c>
      <c r="F281" s="192">
        <v>227</v>
      </c>
      <c r="G281" s="24">
        <v>0.2</v>
      </c>
      <c r="H281" s="24">
        <v>0.05</v>
      </c>
      <c r="I281" s="24">
        <v>0.05</v>
      </c>
      <c r="J281" s="24">
        <v>0</v>
      </c>
      <c r="K281" s="224">
        <f t="shared" si="38"/>
        <v>0.27800000000000002</v>
      </c>
      <c r="L281" s="225">
        <f t="shared" si="39"/>
        <v>7545.706371191136</v>
      </c>
      <c r="M281" s="225">
        <f t="shared" si="40"/>
        <v>314.40443213296402</v>
      </c>
      <c r="N281" s="226">
        <f t="shared" si="41"/>
        <v>374.14127423822714</v>
      </c>
      <c r="O281" s="34">
        <v>0.3</v>
      </c>
      <c r="P281" s="226">
        <f t="shared" si="42"/>
        <v>486.3836565096953</v>
      </c>
      <c r="Q281" s="107" t="s">
        <v>1486</v>
      </c>
      <c r="R281" s="34">
        <v>0.32467497019148567</v>
      </c>
      <c r="S281" s="226">
        <f t="shared" si="35"/>
        <v>399.99998234419695</v>
      </c>
      <c r="T281" s="156" t="s">
        <v>1486</v>
      </c>
      <c r="U281" s="2">
        <v>4</v>
      </c>
      <c r="V281" s="2" t="s">
        <v>47</v>
      </c>
      <c r="W281" s="2" t="s">
        <v>2900</v>
      </c>
      <c r="X281" s="2" t="s">
        <v>2904</v>
      </c>
      <c r="Y281" s="488" t="s">
        <v>1486</v>
      </c>
      <c r="Z281" s="293">
        <f t="shared" si="36"/>
        <v>87.404432132964018</v>
      </c>
      <c r="AA281" s="293">
        <f t="shared" si="37"/>
        <v>109.13443894470333</v>
      </c>
    </row>
    <row r="282" spans="1:27" s="320" customFormat="1" x14ac:dyDescent="0.25">
      <c r="A282" s="220" t="s">
        <v>259</v>
      </c>
      <c r="B282" s="221" t="s">
        <v>2819</v>
      </c>
      <c r="C282" s="223" t="s">
        <v>2755</v>
      </c>
      <c r="D282" s="220" t="s">
        <v>2792</v>
      </c>
      <c r="E282" s="222">
        <v>24</v>
      </c>
      <c r="F282" s="192">
        <v>197</v>
      </c>
      <c r="G282" s="24">
        <v>0.2</v>
      </c>
      <c r="H282" s="24">
        <v>0.05</v>
      </c>
      <c r="I282" s="24">
        <v>0.05</v>
      </c>
      <c r="J282" s="24">
        <v>0</v>
      </c>
      <c r="K282" s="224">
        <f t="shared" si="38"/>
        <v>0.27800000000000002</v>
      </c>
      <c r="L282" s="225">
        <f t="shared" si="39"/>
        <v>6548.4764542936291</v>
      </c>
      <c r="M282" s="225">
        <f t="shared" si="40"/>
        <v>272.85318559556788</v>
      </c>
      <c r="N282" s="226">
        <f t="shared" si="41"/>
        <v>324.69529085872574</v>
      </c>
      <c r="O282" s="34">
        <v>0.3</v>
      </c>
      <c r="P282" s="226">
        <f t="shared" si="42"/>
        <v>422.10387811634348</v>
      </c>
      <c r="Q282" s="107" t="s">
        <v>1486</v>
      </c>
      <c r="R282" s="34">
        <v>0.41392449143199866</v>
      </c>
      <c r="S282" s="226">
        <f t="shared" si="35"/>
        <v>399.99965289933192</v>
      </c>
      <c r="T282" s="156" t="s">
        <v>1486</v>
      </c>
      <c r="U282" s="2">
        <v>5</v>
      </c>
      <c r="V282" s="2" t="s">
        <v>47</v>
      </c>
      <c r="W282" s="2" t="s">
        <v>2900</v>
      </c>
      <c r="X282" s="2" t="s">
        <v>2904</v>
      </c>
      <c r="Y282" s="488" t="s">
        <v>1486</v>
      </c>
      <c r="Z282" s="293">
        <f t="shared" si="36"/>
        <v>75.853185595567879</v>
      </c>
      <c r="AA282" s="293">
        <f t="shared" si="37"/>
        <v>139.13416210027896</v>
      </c>
    </row>
    <row r="283" spans="1:27" s="320" customFormat="1" x14ac:dyDescent="0.25">
      <c r="A283" s="220" t="s">
        <v>260</v>
      </c>
      <c r="B283" s="221" t="s">
        <v>2820</v>
      </c>
      <c r="C283" s="223" t="s">
        <v>2755</v>
      </c>
      <c r="D283" s="220" t="s">
        <v>2792</v>
      </c>
      <c r="E283" s="222">
        <v>24</v>
      </c>
      <c r="F283" s="192">
        <v>227</v>
      </c>
      <c r="G283" s="24">
        <v>0.2</v>
      </c>
      <c r="H283" s="24">
        <v>0.05</v>
      </c>
      <c r="I283" s="24">
        <v>0.05</v>
      </c>
      <c r="J283" s="24">
        <v>0</v>
      </c>
      <c r="K283" s="224">
        <f t="shared" si="38"/>
        <v>0.27800000000000002</v>
      </c>
      <c r="L283" s="225">
        <f t="shared" si="39"/>
        <v>7545.706371191136</v>
      </c>
      <c r="M283" s="225">
        <f t="shared" si="40"/>
        <v>314.40443213296402</v>
      </c>
      <c r="N283" s="226">
        <f t="shared" si="41"/>
        <v>374.14127423822714</v>
      </c>
      <c r="O283" s="34">
        <v>0.3</v>
      </c>
      <c r="P283" s="226">
        <f t="shared" si="42"/>
        <v>486.3836565096953</v>
      </c>
      <c r="Q283" s="107" t="s">
        <v>1486</v>
      </c>
      <c r="R283" s="34">
        <v>0.32467497019148567</v>
      </c>
      <c r="S283" s="226">
        <f t="shared" si="35"/>
        <v>399.99998234419695</v>
      </c>
      <c r="T283" s="156" t="s">
        <v>1486</v>
      </c>
      <c r="U283" s="2">
        <v>6</v>
      </c>
      <c r="V283" s="2" t="s">
        <v>47</v>
      </c>
      <c r="W283" s="2" t="s">
        <v>2900</v>
      </c>
      <c r="X283" s="2" t="s">
        <v>2904</v>
      </c>
      <c r="Y283" s="488" t="s">
        <v>1486</v>
      </c>
      <c r="Z283" s="293">
        <f t="shared" si="36"/>
        <v>87.404432132964018</v>
      </c>
      <c r="AA283" s="293">
        <f t="shared" si="37"/>
        <v>109.13443894470333</v>
      </c>
    </row>
    <row r="284" spans="1:27" s="320" customFormat="1" x14ac:dyDescent="0.25">
      <c r="A284" s="220" t="s">
        <v>261</v>
      </c>
      <c r="B284" s="221" t="s">
        <v>2587</v>
      </c>
      <c r="C284" s="223" t="s">
        <v>2755</v>
      </c>
      <c r="D284" s="220" t="s">
        <v>2792</v>
      </c>
      <c r="E284" s="222">
        <v>24</v>
      </c>
      <c r="F284" s="192">
        <v>227</v>
      </c>
      <c r="G284" s="24">
        <v>0.2</v>
      </c>
      <c r="H284" s="24">
        <v>0.05</v>
      </c>
      <c r="I284" s="24">
        <v>0.05</v>
      </c>
      <c r="J284" s="24">
        <v>0</v>
      </c>
      <c r="K284" s="224">
        <f t="shared" si="38"/>
        <v>0.27800000000000002</v>
      </c>
      <c r="L284" s="225">
        <f t="shared" si="39"/>
        <v>7545.706371191136</v>
      </c>
      <c r="M284" s="225">
        <f t="shared" si="40"/>
        <v>314.40443213296402</v>
      </c>
      <c r="N284" s="226">
        <f t="shared" si="41"/>
        <v>374.14127423822714</v>
      </c>
      <c r="O284" s="34">
        <v>0.3</v>
      </c>
      <c r="P284" s="226">
        <f t="shared" si="42"/>
        <v>486.3836565096953</v>
      </c>
      <c r="Q284" s="107" t="s">
        <v>1486</v>
      </c>
      <c r="R284" s="34">
        <v>0.32467497019148567</v>
      </c>
      <c r="S284" s="226">
        <f t="shared" si="35"/>
        <v>399.99998234419695</v>
      </c>
      <c r="T284" s="156" t="s">
        <v>1486</v>
      </c>
      <c r="U284" s="2">
        <v>7</v>
      </c>
      <c r="V284" s="2" t="s">
        <v>47</v>
      </c>
      <c r="W284" s="2" t="s">
        <v>2900</v>
      </c>
      <c r="X284" s="2" t="s">
        <v>2904</v>
      </c>
      <c r="Y284" s="488" t="s">
        <v>1486</v>
      </c>
      <c r="Z284" s="293">
        <f t="shared" si="36"/>
        <v>87.404432132964018</v>
      </c>
      <c r="AA284" s="293">
        <f t="shared" si="37"/>
        <v>109.13443894470333</v>
      </c>
    </row>
    <row r="285" spans="1:27" s="320" customFormat="1" x14ac:dyDescent="0.25">
      <c r="A285" s="220" t="s">
        <v>263</v>
      </c>
      <c r="B285" s="221" t="s">
        <v>2821</v>
      </c>
      <c r="C285" s="223" t="s">
        <v>2755</v>
      </c>
      <c r="D285" s="220" t="s">
        <v>2792</v>
      </c>
      <c r="E285" s="222">
        <v>24</v>
      </c>
      <c r="F285" s="192">
        <v>207</v>
      </c>
      <c r="G285" s="24">
        <v>0.2</v>
      </c>
      <c r="H285" s="24">
        <v>0.05</v>
      </c>
      <c r="I285" s="24">
        <v>0.05</v>
      </c>
      <c r="J285" s="24">
        <v>0</v>
      </c>
      <c r="K285" s="224">
        <f t="shared" si="38"/>
        <v>0.27800000000000014</v>
      </c>
      <c r="L285" s="225">
        <f t="shared" si="39"/>
        <v>6880.8864265927987</v>
      </c>
      <c r="M285" s="225">
        <f t="shared" si="40"/>
        <v>286.7036011080333</v>
      </c>
      <c r="N285" s="226">
        <f t="shared" si="41"/>
        <v>341.1772853185596</v>
      </c>
      <c r="O285" s="34">
        <v>0.3</v>
      </c>
      <c r="P285" s="226">
        <f t="shared" si="42"/>
        <v>443.53047091412748</v>
      </c>
      <c r="Q285" s="107" t="s">
        <v>1486</v>
      </c>
      <c r="R285" s="34">
        <v>0.38417500558926809</v>
      </c>
      <c r="S285" s="226">
        <f t="shared" ref="S285:S348" si="43">+(F285/(1-R285))*1.19</f>
        <v>400.00000363042625</v>
      </c>
      <c r="T285" s="156" t="s">
        <v>1486</v>
      </c>
      <c r="U285" s="2">
        <v>8</v>
      </c>
      <c r="V285" s="2" t="s">
        <v>47</v>
      </c>
      <c r="W285" s="2" t="s">
        <v>2900</v>
      </c>
      <c r="X285" s="2" t="s">
        <v>2904</v>
      </c>
      <c r="Y285" s="488" t="s">
        <v>1486</v>
      </c>
      <c r="Z285" s="293">
        <f t="shared" si="36"/>
        <v>79.703601108033297</v>
      </c>
      <c r="AA285" s="293">
        <f t="shared" si="37"/>
        <v>129.13445683229099</v>
      </c>
    </row>
    <row r="286" spans="1:27" s="320" customFormat="1" x14ac:dyDescent="0.25">
      <c r="A286" s="220" t="s">
        <v>264</v>
      </c>
      <c r="B286" s="221" t="s">
        <v>3168</v>
      </c>
      <c r="C286" s="223" t="s">
        <v>2755</v>
      </c>
      <c r="D286" s="220" t="s">
        <v>2792</v>
      </c>
      <c r="E286" s="222">
        <v>1</v>
      </c>
      <c r="F286" s="192">
        <v>28946</v>
      </c>
      <c r="G286" s="24">
        <v>0.2</v>
      </c>
      <c r="H286" s="24">
        <v>0.05</v>
      </c>
      <c r="I286" s="24">
        <v>0.05</v>
      </c>
      <c r="J286" s="24">
        <v>0</v>
      </c>
      <c r="K286" s="224">
        <f t="shared" si="38"/>
        <v>0.27800000000000014</v>
      </c>
      <c r="L286" s="225">
        <f t="shared" si="39"/>
        <v>40091.412742382279</v>
      </c>
      <c r="M286" s="225">
        <f t="shared" si="40"/>
        <v>40091.412742382279</v>
      </c>
      <c r="N286" s="226">
        <f t="shared" si="41"/>
        <v>47708.781163434913</v>
      </c>
      <c r="O286" s="34">
        <v>0.3</v>
      </c>
      <c r="P286" s="226">
        <f t="shared" si="42"/>
        <v>62021.415512465392</v>
      </c>
      <c r="Q286" s="107" t="s">
        <v>1486</v>
      </c>
      <c r="R286" s="34">
        <v>0.3</v>
      </c>
      <c r="S286" s="226">
        <f t="shared" si="43"/>
        <v>49208.2</v>
      </c>
      <c r="T286" s="156" t="s">
        <v>1486</v>
      </c>
      <c r="U286" s="2">
        <v>9</v>
      </c>
      <c r="V286" s="2" t="s">
        <v>47</v>
      </c>
      <c r="W286" s="2" t="s">
        <v>2900</v>
      </c>
      <c r="X286" s="2" t="s">
        <v>2904</v>
      </c>
      <c r="Y286" s="488" t="s">
        <v>1486</v>
      </c>
      <c r="Z286" s="293">
        <f t="shared" si="36"/>
        <v>11145.412742382279</v>
      </c>
      <c r="AA286" s="293">
        <f t="shared" si="37"/>
        <v>12405.428571428572</v>
      </c>
    </row>
    <row r="287" spans="1:27" s="320" customFormat="1" x14ac:dyDescent="0.25">
      <c r="A287" s="220" t="s">
        <v>265</v>
      </c>
      <c r="B287" s="221" t="s">
        <v>308</v>
      </c>
      <c r="C287" s="223" t="s">
        <v>2755</v>
      </c>
      <c r="D287" s="220" t="s">
        <v>2792</v>
      </c>
      <c r="E287" s="222">
        <v>3</v>
      </c>
      <c r="F287" s="192">
        <v>0</v>
      </c>
      <c r="G287" s="24">
        <v>0.2</v>
      </c>
      <c r="H287" s="24">
        <v>0.05</v>
      </c>
      <c r="I287" s="24">
        <v>0.05</v>
      </c>
      <c r="J287" s="24">
        <v>0</v>
      </c>
      <c r="K287" s="224">
        <f t="shared" si="38"/>
        <v>0</v>
      </c>
      <c r="L287" s="225">
        <f t="shared" si="39"/>
        <v>0</v>
      </c>
      <c r="M287" s="225">
        <f t="shared" si="40"/>
        <v>0</v>
      </c>
      <c r="N287" s="226">
        <f t="shared" si="41"/>
        <v>0</v>
      </c>
      <c r="O287" s="34">
        <v>0.3</v>
      </c>
      <c r="P287" s="226">
        <f t="shared" si="42"/>
        <v>0</v>
      </c>
      <c r="Q287" s="107" t="s">
        <v>1486</v>
      </c>
      <c r="R287" s="34">
        <v>0.3</v>
      </c>
      <c r="S287" s="226">
        <f t="shared" si="43"/>
        <v>0</v>
      </c>
      <c r="T287" s="156" t="s">
        <v>1486</v>
      </c>
      <c r="U287" s="2"/>
      <c r="V287" s="2" t="s">
        <v>47</v>
      </c>
      <c r="W287" s="2" t="s">
        <v>2900</v>
      </c>
      <c r="X287" s="2" t="s">
        <v>2904</v>
      </c>
      <c r="Y287" s="488" t="s">
        <v>1486</v>
      </c>
      <c r="Z287" s="293">
        <f t="shared" si="36"/>
        <v>0</v>
      </c>
      <c r="AA287" s="293">
        <f t="shared" si="37"/>
        <v>0</v>
      </c>
    </row>
    <row r="288" spans="1:27" s="320" customFormat="1" x14ac:dyDescent="0.25">
      <c r="A288" s="220" t="s">
        <v>266</v>
      </c>
      <c r="B288" s="221" t="s">
        <v>318</v>
      </c>
      <c r="C288" s="223" t="s">
        <v>2755</v>
      </c>
      <c r="D288" s="220" t="s">
        <v>2792</v>
      </c>
      <c r="E288" s="222">
        <v>3</v>
      </c>
      <c r="F288" s="192">
        <v>0</v>
      </c>
      <c r="G288" s="24">
        <v>0.2</v>
      </c>
      <c r="H288" s="24">
        <v>0.05</v>
      </c>
      <c r="I288" s="24">
        <v>0.05</v>
      </c>
      <c r="J288" s="24">
        <v>0</v>
      </c>
      <c r="K288" s="224">
        <f t="shared" si="38"/>
        <v>0</v>
      </c>
      <c r="L288" s="225">
        <f t="shared" si="39"/>
        <v>0</v>
      </c>
      <c r="M288" s="225">
        <f t="shared" si="40"/>
        <v>0</v>
      </c>
      <c r="N288" s="226">
        <f t="shared" si="41"/>
        <v>0</v>
      </c>
      <c r="O288" s="34">
        <v>0.3</v>
      </c>
      <c r="P288" s="226">
        <f t="shared" si="42"/>
        <v>0</v>
      </c>
      <c r="Q288" s="107" t="s">
        <v>1486</v>
      </c>
      <c r="R288" s="34">
        <v>0.3</v>
      </c>
      <c r="S288" s="226">
        <f t="shared" si="43"/>
        <v>0</v>
      </c>
      <c r="T288" s="156" t="s">
        <v>1486</v>
      </c>
      <c r="U288" s="2"/>
      <c r="V288" s="2" t="s">
        <v>47</v>
      </c>
      <c r="W288" s="2" t="s">
        <v>2900</v>
      </c>
      <c r="X288" s="2" t="s">
        <v>2904</v>
      </c>
      <c r="Y288" s="488" t="s">
        <v>1486</v>
      </c>
      <c r="Z288" s="293">
        <f t="shared" si="36"/>
        <v>0</v>
      </c>
      <c r="AA288" s="293">
        <f t="shared" si="37"/>
        <v>0</v>
      </c>
    </row>
    <row r="289" spans="1:27" s="320" customFormat="1" x14ac:dyDescent="0.25">
      <c r="A289" s="220" t="s">
        <v>267</v>
      </c>
      <c r="B289" s="221" t="s">
        <v>3550</v>
      </c>
      <c r="C289" s="223" t="s">
        <v>2755</v>
      </c>
      <c r="D289" s="220" t="s">
        <v>2792</v>
      </c>
      <c r="E289" s="222">
        <v>1</v>
      </c>
      <c r="F289" s="192">
        <v>31520</v>
      </c>
      <c r="G289" s="24">
        <v>0.2</v>
      </c>
      <c r="H289" s="24">
        <v>0.05</v>
      </c>
      <c r="I289" s="24">
        <v>0.05</v>
      </c>
      <c r="J289" s="24">
        <v>0</v>
      </c>
      <c r="K289" s="224">
        <f t="shared" si="38"/>
        <v>0.27800000000000014</v>
      </c>
      <c r="L289" s="225">
        <f t="shared" si="39"/>
        <v>43656.509695290864</v>
      </c>
      <c r="M289" s="225">
        <f t="shared" si="40"/>
        <v>43656.509695290864</v>
      </c>
      <c r="N289" s="226">
        <f t="shared" si="41"/>
        <v>51951.246537396124</v>
      </c>
      <c r="O289" s="34">
        <v>0.3</v>
      </c>
      <c r="P289" s="226">
        <f t="shared" si="42"/>
        <v>67536.620498614968</v>
      </c>
      <c r="Q289" s="107" t="s">
        <v>1486</v>
      </c>
      <c r="R289" s="34">
        <v>0.3</v>
      </c>
      <c r="S289" s="226">
        <f t="shared" si="43"/>
        <v>53584.000000000007</v>
      </c>
      <c r="T289" s="156" t="s">
        <v>1486</v>
      </c>
      <c r="U289" s="2">
        <v>10</v>
      </c>
      <c r="V289" s="2" t="s">
        <v>47</v>
      </c>
      <c r="W289" s="2" t="s">
        <v>2900</v>
      </c>
      <c r="X289" s="2" t="s">
        <v>2904</v>
      </c>
      <c r="Y289" s="488" t="s">
        <v>1486</v>
      </c>
      <c r="Z289" s="293">
        <f t="shared" si="36"/>
        <v>12136.509695290864</v>
      </c>
      <c r="AA289" s="293">
        <f t="shared" si="37"/>
        <v>13508.571428571435</v>
      </c>
    </row>
    <row r="290" spans="1:27" s="320" customFormat="1" x14ac:dyDescent="0.25">
      <c r="A290" s="220" t="s">
        <v>270</v>
      </c>
      <c r="B290" s="221" t="s">
        <v>312</v>
      </c>
      <c r="C290" s="223" t="s">
        <v>2755</v>
      </c>
      <c r="D290" s="220" t="s">
        <v>2792</v>
      </c>
      <c r="E290" s="222">
        <v>3</v>
      </c>
      <c r="F290" s="192">
        <v>0</v>
      </c>
      <c r="G290" s="24">
        <v>0.2</v>
      </c>
      <c r="H290" s="24">
        <v>0.05</v>
      </c>
      <c r="I290" s="24">
        <v>0.05</v>
      </c>
      <c r="J290" s="24">
        <v>0</v>
      </c>
      <c r="K290" s="224">
        <f t="shared" si="38"/>
        <v>0</v>
      </c>
      <c r="L290" s="225">
        <f t="shared" si="39"/>
        <v>0</v>
      </c>
      <c r="M290" s="225">
        <f t="shared" si="40"/>
        <v>0</v>
      </c>
      <c r="N290" s="226">
        <f t="shared" si="41"/>
        <v>0</v>
      </c>
      <c r="O290" s="34">
        <v>0.3</v>
      </c>
      <c r="P290" s="226">
        <f t="shared" si="42"/>
        <v>0</v>
      </c>
      <c r="Q290" s="107" t="s">
        <v>1486</v>
      </c>
      <c r="R290" s="34">
        <v>0.3</v>
      </c>
      <c r="S290" s="226">
        <f t="shared" si="43"/>
        <v>0</v>
      </c>
      <c r="T290" s="156" t="s">
        <v>1486</v>
      </c>
      <c r="U290" s="2"/>
      <c r="V290" s="2" t="s">
        <v>47</v>
      </c>
      <c r="W290" s="2" t="s">
        <v>2900</v>
      </c>
      <c r="X290" s="2" t="s">
        <v>2904</v>
      </c>
      <c r="Y290" s="488" t="s">
        <v>1486</v>
      </c>
      <c r="Z290" s="293">
        <f t="shared" si="36"/>
        <v>0</v>
      </c>
      <c r="AA290" s="293">
        <f t="shared" si="37"/>
        <v>0</v>
      </c>
    </row>
    <row r="291" spans="1:27" s="320" customFormat="1" x14ac:dyDescent="0.25">
      <c r="A291" s="220" t="s">
        <v>272</v>
      </c>
      <c r="B291" s="221" t="s">
        <v>3170</v>
      </c>
      <c r="C291" s="223" t="s">
        <v>2755</v>
      </c>
      <c r="D291" s="220" t="s">
        <v>2792</v>
      </c>
      <c r="E291" s="222">
        <v>1</v>
      </c>
      <c r="F291" s="192">
        <v>32984</v>
      </c>
      <c r="G291" s="24">
        <v>0.2</v>
      </c>
      <c r="H291" s="24">
        <v>0.05</v>
      </c>
      <c r="I291" s="24">
        <v>0.05</v>
      </c>
      <c r="J291" s="24">
        <v>0</v>
      </c>
      <c r="K291" s="224">
        <f t="shared" si="38"/>
        <v>0.27800000000000002</v>
      </c>
      <c r="L291" s="225">
        <f t="shared" si="39"/>
        <v>45684.210526315794</v>
      </c>
      <c r="M291" s="225">
        <f t="shared" si="40"/>
        <v>45684.210526315794</v>
      </c>
      <c r="N291" s="226">
        <f t="shared" si="41"/>
        <v>54364.210526315794</v>
      </c>
      <c r="O291" s="34">
        <v>0.3</v>
      </c>
      <c r="P291" s="226">
        <f t="shared" si="42"/>
        <v>70673.473684210534</v>
      </c>
      <c r="Q291" s="107" t="s">
        <v>1486</v>
      </c>
      <c r="R291" s="34">
        <v>0.3</v>
      </c>
      <c r="S291" s="226">
        <f t="shared" si="43"/>
        <v>56072.799999999996</v>
      </c>
      <c r="T291" s="156" t="s">
        <v>1486</v>
      </c>
      <c r="U291" s="2">
        <v>11</v>
      </c>
      <c r="V291" s="2" t="s">
        <v>47</v>
      </c>
      <c r="W291" s="2" t="s">
        <v>2900</v>
      </c>
      <c r="X291" s="2" t="s">
        <v>2904</v>
      </c>
      <c r="Y291" s="488" t="s">
        <v>1486</v>
      </c>
      <c r="Z291" s="293">
        <f t="shared" si="36"/>
        <v>12700.210526315794</v>
      </c>
      <c r="AA291" s="293">
        <f t="shared" si="37"/>
        <v>14136</v>
      </c>
    </row>
    <row r="292" spans="1:27" s="320" customFormat="1" x14ac:dyDescent="0.25">
      <c r="A292" s="220" t="s">
        <v>274</v>
      </c>
      <c r="B292" s="221" t="s">
        <v>3169</v>
      </c>
      <c r="C292" s="223" t="s">
        <v>2755</v>
      </c>
      <c r="D292" s="220" t="s">
        <v>2792</v>
      </c>
      <c r="E292" s="222">
        <v>1</v>
      </c>
      <c r="F292" s="192">
        <v>37263</v>
      </c>
      <c r="G292" s="24">
        <v>0.2</v>
      </c>
      <c r="H292" s="24">
        <v>0.05</v>
      </c>
      <c r="I292" s="24">
        <v>0.05</v>
      </c>
      <c r="J292" s="24">
        <v>0</v>
      </c>
      <c r="K292" s="224">
        <f t="shared" si="38"/>
        <v>0.27800000000000014</v>
      </c>
      <c r="L292" s="225">
        <f t="shared" si="39"/>
        <v>51610.803324099732</v>
      </c>
      <c r="M292" s="225">
        <f t="shared" si="40"/>
        <v>51610.803324099732</v>
      </c>
      <c r="N292" s="226">
        <f t="shared" si="41"/>
        <v>61416.855955678679</v>
      </c>
      <c r="O292" s="34">
        <v>0.3</v>
      </c>
      <c r="P292" s="226">
        <f t="shared" si="42"/>
        <v>79841.912742382279</v>
      </c>
      <c r="Q292" s="107" t="s">
        <v>1486</v>
      </c>
      <c r="R292" s="34">
        <v>0.3</v>
      </c>
      <c r="S292" s="226">
        <f t="shared" si="43"/>
        <v>63347.1</v>
      </c>
      <c r="T292" s="156" t="s">
        <v>1486</v>
      </c>
      <c r="U292" s="2">
        <v>12</v>
      </c>
      <c r="V292" s="2" t="s">
        <v>47</v>
      </c>
      <c r="W292" s="2" t="s">
        <v>2900</v>
      </c>
      <c r="X292" s="2" t="s">
        <v>2904</v>
      </c>
      <c r="Y292" s="488" t="s">
        <v>1486</v>
      </c>
      <c r="Z292" s="293">
        <f t="shared" si="36"/>
        <v>14347.803324099732</v>
      </c>
      <c r="AA292" s="293">
        <f t="shared" si="37"/>
        <v>15969.857142857145</v>
      </c>
    </row>
    <row r="293" spans="1:27" s="320" customFormat="1" x14ac:dyDescent="0.25">
      <c r="A293" s="220" t="s">
        <v>276</v>
      </c>
      <c r="B293" s="221" t="s">
        <v>1687</v>
      </c>
      <c r="C293" s="223" t="s">
        <v>2755</v>
      </c>
      <c r="D293" s="220" t="s">
        <v>2792</v>
      </c>
      <c r="E293" s="222">
        <v>10</v>
      </c>
      <c r="F293" s="192">
        <v>474</v>
      </c>
      <c r="G293" s="24">
        <v>0.2</v>
      </c>
      <c r="H293" s="24">
        <v>0.05</v>
      </c>
      <c r="I293" s="24">
        <v>0.05</v>
      </c>
      <c r="J293" s="24">
        <v>0</v>
      </c>
      <c r="K293" s="224">
        <f t="shared" si="38"/>
        <v>0.27800000000000002</v>
      </c>
      <c r="L293" s="225">
        <f t="shared" si="39"/>
        <v>6565.0969529085878</v>
      </c>
      <c r="M293" s="225">
        <f t="shared" si="40"/>
        <v>656.50969529085876</v>
      </c>
      <c r="N293" s="226">
        <f t="shared" si="41"/>
        <v>781.24653739612188</v>
      </c>
      <c r="O293" s="34">
        <v>0.3</v>
      </c>
      <c r="P293" s="226">
        <f t="shared" si="42"/>
        <v>1015.6204986149585</v>
      </c>
      <c r="Q293" s="107" t="s">
        <v>1486</v>
      </c>
      <c r="R293" s="34">
        <v>0.37458889010862062</v>
      </c>
      <c r="S293" s="226">
        <f t="shared" si="43"/>
        <v>901.90275017334625</v>
      </c>
      <c r="T293" s="156" t="s">
        <v>1486</v>
      </c>
      <c r="U293" s="2">
        <v>20</v>
      </c>
      <c r="V293" s="2" t="s">
        <v>47</v>
      </c>
      <c r="W293" s="2" t="s">
        <v>2900</v>
      </c>
      <c r="X293" s="2" t="s">
        <v>2901</v>
      </c>
      <c r="Y293" s="488" t="s">
        <v>1486</v>
      </c>
      <c r="Z293" s="293">
        <f t="shared" si="36"/>
        <v>182.50969529085876</v>
      </c>
      <c r="AA293" s="293">
        <f t="shared" si="37"/>
        <v>283.90147073390449</v>
      </c>
    </row>
    <row r="294" spans="1:27" s="320" customFormat="1" x14ac:dyDescent="0.25">
      <c r="A294" s="220" t="s">
        <v>278</v>
      </c>
      <c r="B294" s="221" t="s">
        <v>1688</v>
      </c>
      <c r="C294" s="223" t="s">
        <v>2755</v>
      </c>
      <c r="D294" s="220" t="s">
        <v>2792</v>
      </c>
      <c r="E294" s="222">
        <v>5</v>
      </c>
      <c r="F294" s="192">
        <v>890</v>
      </c>
      <c r="G294" s="24">
        <v>0.2</v>
      </c>
      <c r="H294" s="24">
        <v>0.05</v>
      </c>
      <c r="I294" s="24">
        <v>0.05</v>
      </c>
      <c r="J294" s="24">
        <v>0</v>
      </c>
      <c r="K294" s="224">
        <f t="shared" si="38"/>
        <v>0.27800000000000014</v>
      </c>
      <c r="L294" s="225">
        <f t="shared" si="39"/>
        <v>6163.4349030470921</v>
      </c>
      <c r="M294" s="225">
        <f t="shared" si="40"/>
        <v>1232.6869806094185</v>
      </c>
      <c r="N294" s="226">
        <f t="shared" si="41"/>
        <v>1466.8975069252078</v>
      </c>
      <c r="O294" s="34">
        <v>0.3</v>
      </c>
      <c r="P294" s="226">
        <f t="shared" si="42"/>
        <v>1906.9667590027702</v>
      </c>
      <c r="Q294" s="107" t="s">
        <v>1486</v>
      </c>
      <c r="R294" s="34">
        <v>0.44962499356748237</v>
      </c>
      <c r="S294" s="226">
        <f t="shared" si="43"/>
        <v>1924.3243018337496</v>
      </c>
      <c r="T294" s="156" t="s">
        <v>1486</v>
      </c>
      <c r="U294" s="2">
        <v>21</v>
      </c>
      <c r="V294" s="2" t="s">
        <v>47</v>
      </c>
      <c r="W294" s="2" t="s">
        <v>2900</v>
      </c>
      <c r="X294" s="2" t="s">
        <v>2901</v>
      </c>
      <c r="Y294" s="488" t="s">
        <v>1486</v>
      </c>
      <c r="Z294" s="293">
        <f t="shared" si="36"/>
        <v>342.68698060941847</v>
      </c>
      <c r="AA294" s="293">
        <f t="shared" si="37"/>
        <v>727.07924523844508</v>
      </c>
    </row>
    <row r="295" spans="1:27" s="320" customFormat="1" x14ac:dyDescent="0.25">
      <c r="A295" s="220" t="s">
        <v>280</v>
      </c>
      <c r="B295" s="221" t="s">
        <v>1818</v>
      </c>
      <c r="C295" s="223" t="s">
        <v>2755</v>
      </c>
      <c r="D295" s="220" t="s">
        <v>2792</v>
      </c>
      <c r="E295" s="222">
        <v>20</v>
      </c>
      <c r="F295" s="192">
        <v>260</v>
      </c>
      <c r="G295" s="24">
        <v>0.2</v>
      </c>
      <c r="H295" s="24">
        <v>0.05</v>
      </c>
      <c r="I295" s="24">
        <v>0.05</v>
      </c>
      <c r="J295" s="24">
        <v>0</v>
      </c>
      <c r="K295" s="224">
        <f t="shared" si="38"/>
        <v>0.27800000000000002</v>
      </c>
      <c r="L295" s="225">
        <f t="shared" si="39"/>
        <v>7202.2160664819949</v>
      </c>
      <c r="M295" s="225">
        <f t="shared" si="40"/>
        <v>360.11080332409972</v>
      </c>
      <c r="N295" s="226">
        <f t="shared" si="41"/>
        <v>428.53185595567862</v>
      </c>
      <c r="O295" s="34">
        <v>0.3</v>
      </c>
      <c r="P295" s="226">
        <f t="shared" si="42"/>
        <v>557.0914127423822</v>
      </c>
      <c r="Q295" s="107" t="s">
        <v>1486</v>
      </c>
      <c r="R295" s="34">
        <v>0.5073400402398599</v>
      </c>
      <c r="S295" s="226">
        <f t="shared" si="43"/>
        <v>628.01937496734388</v>
      </c>
      <c r="T295" s="156" t="s">
        <v>1486</v>
      </c>
      <c r="U295" s="2">
        <v>22</v>
      </c>
      <c r="V295" s="2" t="s">
        <v>47</v>
      </c>
      <c r="W295" s="2" t="s">
        <v>2900</v>
      </c>
      <c r="X295" s="2" t="s">
        <v>2901</v>
      </c>
      <c r="Y295" s="488" t="s">
        <v>1486</v>
      </c>
      <c r="Z295" s="293">
        <f t="shared" si="36"/>
        <v>100.11080332409972</v>
      </c>
      <c r="AA295" s="293">
        <f t="shared" si="37"/>
        <v>267.74737392213774</v>
      </c>
    </row>
    <row r="296" spans="1:27" s="320" customFormat="1" x14ac:dyDescent="0.25">
      <c r="A296" s="220" t="s">
        <v>282</v>
      </c>
      <c r="B296" s="221" t="s">
        <v>327</v>
      </c>
      <c r="C296" s="223" t="s">
        <v>1546</v>
      </c>
      <c r="D296" s="220" t="s">
        <v>1693</v>
      </c>
      <c r="E296" s="222">
        <v>24</v>
      </c>
      <c r="F296" s="192">
        <v>361</v>
      </c>
      <c r="G296" s="24">
        <v>0.2</v>
      </c>
      <c r="H296" s="24">
        <v>0.05</v>
      </c>
      <c r="I296" s="24">
        <v>0.05</v>
      </c>
      <c r="J296" s="24">
        <v>0</v>
      </c>
      <c r="K296" s="224">
        <f t="shared" si="38"/>
        <v>0.27800000000000002</v>
      </c>
      <c r="L296" s="225">
        <f t="shared" si="39"/>
        <v>12000</v>
      </c>
      <c r="M296" s="225">
        <f t="shared" si="40"/>
        <v>500</v>
      </c>
      <c r="N296" s="226">
        <f t="shared" si="41"/>
        <v>595</v>
      </c>
      <c r="O296" s="34">
        <v>0.3</v>
      </c>
      <c r="P296" s="226">
        <f t="shared" si="42"/>
        <v>773.5</v>
      </c>
      <c r="Q296" s="107" t="s">
        <v>1486</v>
      </c>
      <c r="R296" s="34">
        <v>0.3</v>
      </c>
      <c r="S296" s="226">
        <f t="shared" si="43"/>
        <v>613.70000000000005</v>
      </c>
      <c r="T296" s="156" t="s">
        <v>1486</v>
      </c>
      <c r="U296" s="2"/>
      <c r="V296" s="2" t="s">
        <v>47</v>
      </c>
      <c r="W296" s="2"/>
      <c r="X296" s="2"/>
      <c r="Y296" s="488" t="s">
        <v>1486</v>
      </c>
      <c r="Z296" s="293">
        <f t="shared" si="36"/>
        <v>139</v>
      </c>
      <c r="AA296" s="293">
        <f t="shared" si="37"/>
        <v>154.71428571428578</v>
      </c>
    </row>
    <row r="297" spans="1:27" s="320" customFormat="1" x14ac:dyDescent="0.25">
      <c r="A297" s="220" t="s">
        <v>286</v>
      </c>
      <c r="B297" s="221" t="s">
        <v>331</v>
      </c>
      <c r="C297" s="223" t="s">
        <v>1626</v>
      </c>
      <c r="D297" s="220" t="s">
        <v>332</v>
      </c>
      <c r="E297" s="222">
        <v>12</v>
      </c>
      <c r="F297" s="192">
        <v>0</v>
      </c>
      <c r="G297" s="24">
        <v>0.2</v>
      </c>
      <c r="H297" s="24">
        <v>0.05</v>
      </c>
      <c r="I297" s="24">
        <v>0.05</v>
      </c>
      <c r="J297" s="24">
        <v>0</v>
      </c>
      <c r="K297" s="224">
        <f t="shared" si="38"/>
        <v>0</v>
      </c>
      <c r="L297" s="225">
        <f t="shared" si="39"/>
        <v>0</v>
      </c>
      <c r="M297" s="225">
        <f t="shared" si="40"/>
        <v>0</v>
      </c>
      <c r="N297" s="226">
        <f t="shared" si="41"/>
        <v>0</v>
      </c>
      <c r="O297" s="34">
        <v>0.3</v>
      </c>
      <c r="P297" s="226">
        <f t="shared" si="42"/>
        <v>0</v>
      </c>
      <c r="Q297" s="107" t="s">
        <v>1486</v>
      </c>
      <c r="R297" s="34">
        <v>0.3</v>
      </c>
      <c r="S297" s="226">
        <f t="shared" si="43"/>
        <v>0</v>
      </c>
      <c r="T297" s="156" t="s">
        <v>1486</v>
      </c>
      <c r="U297" s="2" t="s">
        <v>109</v>
      </c>
      <c r="V297" s="2" t="s">
        <v>47</v>
      </c>
      <c r="W297" s="2" t="s">
        <v>5883</v>
      </c>
      <c r="X297" s="2" t="s">
        <v>1467</v>
      </c>
      <c r="Y297" s="488" t="s">
        <v>1486</v>
      </c>
      <c r="Z297" s="293">
        <f t="shared" si="36"/>
        <v>0</v>
      </c>
      <c r="AA297" s="293">
        <f t="shared" si="37"/>
        <v>0</v>
      </c>
    </row>
    <row r="298" spans="1:27" s="320" customFormat="1" x14ac:dyDescent="0.25">
      <c r="A298" s="220" t="s">
        <v>288</v>
      </c>
      <c r="B298" s="221" t="s">
        <v>334</v>
      </c>
      <c r="C298" s="223" t="s">
        <v>1626</v>
      </c>
      <c r="D298" s="220" t="s">
        <v>332</v>
      </c>
      <c r="E298" s="222">
        <v>12</v>
      </c>
      <c r="F298" s="192">
        <v>0</v>
      </c>
      <c r="G298" s="24">
        <v>0.2</v>
      </c>
      <c r="H298" s="24">
        <v>0.05</v>
      </c>
      <c r="I298" s="24">
        <v>0.05</v>
      </c>
      <c r="J298" s="24">
        <v>0</v>
      </c>
      <c r="K298" s="224">
        <f t="shared" si="38"/>
        <v>0</v>
      </c>
      <c r="L298" s="225">
        <f t="shared" si="39"/>
        <v>0</v>
      </c>
      <c r="M298" s="225">
        <f t="shared" si="40"/>
        <v>0</v>
      </c>
      <c r="N298" s="226">
        <f t="shared" si="41"/>
        <v>0</v>
      </c>
      <c r="O298" s="34">
        <v>0.3</v>
      </c>
      <c r="P298" s="226">
        <f t="shared" si="42"/>
        <v>0</v>
      </c>
      <c r="Q298" s="107" t="s">
        <v>1486</v>
      </c>
      <c r="R298" s="34">
        <v>0.3</v>
      </c>
      <c r="S298" s="226">
        <f t="shared" si="43"/>
        <v>0</v>
      </c>
      <c r="T298" s="156" t="s">
        <v>1486</v>
      </c>
      <c r="U298" s="2" t="s">
        <v>109</v>
      </c>
      <c r="V298" s="2" t="s">
        <v>47</v>
      </c>
      <c r="W298" s="2" t="s">
        <v>5883</v>
      </c>
      <c r="X298" s="2" t="s">
        <v>1467</v>
      </c>
      <c r="Y298" s="488" t="s">
        <v>1486</v>
      </c>
      <c r="Z298" s="293">
        <f t="shared" si="36"/>
        <v>0</v>
      </c>
      <c r="AA298" s="293">
        <f t="shared" si="37"/>
        <v>0</v>
      </c>
    </row>
    <row r="299" spans="1:27" s="320" customFormat="1" x14ac:dyDescent="0.25">
      <c r="A299" s="220" t="s">
        <v>290</v>
      </c>
      <c r="B299" s="221" t="s">
        <v>336</v>
      </c>
      <c r="C299" s="223" t="s">
        <v>1626</v>
      </c>
      <c r="D299" s="220" t="s">
        <v>332</v>
      </c>
      <c r="E299" s="222">
        <v>12</v>
      </c>
      <c r="F299" s="192">
        <v>0</v>
      </c>
      <c r="G299" s="24">
        <v>0.2</v>
      </c>
      <c r="H299" s="24">
        <v>0.05</v>
      </c>
      <c r="I299" s="24">
        <v>0.05</v>
      </c>
      <c r="J299" s="24">
        <v>0</v>
      </c>
      <c r="K299" s="224">
        <f t="shared" si="38"/>
        <v>0</v>
      </c>
      <c r="L299" s="225">
        <f t="shared" si="39"/>
        <v>0</v>
      </c>
      <c r="M299" s="225">
        <f t="shared" si="40"/>
        <v>0</v>
      </c>
      <c r="N299" s="226">
        <f t="shared" si="41"/>
        <v>0</v>
      </c>
      <c r="O299" s="34">
        <v>0.3</v>
      </c>
      <c r="P299" s="226">
        <f t="shared" si="42"/>
        <v>0</v>
      </c>
      <c r="Q299" s="107" t="s">
        <v>1486</v>
      </c>
      <c r="R299" s="34">
        <v>0.3</v>
      </c>
      <c r="S299" s="226">
        <f t="shared" si="43"/>
        <v>0</v>
      </c>
      <c r="T299" s="156" t="s">
        <v>1486</v>
      </c>
      <c r="U299" s="2" t="s">
        <v>109</v>
      </c>
      <c r="V299" s="2" t="s">
        <v>47</v>
      </c>
      <c r="W299" s="2" t="s">
        <v>5883</v>
      </c>
      <c r="X299" s="2"/>
      <c r="Y299" s="488" t="s">
        <v>1486</v>
      </c>
      <c r="Z299" s="293">
        <f t="shared" si="36"/>
        <v>0</v>
      </c>
      <c r="AA299" s="293">
        <f t="shared" si="37"/>
        <v>0</v>
      </c>
    </row>
    <row r="300" spans="1:27" s="320" customFormat="1" x14ac:dyDescent="0.25">
      <c r="A300" s="220" t="s">
        <v>292</v>
      </c>
      <c r="B300" s="221" t="s">
        <v>338</v>
      </c>
      <c r="C300" s="223" t="s">
        <v>1626</v>
      </c>
      <c r="D300" s="220" t="s">
        <v>332</v>
      </c>
      <c r="E300" s="222">
        <v>12</v>
      </c>
      <c r="F300" s="192">
        <v>0</v>
      </c>
      <c r="G300" s="24">
        <v>0.2</v>
      </c>
      <c r="H300" s="24">
        <v>0.05</v>
      </c>
      <c r="I300" s="24">
        <v>0.05</v>
      </c>
      <c r="J300" s="24">
        <v>0</v>
      </c>
      <c r="K300" s="224">
        <f t="shared" si="38"/>
        <v>0</v>
      </c>
      <c r="L300" s="225">
        <f t="shared" si="39"/>
        <v>0</v>
      </c>
      <c r="M300" s="225">
        <f t="shared" si="40"/>
        <v>0</v>
      </c>
      <c r="N300" s="226">
        <f t="shared" si="41"/>
        <v>0</v>
      </c>
      <c r="O300" s="34">
        <v>0.3</v>
      </c>
      <c r="P300" s="226">
        <f t="shared" si="42"/>
        <v>0</v>
      </c>
      <c r="Q300" s="107" t="s">
        <v>1486</v>
      </c>
      <c r="R300" s="34">
        <v>0.3</v>
      </c>
      <c r="S300" s="226">
        <f t="shared" si="43"/>
        <v>0</v>
      </c>
      <c r="T300" s="156" t="s">
        <v>1486</v>
      </c>
      <c r="U300" s="2" t="s">
        <v>109</v>
      </c>
      <c r="V300" s="2" t="s">
        <v>47</v>
      </c>
      <c r="W300" s="2" t="s">
        <v>5883</v>
      </c>
      <c r="X300" s="2" t="s">
        <v>1467</v>
      </c>
      <c r="Y300" s="488" t="s">
        <v>1486</v>
      </c>
      <c r="Z300" s="293">
        <f t="shared" si="36"/>
        <v>0</v>
      </c>
      <c r="AA300" s="293">
        <f t="shared" si="37"/>
        <v>0</v>
      </c>
    </row>
    <row r="301" spans="1:27" s="320" customFormat="1" x14ac:dyDescent="0.25">
      <c r="A301" s="220" t="s">
        <v>294</v>
      </c>
      <c r="B301" s="221" t="s">
        <v>340</v>
      </c>
      <c r="C301" s="223" t="s">
        <v>1626</v>
      </c>
      <c r="D301" s="220" t="s">
        <v>332</v>
      </c>
      <c r="E301" s="222">
        <v>12</v>
      </c>
      <c r="F301" s="192">
        <v>0</v>
      </c>
      <c r="G301" s="24">
        <v>0.2</v>
      </c>
      <c r="H301" s="24">
        <v>0.05</v>
      </c>
      <c r="I301" s="24">
        <v>0.05</v>
      </c>
      <c r="J301" s="24">
        <v>0</v>
      </c>
      <c r="K301" s="224">
        <f t="shared" si="38"/>
        <v>0</v>
      </c>
      <c r="L301" s="225">
        <f t="shared" si="39"/>
        <v>0</v>
      </c>
      <c r="M301" s="225">
        <f t="shared" si="40"/>
        <v>0</v>
      </c>
      <c r="N301" s="226">
        <f t="shared" si="41"/>
        <v>0</v>
      </c>
      <c r="O301" s="34">
        <v>0.3</v>
      </c>
      <c r="P301" s="226">
        <f t="shared" si="42"/>
        <v>0</v>
      </c>
      <c r="Q301" s="107" t="s">
        <v>1486</v>
      </c>
      <c r="R301" s="34">
        <v>0.3</v>
      </c>
      <c r="S301" s="226">
        <f t="shared" si="43"/>
        <v>0</v>
      </c>
      <c r="T301" s="156" t="s">
        <v>1486</v>
      </c>
      <c r="U301" s="2" t="s">
        <v>109</v>
      </c>
      <c r="V301" s="2" t="s">
        <v>47</v>
      </c>
      <c r="W301" s="2" t="s">
        <v>5883</v>
      </c>
      <c r="X301" s="2" t="s">
        <v>1467</v>
      </c>
      <c r="Y301" s="488" t="s">
        <v>1486</v>
      </c>
      <c r="Z301" s="293">
        <f t="shared" si="36"/>
        <v>0</v>
      </c>
      <c r="AA301" s="293">
        <f t="shared" si="37"/>
        <v>0</v>
      </c>
    </row>
    <row r="302" spans="1:27" s="320" customFormat="1" x14ac:dyDescent="0.25">
      <c r="A302" s="220" t="s">
        <v>296</v>
      </c>
      <c r="B302" s="221" t="s">
        <v>342</v>
      </c>
      <c r="C302" s="223" t="s">
        <v>1626</v>
      </c>
      <c r="D302" s="220" t="s">
        <v>112</v>
      </c>
      <c r="E302" s="222">
        <v>12</v>
      </c>
      <c r="F302" s="192">
        <v>1489</v>
      </c>
      <c r="G302" s="24">
        <v>0.2</v>
      </c>
      <c r="H302" s="24">
        <v>0.05</v>
      </c>
      <c r="I302" s="24">
        <v>0.05</v>
      </c>
      <c r="J302" s="24">
        <v>0</v>
      </c>
      <c r="K302" s="224">
        <f t="shared" si="38"/>
        <v>0.27800000000000002</v>
      </c>
      <c r="L302" s="225">
        <f t="shared" si="39"/>
        <v>24747.922437673129</v>
      </c>
      <c r="M302" s="225">
        <f t="shared" si="40"/>
        <v>2062.3268698060942</v>
      </c>
      <c r="N302" s="226">
        <f t="shared" si="41"/>
        <v>2454.1689750692522</v>
      </c>
      <c r="O302" s="34">
        <v>0.3</v>
      </c>
      <c r="P302" s="226">
        <f t="shared" si="42"/>
        <v>3190.419667590028</v>
      </c>
      <c r="Q302" s="107" t="s">
        <v>1486</v>
      </c>
      <c r="R302" s="34">
        <v>0.3</v>
      </c>
      <c r="S302" s="226">
        <f t="shared" si="43"/>
        <v>2531.3000000000002</v>
      </c>
      <c r="T302" s="156" t="s">
        <v>1486</v>
      </c>
      <c r="U302" s="2" t="s">
        <v>109</v>
      </c>
      <c r="V302" s="2" t="s">
        <v>47</v>
      </c>
      <c r="W302" s="2" t="s">
        <v>5883</v>
      </c>
      <c r="X302" s="2"/>
      <c r="Y302" s="488" t="s">
        <v>1486</v>
      </c>
      <c r="Z302" s="293">
        <f t="shared" si="36"/>
        <v>573.32686980609424</v>
      </c>
      <c r="AA302" s="293">
        <f t="shared" si="37"/>
        <v>638.14285714285734</v>
      </c>
    </row>
    <row r="303" spans="1:27" s="320" customFormat="1" x14ac:dyDescent="0.25">
      <c r="A303" s="220" t="s">
        <v>299</v>
      </c>
      <c r="B303" s="221" t="s">
        <v>344</v>
      </c>
      <c r="C303" s="223" t="s">
        <v>1486</v>
      </c>
      <c r="D303" s="220" t="s">
        <v>46</v>
      </c>
      <c r="E303" s="222"/>
      <c r="F303" s="192">
        <v>0</v>
      </c>
      <c r="G303" s="24">
        <v>0.2</v>
      </c>
      <c r="H303" s="24">
        <v>0.05</v>
      </c>
      <c r="I303" s="24">
        <v>0.05</v>
      </c>
      <c r="J303" s="24">
        <v>0</v>
      </c>
      <c r="K303" s="224">
        <f t="shared" si="38"/>
        <v>0</v>
      </c>
      <c r="L303" s="225">
        <f t="shared" si="39"/>
        <v>0</v>
      </c>
      <c r="M303" s="225">
        <f t="shared" si="40"/>
        <v>0</v>
      </c>
      <c r="N303" s="226">
        <f t="shared" si="41"/>
        <v>0</v>
      </c>
      <c r="O303" s="34">
        <v>0.3</v>
      </c>
      <c r="P303" s="226">
        <f t="shared" si="42"/>
        <v>0</v>
      </c>
      <c r="Q303" s="107" t="s">
        <v>1486</v>
      </c>
      <c r="R303" s="34">
        <v>0.3</v>
      </c>
      <c r="S303" s="226">
        <f t="shared" si="43"/>
        <v>0</v>
      </c>
      <c r="T303" s="156" t="s">
        <v>1486</v>
      </c>
      <c r="U303" s="2"/>
      <c r="V303" s="2" t="s">
        <v>47</v>
      </c>
      <c r="W303" s="2"/>
      <c r="X303" s="2"/>
      <c r="Y303" s="488" t="s">
        <v>1486</v>
      </c>
      <c r="Z303" s="293">
        <f t="shared" si="36"/>
        <v>0</v>
      </c>
      <c r="AA303" s="293">
        <f t="shared" si="37"/>
        <v>0</v>
      </c>
    </row>
    <row r="304" spans="1:27" s="320" customFormat="1" x14ac:dyDescent="0.25">
      <c r="A304" s="220" t="s">
        <v>301</v>
      </c>
      <c r="B304" s="221" t="s">
        <v>346</v>
      </c>
      <c r="C304" s="223" t="s">
        <v>1486</v>
      </c>
      <c r="D304" s="220" t="s">
        <v>46</v>
      </c>
      <c r="E304" s="222"/>
      <c r="F304" s="192">
        <v>0</v>
      </c>
      <c r="G304" s="24">
        <v>0.2</v>
      </c>
      <c r="H304" s="24">
        <v>0.05</v>
      </c>
      <c r="I304" s="24">
        <v>0.05</v>
      </c>
      <c r="J304" s="24">
        <v>0</v>
      </c>
      <c r="K304" s="224">
        <f t="shared" si="38"/>
        <v>0</v>
      </c>
      <c r="L304" s="225">
        <f t="shared" si="39"/>
        <v>0</v>
      </c>
      <c r="M304" s="225">
        <f t="shared" si="40"/>
        <v>0</v>
      </c>
      <c r="N304" s="226">
        <f t="shared" si="41"/>
        <v>0</v>
      </c>
      <c r="O304" s="34">
        <v>0.3</v>
      </c>
      <c r="P304" s="226">
        <f t="shared" si="42"/>
        <v>0</v>
      </c>
      <c r="Q304" s="107" t="s">
        <v>1486</v>
      </c>
      <c r="R304" s="34">
        <v>0.3</v>
      </c>
      <c r="S304" s="226">
        <f t="shared" si="43"/>
        <v>0</v>
      </c>
      <c r="T304" s="156" t="s">
        <v>1486</v>
      </c>
      <c r="U304" s="2"/>
      <c r="V304" s="2" t="s">
        <v>47</v>
      </c>
      <c r="W304" s="2"/>
      <c r="X304" s="2"/>
      <c r="Y304" s="488" t="s">
        <v>1486</v>
      </c>
      <c r="Z304" s="293">
        <f t="shared" si="36"/>
        <v>0</v>
      </c>
      <c r="AA304" s="293">
        <f t="shared" si="37"/>
        <v>0</v>
      </c>
    </row>
    <row r="305" spans="1:27" s="320" customFormat="1" x14ac:dyDescent="0.25">
      <c r="A305" s="220" t="s">
        <v>303</v>
      </c>
      <c r="B305" s="221" t="s">
        <v>348</v>
      </c>
      <c r="C305" s="223" t="s">
        <v>1486</v>
      </c>
      <c r="D305" s="220" t="s">
        <v>46</v>
      </c>
      <c r="E305" s="222"/>
      <c r="F305" s="192">
        <v>0</v>
      </c>
      <c r="G305" s="24">
        <v>0.2</v>
      </c>
      <c r="H305" s="24">
        <v>0.05</v>
      </c>
      <c r="I305" s="24">
        <v>0.05</v>
      </c>
      <c r="J305" s="24">
        <v>0</v>
      </c>
      <c r="K305" s="224">
        <f t="shared" si="38"/>
        <v>0</v>
      </c>
      <c r="L305" s="225">
        <f t="shared" si="39"/>
        <v>0</v>
      </c>
      <c r="M305" s="225">
        <f t="shared" si="40"/>
        <v>0</v>
      </c>
      <c r="N305" s="226">
        <f t="shared" si="41"/>
        <v>0</v>
      </c>
      <c r="O305" s="34">
        <v>0.3</v>
      </c>
      <c r="P305" s="226">
        <f t="shared" si="42"/>
        <v>0</v>
      </c>
      <c r="Q305" s="107" t="s">
        <v>1486</v>
      </c>
      <c r="R305" s="34">
        <v>0.3</v>
      </c>
      <c r="S305" s="226">
        <f t="shared" si="43"/>
        <v>0</v>
      </c>
      <c r="T305" s="156" t="s">
        <v>1486</v>
      </c>
      <c r="U305" s="2"/>
      <c r="V305" s="2" t="s">
        <v>47</v>
      </c>
      <c r="W305" s="2"/>
      <c r="X305" s="2"/>
      <c r="Y305" s="488" t="s">
        <v>1486</v>
      </c>
      <c r="Z305" s="293">
        <f t="shared" si="36"/>
        <v>0</v>
      </c>
      <c r="AA305" s="293">
        <f t="shared" si="37"/>
        <v>0</v>
      </c>
    </row>
    <row r="306" spans="1:27" s="320" customFormat="1" x14ac:dyDescent="0.25">
      <c r="A306" s="220" t="s">
        <v>305</v>
      </c>
      <c r="B306" s="221" t="s">
        <v>350</v>
      </c>
      <c r="C306" s="223" t="s">
        <v>1486</v>
      </c>
      <c r="D306" s="220" t="s">
        <v>46</v>
      </c>
      <c r="E306" s="222"/>
      <c r="F306" s="192">
        <v>0</v>
      </c>
      <c r="G306" s="24">
        <v>0.2</v>
      </c>
      <c r="H306" s="24">
        <v>0.05</v>
      </c>
      <c r="I306" s="24">
        <v>0.05</v>
      </c>
      <c r="J306" s="24">
        <v>0</v>
      </c>
      <c r="K306" s="224">
        <f t="shared" si="38"/>
        <v>0</v>
      </c>
      <c r="L306" s="225">
        <f t="shared" si="39"/>
        <v>0</v>
      </c>
      <c r="M306" s="225">
        <f t="shared" si="40"/>
        <v>0</v>
      </c>
      <c r="N306" s="226">
        <f t="shared" si="41"/>
        <v>0</v>
      </c>
      <c r="O306" s="34">
        <v>0.3</v>
      </c>
      <c r="P306" s="226">
        <f t="shared" si="42"/>
        <v>0</v>
      </c>
      <c r="Q306" s="107" t="s">
        <v>1486</v>
      </c>
      <c r="R306" s="34">
        <v>0.3</v>
      </c>
      <c r="S306" s="226">
        <f t="shared" si="43"/>
        <v>0</v>
      </c>
      <c r="T306" s="156" t="s">
        <v>1486</v>
      </c>
      <c r="U306" s="2"/>
      <c r="V306" s="2" t="s">
        <v>47</v>
      </c>
      <c r="W306" s="2"/>
      <c r="X306" s="2"/>
      <c r="Y306" s="488" t="s">
        <v>1486</v>
      </c>
      <c r="Z306" s="293">
        <f t="shared" si="36"/>
        <v>0</v>
      </c>
      <c r="AA306" s="293">
        <f t="shared" si="37"/>
        <v>0</v>
      </c>
    </row>
    <row r="307" spans="1:27" s="320" customFormat="1" x14ac:dyDescent="0.25">
      <c r="A307" s="220" t="s">
        <v>307</v>
      </c>
      <c r="B307" s="221" t="s">
        <v>352</v>
      </c>
      <c r="C307" s="223" t="s">
        <v>1486</v>
      </c>
      <c r="D307" s="220" t="s">
        <v>46</v>
      </c>
      <c r="E307" s="222"/>
      <c r="F307" s="192">
        <v>0</v>
      </c>
      <c r="G307" s="24">
        <v>0.2</v>
      </c>
      <c r="H307" s="24">
        <v>0.05</v>
      </c>
      <c r="I307" s="24">
        <v>0.05</v>
      </c>
      <c r="J307" s="24">
        <v>0</v>
      </c>
      <c r="K307" s="224">
        <f t="shared" si="38"/>
        <v>0</v>
      </c>
      <c r="L307" s="225">
        <f t="shared" si="39"/>
        <v>0</v>
      </c>
      <c r="M307" s="225">
        <f t="shared" si="40"/>
        <v>0</v>
      </c>
      <c r="N307" s="226">
        <f t="shared" si="41"/>
        <v>0</v>
      </c>
      <c r="O307" s="34">
        <v>0.3</v>
      </c>
      <c r="P307" s="226">
        <f t="shared" si="42"/>
        <v>0</v>
      </c>
      <c r="Q307" s="107" t="s">
        <v>1486</v>
      </c>
      <c r="R307" s="34">
        <v>0.3</v>
      </c>
      <c r="S307" s="226">
        <f t="shared" si="43"/>
        <v>0</v>
      </c>
      <c r="T307" s="156" t="s">
        <v>1486</v>
      </c>
      <c r="U307" s="2"/>
      <c r="V307" s="2" t="s">
        <v>47</v>
      </c>
      <c r="W307" s="2"/>
      <c r="X307" s="2"/>
      <c r="Y307" s="488" t="s">
        <v>1486</v>
      </c>
      <c r="Z307" s="293">
        <f t="shared" si="36"/>
        <v>0</v>
      </c>
      <c r="AA307" s="293">
        <f t="shared" si="37"/>
        <v>0</v>
      </c>
    </row>
    <row r="308" spans="1:27" s="320" customFormat="1" x14ac:dyDescent="0.25">
      <c r="A308" s="220" t="s">
        <v>309</v>
      </c>
      <c r="B308" s="221" t="s">
        <v>354</v>
      </c>
      <c r="C308" s="223" t="s">
        <v>1486</v>
      </c>
      <c r="D308" s="220" t="s">
        <v>46</v>
      </c>
      <c r="E308" s="222"/>
      <c r="F308" s="192">
        <v>0</v>
      </c>
      <c r="G308" s="24">
        <v>0.2</v>
      </c>
      <c r="H308" s="24">
        <v>0.05</v>
      </c>
      <c r="I308" s="24">
        <v>0.05</v>
      </c>
      <c r="J308" s="24">
        <v>0</v>
      </c>
      <c r="K308" s="224">
        <f t="shared" si="38"/>
        <v>0</v>
      </c>
      <c r="L308" s="225">
        <f t="shared" si="39"/>
        <v>0</v>
      </c>
      <c r="M308" s="225">
        <f t="shared" si="40"/>
        <v>0</v>
      </c>
      <c r="N308" s="226">
        <f t="shared" si="41"/>
        <v>0</v>
      </c>
      <c r="O308" s="34">
        <v>0.3</v>
      </c>
      <c r="P308" s="226">
        <f t="shared" si="42"/>
        <v>0</v>
      </c>
      <c r="Q308" s="107" t="s">
        <v>1486</v>
      </c>
      <c r="R308" s="34">
        <v>0.3</v>
      </c>
      <c r="S308" s="226">
        <f t="shared" si="43"/>
        <v>0</v>
      </c>
      <c r="T308" s="156" t="s">
        <v>1486</v>
      </c>
      <c r="U308" s="2"/>
      <c r="V308" s="2" t="s">
        <v>47</v>
      </c>
      <c r="W308" s="2"/>
      <c r="X308" s="2"/>
      <c r="Y308" s="488" t="s">
        <v>1486</v>
      </c>
      <c r="Z308" s="293">
        <f t="shared" si="36"/>
        <v>0</v>
      </c>
      <c r="AA308" s="293">
        <f t="shared" si="37"/>
        <v>0</v>
      </c>
    </row>
    <row r="309" spans="1:27" s="320" customFormat="1" x14ac:dyDescent="0.25">
      <c r="A309" s="220" t="s">
        <v>310</v>
      </c>
      <c r="B309" s="221" t="s">
        <v>356</v>
      </c>
      <c r="C309" s="223" t="s">
        <v>1486</v>
      </c>
      <c r="D309" s="220" t="s">
        <v>46</v>
      </c>
      <c r="E309" s="222"/>
      <c r="F309" s="192">
        <v>0</v>
      </c>
      <c r="G309" s="24">
        <v>0.2</v>
      </c>
      <c r="H309" s="24">
        <v>0.05</v>
      </c>
      <c r="I309" s="24">
        <v>0.05</v>
      </c>
      <c r="J309" s="24">
        <v>0</v>
      </c>
      <c r="K309" s="224">
        <f t="shared" si="38"/>
        <v>0</v>
      </c>
      <c r="L309" s="225">
        <f t="shared" si="39"/>
        <v>0</v>
      </c>
      <c r="M309" s="225">
        <f t="shared" si="40"/>
        <v>0</v>
      </c>
      <c r="N309" s="226">
        <f t="shared" si="41"/>
        <v>0</v>
      </c>
      <c r="O309" s="34">
        <v>0.3</v>
      </c>
      <c r="P309" s="226">
        <f t="shared" si="42"/>
        <v>0</v>
      </c>
      <c r="Q309" s="107" t="s">
        <v>1486</v>
      </c>
      <c r="R309" s="34">
        <v>0.3</v>
      </c>
      <c r="S309" s="226">
        <f t="shared" si="43"/>
        <v>0</v>
      </c>
      <c r="T309" s="156" t="s">
        <v>1486</v>
      </c>
      <c r="U309" s="2"/>
      <c r="V309" s="2" t="s">
        <v>47</v>
      </c>
      <c r="W309" s="2"/>
      <c r="X309" s="2"/>
      <c r="Y309" s="488" t="s">
        <v>1486</v>
      </c>
      <c r="Z309" s="293">
        <f t="shared" si="36"/>
        <v>0</v>
      </c>
      <c r="AA309" s="293">
        <f t="shared" si="37"/>
        <v>0</v>
      </c>
    </row>
    <row r="310" spans="1:27" s="320" customFormat="1" x14ac:dyDescent="0.25">
      <c r="A310" s="220" t="s">
        <v>311</v>
      </c>
      <c r="B310" s="221" t="s">
        <v>2175</v>
      </c>
      <c r="C310" s="223" t="s">
        <v>693</v>
      </c>
      <c r="D310" s="220" t="s">
        <v>359</v>
      </c>
      <c r="E310" s="222">
        <v>10</v>
      </c>
      <c r="F310" s="192">
        <v>940</v>
      </c>
      <c r="G310" s="24">
        <v>0.2</v>
      </c>
      <c r="H310" s="24">
        <v>0.05</v>
      </c>
      <c r="I310" s="24">
        <v>0.05</v>
      </c>
      <c r="J310" s="24">
        <v>0</v>
      </c>
      <c r="K310" s="224">
        <f t="shared" si="38"/>
        <v>0.27800000000000002</v>
      </c>
      <c r="L310" s="225">
        <f t="shared" si="39"/>
        <v>13019.390581717453</v>
      </c>
      <c r="M310" s="225">
        <f t="shared" si="40"/>
        <v>1301.9390581717453</v>
      </c>
      <c r="N310" s="226">
        <f t="shared" si="41"/>
        <v>1549.3074792243767</v>
      </c>
      <c r="O310" s="34">
        <v>0.3</v>
      </c>
      <c r="P310" s="226">
        <f t="shared" si="42"/>
        <v>2014.0997229916898</v>
      </c>
      <c r="Q310" s="107" t="s">
        <v>1486</v>
      </c>
      <c r="R310" s="34">
        <v>0.3</v>
      </c>
      <c r="S310" s="226">
        <f t="shared" si="43"/>
        <v>1598</v>
      </c>
      <c r="T310" s="156" t="s">
        <v>1486</v>
      </c>
      <c r="U310" s="2"/>
      <c r="V310" s="2" t="s">
        <v>47</v>
      </c>
      <c r="W310" s="2"/>
      <c r="X310" s="2"/>
      <c r="Y310" s="488" t="s">
        <v>1486</v>
      </c>
      <c r="Z310" s="293">
        <f t="shared" si="36"/>
        <v>361.93905817174527</v>
      </c>
      <c r="AA310" s="293">
        <f t="shared" si="37"/>
        <v>402.85714285714289</v>
      </c>
    </row>
    <row r="311" spans="1:27" s="320" customFormat="1" x14ac:dyDescent="0.25">
      <c r="A311" s="220" t="s">
        <v>313</v>
      </c>
      <c r="B311" s="221" t="s">
        <v>358</v>
      </c>
      <c r="C311" s="223" t="s">
        <v>693</v>
      </c>
      <c r="D311" s="220" t="s">
        <v>359</v>
      </c>
      <c r="E311" s="222">
        <v>10</v>
      </c>
      <c r="F311" s="192">
        <v>0</v>
      </c>
      <c r="G311" s="24">
        <v>0.2</v>
      </c>
      <c r="H311" s="24">
        <v>0.05</v>
      </c>
      <c r="I311" s="24">
        <v>0.05</v>
      </c>
      <c r="J311" s="24">
        <v>0</v>
      </c>
      <c r="K311" s="224">
        <f t="shared" si="38"/>
        <v>0</v>
      </c>
      <c r="L311" s="225">
        <f t="shared" si="39"/>
        <v>0</v>
      </c>
      <c r="M311" s="225">
        <f t="shared" si="40"/>
        <v>0</v>
      </c>
      <c r="N311" s="226">
        <f t="shared" si="41"/>
        <v>0</v>
      </c>
      <c r="O311" s="34">
        <v>0.3</v>
      </c>
      <c r="P311" s="226">
        <f t="shared" si="42"/>
        <v>0</v>
      </c>
      <c r="Q311" s="107" t="s">
        <v>1486</v>
      </c>
      <c r="R311" s="34">
        <v>0.3</v>
      </c>
      <c r="S311" s="226">
        <f t="shared" si="43"/>
        <v>0</v>
      </c>
      <c r="T311" s="156" t="s">
        <v>1486</v>
      </c>
      <c r="U311" s="2"/>
      <c r="V311" s="2" t="s">
        <v>47</v>
      </c>
      <c r="W311" s="2"/>
      <c r="X311" s="2"/>
      <c r="Y311" s="488" t="s">
        <v>1486</v>
      </c>
      <c r="Z311" s="293">
        <f t="shared" si="36"/>
        <v>0</v>
      </c>
      <c r="AA311" s="293">
        <f t="shared" si="37"/>
        <v>0</v>
      </c>
    </row>
    <row r="312" spans="1:27" s="320" customFormat="1" x14ac:dyDescent="0.25">
      <c r="A312" s="220" t="s">
        <v>314</v>
      </c>
      <c r="B312" s="221" t="s">
        <v>362</v>
      </c>
      <c r="C312" s="223" t="s">
        <v>693</v>
      </c>
      <c r="D312" s="220" t="s">
        <v>359</v>
      </c>
      <c r="E312" s="222">
        <v>10</v>
      </c>
      <c r="F312" s="192">
        <v>0</v>
      </c>
      <c r="G312" s="24">
        <v>0.2</v>
      </c>
      <c r="H312" s="24">
        <v>0.05</v>
      </c>
      <c r="I312" s="24">
        <v>0.05</v>
      </c>
      <c r="J312" s="24">
        <v>0</v>
      </c>
      <c r="K312" s="224">
        <f t="shared" si="38"/>
        <v>0</v>
      </c>
      <c r="L312" s="225">
        <f t="shared" si="39"/>
        <v>0</v>
      </c>
      <c r="M312" s="225">
        <f t="shared" si="40"/>
        <v>0</v>
      </c>
      <c r="N312" s="226">
        <f t="shared" si="41"/>
        <v>0</v>
      </c>
      <c r="O312" s="34">
        <v>0.3</v>
      </c>
      <c r="P312" s="226">
        <f t="shared" si="42"/>
        <v>0</v>
      </c>
      <c r="Q312" s="107" t="s">
        <v>1486</v>
      </c>
      <c r="R312" s="34">
        <v>0.3</v>
      </c>
      <c r="S312" s="226">
        <f t="shared" si="43"/>
        <v>0</v>
      </c>
      <c r="T312" s="156" t="s">
        <v>1486</v>
      </c>
      <c r="U312" s="2"/>
      <c r="V312" s="2" t="s">
        <v>47</v>
      </c>
      <c r="W312" s="2"/>
      <c r="X312" s="2"/>
      <c r="Y312" s="488" t="s">
        <v>1486</v>
      </c>
      <c r="Z312" s="293">
        <f t="shared" si="36"/>
        <v>0</v>
      </c>
      <c r="AA312" s="293">
        <f t="shared" si="37"/>
        <v>0</v>
      </c>
    </row>
    <row r="313" spans="1:27" s="320" customFormat="1" x14ac:dyDescent="0.25">
      <c r="A313" s="220" t="s">
        <v>315</v>
      </c>
      <c r="B313" s="221" t="s">
        <v>2581</v>
      </c>
      <c r="C313" s="223" t="s">
        <v>1626</v>
      </c>
      <c r="D313" s="220" t="s">
        <v>332</v>
      </c>
      <c r="E313" s="222">
        <v>12</v>
      </c>
      <c r="F313" s="192">
        <v>1324</v>
      </c>
      <c r="G313" s="24">
        <v>0.2</v>
      </c>
      <c r="H313" s="24">
        <v>0.05</v>
      </c>
      <c r="I313" s="24">
        <v>0.05</v>
      </c>
      <c r="J313" s="24">
        <v>0</v>
      </c>
      <c r="K313" s="224">
        <f t="shared" si="38"/>
        <v>0.27800000000000002</v>
      </c>
      <c r="L313" s="225">
        <f t="shared" si="39"/>
        <v>22005.540166204988</v>
      </c>
      <c r="M313" s="225">
        <f t="shared" si="40"/>
        <v>1833.7950138504157</v>
      </c>
      <c r="N313" s="226">
        <f t="shared" si="41"/>
        <v>2182.2160664819944</v>
      </c>
      <c r="O313" s="34">
        <v>0.3</v>
      </c>
      <c r="P313" s="226">
        <f t="shared" si="42"/>
        <v>2836.880886426593</v>
      </c>
      <c r="Q313" s="107" t="s">
        <v>1486</v>
      </c>
      <c r="R313" s="34">
        <v>0.33300522492672363</v>
      </c>
      <c r="S313" s="226">
        <f t="shared" si="43"/>
        <v>2362.1774245936308</v>
      </c>
      <c r="T313" s="156" t="s">
        <v>1486</v>
      </c>
      <c r="U313" s="2">
        <v>1</v>
      </c>
      <c r="V313" s="2" t="s">
        <v>47</v>
      </c>
      <c r="W313" s="2" t="s">
        <v>5883</v>
      </c>
      <c r="X313" s="2" t="s">
        <v>101</v>
      </c>
      <c r="Y313" s="488" t="s">
        <v>1486</v>
      </c>
      <c r="Z313" s="293">
        <f t="shared" si="36"/>
        <v>509.79501385041567</v>
      </c>
      <c r="AA313" s="293">
        <f t="shared" si="37"/>
        <v>661.02304587700087</v>
      </c>
    </row>
    <row r="314" spans="1:27" s="320" customFormat="1" x14ac:dyDescent="0.25">
      <c r="A314" s="220" t="s">
        <v>316</v>
      </c>
      <c r="B314" s="221" t="s">
        <v>2582</v>
      </c>
      <c r="C314" s="223" t="s">
        <v>1626</v>
      </c>
      <c r="D314" s="220" t="s">
        <v>332</v>
      </c>
      <c r="E314" s="222">
        <v>12</v>
      </c>
      <c r="F314" s="192">
        <v>1324</v>
      </c>
      <c r="G314" s="24">
        <v>0.2</v>
      </c>
      <c r="H314" s="24">
        <v>0.05</v>
      </c>
      <c r="I314" s="24">
        <v>0.05</v>
      </c>
      <c r="J314" s="24">
        <v>0</v>
      </c>
      <c r="K314" s="224">
        <f t="shared" si="38"/>
        <v>0.27800000000000002</v>
      </c>
      <c r="L314" s="225">
        <f t="shared" si="39"/>
        <v>22005.540166204988</v>
      </c>
      <c r="M314" s="225">
        <f t="shared" si="40"/>
        <v>1833.7950138504157</v>
      </c>
      <c r="N314" s="226">
        <f t="shared" si="41"/>
        <v>2182.2160664819944</v>
      </c>
      <c r="O314" s="34">
        <v>0.3</v>
      </c>
      <c r="P314" s="226">
        <f t="shared" si="42"/>
        <v>2836.880886426593</v>
      </c>
      <c r="Q314" s="107" t="s">
        <v>1486</v>
      </c>
      <c r="R314" s="34">
        <v>0.33300522492672363</v>
      </c>
      <c r="S314" s="226">
        <f t="shared" si="43"/>
        <v>2362.1774245936308</v>
      </c>
      <c r="T314" s="156" t="s">
        <v>1486</v>
      </c>
      <c r="U314" s="2">
        <v>2</v>
      </c>
      <c r="V314" s="2" t="s">
        <v>47</v>
      </c>
      <c r="W314" s="2" t="s">
        <v>5883</v>
      </c>
      <c r="X314" s="2" t="s">
        <v>101</v>
      </c>
      <c r="Y314" s="488" t="s">
        <v>1486</v>
      </c>
      <c r="Z314" s="293">
        <f t="shared" si="36"/>
        <v>509.79501385041567</v>
      </c>
      <c r="AA314" s="293">
        <f t="shared" si="37"/>
        <v>661.02304587700087</v>
      </c>
    </row>
    <row r="315" spans="1:27" s="320" customFormat="1" x14ac:dyDescent="0.25">
      <c r="A315" s="220" t="s">
        <v>317</v>
      </c>
      <c r="B315" s="221" t="s">
        <v>2536</v>
      </c>
      <c r="C315" s="223" t="s">
        <v>1626</v>
      </c>
      <c r="D315" s="220" t="s">
        <v>332</v>
      </c>
      <c r="E315" s="222">
        <v>12</v>
      </c>
      <c r="F315" s="192">
        <v>1324</v>
      </c>
      <c r="G315" s="24">
        <v>0.2</v>
      </c>
      <c r="H315" s="24">
        <v>0.05</v>
      </c>
      <c r="I315" s="24">
        <v>0.05</v>
      </c>
      <c r="J315" s="24">
        <v>0</v>
      </c>
      <c r="K315" s="224">
        <f t="shared" si="38"/>
        <v>0.27800000000000002</v>
      </c>
      <c r="L315" s="225">
        <f t="shared" si="39"/>
        <v>22005.540166204988</v>
      </c>
      <c r="M315" s="225">
        <f t="shared" si="40"/>
        <v>1833.7950138504157</v>
      </c>
      <c r="N315" s="226">
        <f t="shared" si="41"/>
        <v>2182.2160664819944</v>
      </c>
      <c r="O315" s="34">
        <v>0.3</v>
      </c>
      <c r="P315" s="226">
        <f t="shared" si="42"/>
        <v>2836.880886426593</v>
      </c>
      <c r="Q315" s="107" t="s">
        <v>1486</v>
      </c>
      <c r="R315" s="34">
        <v>0.33300522492672363</v>
      </c>
      <c r="S315" s="226">
        <f t="shared" si="43"/>
        <v>2362.1774245936308</v>
      </c>
      <c r="T315" s="156" t="s">
        <v>1486</v>
      </c>
      <c r="U315" s="2">
        <v>3</v>
      </c>
      <c r="V315" s="2" t="s">
        <v>47</v>
      </c>
      <c r="W315" s="2" t="s">
        <v>5883</v>
      </c>
      <c r="X315" s="2" t="s">
        <v>101</v>
      </c>
      <c r="Y315" s="488" t="s">
        <v>1486</v>
      </c>
      <c r="Z315" s="293">
        <f t="shared" si="36"/>
        <v>509.79501385041567</v>
      </c>
      <c r="AA315" s="293">
        <f t="shared" si="37"/>
        <v>661.02304587700087</v>
      </c>
    </row>
    <row r="316" spans="1:27" s="320" customFormat="1" x14ac:dyDescent="0.25">
      <c r="A316" s="220" t="s">
        <v>319</v>
      </c>
      <c r="B316" s="221" t="s">
        <v>2535</v>
      </c>
      <c r="C316" s="223" t="s">
        <v>1626</v>
      </c>
      <c r="D316" s="220" t="s">
        <v>332</v>
      </c>
      <c r="E316" s="222">
        <v>24</v>
      </c>
      <c r="F316" s="192">
        <v>1324</v>
      </c>
      <c r="G316" s="24">
        <v>0.2</v>
      </c>
      <c r="H316" s="24">
        <v>0.05</v>
      </c>
      <c r="I316" s="24">
        <v>0.05</v>
      </c>
      <c r="J316" s="24">
        <v>0</v>
      </c>
      <c r="K316" s="224">
        <f t="shared" si="38"/>
        <v>0.27800000000000002</v>
      </c>
      <c r="L316" s="225">
        <f t="shared" si="39"/>
        <v>44011.080332409976</v>
      </c>
      <c r="M316" s="225">
        <f t="shared" si="40"/>
        <v>1833.7950138504157</v>
      </c>
      <c r="N316" s="226">
        <f t="shared" si="41"/>
        <v>2182.2160664819944</v>
      </c>
      <c r="O316" s="34">
        <v>0.3</v>
      </c>
      <c r="P316" s="226">
        <f t="shared" si="42"/>
        <v>2836.880886426593</v>
      </c>
      <c r="Q316" s="107" t="s">
        <v>1486</v>
      </c>
      <c r="R316" s="34">
        <v>0.33300522492672363</v>
      </c>
      <c r="S316" s="226">
        <f t="shared" si="43"/>
        <v>2362.1774245936308</v>
      </c>
      <c r="T316" s="156" t="s">
        <v>1486</v>
      </c>
      <c r="U316" s="2">
        <v>4</v>
      </c>
      <c r="V316" s="2" t="s">
        <v>47</v>
      </c>
      <c r="W316" s="2" t="s">
        <v>5883</v>
      </c>
      <c r="X316" s="2" t="s">
        <v>101</v>
      </c>
      <c r="Y316" s="488" t="s">
        <v>1486</v>
      </c>
      <c r="Z316" s="293">
        <f t="shared" si="36"/>
        <v>509.79501385041567</v>
      </c>
      <c r="AA316" s="293">
        <f t="shared" si="37"/>
        <v>661.02304587700087</v>
      </c>
    </row>
    <row r="317" spans="1:27" s="320" customFormat="1" x14ac:dyDescent="0.25">
      <c r="A317" s="220" t="s">
        <v>320</v>
      </c>
      <c r="B317" s="221" t="s">
        <v>370</v>
      </c>
      <c r="C317" s="223" t="s">
        <v>1626</v>
      </c>
      <c r="D317" s="220" t="s">
        <v>371</v>
      </c>
      <c r="E317" s="222">
        <v>30</v>
      </c>
      <c r="F317" s="192">
        <v>0</v>
      </c>
      <c r="G317" s="24">
        <v>0.2</v>
      </c>
      <c r="H317" s="24">
        <v>0.05</v>
      </c>
      <c r="I317" s="24">
        <v>0.05</v>
      </c>
      <c r="J317" s="24">
        <v>0</v>
      </c>
      <c r="K317" s="224">
        <f t="shared" si="38"/>
        <v>0</v>
      </c>
      <c r="L317" s="225">
        <f t="shared" si="39"/>
        <v>0</v>
      </c>
      <c r="M317" s="225">
        <f t="shared" si="40"/>
        <v>0</v>
      </c>
      <c r="N317" s="226">
        <f t="shared" si="41"/>
        <v>0</v>
      </c>
      <c r="O317" s="34">
        <v>0.3</v>
      </c>
      <c r="P317" s="226">
        <f t="shared" si="42"/>
        <v>0</v>
      </c>
      <c r="Q317" s="107" t="s">
        <v>1486</v>
      </c>
      <c r="R317" s="34">
        <v>0.3</v>
      </c>
      <c r="S317" s="226">
        <f t="shared" si="43"/>
        <v>0</v>
      </c>
      <c r="T317" s="156" t="s">
        <v>1486</v>
      </c>
      <c r="U317" s="2" t="s">
        <v>109</v>
      </c>
      <c r="V317" s="2" t="s">
        <v>47</v>
      </c>
      <c r="W317" s="2" t="s">
        <v>5883</v>
      </c>
      <c r="X317" s="2"/>
      <c r="Y317" s="488" t="s">
        <v>1486</v>
      </c>
      <c r="Z317" s="293">
        <f t="shared" si="36"/>
        <v>0</v>
      </c>
      <c r="AA317" s="293">
        <f t="shared" si="37"/>
        <v>0</v>
      </c>
    </row>
    <row r="318" spans="1:27" s="320" customFormat="1" x14ac:dyDescent="0.25">
      <c r="A318" s="220" t="s">
        <v>321</v>
      </c>
      <c r="B318" s="221" t="s">
        <v>373</v>
      </c>
      <c r="C318" s="223" t="s">
        <v>1626</v>
      </c>
      <c r="D318" s="220" t="s">
        <v>371</v>
      </c>
      <c r="E318" s="222">
        <v>30</v>
      </c>
      <c r="F318" s="192">
        <v>0</v>
      </c>
      <c r="G318" s="24">
        <v>0.2</v>
      </c>
      <c r="H318" s="24">
        <v>0.05</v>
      </c>
      <c r="I318" s="24">
        <v>0.05</v>
      </c>
      <c r="J318" s="24">
        <v>0</v>
      </c>
      <c r="K318" s="224">
        <f t="shared" si="38"/>
        <v>0</v>
      </c>
      <c r="L318" s="225">
        <f t="shared" si="39"/>
        <v>0</v>
      </c>
      <c r="M318" s="225">
        <f t="shared" si="40"/>
        <v>0</v>
      </c>
      <c r="N318" s="226">
        <f t="shared" si="41"/>
        <v>0</v>
      </c>
      <c r="O318" s="34">
        <v>0.3</v>
      </c>
      <c r="P318" s="226">
        <f t="shared" si="42"/>
        <v>0</v>
      </c>
      <c r="Q318" s="107" t="s">
        <v>1486</v>
      </c>
      <c r="R318" s="34">
        <v>0.3</v>
      </c>
      <c r="S318" s="226">
        <f t="shared" si="43"/>
        <v>0</v>
      </c>
      <c r="T318" s="156" t="s">
        <v>1486</v>
      </c>
      <c r="U318" s="2" t="s">
        <v>109</v>
      </c>
      <c r="V318" s="2" t="s">
        <v>47</v>
      </c>
      <c r="W318" s="2" t="s">
        <v>5883</v>
      </c>
      <c r="X318" s="2"/>
      <c r="Y318" s="488" t="s">
        <v>1486</v>
      </c>
      <c r="Z318" s="293">
        <f t="shared" si="36"/>
        <v>0</v>
      </c>
      <c r="AA318" s="293">
        <f t="shared" si="37"/>
        <v>0</v>
      </c>
    </row>
    <row r="319" spans="1:27" s="320" customFormat="1" x14ac:dyDescent="0.25">
      <c r="A319" s="220" t="s">
        <v>322</v>
      </c>
      <c r="B319" s="221" t="s">
        <v>375</v>
      </c>
      <c r="C319" s="223" t="s">
        <v>1626</v>
      </c>
      <c r="D319" s="220" t="s">
        <v>371</v>
      </c>
      <c r="E319" s="222">
        <v>30</v>
      </c>
      <c r="F319" s="192">
        <v>0</v>
      </c>
      <c r="G319" s="24">
        <v>0.2</v>
      </c>
      <c r="H319" s="24">
        <v>0.05</v>
      </c>
      <c r="I319" s="24">
        <v>0.05</v>
      </c>
      <c r="J319" s="24">
        <v>0</v>
      </c>
      <c r="K319" s="224">
        <f t="shared" si="38"/>
        <v>0</v>
      </c>
      <c r="L319" s="225">
        <f t="shared" si="39"/>
        <v>0</v>
      </c>
      <c r="M319" s="225">
        <f t="shared" si="40"/>
        <v>0</v>
      </c>
      <c r="N319" s="226">
        <f t="shared" si="41"/>
        <v>0</v>
      </c>
      <c r="O319" s="34">
        <v>0.3</v>
      </c>
      <c r="P319" s="226">
        <f t="shared" si="42"/>
        <v>0</v>
      </c>
      <c r="Q319" s="107" t="s">
        <v>1486</v>
      </c>
      <c r="R319" s="34">
        <v>0.3</v>
      </c>
      <c r="S319" s="226">
        <f t="shared" si="43"/>
        <v>0</v>
      </c>
      <c r="T319" s="156" t="s">
        <v>1486</v>
      </c>
      <c r="U319" s="2" t="s">
        <v>109</v>
      </c>
      <c r="V319" s="2" t="s">
        <v>47</v>
      </c>
      <c r="W319" s="2" t="s">
        <v>5883</v>
      </c>
      <c r="X319" s="2"/>
      <c r="Y319" s="488" t="s">
        <v>1486</v>
      </c>
      <c r="Z319" s="293">
        <f t="shared" si="36"/>
        <v>0</v>
      </c>
      <c r="AA319" s="293">
        <f t="shared" si="37"/>
        <v>0</v>
      </c>
    </row>
    <row r="320" spans="1:27" s="320" customFormat="1" x14ac:dyDescent="0.25">
      <c r="A320" s="220" t="s">
        <v>323</v>
      </c>
      <c r="B320" s="221" t="s">
        <v>377</v>
      </c>
      <c r="C320" s="223" t="s">
        <v>1626</v>
      </c>
      <c r="D320" s="220" t="s">
        <v>371</v>
      </c>
      <c r="E320" s="222">
        <v>30</v>
      </c>
      <c r="F320" s="192">
        <v>0</v>
      </c>
      <c r="G320" s="24">
        <v>0.2</v>
      </c>
      <c r="H320" s="24">
        <v>0.05</v>
      </c>
      <c r="I320" s="24">
        <v>0.05</v>
      </c>
      <c r="J320" s="24">
        <v>0</v>
      </c>
      <c r="K320" s="224">
        <f t="shared" si="38"/>
        <v>0</v>
      </c>
      <c r="L320" s="225">
        <f t="shared" si="39"/>
        <v>0</v>
      </c>
      <c r="M320" s="225">
        <f t="shared" si="40"/>
        <v>0</v>
      </c>
      <c r="N320" s="226">
        <f t="shared" si="41"/>
        <v>0</v>
      </c>
      <c r="O320" s="34">
        <v>0.3</v>
      </c>
      <c r="P320" s="226">
        <f t="shared" si="42"/>
        <v>0</v>
      </c>
      <c r="Q320" s="107" t="s">
        <v>1486</v>
      </c>
      <c r="R320" s="34">
        <v>0.3</v>
      </c>
      <c r="S320" s="226">
        <f t="shared" si="43"/>
        <v>0</v>
      </c>
      <c r="T320" s="156" t="s">
        <v>1486</v>
      </c>
      <c r="U320" s="2" t="s">
        <v>109</v>
      </c>
      <c r="V320" s="2" t="s">
        <v>47</v>
      </c>
      <c r="W320" s="2" t="s">
        <v>5883</v>
      </c>
      <c r="X320" s="2"/>
      <c r="Y320" s="488" t="s">
        <v>1486</v>
      </c>
      <c r="Z320" s="293">
        <f t="shared" ref="Z320:Z383" si="44">+M320-F320</f>
        <v>0</v>
      </c>
      <c r="AA320" s="293">
        <f t="shared" ref="AA320:AA383" si="45">+(S320/1.19)-F320</f>
        <v>0</v>
      </c>
    </row>
    <row r="321" spans="1:27" s="320" customFormat="1" x14ac:dyDescent="0.25">
      <c r="A321" s="220" t="s">
        <v>324</v>
      </c>
      <c r="B321" s="221" t="s">
        <v>379</v>
      </c>
      <c r="C321" s="223" t="s">
        <v>1626</v>
      </c>
      <c r="D321" s="220" t="s">
        <v>371</v>
      </c>
      <c r="E321" s="222">
        <v>30</v>
      </c>
      <c r="F321" s="192">
        <v>0</v>
      </c>
      <c r="G321" s="24">
        <v>0.2</v>
      </c>
      <c r="H321" s="24">
        <v>0.05</v>
      </c>
      <c r="I321" s="24">
        <v>0.05</v>
      </c>
      <c r="J321" s="24">
        <v>0</v>
      </c>
      <c r="K321" s="224">
        <f t="shared" si="38"/>
        <v>0</v>
      </c>
      <c r="L321" s="225">
        <f t="shared" si="39"/>
        <v>0</v>
      </c>
      <c r="M321" s="225">
        <f t="shared" si="40"/>
        <v>0</v>
      </c>
      <c r="N321" s="226">
        <f t="shared" si="41"/>
        <v>0</v>
      </c>
      <c r="O321" s="34">
        <v>0.3</v>
      </c>
      <c r="P321" s="226">
        <f t="shared" si="42"/>
        <v>0</v>
      </c>
      <c r="Q321" s="107" t="s">
        <v>1486</v>
      </c>
      <c r="R321" s="34">
        <v>0.3</v>
      </c>
      <c r="S321" s="226">
        <f t="shared" si="43"/>
        <v>0</v>
      </c>
      <c r="T321" s="156" t="s">
        <v>1486</v>
      </c>
      <c r="U321" s="2" t="s">
        <v>109</v>
      </c>
      <c r="V321" s="2" t="s">
        <v>47</v>
      </c>
      <c r="W321" s="2" t="s">
        <v>5883</v>
      </c>
      <c r="X321" s="2"/>
      <c r="Y321" s="488" t="s">
        <v>1486</v>
      </c>
      <c r="Z321" s="293">
        <f t="shared" si="44"/>
        <v>0</v>
      </c>
      <c r="AA321" s="293">
        <f t="shared" si="45"/>
        <v>0</v>
      </c>
    </row>
    <row r="322" spans="1:27" s="320" customFormat="1" x14ac:dyDescent="0.25">
      <c r="A322" s="220" t="s">
        <v>325</v>
      </c>
      <c r="B322" s="221" t="s">
        <v>381</v>
      </c>
      <c r="C322" s="223" t="s">
        <v>1626</v>
      </c>
      <c r="D322" s="220" t="s">
        <v>371</v>
      </c>
      <c r="E322" s="222">
        <v>30</v>
      </c>
      <c r="F322" s="192">
        <v>0</v>
      </c>
      <c r="G322" s="24">
        <v>0.2</v>
      </c>
      <c r="H322" s="24">
        <v>0.05</v>
      </c>
      <c r="I322" s="24">
        <v>0.05</v>
      </c>
      <c r="J322" s="24">
        <v>0</v>
      </c>
      <c r="K322" s="224">
        <f t="shared" si="38"/>
        <v>0</v>
      </c>
      <c r="L322" s="225">
        <f t="shared" si="39"/>
        <v>0</v>
      </c>
      <c r="M322" s="225">
        <f t="shared" si="40"/>
        <v>0</v>
      </c>
      <c r="N322" s="226">
        <f t="shared" si="41"/>
        <v>0</v>
      </c>
      <c r="O322" s="34">
        <v>0.3</v>
      </c>
      <c r="P322" s="226">
        <f t="shared" si="42"/>
        <v>0</v>
      </c>
      <c r="Q322" s="107" t="s">
        <v>1486</v>
      </c>
      <c r="R322" s="34">
        <v>0.3</v>
      </c>
      <c r="S322" s="226">
        <f t="shared" si="43"/>
        <v>0</v>
      </c>
      <c r="T322" s="156" t="s">
        <v>1486</v>
      </c>
      <c r="U322" s="2" t="s">
        <v>109</v>
      </c>
      <c r="V322" s="2" t="s">
        <v>47</v>
      </c>
      <c r="W322" s="2" t="s">
        <v>5883</v>
      </c>
      <c r="X322" s="2"/>
      <c r="Y322" s="488" t="s">
        <v>1486</v>
      </c>
      <c r="Z322" s="293">
        <f t="shared" si="44"/>
        <v>0</v>
      </c>
      <c r="AA322" s="293">
        <f t="shared" si="45"/>
        <v>0</v>
      </c>
    </row>
    <row r="323" spans="1:27" s="320" customFormat="1" x14ac:dyDescent="0.25">
      <c r="A323" s="220" t="s">
        <v>326</v>
      </c>
      <c r="B323" s="221" t="s">
        <v>5452</v>
      </c>
      <c r="C323" s="223" t="s">
        <v>1626</v>
      </c>
      <c r="D323" s="220" t="s">
        <v>371</v>
      </c>
      <c r="E323" s="222">
        <v>12</v>
      </c>
      <c r="F323" s="192">
        <v>330</v>
      </c>
      <c r="G323" s="24">
        <v>0.2</v>
      </c>
      <c r="H323" s="24">
        <v>0.05</v>
      </c>
      <c r="I323" s="24">
        <v>0.05</v>
      </c>
      <c r="J323" s="24">
        <v>0</v>
      </c>
      <c r="K323" s="224">
        <f t="shared" ref="K323:K386" si="46">IF(F323=0,0,1-(F323/M323))</f>
        <v>0.27800000000000002</v>
      </c>
      <c r="L323" s="225">
        <f t="shared" ref="L323:L386" si="47">+M323*E323</f>
        <v>5484.7645429362883</v>
      </c>
      <c r="M323" s="225">
        <f t="shared" ref="M323:M386" si="48">+F323/(1-G323)/(1-H323)/(1-I323)/(1-J323)</f>
        <v>457.06371191135736</v>
      </c>
      <c r="N323" s="226">
        <f t="shared" ref="N323:N386" si="49">+M323*1.19</f>
        <v>543.90581717451528</v>
      </c>
      <c r="O323" s="34">
        <v>0.3</v>
      </c>
      <c r="P323" s="226">
        <f t="shared" ref="P323:P386" si="50">+N323*(1+O323)</f>
        <v>707.07756232686984</v>
      </c>
      <c r="Q323" s="107" t="s">
        <v>1486</v>
      </c>
      <c r="R323" s="34">
        <v>0.3</v>
      </c>
      <c r="S323" s="226">
        <f t="shared" si="43"/>
        <v>561</v>
      </c>
      <c r="T323" s="156" t="s">
        <v>1486</v>
      </c>
      <c r="U323" s="2">
        <v>2</v>
      </c>
      <c r="V323" s="2" t="s">
        <v>47</v>
      </c>
      <c r="W323" s="2" t="s">
        <v>5883</v>
      </c>
      <c r="X323" s="2" t="s">
        <v>5968</v>
      </c>
      <c r="Y323" s="488" t="s">
        <v>1486</v>
      </c>
      <c r="Z323" s="293">
        <f t="shared" si="44"/>
        <v>127.06371191135736</v>
      </c>
      <c r="AA323" s="293">
        <f t="shared" si="45"/>
        <v>141.42857142857144</v>
      </c>
    </row>
    <row r="324" spans="1:27" s="320" customFormat="1" x14ac:dyDescent="0.25">
      <c r="A324" s="220" t="s">
        <v>328</v>
      </c>
      <c r="B324" s="221" t="s">
        <v>5454</v>
      </c>
      <c r="C324" s="223" t="s">
        <v>1626</v>
      </c>
      <c r="D324" s="220" t="s">
        <v>371</v>
      </c>
      <c r="E324" s="222">
        <v>12</v>
      </c>
      <c r="F324" s="192">
        <v>330</v>
      </c>
      <c r="G324" s="24">
        <v>0.2</v>
      </c>
      <c r="H324" s="24">
        <v>0.05</v>
      </c>
      <c r="I324" s="24">
        <v>0.05</v>
      </c>
      <c r="J324" s="24">
        <v>0</v>
      </c>
      <c r="K324" s="224">
        <f t="shared" si="46"/>
        <v>0.27800000000000002</v>
      </c>
      <c r="L324" s="225">
        <f t="shared" si="47"/>
        <v>5484.7645429362883</v>
      </c>
      <c r="M324" s="225">
        <f t="shared" si="48"/>
        <v>457.06371191135736</v>
      </c>
      <c r="N324" s="226">
        <f t="shared" si="49"/>
        <v>543.90581717451528</v>
      </c>
      <c r="O324" s="34">
        <v>0.3</v>
      </c>
      <c r="P324" s="226">
        <f t="shared" si="50"/>
        <v>707.07756232686984</v>
      </c>
      <c r="Q324" s="107" t="s">
        <v>1486</v>
      </c>
      <c r="R324" s="34">
        <v>0.3</v>
      </c>
      <c r="S324" s="226">
        <f t="shared" si="43"/>
        <v>561</v>
      </c>
      <c r="T324" s="156" t="s">
        <v>1486</v>
      </c>
      <c r="U324" s="2">
        <v>3</v>
      </c>
      <c r="V324" s="2" t="s">
        <v>47</v>
      </c>
      <c r="W324" s="2" t="s">
        <v>5883</v>
      </c>
      <c r="X324" s="2" t="s">
        <v>5968</v>
      </c>
      <c r="Y324" s="488" t="s">
        <v>1486</v>
      </c>
      <c r="Z324" s="293">
        <f t="shared" si="44"/>
        <v>127.06371191135736</v>
      </c>
      <c r="AA324" s="293">
        <f t="shared" si="45"/>
        <v>141.42857142857144</v>
      </c>
    </row>
    <row r="325" spans="1:27" s="320" customFormat="1" x14ac:dyDescent="0.25">
      <c r="A325" s="220" t="s">
        <v>329</v>
      </c>
      <c r="B325" s="221" t="s">
        <v>387</v>
      </c>
      <c r="C325" s="223" t="s">
        <v>1626</v>
      </c>
      <c r="D325" s="220" t="s">
        <v>371</v>
      </c>
      <c r="E325" s="222">
        <v>12</v>
      </c>
      <c r="F325" s="192">
        <v>0</v>
      </c>
      <c r="G325" s="24">
        <v>0.2</v>
      </c>
      <c r="H325" s="24">
        <v>0.05</v>
      </c>
      <c r="I325" s="24">
        <v>0.05</v>
      </c>
      <c r="J325" s="24">
        <v>0</v>
      </c>
      <c r="K325" s="224">
        <f t="shared" si="46"/>
        <v>0</v>
      </c>
      <c r="L325" s="225">
        <f t="shared" si="47"/>
        <v>0</v>
      </c>
      <c r="M325" s="225">
        <f t="shared" si="48"/>
        <v>0</v>
      </c>
      <c r="N325" s="226">
        <f t="shared" si="49"/>
        <v>0</v>
      </c>
      <c r="O325" s="34">
        <v>0.3</v>
      </c>
      <c r="P325" s="226">
        <f t="shared" si="50"/>
        <v>0</v>
      </c>
      <c r="Q325" s="107" t="s">
        <v>1486</v>
      </c>
      <c r="R325" s="34">
        <v>0.3</v>
      </c>
      <c r="S325" s="226">
        <f t="shared" si="43"/>
        <v>0</v>
      </c>
      <c r="T325" s="156" t="s">
        <v>1486</v>
      </c>
      <c r="U325" s="2" t="s">
        <v>109</v>
      </c>
      <c r="V325" s="2" t="s">
        <v>47</v>
      </c>
      <c r="W325" s="2" t="s">
        <v>5883</v>
      </c>
      <c r="X325" s="2"/>
      <c r="Y325" s="488" t="s">
        <v>1486</v>
      </c>
      <c r="Z325" s="293">
        <f t="shared" si="44"/>
        <v>0</v>
      </c>
      <c r="AA325" s="293">
        <f t="shared" si="45"/>
        <v>0</v>
      </c>
    </row>
    <row r="326" spans="1:27" s="320" customFormat="1" x14ac:dyDescent="0.25">
      <c r="A326" s="220" t="s">
        <v>330</v>
      </c>
      <c r="B326" s="221" t="s">
        <v>389</v>
      </c>
      <c r="C326" s="223" t="s">
        <v>1626</v>
      </c>
      <c r="D326" s="220" t="s">
        <v>371</v>
      </c>
      <c r="E326" s="222">
        <v>12</v>
      </c>
      <c r="F326" s="192">
        <v>0</v>
      </c>
      <c r="G326" s="24">
        <v>0.2</v>
      </c>
      <c r="H326" s="24">
        <v>0.05</v>
      </c>
      <c r="I326" s="24">
        <v>0.05</v>
      </c>
      <c r="J326" s="24">
        <v>0</v>
      </c>
      <c r="K326" s="224">
        <f t="shared" si="46"/>
        <v>0</v>
      </c>
      <c r="L326" s="225">
        <f t="shared" si="47"/>
        <v>0</v>
      </c>
      <c r="M326" s="225">
        <f t="shared" si="48"/>
        <v>0</v>
      </c>
      <c r="N326" s="226">
        <f t="shared" si="49"/>
        <v>0</v>
      </c>
      <c r="O326" s="34">
        <v>0.3</v>
      </c>
      <c r="P326" s="226">
        <f t="shared" si="50"/>
        <v>0</v>
      </c>
      <c r="Q326" s="107" t="s">
        <v>1486</v>
      </c>
      <c r="R326" s="34">
        <v>0.3</v>
      </c>
      <c r="S326" s="226">
        <f t="shared" si="43"/>
        <v>0</v>
      </c>
      <c r="T326" s="156" t="s">
        <v>1486</v>
      </c>
      <c r="U326" s="2" t="s">
        <v>109</v>
      </c>
      <c r="V326" s="2" t="s">
        <v>47</v>
      </c>
      <c r="W326" s="2" t="s">
        <v>5883</v>
      </c>
      <c r="X326" s="2"/>
      <c r="Y326" s="488" t="s">
        <v>1486</v>
      </c>
      <c r="Z326" s="293">
        <f t="shared" si="44"/>
        <v>0</v>
      </c>
      <c r="AA326" s="293">
        <f t="shared" si="45"/>
        <v>0</v>
      </c>
    </row>
    <row r="327" spans="1:27" s="320" customFormat="1" x14ac:dyDescent="0.25">
      <c r="A327" s="220" t="s">
        <v>333</v>
      </c>
      <c r="B327" s="221" t="s">
        <v>391</v>
      </c>
      <c r="C327" s="223" t="s">
        <v>1626</v>
      </c>
      <c r="D327" s="220" t="s">
        <v>392</v>
      </c>
      <c r="E327" s="222">
        <v>12</v>
      </c>
      <c r="F327" s="192">
        <v>1254</v>
      </c>
      <c r="G327" s="24">
        <v>0.2</v>
      </c>
      <c r="H327" s="24">
        <v>0.05</v>
      </c>
      <c r="I327" s="24">
        <v>0.05</v>
      </c>
      <c r="J327" s="24">
        <v>0</v>
      </c>
      <c r="K327" s="224">
        <f t="shared" si="46"/>
        <v>0.27800000000000002</v>
      </c>
      <c r="L327" s="225">
        <f t="shared" si="47"/>
        <v>20842.105263157893</v>
      </c>
      <c r="M327" s="225">
        <f t="shared" si="48"/>
        <v>1736.8421052631579</v>
      </c>
      <c r="N327" s="226">
        <f t="shared" si="49"/>
        <v>2066.8421052631579</v>
      </c>
      <c r="O327" s="34">
        <v>0.3</v>
      </c>
      <c r="P327" s="226">
        <f t="shared" si="50"/>
        <v>2686.8947368421054</v>
      </c>
      <c r="Q327" s="107" t="s">
        <v>1486</v>
      </c>
      <c r="R327" s="34">
        <v>0.3</v>
      </c>
      <c r="S327" s="226">
        <f t="shared" si="43"/>
        <v>2131.8000000000002</v>
      </c>
      <c r="T327" s="156" t="s">
        <v>1486</v>
      </c>
      <c r="U327" s="2" t="s">
        <v>50</v>
      </c>
      <c r="V327" s="2" t="s">
        <v>47</v>
      </c>
      <c r="W327" s="2" t="s">
        <v>5963</v>
      </c>
      <c r="X327" s="2"/>
      <c r="Y327" s="488" t="s">
        <v>1486</v>
      </c>
      <c r="Z327" s="293">
        <f t="shared" si="44"/>
        <v>482.84210526315792</v>
      </c>
      <c r="AA327" s="293">
        <f t="shared" si="45"/>
        <v>537.42857142857156</v>
      </c>
    </row>
    <row r="328" spans="1:27" s="320" customFormat="1" x14ac:dyDescent="0.25">
      <c r="A328" s="220" t="s">
        <v>335</v>
      </c>
      <c r="B328" s="221" t="s">
        <v>395</v>
      </c>
      <c r="C328" s="223" t="s">
        <v>1626</v>
      </c>
      <c r="D328" s="220" t="s">
        <v>392</v>
      </c>
      <c r="E328" s="222">
        <v>12</v>
      </c>
      <c r="F328" s="192">
        <v>1254</v>
      </c>
      <c r="G328" s="24">
        <v>0.2</v>
      </c>
      <c r="H328" s="24">
        <v>0.05</v>
      </c>
      <c r="I328" s="24">
        <v>0.05</v>
      </c>
      <c r="J328" s="24">
        <v>0</v>
      </c>
      <c r="K328" s="224">
        <f t="shared" si="46"/>
        <v>0.27800000000000002</v>
      </c>
      <c r="L328" s="225">
        <f t="shared" si="47"/>
        <v>20842.105263157893</v>
      </c>
      <c r="M328" s="225">
        <f t="shared" si="48"/>
        <v>1736.8421052631579</v>
      </c>
      <c r="N328" s="226">
        <f t="shared" si="49"/>
        <v>2066.8421052631579</v>
      </c>
      <c r="O328" s="34">
        <v>0.3</v>
      </c>
      <c r="P328" s="226">
        <f t="shared" si="50"/>
        <v>2686.8947368421054</v>
      </c>
      <c r="Q328" s="107" t="s">
        <v>1486</v>
      </c>
      <c r="R328" s="34">
        <v>0.3</v>
      </c>
      <c r="S328" s="226">
        <f t="shared" si="43"/>
        <v>2131.8000000000002</v>
      </c>
      <c r="T328" s="156" t="s">
        <v>1486</v>
      </c>
      <c r="U328" s="2" t="s">
        <v>50</v>
      </c>
      <c r="V328" s="2" t="s">
        <v>47</v>
      </c>
      <c r="W328" s="2" t="s">
        <v>5963</v>
      </c>
      <c r="X328" s="2"/>
      <c r="Y328" s="488" t="s">
        <v>1486</v>
      </c>
      <c r="Z328" s="293">
        <f t="shared" si="44"/>
        <v>482.84210526315792</v>
      </c>
      <c r="AA328" s="293">
        <f t="shared" si="45"/>
        <v>537.42857142857156</v>
      </c>
    </row>
    <row r="329" spans="1:27" s="320" customFormat="1" x14ac:dyDescent="0.25">
      <c r="A329" s="220" t="s">
        <v>337</v>
      </c>
      <c r="B329" s="221" t="s">
        <v>397</v>
      </c>
      <c r="C329" s="223" t="s">
        <v>1626</v>
      </c>
      <c r="D329" s="220" t="s">
        <v>392</v>
      </c>
      <c r="E329" s="222">
        <v>12</v>
      </c>
      <c r="F329" s="192">
        <v>1254</v>
      </c>
      <c r="G329" s="24">
        <v>0.2</v>
      </c>
      <c r="H329" s="24">
        <v>0.05</v>
      </c>
      <c r="I329" s="24">
        <v>0.05</v>
      </c>
      <c r="J329" s="24">
        <v>0</v>
      </c>
      <c r="K329" s="224">
        <f t="shared" si="46"/>
        <v>0.27800000000000002</v>
      </c>
      <c r="L329" s="225">
        <f t="shared" si="47"/>
        <v>20842.105263157893</v>
      </c>
      <c r="M329" s="225">
        <f t="shared" si="48"/>
        <v>1736.8421052631579</v>
      </c>
      <c r="N329" s="226">
        <f t="shared" si="49"/>
        <v>2066.8421052631579</v>
      </c>
      <c r="O329" s="34">
        <v>0.3</v>
      </c>
      <c r="P329" s="226">
        <f t="shared" si="50"/>
        <v>2686.8947368421054</v>
      </c>
      <c r="Q329" s="107" t="s">
        <v>1486</v>
      </c>
      <c r="R329" s="34">
        <v>0.3</v>
      </c>
      <c r="S329" s="226">
        <f t="shared" si="43"/>
        <v>2131.8000000000002</v>
      </c>
      <c r="T329" s="156" t="s">
        <v>1486</v>
      </c>
      <c r="U329" s="2" t="s">
        <v>50</v>
      </c>
      <c r="V329" s="2" t="s">
        <v>47</v>
      </c>
      <c r="W329" s="2" t="s">
        <v>5963</v>
      </c>
      <c r="X329" s="2"/>
      <c r="Y329" s="488" t="s">
        <v>1486</v>
      </c>
      <c r="Z329" s="293">
        <f t="shared" si="44"/>
        <v>482.84210526315792</v>
      </c>
      <c r="AA329" s="293">
        <f t="shared" si="45"/>
        <v>537.42857142857156</v>
      </c>
    </row>
    <row r="330" spans="1:27" s="320" customFormat="1" x14ac:dyDescent="0.25">
      <c r="A330" s="220" t="s">
        <v>339</v>
      </c>
      <c r="B330" s="221" t="s">
        <v>399</v>
      </c>
      <c r="C330" s="223" t="s">
        <v>1626</v>
      </c>
      <c r="D330" s="220" t="s">
        <v>392</v>
      </c>
      <c r="E330" s="222">
        <v>12</v>
      </c>
      <c r="F330" s="192">
        <v>1254</v>
      </c>
      <c r="G330" s="24">
        <v>0.2</v>
      </c>
      <c r="H330" s="24">
        <v>0.05</v>
      </c>
      <c r="I330" s="24">
        <v>0.05</v>
      </c>
      <c r="J330" s="24">
        <v>0</v>
      </c>
      <c r="K330" s="224">
        <f t="shared" si="46"/>
        <v>0.27800000000000002</v>
      </c>
      <c r="L330" s="225">
        <f t="shared" si="47"/>
        <v>20842.105263157893</v>
      </c>
      <c r="M330" s="225">
        <f t="shared" si="48"/>
        <v>1736.8421052631579</v>
      </c>
      <c r="N330" s="226">
        <f t="shared" si="49"/>
        <v>2066.8421052631579</v>
      </c>
      <c r="O330" s="34">
        <v>0.3</v>
      </c>
      <c r="P330" s="226">
        <f t="shared" si="50"/>
        <v>2686.8947368421054</v>
      </c>
      <c r="Q330" s="107" t="s">
        <v>1486</v>
      </c>
      <c r="R330" s="34">
        <v>0.3</v>
      </c>
      <c r="S330" s="226">
        <f t="shared" si="43"/>
        <v>2131.8000000000002</v>
      </c>
      <c r="T330" s="156" t="s">
        <v>1486</v>
      </c>
      <c r="U330" s="2" t="s">
        <v>50</v>
      </c>
      <c r="V330" s="2" t="s">
        <v>47</v>
      </c>
      <c r="W330" s="2" t="s">
        <v>5963</v>
      </c>
      <c r="X330" s="2"/>
      <c r="Y330" s="488" t="s">
        <v>1486</v>
      </c>
      <c r="Z330" s="293">
        <f t="shared" si="44"/>
        <v>482.84210526315792</v>
      </c>
      <c r="AA330" s="293">
        <f t="shared" si="45"/>
        <v>537.42857142857156</v>
      </c>
    </row>
    <row r="331" spans="1:27" s="320" customFormat="1" x14ac:dyDescent="0.25">
      <c r="A331" s="220" t="s">
        <v>341</v>
      </c>
      <c r="B331" s="221" t="s">
        <v>401</v>
      </c>
      <c r="C331" s="223" t="s">
        <v>1626</v>
      </c>
      <c r="D331" s="220" t="s">
        <v>392</v>
      </c>
      <c r="E331" s="222">
        <v>12</v>
      </c>
      <c r="F331" s="192">
        <v>0</v>
      </c>
      <c r="G331" s="24">
        <v>0.2</v>
      </c>
      <c r="H331" s="24">
        <v>0.05</v>
      </c>
      <c r="I331" s="24">
        <v>0.05</v>
      </c>
      <c r="J331" s="24">
        <v>0</v>
      </c>
      <c r="K331" s="224">
        <f t="shared" si="46"/>
        <v>0</v>
      </c>
      <c r="L331" s="225">
        <f t="shared" si="47"/>
        <v>0</v>
      </c>
      <c r="M331" s="225">
        <f t="shared" si="48"/>
        <v>0</v>
      </c>
      <c r="N331" s="226">
        <f t="shared" si="49"/>
        <v>0</v>
      </c>
      <c r="O331" s="34">
        <v>0.3</v>
      </c>
      <c r="P331" s="226">
        <f t="shared" si="50"/>
        <v>0</v>
      </c>
      <c r="Q331" s="107" t="s">
        <v>1486</v>
      </c>
      <c r="R331" s="34">
        <v>0.3</v>
      </c>
      <c r="S331" s="226">
        <f t="shared" si="43"/>
        <v>0</v>
      </c>
      <c r="T331" s="156" t="s">
        <v>1486</v>
      </c>
      <c r="U331" s="2" t="s">
        <v>109</v>
      </c>
      <c r="V331" s="2" t="s">
        <v>47</v>
      </c>
      <c r="W331" s="2" t="s">
        <v>5963</v>
      </c>
      <c r="X331" s="2"/>
      <c r="Y331" s="488" t="s">
        <v>1486</v>
      </c>
      <c r="Z331" s="293">
        <f t="shared" si="44"/>
        <v>0</v>
      </c>
      <c r="AA331" s="293">
        <f t="shared" si="45"/>
        <v>0</v>
      </c>
    </row>
    <row r="332" spans="1:27" s="320" customFormat="1" x14ac:dyDescent="0.25">
      <c r="A332" s="220" t="s">
        <v>343</v>
      </c>
      <c r="B332" s="221" t="s">
        <v>403</v>
      </c>
      <c r="C332" s="223" t="s">
        <v>1626</v>
      </c>
      <c r="D332" s="220" t="s">
        <v>392</v>
      </c>
      <c r="E332" s="222">
        <v>12</v>
      </c>
      <c r="F332" s="192">
        <v>0</v>
      </c>
      <c r="G332" s="24">
        <v>0.2</v>
      </c>
      <c r="H332" s="24">
        <v>0.05</v>
      </c>
      <c r="I332" s="24">
        <v>0.05</v>
      </c>
      <c r="J332" s="24">
        <v>0</v>
      </c>
      <c r="K332" s="224">
        <f t="shared" si="46"/>
        <v>0</v>
      </c>
      <c r="L332" s="225">
        <f t="shared" si="47"/>
        <v>0</v>
      </c>
      <c r="M332" s="225">
        <f t="shared" si="48"/>
        <v>0</v>
      </c>
      <c r="N332" s="226">
        <f t="shared" si="49"/>
        <v>0</v>
      </c>
      <c r="O332" s="34">
        <v>0.3</v>
      </c>
      <c r="P332" s="226">
        <f t="shared" si="50"/>
        <v>0</v>
      </c>
      <c r="Q332" s="107" t="s">
        <v>1486</v>
      </c>
      <c r="R332" s="34">
        <v>0.3</v>
      </c>
      <c r="S332" s="226">
        <f t="shared" si="43"/>
        <v>0</v>
      </c>
      <c r="T332" s="156" t="s">
        <v>1486</v>
      </c>
      <c r="U332" s="2" t="s">
        <v>109</v>
      </c>
      <c r="V332" s="2" t="s">
        <v>47</v>
      </c>
      <c r="W332" s="2" t="s">
        <v>5963</v>
      </c>
      <c r="X332" s="2"/>
      <c r="Y332" s="488" t="s">
        <v>1486</v>
      </c>
      <c r="Z332" s="293">
        <f t="shared" si="44"/>
        <v>0</v>
      </c>
      <c r="AA332" s="293">
        <f t="shared" si="45"/>
        <v>0</v>
      </c>
    </row>
    <row r="333" spans="1:27" s="320" customFormat="1" x14ac:dyDescent="0.25">
      <c r="A333" s="220" t="s">
        <v>345</v>
      </c>
      <c r="B333" s="221" t="s">
        <v>405</v>
      </c>
      <c r="C333" s="223" t="s">
        <v>1626</v>
      </c>
      <c r="D333" s="220" t="s">
        <v>392</v>
      </c>
      <c r="E333" s="222">
        <v>12</v>
      </c>
      <c r="F333" s="192">
        <v>0</v>
      </c>
      <c r="G333" s="24">
        <v>0.2</v>
      </c>
      <c r="H333" s="24">
        <v>0.05</v>
      </c>
      <c r="I333" s="24">
        <v>0.05</v>
      </c>
      <c r="J333" s="24">
        <v>0</v>
      </c>
      <c r="K333" s="224">
        <f t="shared" si="46"/>
        <v>0</v>
      </c>
      <c r="L333" s="225">
        <f t="shared" si="47"/>
        <v>0</v>
      </c>
      <c r="M333" s="225">
        <f t="shared" si="48"/>
        <v>0</v>
      </c>
      <c r="N333" s="226">
        <f t="shared" si="49"/>
        <v>0</v>
      </c>
      <c r="O333" s="34">
        <v>0.3</v>
      </c>
      <c r="P333" s="226">
        <f t="shared" si="50"/>
        <v>0</v>
      </c>
      <c r="Q333" s="107" t="s">
        <v>1486</v>
      </c>
      <c r="R333" s="34">
        <v>0.3</v>
      </c>
      <c r="S333" s="226">
        <f t="shared" si="43"/>
        <v>0</v>
      </c>
      <c r="T333" s="156" t="s">
        <v>1486</v>
      </c>
      <c r="U333" s="2" t="s">
        <v>109</v>
      </c>
      <c r="V333" s="2" t="s">
        <v>47</v>
      </c>
      <c r="W333" s="2" t="s">
        <v>5963</v>
      </c>
      <c r="X333" s="2"/>
      <c r="Y333" s="488" t="s">
        <v>1486</v>
      </c>
      <c r="Z333" s="293">
        <f t="shared" si="44"/>
        <v>0</v>
      </c>
      <c r="AA333" s="293">
        <f t="shared" si="45"/>
        <v>0</v>
      </c>
    </row>
    <row r="334" spans="1:27" s="320" customFormat="1" x14ac:dyDescent="0.25">
      <c r="A334" s="220" t="s">
        <v>347</v>
      </c>
      <c r="B334" s="221" t="s">
        <v>745</v>
      </c>
      <c r="C334" s="223" t="s">
        <v>1561</v>
      </c>
      <c r="D334" s="220" t="s">
        <v>746</v>
      </c>
      <c r="E334" s="222">
        <v>12</v>
      </c>
      <c r="F334" s="192">
        <v>840</v>
      </c>
      <c r="G334" s="24">
        <v>0.2</v>
      </c>
      <c r="H334" s="24">
        <v>0.05</v>
      </c>
      <c r="I334" s="24">
        <v>0.05</v>
      </c>
      <c r="J334" s="24">
        <v>0</v>
      </c>
      <c r="K334" s="224">
        <f t="shared" si="46"/>
        <v>0.27800000000000002</v>
      </c>
      <c r="L334" s="225">
        <f t="shared" si="47"/>
        <v>13961.218836565098</v>
      </c>
      <c r="M334" s="225">
        <f t="shared" si="48"/>
        <v>1163.4349030470914</v>
      </c>
      <c r="N334" s="226">
        <f t="shared" si="49"/>
        <v>1384.4875346260387</v>
      </c>
      <c r="O334" s="34">
        <v>0.3</v>
      </c>
      <c r="P334" s="226">
        <f t="shared" si="50"/>
        <v>1799.8337950138505</v>
      </c>
      <c r="Q334" s="107" t="s">
        <v>1486</v>
      </c>
      <c r="R334" s="34">
        <v>0.3</v>
      </c>
      <c r="S334" s="226">
        <f t="shared" si="43"/>
        <v>1428</v>
      </c>
      <c r="T334" s="156" t="s">
        <v>1486</v>
      </c>
      <c r="U334" s="2" t="s">
        <v>50</v>
      </c>
      <c r="V334" s="2" t="s">
        <v>47</v>
      </c>
      <c r="W334" s="2" t="s">
        <v>2900</v>
      </c>
      <c r="X334" s="2" t="s">
        <v>2903</v>
      </c>
      <c r="Y334" s="488" t="s">
        <v>1486</v>
      </c>
      <c r="Z334" s="293">
        <f t="shared" si="44"/>
        <v>323.43490304709144</v>
      </c>
      <c r="AA334" s="293">
        <f t="shared" si="45"/>
        <v>360</v>
      </c>
    </row>
    <row r="335" spans="1:27" s="320" customFormat="1" x14ac:dyDescent="0.25">
      <c r="A335" s="220" t="s">
        <v>349</v>
      </c>
      <c r="B335" s="221" t="s">
        <v>748</v>
      </c>
      <c r="C335" s="223" t="s">
        <v>1561</v>
      </c>
      <c r="D335" s="220" t="s">
        <v>749</v>
      </c>
      <c r="E335" s="222">
        <v>12</v>
      </c>
      <c r="F335" s="192">
        <v>0</v>
      </c>
      <c r="G335" s="24">
        <v>0.2</v>
      </c>
      <c r="H335" s="24">
        <v>0.05</v>
      </c>
      <c r="I335" s="24">
        <v>0.05</v>
      </c>
      <c r="J335" s="24">
        <v>0</v>
      </c>
      <c r="K335" s="224">
        <f t="shared" si="46"/>
        <v>0</v>
      </c>
      <c r="L335" s="225">
        <f t="shared" si="47"/>
        <v>0</v>
      </c>
      <c r="M335" s="225">
        <f t="shared" si="48"/>
        <v>0</v>
      </c>
      <c r="N335" s="226">
        <f t="shared" si="49"/>
        <v>0</v>
      </c>
      <c r="O335" s="34">
        <v>0.3</v>
      </c>
      <c r="P335" s="226">
        <f t="shared" si="50"/>
        <v>0</v>
      </c>
      <c r="Q335" s="107" t="s">
        <v>1486</v>
      </c>
      <c r="R335" s="34">
        <v>0.3</v>
      </c>
      <c r="S335" s="226">
        <f t="shared" si="43"/>
        <v>0</v>
      </c>
      <c r="T335" s="156" t="s">
        <v>1486</v>
      </c>
      <c r="U335" s="2" t="s">
        <v>109</v>
      </c>
      <c r="V335" s="2" t="s">
        <v>47</v>
      </c>
      <c r="W335" s="2" t="s">
        <v>2900</v>
      </c>
      <c r="X335" s="2"/>
      <c r="Y335" s="488" t="s">
        <v>1486</v>
      </c>
      <c r="Z335" s="293">
        <f t="shared" si="44"/>
        <v>0</v>
      </c>
      <c r="AA335" s="293">
        <f t="shared" si="45"/>
        <v>0</v>
      </c>
    </row>
    <row r="336" spans="1:27" s="320" customFormat="1" x14ac:dyDescent="0.25">
      <c r="A336" s="220" t="s">
        <v>351</v>
      </c>
      <c r="B336" s="221" t="s">
        <v>186</v>
      </c>
      <c r="C336" s="223" t="s">
        <v>1561</v>
      </c>
      <c r="D336" s="220" t="s">
        <v>749</v>
      </c>
      <c r="E336" s="222">
        <v>12</v>
      </c>
      <c r="F336" s="192">
        <v>0</v>
      </c>
      <c r="G336" s="24">
        <v>0.2</v>
      </c>
      <c r="H336" s="24">
        <v>0.05</v>
      </c>
      <c r="I336" s="24">
        <v>0.05</v>
      </c>
      <c r="J336" s="24">
        <v>0</v>
      </c>
      <c r="K336" s="224">
        <f t="shared" si="46"/>
        <v>0</v>
      </c>
      <c r="L336" s="225">
        <f t="shared" si="47"/>
        <v>0</v>
      </c>
      <c r="M336" s="225">
        <f t="shared" si="48"/>
        <v>0</v>
      </c>
      <c r="N336" s="226">
        <f t="shared" si="49"/>
        <v>0</v>
      </c>
      <c r="O336" s="34">
        <v>0.3</v>
      </c>
      <c r="P336" s="226">
        <f t="shared" si="50"/>
        <v>0</v>
      </c>
      <c r="Q336" s="107" t="s">
        <v>1486</v>
      </c>
      <c r="R336" s="34">
        <v>0.3</v>
      </c>
      <c r="S336" s="226">
        <f t="shared" si="43"/>
        <v>0</v>
      </c>
      <c r="T336" s="156" t="s">
        <v>1486</v>
      </c>
      <c r="U336" s="2" t="s">
        <v>109</v>
      </c>
      <c r="V336" s="2" t="s">
        <v>47</v>
      </c>
      <c r="W336" s="2" t="s">
        <v>2900</v>
      </c>
      <c r="X336" s="2"/>
      <c r="Y336" s="488" t="s">
        <v>1486</v>
      </c>
      <c r="Z336" s="293">
        <f t="shared" si="44"/>
        <v>0</v>
      </c>
      <c r="AA336" s="293">
        <f t="shared" si="45"/>
        <v>0</v>
      </c>
    </row>
    <row r="337" spans="1:27" s="320" customFormat="1" x14ac:dyDescent="0.25">
      <c r="A337" s="220" t="s">
        <v>353</v>
      </c>
      <c r="B337" s="221" t="s">
        <v>752</v>
      </c>
      <c r="C337" s="223" t="s">
        <v>1561</v>
      </c>
      <c r="D337" s="220" t="s">
        <v>749</v>
      </c>
      <c r="E337" s="222">
        <v>12</v>
      </c>
      <c r="F337" s="192">
        <v>0</v>
      </c>
      <c r="G337" s="24">
        <v>0.2</v>
      </c>
      <c r="H337" s="24">
        <v>0.05</v>
      </c>
      <c r="I337" s="24">
        <v>0.05</v>
      </c>
      <c r="J337" s="24">
        <v>0</v>
      </c>
      <c r="K337" s="224">
        <f t="shared" si="46"/>
        <v>0</v>
      </c>
      <c r="L337" s="225">
        <f t="shared" si="47"/>
        <v>0</v>
      </c>
      <c r="M337" s="225">
        <f t="shared" si="48"/>
        <v>0</v>
      </c>
      <c r="N337" s="226">
        <f t="shared" si="49"/>
        <v>0</v>
      </c>
      <c r="O337" s="34">
        <v>0.3</v>
      </c>
      <c r="P337" s="226">
        <f t="shared" si="50"/>
        <v>0</v>
      </c>
      <c r="Q337" s="107" t="s">
        <v>1486</v>
      </c>
      <c r="R337" s="34">
        <v>0.3</v>
      </c>
      <c r="S337" s="226">
        <f t="shared" si="43"/>
        <v>0</v>
      </c>
      <c r="T337" s="156" t="s">
        <v>1486</v>
      </c>
      <c r="U337" s="2" t="s">
        <v>109</v>
      </c>
      <c r="V337" s="2" t="s">
        <v>47</v>
      </c>
      <c r="W337" s="2" t="s">
        <v>5883</v>
      </c>
      <c r="X337" s="2"/>
      <c r="Y337" s="488" t="s">
        <v>1486</v>
      </c>
      <c r="Z337" s="293">
        <f t="shared" si="44"/>
        <v>0</v>
      </c>
      <c r="AA337" s="293">
        <f t="shared" si="45"/>
        <v>0</v>
      </c>
    </row>
    <row r="338" spans="1:27" s="320" customFormat="1" x14ac:dyDescent="0.25">
      <c r="A338" s="220" t="s">
        <v>355</v>
      </c>
      <c r="B338" s="221" t="s">
        <v>754</v>
      </c>
      <c r="C338" s="223" t="s">
        <v>1561</v>
      </c>
      <c r="D338" s="220" t="s">
        <v>749</v>
      </c>
      <c r="E338" s="222">
        <v>12</v>
      </c>
      <c r="F338" s="192">
        <v>0</v>
      </c>
      <c r="G338" s="24">
        <v>0.2</v>
      </c>
      <c r="H338" s="24">
        <v>0.05</v>
      </c>
      <c r="I338" s="24">
        <v>0.05</v>
      </c>
      <c r="J338" s="24">
        <v>0</v>
      </c>
      <c r="K338" s="224">
        <f t="shared" si="46"/>
        <v>0</v>
      </c>
      <c r="L338" s="225">
        <f t="shared" si="47"/>
        <v>0</v>
      </c>
      <c r="M338" s="225">
        <f t="shared" si="48"/>
        <v>0</v>
      </c>
      <c r="N338" s="226">
        <f t="shared" si="49"/>
        <v>0</v>
      </c>
      <c r="O338" s="34">
        <v>0.3</v>
      </c>
      <c r="P338" s="226">
        <f t="shared" si="50"/>
        <v>0</v>
      </c>
      <c r="Q338" s="107" t="s">
        <v>1486</v>
      </c>
      <c r="R338" s="34">
        <v>0.3</v>
      </c>
      <c r="S338" s="226">
        <f t="shared" si="43"/>
        <v>0</v>
      </c>
      <c r="T338" s="156" t="s">
        <v>1486</v>
      </c>
      <c r="U338" s="2" t="s">
        <v>109</v>
      </c>
      <c r="V338" s="2" t="s">
        <v>47</v>
      </c>
      <c r="W338" s="2" t="s">
        <v>5883</v>
      </c>
      <c r="X338" s="2"/>
      <c r="Y338" s="488" t="s">
        <v>1486</v>
      </c>
      <c r="Z338" s="293">
        <f t="shared" si="44"/>
        <v>0</v>
      </c>
      <c r="AA338" s="293">
        <f t="shared" si="45"/>
        <v>0</v>
      </c>
    </row>
    <row r="339" spans="1:27" s="320" customFormat="1" x14ac:dyDescent="0.25">
      <c r="A339" s="220" t="s">
        <v>357</v>
      </c>
      <c r="B339" s="221" t="s">
        <v>756</v>
      </c>
      <c r="C339" s="223" t="s">
        <v>1561</v>
      </c>
      <c r="D339" s="220" t="s">
        <v>749</v>
      </c>
      <c r="E339" s="222">
        <v>6</v>
      </c>
      <c r="F339" s="192">
        <v>0</v>
      </c>
      <c r="G339" s="24">
        <v>0.2</v>
      </c>
      <c r="H339" s="24">
        <v>0.05</v>
      </c>
      <c r="I339" s="24">
        <v>0.05</v>
      </c>
      <c r="J339" s="24">
        <v>0</v>
      </c>
      <c r="K339" s="224">
        <f t="shared" si="46"/>
        <v>0</v>
      </c>
      <c r="L339" s="225">
        <f t="shared" si="47"/>
        <v>0</v>
      </c>
      <c r="M339" s="225">
        <f t="shared" si="48"/>
        <v>0</v>
      </c>
      <c r="N339" s="226">
        <f t="shared" si="49"/>
        <v>0</v>
      </c>
      <c r="O339" s="34">
        <v>0.3</v>
      </c>
      <c r="P339" s="226">
        <f t="shared" si="50"/>
        <v>0</v>
      </c>
      <c r="Q339" s="107" t="s">
        <v>1486</v>
      </c>
      <c r="R339" s="34">
        <v>0.3</v>
      </c>
      <c r="S339" s="226">
        <f t="shared" si="43"/>
        <v>0</v>
      </c>
      <c r="T339" s="156" t="s">
        <v>1486</v>
      </c>
      <c r="U339" s="2" t="s">
        <v>109</v>
      </c>
      <c r="V339" s="2" t="s">
        <v>47</v>
      </c>
      <c r="W339" s="2" t="s">
        <v>5883</v>
      </c>
      <c r="X339" s="2"/>
      <c r="Y339" s="488" t="s">
        <v>1486</v>
      </c>
      <c r="Z339" s="293">
        <f t="shared" si="44"/>
        <v>0</v>
      </c>
      <c r="AA339" s="293">
        <f t="shared" si="45"/>
        <v>0</v>
      </c>
    </row>
    <row r="340" spans="1:27" s="320" customFormat="1" x14ac:dyDescent="0.25">
      <c r="A340" s="220" t="s">
        <v>360</v>
      </c>
      <c r="B340" s="221" t="s">
        <v>3514</v>
      </c>
      <c r="C340" s="223" t="s">
        <v>1561</v>
      </c>
      <c r="D340" s="220" t="s">
        <v>409</v>
      </c>
      <c r="E340" s="222">
        <v>48</v>
      </c>
      <c r="F340" s="192">
        <v>789</v>
      </c>
      <c r="G340" s="24">
        <v>0.2</v>
      </c>
      <c r="H340" s="24">
        <v>0.05</v>
      </c>
      <c r="I340" s="24">
        <v>0.05</v>
      </c>
      <c r="J340" s="24">
        <v>0</v>
      </c>
      <c r="K340" s="224">
        <f t="shared" si="46"/>
        <v>0.27800000000000002</v>
      </c>
      <c r="L340" s="225">
        <f t="shared" si="47"/>
        <v>52454.293628808868</v>
      </c>
      <c r="M340" s="225">
        <f t="shared" si="48"/>
        <v>1092.7977839335181</v>
      </c>
      <c r="N340" s="226">
        <f t="shared" si="49"/>
        <v>1300.4293628808864</v>
      </c>
      <c r="O340" s="34">
        <v>0.3</v>
      </c>
      <c r="P340" s="226">
        <f t="shared" si="50"/>
        <v>1690.5581717451523</v>
      </c>
      <c r="Q340" s="107" t="s">
        <v>1486</v>
      </c>
      <c r="R340" s="34">
        <v>0.27776155140343861</v>
      </c>
      <c r="S340" s="226">
        <f t="shared" si="43"/>
        <v>1300.0000232948969</v>
      </c>
      <c r="T340" s="156" t="s">
        <v>1486</v>
      </c>
      <c r="U340" s="2" t="s">
        <v>50</v>
      </c>
      <c r="V340" s="2" t="s">
        <v>47</v>
      </c>
      <c r="W340" s="2" t="s">
        <v>2900</v>
      </c>
      <c r="X340" s="2" t="s">
        <v>3541</v>
      </c>
      <c r="Y340" s="488" t="s">
        <v>1486</v>
      </c>
      <c r="Z340" s="293">
        <f t="shared" si="44"/>
        <v>303.79778393351808</v>
      </c>
      <c r="AA340" s="293">
        <f t="shared" si="45"/>
        <v>303.43699436545967</v>
      </c>
    </row>
    <row r="341" spans="1:27" s="320" customFormat="1" x14ac:dyDescent="0.25">
      <c r="A341" s="220" t="s">
        <v>361</v>
      </c>
      <c r="B341" s="221" t="s">
        <v>757</v>
      </c>
      <c r="C341" s="223" t="s">
        <v>1561</v>
      </c>
      <c r="D341" s="220" t="s">
        <v>749</v>
      </c>
      <c r="E341" s="222">
        <v>6</v>
      </c>
      <c r="F341" s="192">
        <v>0</v>
      </c>
      <c r="G341" s="24">
        <v>0.2</v>
      </c>
      <c r="H341" s="24">
        <v>0.05</v>
      </c>
      <c r="I341" s="24">
        <v>0.05</v>
      </c>
      <c r="J341" s="24">
        <v>0</v>
      </c>
      <c r="K341" s="224">
        <f t="shared" si="46"/>
        <v>0</v>
      </c>
      <c r="L341" s="225">
        <f t="shared" si="47"/>
        <v>0</v>
      </c>
      <c r="M341" s="225">
        <f t="shared" si="48"/>
        <v>0</v>
      </c>
      <c r="N341" s="226">
        <f t="shared" si="49"/>
        <v>0</v>
      </c>
      <c r="O341" s="34">
        <v>0.3</v>
      </c>
      <c r="P341" s="226">
        <f t="shared" si="50"/>
        <v>0</v>
      </c>
      <c r="Q341" s="107" t="s">
        <v>1486</v>
      </c>
      <c r="R341" s="34">
        <v>0.3</v>
      </c>
      <c r="S341" s="226">
        <f t="shared" si="43"/>
        <v>0</v>
      </c>
      <c r="T341" s="156" t="s">
        <v>1486</v>
      </c>
      <c r="U341" s="2" t="s">
        <v>109</v>
      </c>
      <c r="V341" s="2" t="s">
        <v>47</v>
      </c>
      <c r="W341" s="2" t="s">
        <v>5883</v>
      </c>
      <c r="X341" s="2"/>
      <c r="Y341" s="488" t="s">
        <v>1486</v>
      </c>
      <c r="Z341" s="293">
        <f t="shared" si="44"/>
        <v>0</v>
      </c>
      <c r="AA341" s="293">
        <f t="shared" si="45"/>
        <v>0</v>
      </c>
    </row>
    <row r="342" spans="1:27" s="320" customFormat="1" x14ac:dyDescent="0.25">
      <c r="A342" s="220" t="s">
        <v>363</v>
      </c>
      <c r="B342" s="221" t="s">
        <v>2404</v>
      </c>
      <c r="C342" s="223" t="s">
        <v>1561</v>
      </c>
      <c r="D342" s="220" t="s">
        <v>409</v>
      </c>
      <c r="E342" s="222">
        <v>48</v>
      </c>
      <c r="F342" s="192">
        <v>869</v>
      </c>
      <c r="G342" s="24">
        <v>0.2</v>
      </c>
      <c r="H342" s="24">
        <v>0.05</v>
      </c>
      <c r="I342" s="24">
        <v>0.05</v>
      </c>
      <c r="J342" s="24">
        <v>0</v>
      </c>
      <c r="K342" s="224">
        <f t="shared" si="46"/>
        <v>0.27800000000000002</v>
      </c>
      <c r="L342" s="225">
        <f t="shared" si="47"/>
        <v>57772.853185595566</v>
      </c>
      <c r="M342" s="225">
        <f t="shared" si="48"/>
        <v>1203.601108033241</v>
      </c>
      <c r="N342" s="226">
        <f t="shared" si="49"/>
        <v>1432.2853185595566</v>
      </c>
      <c r="O342" s="34">
        <v>0.3</v>
      </c>
      <c r="P342" s="226">
        <f t="shared" si="50"/>
        <v>1861.9709141274236</v>
      </c>
      <c r="Q342" s="107" t="s">
        <v>1486</v>
      </c>
      <c r="R342" s="34">
        <v>0.2613500007700334</v>
      </c>
      <c r="S342" s="226">
        <f t="shared" si="43"/>
        <v>1400.0000014594825</v>
      </c>
      <c r="T342" s="156" t="s">
        <v>1486</v>
      </c>
      <c r="U342" s="2" t="s">
        <v>50</v>
      </c>
      <c r="V342" s="2" t="s">
        <v>47</v>
      </c>
      <c r="W342" s="2" t="s">
        <v>2900</v>
      </c>
      <c r="X342" s="2" t="s">
        <v>3541</v>
      </c>
      <c r="Y342" s="488" t="s">
        <v>1486</v>
      </c>
      <c r="Z342" s="293">
        <f t="shared" si="44"/>
        <v>334.60110803324096</v>
      </c>
      <c r="AA342" s="293">
        <f t="shared" si="45"/>
        <v>307.47058946175002</v>
      </c>
    </row>
    <row r="343" spans="1:27" s="320" customFormat="1" x14ac:dyDescent="0.25">
      <c r="A343" s="220" t="s">
        <v>365</v>
      </c>
      <c r="B343" s="221" t="s">
        <v>758</v>
      </c>
      <c r="C343" s="223" t="s">
        <v>1561</v>
      </c>
      <c r="D343" s="220" t="s">
        <v>749</v>
      </c>
      <c r="E343" s="222">
        <v>6</v>
      </c>
      <c r="F343" s="192">
        <v>0</v>
      </c>
      <c r="G343" s="24">
        <v>0.2</v>
      </c>
      <c r="H343" s="24">
        <v>0.05</v>
      </c>
      <c r="I343" s="24">
        <v>0.05</v>
      </c>
      <c r="J343" s="24">
        <v>0</v>
      </c>
      <c r="K343" s="224">
        <f t="shared" si="46"/>
        <v>0</v>
      </c>
      <c r="L343" s="225">
        <f t="shared" si="47"/>
        <v>0</v>
      </c>
      <c r="M343" s="225">
        <f t="shared" si="48"/>
        <v>0</v>
      </c>
      <c r="N343" s="226">
        <f t="shared" si="49"/>
        <v>0</v>
      </c>
      <c r="O343" s="34">
        <v>0.3</v>
      </c>
      <c r="P343" s="226">
        <f t="shared" si="50"/>
        <v>0</v>
      </c>
      <c r="Q343" s="107" t="s">
        <v>1486</v>
      </c>
      <c r="R343" s="34">
        <v>0.3</v>
      </c>
      <c r="S343" s="226">
        <f t="shared" si="43"/>
        <v>0</v>
      </c>
      <c r="T343" s="156" t="s">
        <v>1486</v>
      </c>
      <c r="U343" s="2" t="s">
        <v>109</v>
      </c>
      <c r="V343" s="2" t="s">
        <v>47</v>
      </c>
      <c r="W343" s="2" t="s">
        <v>5883</v>
      </c>
      <c r="X343" s="2"/>
      <c r="Y343" s="488" t="s">
        <v>1486</v>
      </c>
      <c r="Z343" s="293">
        <f t="shared" si="44"/>
        <v>0</v>
      </c>
      <c r="AA343" s="293">
        <f t="shared" si="45"/>
        <v>0</v>
      </c>
    </row>
    <row r="344" spans="1:27" s="320" customFormat="1" x14ac:dyDescent="0.25">
      <c r="A344" s="220" t="s">
        <v>366</v>
      </c>
      <c r="B344" s="221" t="s">
        <v>3515</v>
      </c>
      <c r="C344" s="223" t="s">
        <v>1561</v>
      </c>
      <c r="D344" s="220" t="s">
        <v>409</v>
      </c>
      <c r="E344" s="222">
        <v>24</v>
      </c>
      <c r="F344" s="192">
        <v>1770</v>
      </c>
      <c r="G344" s="24">
        <v>0.2</v>
      </c>
      <c r="H344" s="24">
        <v>0.05</v>
      </c>
      <c r="I344" s="24">
        <v>0.05</v>
      </c>
      <c r="J344" s="24">
        <v>0</v>
      </c>
      <c r="K344" s="224">
        <f t="shared" si="46"/>
        <v>0.27800000000000014</v>
      </c>
      <c r="L344" s="225">
        <f t="shared" si="47"/>
        <v>58836.565096952923</v>
      </c>
      <c r="M344" s="225">
        <f t="shared" si="48"/>
        <v>2451.5235457063718</v>
      </c>
      <c r="N344" s="226">
        <f t="shared" si="49"/>
        <v>2917.3130193905822</v>
      </c>
      <c r="O344" s="34">
        <v>0.3</v>
      </c>
      <c r="P344" s="226">
        <f t="shared" si="50"/>
        <v>3792.5069252077569</v>
      </c>
      <c r="Q344" s="107" t="s">
        <v>1486</v>
      </c>
      <c r="R344" s="34">
        <v>0.21988888949405208</v>
      </c>
      <c r="S344" s="226">
        <f t="shared" si="43"/>
        <v>2700.0000020944972</v>
      </c>
      <c r="T344" s="156" t="s">
        <v>1486</v>
      </c>
      <c r="U344" s="2" t="s">
        <v>50</v>
      </c>
      <c r="V344" s="2" t="s">
        <v>47</v>
      </c>
      <c r="W344" s="2" t="s">
        <v>2900</v>
      </c>
      <c r="X344" s="2" t="s">
        <v>3541</v>
      </c>
      <c r="Y344" s="488" t="s">
        <v>1486</v>
      </c>
      <c r="Z344" s="293">
        <f t="shared" si="44"/>
        <v>681.52354570637181</v>
      </c>
      <c r="AA344" s="293">
        <f t="shared" si="45"/>
        <v>498.90756478529192</v>
      </c>
    </row>
    <row r="345" spans="1:27" s="320" customFormat="1" x14ac:dyDescent="0.25">
      <c r="A345" s="220" t="s">
        <v>367</v>
      </c>
      <c r="B345" s="221" t="s">
        <v>759</v>
      </c>
      <c r="C345" s="223" t="s">
        <v>1561</v>
      </c>
      <c r="D345" s="220" t="s">
        <v>749</v>
      </c>
      <c r="E345" s="222">
        <v>6</v>
      </c>
      <c r="F345" s="192">
        <v>0</v>
      </c>
      <c r="G345" s="24">
        <v>0.2</v>
      </c>
      <c r="H345" s="24">
        <v>0.05</v>
      </c>
      <c r="I345" s="24">
        <v>0.05</v>
      </c>
      <c r="J345" s="24">
        <v>0</v>
      </c>
      <c r="K345" s="224">
        <f t="shared" si="46"/>
        <v>0</v>
      </c>
      <c r="L345" s="225">
        <f t="shared" si="47"/>
        <v>0</v>
      </c>
      <c r="M345" s="225">
        <f t="shared" si="48"/>
        <v>0</v>
      </c>
      <c r="N345" s="226">
        <f t="shared" si="49"/>
        <v>0</v>
      </c>
      <c r="O345" s="34">
        <v>0.3</v>
      </c>
      <c r="P345" s="226">
        <f t="shared" si="50"/>
        <v>0</v>
      </c>
      <c r="Q345" s="107" t="s">
        <v>1486</v>
      </c>
      <c r="R345" s="34">
        <v>0.3</v>
      </c>
      <c r="S345" s="226">
        <f t="shared" si="43"/>
        <v>0</v>
      </c>
      <c r="T345" s="156" t="s">
        <v>1486</v>
      </c>
      <c r="U345" s="2" t="s">
        <v>109</v>
      </c>
      <c r="V345" s="2" t="s">
        <v>47</v>
      </c>
      <c r="W345" s="2" t="s">
        <v>5883</v>
      </c>
      <c r="X345" s="2"/>
      <c r="Y345" s="488" t="s">
        <v>1486</v>
      </c>
      <c r="Z345" s="293">
        <f t="shared" si="44"/>
        <v>0</v>
      </c>
      <c r="AA345" s="293">
        <f t="shared" si="45"/>
        <v>0</v>
      </c>
    </row>
    <row r="346" spans="1:27" s="320" customFormat="1" x14ac:dyDescent="0.25">
      <c r="A346" s="220" t="s">
        <v>368</v>
      </c>
      <c r="B346" s="221" t="s">
        <v>3516</v>
      </c>
      <c r="C346" s="223" t="s">
        <v>1561</v>
      </c>
      <c r="D346" s="220" t="s">
        <v>409</v>
      </c>
      <c r="E346" s="222">
        <v>24</v>
      </c>
      <c r="F346" s="192">
        <v>1770</v>
      </c>
      <c r="G346" s="24">
        <v>0.2</v>
      </c>
      <c r="H346" s="24">
        <v>0.05</v>
      </c>
      <c r="I346" s="24">
        <v>0.05</v>
      </c>
      <c r="J346" s="24">
        <v>0</v>
      </c>
      <c r="K346" s="224">
        <f t="shared" si="46"/>
        <v>0.27800000000000014</v>
      </c>
      <c r="L346" s="225">
        <f t="shared" si="47"/>
        <v>58836.565096952923</v>
      </c>
      <c r="M346" s="225">
        <f t="shared" si="48"/>
        <v>2451.5235457063718</v>
      </c>
      <c r="N346" s="226">
        <f t="shared" si="49"/>
        <v>2917.3130193905822</v>
      </c>
      <c r="O346" s="34">
        <v>0.3</v>
      </c>
      <c r="P346" s="226">
        <f t="shared" si="50"/>
        <v>3792.5069252077569</v>
      </c>
      <c r="Q346" s="107" t="s">
        <v>1486</v>
      </c>
      <c r="R346" s="34">
        <v>0.21988888949405208</v>
      </c>
      <c r="S346" s="226">
        <f t="shared" si="43"/>
        <v>2700.0000020944972</v>
      </c>
      <c r="T346" s="156" t="s">
        <v>1486</v>
      </c>
      <c r="U346" s="2" t="s">
        <v>50</v>
      </c>
      <c r="V346" s="2" t="s">
        <v>47</v>
      </c>
      <c r="W346" s="2" t="s">
        <v>2900</v>
      </c>
      <c r="X346" s="2" t="s">
        <v>3541</v>
      </c>
      <c r="Y346" s="488" t="s">
        <v>1486</v>
      </c>
      <c r="Z346" s="293">
        <f t="shared" si="44"/>
        <v>681.52354570637181</v>
      </c>
      <c r="AA346" s="293">
        <f t="shared" si="45"/>
        <v>498.90756478529192</v>
      </c>
    </row>
    <row r="347" spans="1:27" s="320" customFormat="1" x14ac:dyDescent="0.25">
      <c r="A347" s="220" t="s">
        <v>369</v>
      </c>
      <c r="B347" s="221" t="s">
        <v>760</v>
      </c>
      <c r="C347" s="223" t="s">
        <v>1561</v>
      </c>
      <c r="D347" s="220" t="s">
        <v>749</v>
      </c>
      <c r="E347" s="222">
        <v>6</v>
      </c>
      <c r="F347" s="192">
        <v>0</v>
      </c>
      <c r="G347" s="24">
        <v>0.2</v>
      </c>
      <c r="H347" s="24">
        <v>0.05</v>
      </c>
      <c r="I347" s="24">
        <v>0.05</v>
      </c>
      <c r="J347" s="24">
        <v>0</v>
      </c>
      <c r="K347" s="224">
        <f t="shared" si="46"/>
        <v>0</v>
      </c>
      <c r="L347" s="225">
        <f t="shared" si="47"/>
        <v>0</v>
      </c>
      <c r="M347" s="225">
        <f t="shared" si="48"/>
        <v>0</v>
      </c>
      <c r="N347" s="226">
        <f t="shared" si="49"/>
        <v>0</v>
      </c>
      <c r="O347" s="34">
        <v>0.3</v>
      </c>
      <c r="P347" s="226">
        <f t="shared" si="50"/>
        <v>0</v>
      </c>
      <c r="Q347" s="107" t="s">
        <v>1486</v>
      </c>
      <c r="R347" s="34">
        <v>0.3</v>
      </c>
      <c r="S347" s="226">
        <f t="shared" si="43"/>
        <v>0</v>
      </c>
      <c r="T347" s="156" t="s">
        <v>1486</v>
      </c>
      <c r="U347" s="2" t="s">
        <v>109</v>
      </c>
      <c r="V347" s="2" t="s">
        <v>47</v>
      </c>
      <c r="W347" s="2" t="s">
        <v>5883</v>
      </c>
      <c r="X347" s="2"/>
      <c r="Y347" s="488" t="s">
        <v>1486</v>
      </c>
      <c r="Z347" s="293">
        <f t="shared" si="44"/>
        <v>0</v>
      </c>
      <c r="AA347" s="293">
        <f t="shared" si="45"/>
        <v>0</v>
      </c>
    </row>
    <row r="348" spans="1:27" s="320" customFormat="1" x14ac:dyDescent="0.25">
      <c r="A348" s="220" t="s">
        <v>372</v>
      </c>
      <c r="B348" s="221" t="s">
        <v>3517</v>
      </c>
      <c r="C348" s="223" t="s">
        <v>1561</v>
      </c>
      <c r="D348" s="220" t="s">
        <v>409</v>
      </c>
      <c r="E348" s="222">
        <v>6</v>
      </c>
      <c r="F348" s="192">
        <v>8580</v>
      </c>
      <c r="G348" s="24">
        <v>0.2</v>
      </c>
      <c r="H348" s="24">
        <v>0.05</v>
      </c>
      <c r="I348" s="24">
        <v>0.05</v>
      </c>
      <c r="J348" s="24">
        <v>0</v>
      </c>
      <c r="K348" s="224">
        <f t="shared" si="46"/>
        <v>0.27800000000000014</v>
      </c>
      <c r="L348" s="225">
        <f t="shared" si="47"/>
        <v>71301.93905817176</v>
      </c>
      <c r="M348" s="225">
        <f t="shared" si="48"/>
        <v>11883.656509695293</v>
      </c>
      <c r="N348" s="226">
        <f t="shared" si="49"/>
        <v>14141.551246537398</v>
      </c>
      <c r="O348" s="34">
        <v>0.3</v>
      </c>
      <c r="P348" s="226">
        <f t="shared" si="50"/>
        <v>18384.016620498616</v>
      </c>
      <c r="Q348" s="107" t="s">
        <v>1486</v>
      </c>
      <c r="R348" s="34">
        <v>0.3</v>
      </c>
      <c r="S348" s="226">
        <f t="shared" si="43"/>
        <v>14586.000000000002</v>
      </c>
      <c r="T348" s="156" t="s">
        <v>1486</v>
      </c>
      <c r="U348" s="2" t="s">
        <v>50</v>
      </c>
      <c r="V348" s="2" t="s">
        <v>47</v>
      </c>
      <c r="W348" s="2" t="s">
        <v>2900</v>
      </c>
      <c r="X348" s="2" t="s">
        <v>3541</v>
      </c>
      <c r="Y348" s="488" t="s">
        <v>1486</v>
      </c>
      <c r="Z348" s="293">
        <f t="shared" si="44"/>
        <v>3303.6565096952927</v>
      </c>
      <c r="AA348" s="293">
        <f t="shared" si="45"/>
        <v>3677.1428571428587</v>
      </c>
    </row>
    <row r="349" spans="1:27" s="320" customFormat="1" x14ac:dyDescent="0.25">
      <c r="A349" s="220" t="s">
        <v>374</v>
      </c>
      <c r="B349" s="221" t="s">
        <v>761</v>
      </c>
      <c r="C349" s="223" t="s">
        <v>1561</v>
      </c>
      <c r="D349" s="220" t="s">
        <v>749</v>
      </c>
      <c r="E349" s="222">
        <v>6</v>
      </c>
      <c r="F349" s="192">
        <v>0</v>
      </c>
      <c r="G349" s="24">
        <v>0.2</v>
      </c>
      <c r="H349" s="24">
        <v>0.05</v>
      </c>
      <c r="I349" s="24">
        <v>0.05</v>
      </c>
      <c r="J349" s="24">
        <v>0</v>
      </c>
      <c r="K349" s="224">
        <f t="shared" si="46"/>
        <v>0</v>
      </c>
      <c r="L349" s="225">
        <f t="shared" si="47"/>
        <v>0</v>
      </c>
      <c r="M349" s="225">
        <f t="shared" si="48"/>
        <v>0</v>
      </c>
      <c r="N349" s="226">
        <f t="shared" si="49"/>
        <v>0</v>
      </c>
      <c r="O349" s="34">
        <v>0.3</v>
      </c>
      <c r="P349" s="226">
        <f t="shared" si="50"/>
        <v>0</v>
      </c>
      <c r="Q349" s="107" t="s">
        <v>1486</v>
      </c>
      <c r="R349" s="34">
        <v>0.3</v>
      </c>
      <c r="S349" s="226">
        <f t="shared" ref="S349:S412" si="51">+(F349/(1-R349))*1.19</f>
        <v>0</v>
      </c>
      <c r="T349" s="156" t="s">
        <v>1486</v>
      </c>
      <c r="U349" s="2" t="s">
        <v>109</v>
      </c>
      <c r="V349" s="2" t="s">
        <v>47</v>
      </c>
      <c r="W349" s="2" t="s">
        <v>5883</v>
      </c>
      <c r="X349" s="2"/>
      <c r="Y349" s="488" t="s">
        <v>1486</v>
      </c>
      <c r="Z349" s="293">
        <f t="shared" si="44"/>
        <v>0</v>
      </c>
      <c r="AA349" s="293">
        <f t="shared" si="45"/>
        <v>0</v>
      </c>
    </row>
    <row r="350" spans="1:27" s="320" customFormat="1" x14ac:dyDescent="0.25">
      <c r="A350" s="220" t="s">
        <v>376</v>
      </c>
      <c r="B350" s="221" t="s">
        <v>3518</v>
      </c>
      <c r="C350" s="223" t="s">
        <v>1561</v>
      </c>
      <c r="D350" s="220" t="s">
        <v>409</v>
      </c>
      <c r="E350" s="222">
        <v>6</v>
      </c>
      <c r="F350" s="192">
        <v>8580</v>
      </c>
      <c r="G350" s="24">
        <v>0.2</v>
      </c>
      <c r="H350" s="24">
        <v>0.05</v>
      </c>
      <c r="I350" s="24">
        <v>0.05</v>
      </c>
      <c r="J350" s="24">
        <v>0</v>
      </c>
      <c r="K350" s="224">
        <f t="shared" si="46"/>
        <v>0.27800000000000014</v>
      </c>
      <c r="L350" s="225">
        <f t="shared" si="47"/>
        <v>71301.93905817176</v>
      </c>
      <c r="M350" s="225">
        <f t="shared" si="48"/>
        <v>11883.656509695293</v>
      </c>
      <c r="N350" s="226">
        <f t="shared" si="49"/>
        <v>14141.551246537398</v>
      </c>
      <c r="O350" s="34">
        <v>0.3</v>
      </c>
      <c r="P350" s="226">
        <f t="shared" si="50"/>
        <v>18384.016620498616</v>
      </c>
      <c r="Q350" s="107" t="s">
        <v>1486</v>
      </c>
      <c r="R350" s="34">
        <v>0.3</v>
      </c>
      <c r="S350" s="226">
        <f t="shared" si="51"/>
        <v>14586.000000000002</v>
      </c>
      <c r="T350" s="156" t="s">
        <v>1486</v>
      </c>
      <c r="U350" s="2" t="s">
        <v>50</v>
      </c>
      <c r="V350" s="2" t="s">
        <v>47</v>
      </c>
      <c r="W350" s="2" t="s">
        <v>2900</v>
      </c>
      <c r="X350" s="2" t="s">
        <v>3541</v>
      </c>
      <c r="Y350" s="488" t="s">
        <v>1486</v>
      </c>
      <c r="Z350" s="293">
        <f t="shared" si="44"/>
        <v>3303.6565096952927</v>
      </c>
      <c r="AA350" s="293">
        <f t="shared" si="45"/>
        <v>3677.1428571428587</v>
      </c>
    </row>
    <row r="351" spans="1:27" s="320" customFormat="1" x14ac:dyDescent="0.25">
      <c r="A351" s="220" t="s">
        <v>378</v>
      </c>
      <c r="B351" s="221" t="s">
        <v>762</v>
      </c>
      <c r="C351" s="223" t="s">
        <v>1561</v>
      </c>
      <c r="D351" s="220" t="s">
        <v>749</v>
      </c>
      <c r="E351" s="222">
        <v>6</v>
      </c>
      <c r="F351" s="192">
        <v>0</v>
      </c>
      <c r="G351" s="24">
        <v>0.2</v>
      </c>
      <c r="H351" s="24">
        <v>0.05</v>
      </c>
      <c r="I351" s="24">
        <v>0.05</v>
      </c>
      <c r="J351" s="24">
        <v>0</v>
      </c>
      <c r="K351" s="224">
        <f t="shared" si="46"/>
        <v>0</v>
      </c>
      <c r="L351" s="225">
        <f t="shared" si="47"/>
        <v>0</v>
      </c>
      <c r="M351" s="225">
        <f t="shared" si="48"/>
        <v>0</v>
      </c>
      <c r="N351" s="226">
        <f t="shared" si="49"/>
        <v>0</v>
      </c>
      <c r="O351" s="34">
        <v>0.3</v>
      </c>
      <c r="P351" s="226">
        <f t="shared" si="50"/>
        <v>0</v>
      </c>
      <c r="Q351" s="107" t="s">
        <v>1486</v>
      </c>
      <c r="R351" s="34">
        <v>0.3</v>
      </c>
      <c r="S351" s="226">
        <f t="shared" si="51"/>
        <v>0</v>
      </c>
      <c r="T351" s="156" t="s">
        <v>1486</v>
      </c>
      <c r="U351" s="2" t="s">
        <v>109</v>
      </c>
      <c r="V351" s="2" t="s">
        <v>47</v>
      </c>
      <c r="W351" s="2" t="s">
        <v>5883</v>
      </c>
      <c r="X351" s="2"/>
      <c r="Y351" s="488" t="s">
        <v>1486</v>
      </c>
      <c r="Z351" s="293">
        <f t="shared" si="44"/>
        <v>0</v>
      </c>
      <c r="AA351" s="293">
        <f t="shared" si="45"/>
        <v>0</v>
      </c>
    </row>
    <row r="352" spans="1:27" s="320" customFormat="1" x14ac:dyDescent="0.25">
      <c r="A352" s="220" t="s">
        <v>380</v>
      </c>
      <c r="B352" s="221" t="s">
        <v>763</v>
      </c>
      <c r="C352" s="223" t="s">
        <v>1561</v>
      </c>
      <c r="D352" s="220" t="s">
        <v>749</v>
      </c>
      <c r="E352" s="222">
        <v>6</v>
      </c>
      <c r="F352" s="192">
        <v>0</v>
      </c>
      <c r="G352" s="24">
        <v>0.2</v>
      </c>
      <c r="H352" s="24">
        <v>0.05</v>
      </c>
      <c r="I352" s="24">
        <v>0.05</v>
      </c>
      <c r="J352" s="24">
        <v>0</v>
      </c>
      <c r="K352" s="224">
        <f t="shared" si="46"/>
        <v>0</v>
      </c>
      <c r="L352" s="225">
        <f t="shared" si="47"/>
        <v>0</v>
      </c>
      <c r="M352" s="225">
        <f t="shared" si="48"/>
        <v>0</v>
      </c>
      <c r="N352" s="226">
        <f t="shared" si="49"/>
        <v>0</v>
      </c>
      <c r="O352" s="34">
        <v>0.3</v>
      </c>
      <c r="P352" s="226">
        <f t="shared" si="50"/>
        <v>0</v>
      </c>
      <c r="Q352" s="107" t="s">
        <v>1486</v>
      </c>
      <c r="R352" s="34">
        <v>0.3</v>
      </c>
      <c r="S352" s="226">
        <f t="shared" si="51"/>
        <v>0</v>
      </c>
      <c r="T352" s="156" t="s">
        <v>1486</v>
      </c>
      <c r="U352" s="2" t="s">
        <v>109</v>
      </c>
      <c r="V352" s="2" t="s">
        <v>47</v>
      </c>
      <c r="W352" s="2" t="s">
        <v>5883</v>
      </c>
      <c r="X352" s="2"/>
      <c r="Y352" s="488" t="s">
        <v>1486</v>
      </c>
      <c r="Z352" s="293">
        <f t="shared" si="44"/>
        <v>0</v>
      </c>
      <c r="AA352" s="293">
        <f t="shared" si="45"/>
        <v>0</v>
      </c>
    </row>
    <row r="353" spans="1:27" s="320" customFormat="1" x14ac:dyDescent="0.25">
      <c r="A353" s="220" t="s">
        <v>382</v>
      </c>
      <c r="B353" s="221" t="s">
        <v>2458</v>
      </c>
      <c r="C353" s="223" t="s">
        <v>1561</v>
      </c>
      <c r="D353" s="220" t="s">
        <v>416</v>
      </c>
      <c r="E353" s="222">
        <v>24</v>
      </c>
      <c r="F353" s="192">
        <v>1102</v>
      </c>
      <c r="G353" s="24">
        <v>0.2</v>
      </c>
      <c r="H353" s="24">
        <v>0.05</v>
      </c>
      <c r="I353" s="24">
        <v>0.05</v>
      </c>
      <c r="J353" s="24">
        <v>0</v>
      </c>
      <c r="K353" s="224">
        <f t="shared" si="46"/>
        <v>0.27800000000000014</v>
      </c>
      <c r="L353" s="225">
        <f t="shared" si="47"/>
        <v>36631.578947368427</v>
      </c>
      <c r="M353" s="225">
        <f t="shared" si="48"/>
        <v>1526.3157894736844</v>
      </c>
      <c r="N353" s="226">
        <f t="shared" si="49"/>
        <v>1816.3157894736844</v>
      </c>
      <c r="O353" s="34">
        <v>0.3</v>
      </c>
      <c r="P353" s="226">
        <f t="shared" si="50"/>
        <v>2361.2105263157896</v>
      </c>
      <c r="Q353" s="107" t="s">
        <v>1486</v>
      </c>
      <c r="R353" s="34">
        <v>0.3</v>
      </c>
      <c r="S353" s="226">
        <f t="shared" si="51"/>
        <v>1873.4</v>
      </c>
      <c r="T353" s="156" t="s">
        <v>1486</v>
      </c>
      <c r="U353" s="2" t="s">
        <v>50</v>
      </c>
      <c r="V353" s="2" t="s">
        <v>47</v>
      </c>
      <c r="W353" s="2" t="s">
        <v>2900</v>
      </c>
      <c r="X353" s="2" t="s">
        <v>2903</v>
      </c>
      <c r="Y353" s="488" t="s">
        <v>1486</v>
      </c>
      <c r="Z353" s="293">
        <f t="shared" si="44"/>
        <v>424.31578947368439</v>
      </c>
      <c r="AA353" s="293">
        <f t="shared" si="45"/>
        <v>472.28571428571445</v>
      </c>
    </row>
    <row r="354" spans="1:27" s="320" customFormat="1" x14ac:dyDescent="0.25">
      <c r="A354" s="220" t="s">
        <v>384</v>
      </c>
      <c r="B354" s="221" t="s">
        <v>5991</v>
      </c>
      <c r="C354" s="223" t="s">
        <v>1561</v>
      </c>
      <c r="D354" s="220" t="s">
        <v>749</v>
      </c>
      <c r="E354" s="222">
        <v>15</v>
      </c>
      <c r="F354" s="192">
        <v>1022</v>
      </c>
      <c r="G354" s="24">
        <v>0.2</v>
      </c>
      <c r="H354" s="24">
        <v>0.05</v>
      </c>
      <c r="I354" s="24">
        <v>0.05</v>
      </c>
      <c r="J354" s="24">
        <v>0</v>
      </c>
      <c r="K354" s="224">
        <f t="shared" si="46"/>
        <v>0.27800000000000002</v>
      </c>
      <c r="L354" s="225">
        <f t="shared" si="47"/>
        <v>21232.686980609418</v>
      </c>
      <c r="M354" s="225">
        <f t="shared" si="48"/>
        <v>1415.5124653739613</v>
      </c>
      <c r="N354" s="226">
        <f t="shared" si="49"/>
        <v>1684.4598337950138</v>
      </c>
      <c r="O354" s="34">
        <v>0.3</v>
      </c>
      <c r="P354" s="226">
        <f t="shared" si="50"/>
        <v>2189.7977839335181</v>
      </c>
      <c r="Q354" s="107" t="s">
        <v>1486</v>
      </c>
      <c r="R354" s="34">
        <v>0.3</v>
      </c>
      <c r="S354" s="226">
        <f t="shared" si="51"/>
        <v>1737.3999999999999</v>
      </c>
      <c r="T354" s="156" t="s">
        <v>1486</v>
      </c>
      <c r="U354" s="2">
        <v>2</v>
      </c>
      <c r="V354" s="2" t="s">
        <v>47</v>
      </c>
      <c r="W354" s="2" t="s">
        <v>5883</v>
      </c>
      <c r="X354" s="2" t="s">
        <v>364</v>
      </c>
      <c r="Y354" s="488" t="s">
        <v>1486</v>
      </c>
      <c r="Z354" s="293">
        <f t="shared" si="44"/>
        <v>393.51246537396128</v>
      </c>
      <c r="AA354" s="293">
        <f t="shared" si="45"/>
        <v>438</v>
      </c>
    </row>
    <row r="355" spans="1:27" s="320" customFormat="1" x14ac:dyDescent="0.25">
      <c r="A355" s="220" t="s">
        <v>386</v>
      </c>
      <c r="B355" s="221" t="s">
        <v>3521</v>
      </c>
      <c r="C355" s="223" t="s">
        <v>1561</v>
      </c>
      <c r="D355" s="220" t="s">
        <v>416</v>
      </c>
      <c r="E355" s="222">
        <v>12</v>
      </c>
      <c r="F355" s="192">
        <v>1977</v>
      </c>
      <c r="G355" s="24">
        <v>0.2</v>
      </c>
      <c r="H355" s="24">
        <v>0.05</v>
      </c>
      <c r="I355" s="24">
        <v>0.05</v>
      </c>
      <c r="J355" s="24">
        <v>0</v>
      </c>
      <c r="K355" s="224">
        <f t="shared" si="46"/>
        <v>0.27800000000000002</v>
      </c>
      <c r="L355" s="225">
        <f t="shared" si="47"/>
        <v>32858.725761772854</v>
      </c>
      <c r="M355" s="225">
        <f t="shared" si="48"/>
        <v>2738.2271468144045</v>
      </c>
      <c r="N355" s="226">
        <f t="shared" si="49"/>
        <v>3258.4903047091411</v>
      </c>
      <c r="O355" s="34">
        <v>0.3</v>
      </c>
      <c r="P355" s="226">
        <f t="shared" si="50"/>
        <v>4236.0373961218838</v>
      </c>
      <c r="Q355" s="107" t="s">
        <v>1486</v>
      </c>
      <c r="R355" s="34">
        <v>0.3</v>
      </c>
      <c r="S355" s="226">
        <f t="shared" si="51"/>
        <v>3360.9</v>
      </c>
      <c r="T355" s="156" t="s">
        <v>1486</v>
      </c>
      <c r="U355" s="2" t="s">
        <v>50</v>
      </c>
      <c r="V355" s="2" t="s">
        <v>47</v>
      </c>
      <c r="W355" s="2" t="s">
        <v>2900</v>
      </c>
      <c r="X355" s="2" t="s">
        <v>2903</v>
      </c>
      <c r="Y355" s="488" t="s">
        <v>1486</v>
      </c>
      <c r="Z355" s="293">
        <f t="shared" si="44"/>
        <v>761.22714681440448</v>
      </c>
      <c r="AA355" s="293">
        <f t="shared" si="45"/>
        <v>847.28571428571468</v>
      </c>
    </row>
    <row r="356" spans="1:27" s="320" customFormat="1" x14ac:dyDescent="0.25">
      <c r="A356" s="220" t="s">
        <v>388</v>
      </c>
      <c r="B356" s="221" t="s">
        <v>2705</v>
      </c>
      <c r="C356" s="223" t="s">
        <v>1561</v>
      </c>
      <c r="D356" s="220" t="s">
        <v>749</v>
      </c>
      <c r="E356" s="222">
        <v>15</v>
      </c>
      <c r="F356" s="192">
        <v>1022</v>
      </c>
      <c r="G356" s="24">
        <v>0.2</v>
      </c>
      <c r="H356" s="24">
        <v>0.05</v>
      </c>
      <c r="I356" s="24">
        <v>0.05</v>
      </c>
      <c r="J356" s="24">
        <v>0</v>
      </c>
      <c r="K356" s="224">
        <f t="shared" si="46"/>
        <v>0.27800000000000002</v>
      </c>
      <c r="L356" s="225">
        <f t="shared" si="47"/>
        <v>21232.686980609418</v>
      </c>
      <c r="M356" s="225">
        <f t="shared" si="48"/>
        <v>1415.5124653739613</v>
      </c>
      <c r="N356" s="226">
        <f t="shared" si="49"/>
        <v>1684.4598337950138</v>
      </c>
      <c r="O356" s="34">
        <v>0.3</v>
      </c>
      <c r="P356" s="226">
        <f t="shared" si="50"/>
        <v>2189.7977839335181</v>
      </c>
      <c r="Q356" s="107" t="s">
        <v>1486</v>
      </c>
      <c r="R356" s="34">
        <v>0.3</v>
      </c>
      <c r="S356" s="226">
        <f t="shared" si="51"/>
        <v>1737.3999999999999</v>
      </c>
      <c r="T356" s="156" t="s">
        <v>1486</v>
      </c>
      <c r="U356" s="2">
        <v>3</v>
      </c>
      <c r="V356" s="2" t="s">
        <v>47</v>
      </c>
      <c r="W356" s="2" t="s">
        <v>5883</v>
      </c>
      <c r="X356" s="2" t="s">
        <v>364</v>
      </c>
      <c r="Y356" s="488" t="s">
        <v>1486</v>
      </c>
      <c r="Z356" s="293">
        <f t="shared" si="44"/>
        <v>393.51246537396128</v>
      </c>
      <c r="AA356" s="293">
        <f t="shared" si="45"/>
        <v>438</v>
      </c>
    </row>
    <row r="357" spans="1:27" s="320" customFormat="1" x14ac:dyDescent="0.25">
      <c r="A357" s="220" t="s">
        <v>390</v>
      </c>
      <c r="B357" s="221" t="s">
        <v>3522</v>
      </c>
      <c r="C357" s="223" t="s">
        <v>1561</v>
      </c>
      <c r="D357" s="220" t="s">
        <v>416</v>
      </c>
      <c r="E357" s="222">
        <v>24</v>
      </c>
      <c r="F357" s="192">
        <v>1022</v>
      </c>
      <c r="G357" s="24">
        <v>0.2</v>
      </c>
      <c r="H357" s="24">
        <v>0.05</v>
      </c>
      <c r="I357" s="24">
        <v>0.05</v>
      </c>
      <c r="J357" s="24">
        <v>0</v>
      </c>
      <c r="K357" s="224">
        <f t="shared" si="46"/>
        <v>0.27800000000000002</v>
      </c>
      <c r="L357" s="225">
        <f t="shared" si="47"/>
        <v>33972.299168975071</v>
      </c>
      <c r="M357" s="225">
        <f t="shared" si="48"/>
        <v>1415.5124653739613</v>
      </c>
      <c r="N357" s="226">
        <f t="shared" si="49"/>
        <v>1684.4598337950138</v>
      </c>
      <c r="O357" s="34">
        <v>0.3</v>
      </c>
      <c r="P357" s="226">
        <f t="shared" si="50"/>
        <v>2189.7977839335181</v>
      </c>
      <c r="Q357" s="107" t="s">
        <v>1486</v>
      </c>
      <c r="R357" s="34">
        <v>0.3</v>
      </c>
      <c r="S357" s="226">
        <f t="shared" si="51"/>
        <v>1737.3999999999999</v>
      </c>
      <c r="T357" s="156" t="s">
        <v>1486</v>
      </c>
      <c r="U357" s="2" t="s">
        <v>50</v>
      </c>
      <c r="V357" s="2" t="s">
        <v>47</v>
      </c>
      <c r="W357" s="2" t="s">
        <v>2900</v>
      </c>
      <c r="X357" s="2" t="s">
        <v>2903</v>
      </c>
      <c r="Y357" s="488" t="s">
        <v>1486</v>
      </c>
      <c r="Z357" s="293">
        <f t="shared" si="44"/>
        <v>393.51246537396128</v>
      </c>
      <c r="AA357" s="293">
        <f t="shared" si="45"/>
        <v>438</v>
      </c>
    </row>
    <row r="358" spans="1:27" s="320" customFormat="1" x14ac:dyDescent="0.25">
      <c r="A358" s="220" t="s">
        <v>394</v>
      </c>
      <c r="B358" s="221" t="s">
        <v>764</v>
      </c>
      <c r="C358" s="223" t="s">
        <v>1561</v>
      </c>
      <c r="D358" s="220" t="s">
        <v>749</v>
      </c>
      <c r="E358" s="222">
        <v>12</v>
      </c>
      <c r="F358" s="192">
        <v>0</v>
      </c>
      <c r="G358" s="24">
        <v>0.2</v>
      </c>
      <c r="H358" s="24">
        <v>0.05</v>
      </c>
      <c r="I358" s="24">
        <v>0.05</v>
      </c>
      <c r="J358" s="24">
        <v>0</v>
      </c>
      <c r="K358" s="224">
        <f t="shared" si="46"/>
        <v>0</v>
      </c>
      <c r="L358" s="225">
        <f t="shared" si="47"/>
        <v>0</v>
      </c>
      <c r="M358" s="225">
        <f t="shared" si="48"/>
        <v>0</v>
      </c>
      <c r="N358" s="226">
        <f t="shared" si="49"/>
        <v>0</v>
      </c>
      <c r="O358" s="34">
        <v>0.3</v>
      </c>
      <c r="P358" s="226">
        <f t="shared" si="50"/>
        <v>0</v>
      </c>
      <c r="Q358" s="107" t="s">
        <v>1486</v>
      </c>
      <c r="R358" s="34">
        <v>0.3</v>
      </c>
      <c r="S358" s="226">
        <f t="shared" si="51"/>
        <v>0</v>
      </c>
      <c r="T358" s="156" t="s">
        <v>1486</v>
      </c>
      <c r="U358" s="2" t="s">
        <v>109</v>
      </c>
      <c r="V358" s="2" t="s">
        <v>47</v>
      </c>
      <c r="W358" s="2" t="s">
        <v>5883</v>
      </c>
      <c r="X358" s="2"/>
      <c r="Y358" s="488" t="s">
        <v>1486</v>
      </c>
      <c r="Z358" s="293">
        <f t="shared" si="44"/>
        <v>0</v>
      </c>
      <c r="AA358" s="293">
        <f t="shared" si="45"/>
        <v>0</v>
      </c>
    </row>
    <row r="359" spans="1:27" s="320" customFormat="1" x14ac:dyDescent="0.25">
      <c r="A359" s="220" t="s">
        <v>396</v>
      </c>
      <c r="B359" s="221" t="s">
        <v>3523</v>
      </c>
      <c r="C359" s="223" t="s">
        <v>1561</v>
      </c>
      <c r="D359" s="220" t="s">
        <v>416</v>
      </c>
      <c r="E359" s="222">
        <v>12</v>
      </c>
      <c r="F359" s="192">
        <v>1406</v>
      </c>
      <c r="G359" s="24">
        <v>0.2</v>
      </c>
      <c r="H359" s="24">
        <v>0.05</v>
      </c>
      <c r="I359" s="24">
        <v>0.05</v>
      </c>
      <c r="J359" s="24">
        <v>0</v>
      </c>
      <c r="K359" s="224">
        <f t="shared" si="46"/>
        <v>0.27800000000000002</v>
      </c>
      <c r="L359" s="225">
        <f t="shared" si="47"/>
        <v>23368.42105263158</v>
      </c>
      <c r="M359" s="225">
        <f t="shared" si="48"/>
        <v>1947.3684210526317</v>
      </c>
      <c r="N359" s="226">
        <f t="shared" si="49"/>
        <v>2317.3684210526317</v>
      </c>
      <c r="O359" s="34">
        <v>0.3</v>
      </c>
      <c r="P359" s="226">
        <f t="shared" si="50"/>
        <v>3012.5789473684213</v>
      </c>
      <c r="Q359" s="107" t="s">
        <v>1486</v>
      </c>
      <c r="R359" s="34">
        <v>0.3</v>
      </c>
      <c r="S359" s="226">
        <f t="shared" si="51"/>
        <v>2390.1999999999998</v>
      </c>
      <c r="T359" s="156" t="s">
        <v>1486</v>
      </c>
      <c r="U359" s="2" t="s">
        <v>50</v>
      </c>
      <c r="V359" s="2" t="s">
        <v>47</v>
      </c>
      <c r="W359" s="2" t="s">
        <v>2900</v>
      </c>
      <c r="X359" s="2" t="s">
        <v>2903</v>
      </c>
      <c r="Y359" s="488" t="s">
        <v>1486</v>
      </c>
      <c r="Z359" s="293">
        <f t="shared" si="44"/>
        <v>541.36842105263167</v>
      </c>
      <c r="AA359" s="293">
        <f t="shared" si="45"/>
        <v>602.57142857142844</v>
      </c>
    </row>
    <row r="360" spans="1:27" s="320" customFormat="1" x14ac:dyDescent="0.25">
      <c r="A360" s="220" t="s">
        <v>398</v>
      </c>
      <c r="B360" s="221" t="s">
        <v>765</v>
      </c>
      <c r="C360" s="223" t="s">
        <v>1561</v>
      </c>
      <c r="D360" s="220" t="s">
        <v>749</v>
      </c>
      <c r="E360" s="222">
        <v>12</v>
      </c>
      <c r="F360" s="192">
        <v>0</v>
      </c>
      <c r="G360" s="24">
        <v>0.2</v>
      </c>
      <c r="H360" s="24">
        <v>0.05</v>
      </c>
      <c r="I360" s="24">
        <v>0.05</v>
      </c>
      <c r="J360" s="24">
        <v>0</v>
      </c>
      <c r="K360" s="224">
        <f t="shared" si="46"/>
        <v>0</v>
      </c>
      <c r="L360" s="225">
        <f t="shared" si="47"/>
        <v>0</v>
      </c>
      <c r="M360" s="225">
        <f t="shared" si="48"/>
        <v>0</v>
      </c>
      <c r="N360" s="226">
        <f t="shared" si="49"/>
        <v>0</v>
      </c>
      <c r="O360" s="34">
        <v>0.3</v>
      </c>
      <c r="P360" s="226">
        <f t="shared" si="50"/>
        <v>0</v>
      </c>
      <c r="Q360" s="107" t="s">
        <v>1486</v>
      </c>
      <c r="R360" s="34">
        <v>0.3</v>
      </c>
      <c r="S360" s="226">
        <f t="shared" si="51"/>
        <v>0</v>
      </c>
      <c r="T360" s="156" t="s">
        <v>1486</v>
      </c>
      <c r="U360" s="2" t="s">
        <v>109</v>
      </c>
      <c r="V360" s="2" t="s">
        <v>47</v>
      </c>
      <c r="W360" s="2" t="s">
        <v>5883</v>
      </c>
      <c r="X360" s="2"/>
      <c r="Y360" s="488" t="s">
        <v>1486</v>
      </c>
      <c r="Z360" s="293">
        <f t="shared" si="44"/>
        <v>0</v>
      </c>
      <c r="AA360" s="293">
        <f t="shared" si="45"/>
        <v>0</v>
      </c>
    </row>
    <row r="361" spans="1:27" s="320" customFormat="1" x14ac:dyDescent="0.25">
      <c r="A361" s="220" t="s">
        <v>400</v>
      </c>
      <c r="B361" s="221" t="s">
        <v>3524</v>
      </c>
      <c r="C361" s="223" t="s">
        <v>1561</v>
      </c>
      <c r="D361" s="220" t="s">
        <v>421</v>
      </c>
      <c r="E361" s="222">
        <v>6</v>
      </c>
      <c r="F361" s="192">
        <v>3345</v>
      </c>
      <c r="G361" s="24">
        <v>0.2</v>
      </c>
      <c r="H361" s="24">
        <v>0.05</v>
      </c>
      <c r="I361" s="24">
        <v>0.05</v>
      </c>
      <c r="J361" s="24">
        <v>0</v>
      </c>
      <c r="K361" s="224">
        <f t="shared" si="46"/>
        <v>0.27800000000000002</v>
      </c>
      <c r="L361" s="225">
        <f t="shared" si="47"/>
        <v>27797.783933518007</v>
      </c>
      <c r="M361" s="225">
        <f t="shared" si="48"/>
        <v>4632.9639889196678</v>
      </c>
      <c r="N361" s="226">
        <f t="shared" si="49"/>
        <v>5513.2271468144045</v>
      </c>
      <c r="O361" s="34">
        <v>0.3</v>
      </c>
      <c r="P361" s="226">
        <f t="shared" si="50"/>
        <v>7167.1952908587264</v>
      </c>
      <c r="Q361" s="107" t="s">
        <v>1486</v>
      </c>
      <c r="R361" s="34">
        <v>0.3</v>
      </c>
      <c r="S361" s="226">
        <f t="shared" si="51"/>
        <v>5686.5</v>
      </c>
      <c r="T361" s="156" t="s">
        <v>1486</v>
      </c>
      <c r="U361" s="2" t="s">
        <v>50</v>
      </c>
      <c r="V361" s="2" t="s">
        <v>47</v>
      </c>
      <c r="W361" s="2" t="s">
        <v>2900</v>
      </c>
      <c r="X361" s="2" t="s">
        <v>2901</v>
      </c>
      <c r="Y361" s="488" t="s">
        <v>1486</v>
      </c>
      <c r="Z361" s="293">
        <f t="shared" si="44"/>
        <v>1287.9639889196678</v>
      </c>
      <c r="AA361" s="293">
        <f t="shared" si="45"/>
        <v>1433.5714285714284</v>
      </c>
    </row>
    <row r="362" spans="1:27" s="320" customFormat="1" x14ac:dyDescent="0.25">
      <c r="A362" s="220" t="s">
        <v>402</v>
      </c>
      <c r="B362" s="221" t="s">
        <v>766</v>
      </c>
      <c r="C362" s="223" t="s">
        <v>1561</v>
      </c>
      <c r="D362" s="220" t="s">
        <v>749</v>
      </c>
      <c r="E362" s="222">
        <v>12</v>
      </c>
      <c r="F362" s="192">
        <v>0</v>
      </c>
      <c r="G362" s="24">
        <v>0.2</v>
      </c>
      <c r="H362" s="24">
        <v>0.05</v>
      </c>
      <c r="I362" s="24">
        <v>0.05</v>
      </c>
      <c r="J362" s="24">
        <v>0</v>
      </c>
      <c r="K362" s="224">
        <f t="shared" si="46"/>
        <v>0</v>
      </c>
      <c r="L362" s="225">
        <f t="shared" si="47"/>
        <v>0</v>
      </c>
      <c r="M362" s="225">
        <f t="shared" si="48"/>
        <v>0</v>
      </c>
      <c r="N362" s="226">
        <f t="shared" si="49"/>
        <v>0</v>
      </c>
      <c r="O362" s="34">
        <v>0.3</v>
      </c>
      <c r="P362" s="226">
        <f t="shared" si="50"/>
        <v>0</v>
      </c>
      <c r="Q362" s="107" t="s">
        <v>1486</v>
      </c>
      <c r="R362" s="34">
        <v>0.3</v>
      </c>
      <c r="S362" s="226">
        <f t="shared" si="51"/>
        <v>0</v>
      </c>
      <c r="T362" s="156" t="s">
        <v>1486</v>
      </c>
      <c r="U362" s="2" t="s">
        <v>109</v>
      </c>
      <c r="V362" s="2" t="s">
        <v>47</v>
      </c>
      <c r="W362" s="2" t="s">
        <v>5883</v>
      </c>
      <c r="X362" s="2"/>
      <c r="Y362" s="488" t="s">
        <v>1486</v>
      </c>
      <c r="Z362" s="293">
        <f t="shared" si="44"/>
        <v>0</v>
      </c>
      <c r="AA362" s="293">
        <f t="shared" si="45"/>
        <v>0</v>
      </c>
    </row>
    <row r="363" spans="1:27" s="320" customFormat="1" x14ac:dyDescent="0.25">
      <c r="A363" s="220" t="s">
        <v>404</v>
      </c>
      <c r="B363" s="221" t="s">
        <v>3525</v>
      </c>
      <c r="C363" s="223" t="s">
        <v>1561</v>
      </c>
      <c r="D363" s="220" t="s">
        <v>421</v>
      </c>
      <c r="E363" s="222">
        <v>24</v>
      </c>
      <c r="F363" s="192">
        <v>740</v>
      </c>
      <c r="G363" s="24">
        <v>0.2</v>
      </c>
      <c r="H363" s="24">
        <v>0.05</v>
      </c>
      <c r="I363" s="24">
        <v>0.05</v>
      </c>
      <c r="J363" s="24">
        <v>0</v>
      </c>
      <c r="K363" s="224">
        <f t="shared" si="46"/>
        <v>0.27800000000000014</v>
      </c>
      <c r="L363" s="225">
        <f t="shared" si="47"/>
        <v>24598.337950138506</v>
      </c>
      <c r="M363" s="225">
        <f t="shared" si="48"/>
        <v>1024.9307479224378</v>
      </c>
      <c r="N363" s="226">
        <f t="shared" si="49"/>
        <v>1219.667590027701</v>
      </c>
      <c r="O363" s="34">
        <v>0.3</v>
      </c>
      <c r="P363" s="226">
        <f t="shared" si="50"/>
        <v>1585.5678670360112</v>
      </c>
      <c r="Q363" s="107" t="s">
        <v>1486</v>
      </c>
      <c r="R363" s="34">
        <v>0.32261536628138898</v>
      </c>
      <c r="S363" s="226">
        <f t="shared" si="51"/>
        <v>1299.999964814386</v>
      </c>
      <c r="T363" s="156" t="s">
        <v>1486</v>
      </c>
      <c r="U363" s="2" t="s">
        <v>50</v>
      </c>
      <c r="V363" s="2" t="s">
        <v>47</v>
      </c>
      <c r="W363" s="2" t="s">
        <v>2900</v>
      </c>
      <c r="X363" s="2" t="s">
        <v>2901</v>
      </c>
      <c r="Y363" s="488" t="s">
        <v>1486</v>
      </c>
      <c r="Z363" s="293">
        <f t="shared" si="44"/>
        <v>284.93074792243783</v>
      </c>
      <c r="AA363" s="293">
        <f t="shared" si="45"/>
        <v>352.43694522217311</v>
      </c>
    </row>
    <row r="364" spans="1:27" s="320" customFormat="1" x14ac:dyDescent="0.25">
      <c r="A364" s="220" t="s">
        <v>744</v>
      </c>
      <c r="B364" s="221" t="s">
        <v>767</v>
      </c>
      <c r="C364" s="223" t="s">
        <v>1561</v>
      </c>
      <c r="D364" s="220" t="s">
        <v>749</v>
      </c>
      <c r="E364" s="222">
        <v>12</v>
      </c>
      <c r="F364" s="192">
        <v>0</v>
      </c>
      <c r="G364" s="24">
        <v>0.2</v>
      </c>
      <c r="H364" s="24">
        <v>0.05</v>
      </c>
      <c r="I364" s="24">
        <v>0.05</v>
      </c>
      <c r="J364" s="24">
        <v>0</v>
      </c>
      <c r="K364" s="224">
        <f t="shared" si="46"/>
        <v>0</v>
      </c>
      <c r="L364" s="225">
        <f t="shared" si="47"/>
        <v>0</v>
      </c>
      <c r="M364" s="225">
        <f t="shared" si="48"/>
        <v>0</v>
      </c>
      <c r="N364" s="226">
        <f t="shared" si="49"/>
        <v>0</v>
      </c>
      <c r="O364" s="34">
        <v>0.3</v>
      </c>
      <c r="P364" s="226">
        <f t="shared" si="50"/>
        <v>0</v>
      </c>
      <c r="Q364" s="107" t="s">
        <v>1486</v>
      </c>
      <c r="R364" s="34">
        <v>0.3</v>
      </c>
      <c r="S364" s="226">
        <f t="shared" si="51"/>
        <v>0</v>
      </c>
      <c r="T364" s="156" t="s">
        <v>1486</v>
      </c>
      <c r="U364" s="2" t="s">
        <v>109</v>
      </c>
      <c r="V364" s="2" t="s">
        <v>47</v>
      </c>
      <c r="W364" s="2" t="s">
        <v>5883</v>
      </c>
      <c r="X364" s="2"/>
      <c r="Y364" s="488" t="s">
        <v>1486</v>
      </c>
      <c r="Z364" s="293">
        <f t="shared" si="44"/>
        <v>0</v>
      </c>
      <c r="AA364" s="293">
        <f t="shared" si="45"/>
        <v>0</v>
      </c>
    </row>
    <row r="365" spans="1:27" s="320" customFormat="1" x14ac:dyDescent="0.25">
      <c r="A365" s="220" t="s">
        <v>747</v>
      </c>
      <c r="B365" s="221" t="s">
        <v>3526</v>
      </c>
      <c r="C365" s="223" t="s">
        <v>1561</v>
      </c>
      <c r="D365" s="220" t="s">
        <v>421</v>
      </c>
      <c r="E365" s="222">
        <v>24</v>
      </c>
      <c r="F365" s="192">
        <v>1024</v>
      </c>
      <c r="G365" s="24">
        <v>0.2</v>
      </c>
      <c r="H365" s="24">
        <v>0.05</v>
      </c>
      <c r="I365" s="24">
        <v>0.05</v>
      </c>
      <c r="J365" s="24">
        <v>0</v>
      </c>
      <c r="K365" s="224">
        <f t="shared" si="46"/>
        <v>0.27800000000000002</v>
      </c>
      <c r="L365" s="225">
        <f t="shared" si="47"/>
        <v>34038.781163434905</v>
      </c>
      <c r="M365" s="225">
        <f t="shared" si="48"/>
        <v>1418.2825484764544</v>
      </c>
      <c r="N365" s="226">
        <f t="shared" si="49"/>
        <v>1687.7562326869806</v>
      </c>
      <c r="O365" s="34">
        <v>0.3</v>
      </c>
      <c r="P365" s="226">
        <f t="shared" si="50"/>
        <v>2194.0831024930749</v>
      </c>
      <c r="Q365" s="107" t="s">
        <v>1486</v>
      </c>
      <c r="R365" s="34">
        <v>0.3</v>
      </c>
      <c r="S365" s="226">
        <f t="shared" si="51"/>
        <v>1740.8</v>
      </c>
      <c r="T365" s="156" t="s">
        <v>1486</v>
      </c>
      <c r="U365" s="2" t="s">
        <v>50</v>
      </c>
      <c r="V365" s="2" t="s">
        <v>47</v>
      </c>
      <c r="W365" s="2" t="s">
        <v>2900</v>
      </c>
      <c r="X365" s="2" t="s">
        <v>2901</v>
      </c>
      <c r="Y365" s="488" t="s">
        <v>1486</v>
      </c>
      <c r="Z365" s="293">
        <f t="shared" si="44"/>
        <v>394.28254847645439</v>
      </c>
      <c r="AA365" s="293">
        <f t="shared" si="45"/>
        <v>438.85714285714289</v>
      </c>
    </row>
    <row r="366" spans="1:27" s="320" customFormat="1" x14ac:dyDescent="0.25">
      <c r="A366" s="220" t="s">
        <v>750</v>
      </c>
      <c r="B366" s="221" t="s">
        <v>3527</v>
      </c>
      <c r="C366" s="223" t="s">
        <v>1561</v>
      </c>
      <c r="D366" s="220" t="s">
        <v>421</v>
      </c>
      <c r="E366" s="222">
        <v>6</v>
      </c>
      <c r="F366" s="192">
        <v>3428</v>
      </c>
      <c r="G366" s="24">
        <v>0.2</v>
      </c>
      <c r="H366" s="24">
        <v>0.05</v>
      </c>
      <c r="I366" s="24">
        <v>0.05</v>
      </c>
      <c r="J366" s="24">
        <v>0</v>
      </c>
      <c r="K366" s="224">
        <f t="shared" si="46"/>
        <v>0.27800000000000014</v>
      </c>
      <c r="L366" s="225">
        <f t="shared" si="47"/>
        <v>28487.534626038785</v>
      </c>
      <c r="M366" s="225">
        <f t="shared" si="48"/>
        <v>4747.9224376731308</v>
      </c>
      <c r="N366" s="226">
        <f t="shared" si="49"/>
        <v>5650.0277008310259</v>
      </c>
      <c r="O366" s="34">
        <v>0.3</v>
      </c>
      <c r="P366" s="226">
        <f t="shared" si="50"/>
        <v>7345.036011080334</v>
      </c>
      <c r="Q366" s="107" t="s">
        <v>1486</v>
      </c>
      <c r="R366" s="34">
        <v>0.3</v>
      </c>
      <c r="S366" s="226">
        <f t="shared" si="51"/>
        <v>5827.6</v>
      </c>
      <c r="T366" s="156" t="s">
        <v>1486</v>
      </c>
      <c r="U366" s="2" t="s">
        <v>50</v>
      </c>
      <c r="V366" s="2" t="s">
        <v>47</v>
      </c>
      <c r="W366" s="2" t="s">
        <v>2900</v>
      </c>
      <c r="X366" s="2" t="s">
        <v>2901</v>
      </c>
      <c r="Y366" s="488" t="s">
        <v>1486</v>
      </c>
      <c r="Z366" s="293">
        <f t="shared" si="44"/>
        <v>1319.9224376731308</v>
      </c>
      <c r="AA366" s="293">
        <f t="shared" si="45"/>
        <v>1469.1428571428578</v>
      </c>
    </row>
    <row r="367" spans="1:27" s="320" customFormat="1" ht="15" customHeight="1" x14ac:dyDescent="0.25">
      <c r="A367" s="220" t="s">
        <v>751</v>
      </c>
      <c r="B367" s="221" t="s">
        <v>768</v>
      </c>
      <c r="C367" s="223" t="s">
        <v>1561</v>
      </c>
      <c r="D367" s="220" t="s">
        <v>749</v>
      </c>
      <c r="E367" s="222">
        <v>12</v>
      </c>
      <c r="F367" s="192">
        <v>0</v>
      </c>
      <c r="G367" s="24">
        <v>0.2</v>
      </c>
      <c r="H367" s="24">
        <v>0.05</v>
      </c>
      <c r="I367" s="24">
        <v>0.05</v>
      </c>
      <c r="J367" s="24">
        <v>0</v>
      </c>
      <c r="K367" s="224">
        <f t="shared" si="46"/>
        <v>0</v>
      </c>
      <c r="L367" s="225">
        <f t="shared" si="47"/>
        <v>0</v>
      </c>
      <c r="M367" s="225">
        <f t="shared" si="48"/>
        <v>0</v>
      </c>
      <c r="N367" s="226">
        <f t="shared" si="49"/>
        <v>0</v>
      </c>
      <c r="O367" s="34">
        <v>0.3</v>
      </c>
      <c r="P367" s="226">
        <f t="shared" si="50"/>
        <v>0</v>
      </c>
      <c r="Q367" s="107" t="s">
        <v>1486</v>
      </c>
      <c r="R367" s="34">
        <v>0.3</v>
      </c>
      <c r="S367" s="226">
        <f t="shared" si="51"/>
        <v>0</v>
      </c>
      <c r="T367" s="156" t="s">
        <v>1486</v>
      </c>
      <c r="U367" s="2" t="s">
        <v>109</v>
      </c>
      <c r="V367" s="2" t="s">
        <v>47</v>
      </c>
      <c r="W367" s="2" t="s">
        <v>5886</v>
      </c>
      <c r="X367" s="2"/>
      <c r="Y367" s="488" t="s">
        <v>1486</v>
      </c>
      <c r="Z367" s="293">
        <f t="shared" si="44"/>
        <v>0</v>
      </c>
      <c r="AA367" s="293">
        <f t="shared" si="45"/>
        <v>0</v>
      </c>
    </row>
    <row r="368" spans="1:27" s="320" customFormat="1" x14ac:dyDescent="0.25">
      <c r="A368" s="220" t="s">
        <v>753</v>
      </c>
      <c r="B368" s="221" t="s">
        <v>3528</v>
      </c>
      <c r="C368" s="223" t="s">
        <v>1561</v>
      </c>
      <c r="D368" s="220" t="s">
        <v>426</v>
      </c>
      <c r="E368" s="222">
        <v>12</v>
      </c>
      <c r="F368" s="192">
        <v>1759</v>
      </c>
      <c r="G368" s="24">
        <v>0.2</v>
      </c>
      <c r="H368" s="24">
        <v>0.05</v>
      </c>
      <c r="I368" s="24">
        <v>0.05</v>
      </c>
      <c r="J368" s="24">
        <v>0</v>
      </c>
      <c r="K368" s="224">
        <f t="shared" si="46"/>
        <v>0.27800000000000002</v>
      </c>
      <c r="L368" s="225">
        <f t="shared" si="47"/>
        <v>29235.45706371191</v>
      </c>
      <c r="M368" s="225">
        <f t="shared" si="48"/>
        <v>2436.2880886426592</v>
      </c>
      <c r="N368" s="226">
        <f t="shared" si="49"/>
        <v>2899.1828254847642</v>
      </c>
      <c r="O368" s="34">
        <v>0.3</v>
      </c>
      <c r="P368" s="226">
        <f t="shared" si="50"/>
        <v>3768.9376731301936</v>
      </c>
      <c r="Q368" s="107" t="s">
        <v>1486</v>
      </c>
      <c r="R368" s="34">
        <v>0.3</v>
      </c>
      <c r="S368" s="226">
        <f t="shared" si="51"/>
        <v>2990.3</v>
      </c>
      <c r="T368" s="156" t="s">
        <v>1486</v>
      </c>
      <c r="U368" s="2" t="s">
        <v>50</v>
      </c>
      <c r="V368" s="2" t="s">
        <v>47</v>
      </c>
      <c r="W368" s="2" t="s">
        <v>2900</v>
      </c>
      <c r="X368" s="2" t="s">
        <v>2901</v>
      </c>
      <c r="Y368" s="488" t="s">
        <v>1486</v>
      </c>
      <c r="Z368" s="293">
        <f t="shared" si="44"/>
        <v>677.2880886426592</v>
      </c>
      <c r="AA368" s="293">
        <f t="shared" si="45"/>
        <v>753.85714285714312</v>
      </c>
    </row>
    <row r="369" spans="1:27" s="320" customFormat="1" x14ac:dyDescent="0.25">
      <c r="A369" s="220" t="s">
        <v>755</v>
      </c>
      <c r="B369" s="221" t="s">
        <v>769</v>
      </c>
      <c r="C369" s="223" t="s">
        <v>1561</v>
      </c>
      <c r="D369" s="220" t="s">
        <v>749</v>
      </c>
      <c r="E369" s="222">
        <v>12</v>
      </c>
      <c r="F369" s="192">
        <v>11838</v>
      </c>
      <c r="G369" s="24">
        <v>0.2</v>
      </c>
      <c r="H369" s="24">
        <v>0.05</v>
      </c>
      <c r="I369" s="24">
        <v>0.05</v>
      </c>
      <c r="J369" s="24">
        <v>0</v>
      </c>
      <c r="K369" s="224">
        <f t="shared" si="46"/>
        <v>0.27800000000000014</v>
      </c>
      <c r="L369" s="225">
        <f t="shared" si="47"/>
        <v>196753.46260387817</v>
      </c>
      <c r="M369" s="225">
        <f t="shared" si="48"/>
        <v>16396.121883656513</v>
      </c>
      <c r="N369" s="226">
        <f t="shared" si="49"/>
        <v>19511.38504155125</v>
      </c>
      <c r="O369" s="34">
        <v>0.3</v>
      </c>
      <c r="P369" s="226">
        <f t="shared" si="50"/>
        <v>25364.800554016627</v>
      </c>
      <c r="Q369" s="107" t="s">
        <v>1486</v>
      </c>
      <c r="R369" s="34">
        <v>0.3</v>
      </c>
      <c r="S369" s="226">
        <f t="shared" si="51"/>
        <v>20124.599999999999</v>
      </c>
      <c r="T369" s="156" t="s">
        <v>1486</v>
      </c>
      <c r="U369" s="2" t="s">
        <v>109</v>
      </c>
      <c r="V369" s="2" t="s">
        <v>47</v>
      </c>
      <c r="W369" s="2" t="s">
        <v>5886</v>
      </c>
      <c r="X369" s="2"/>
      <c r="Y369" s="488" t="s">
        <v>1486</v>
      </c>
      <c r="Z369" s="293">
        <f t="shared" si="44"/>
        <v>4558.1218836565131</v>
      </c>
      <c r="AA369" s="293">
        <f t="shared" si="45"/>
        <v>5073.4285714285725</v>
      </c>
    </row>
    <row r="370" spans="1:27" s="320" customFormat="1" x14ac:dyDescent="0.25">
      <c r="A370" s="220" t="s">
        <v>408</v>
      </c>
      <c r="B370" s="221" t="s">
        <v>3529</v>
      </c>
      <c r="C370" s="223" t="s">
        <v>1561</v>
      </c>
      <c r="D370" s="220" t="s">
        <v>426</v>
      </c>
      <c r="E370" s="222">
        <v>12</v>
      </c>
      <c r="F370" s="192">
        <v>1751</v>
      </c>
      <c r="G370" s="24">
        <v>0.2</v>
      </c>
      <c r="H370" s="24">
        <v>0.05</v>
      </c>
      <c r="I370" s="24">
        <v>0.05</v>
      </c>
      <c r="J370" s="24">
        <v>0</v>
      </c>
      <c r="K370" s="224">
        <f t="shared" si="46"/>
        <v>0.27800000000000025</v>
      </c>
      <c r="L370" s="225">
        <f t="shared" si="47"/>
        <v>29102.493074792252</v>
      </c>
      <c r="M370" s="225">
        <f t="shared" si="48"/>
        <v>2425.2077562326876</v>
      </c>
      <c r="N370" s="226">
        <f t="shared" si="49"/>
        <v>2885.997229916898</v>
      </c>
      <c r="O370" s="34">
        <v>0.3</v>
      </c>
      <c r="P370" s="226">
        <f t="shared" si="50"/>
        <v>3751.7963988919678</v>
      </c>
      <c r="Q370" s="107" t="s">
        <v>1486</v>
      </c>
      <c r="R370" s="34">
        <v>0.3</v>
      </c>
      <c r="S370" s="226">
        <f t="shared" si="51"/>
        <v>2976.7</v>
      </c>
      <c r="T370" s="156" t="s">
        <v>1486</v>
      </c>
      <c r="U370" s="2" t="s">
        <v>50</v>
      </c>
      <c r="V370" s="2" t="s">
        <v>47</v>
      </c>
      <c r="W370" s="2" t="s">
        <v>2900</v>
      </c>
      <c r="X370" s="2" t="s">
        <v>2901</v>
      </c>
      <c r="Y370" s="488" t="s">
        <v>1486</v>
      </c>
      <c r="Z370" s="293">
        <f t="shared" si="44"/>
        <v>674.20775623268764</v>
      </c>
      <c r="AA370" s="293">
        <f t="shared" si="45"/>
        <v>750.42857142857156</v>
      </c>
    </row>
    <row r="371" spans="1:27" s="320" customFormat="1" x14ac:dyDescent="0.25">
      <c r="A371" s="220" t="s">
        <v>410</v>
      </c>
      <c r="B371" s="221" t="s">
        <v>770</v>
      </c>
      <c r="C371" s="223" t="s">
        <v>1561</v>
      </c>
      <c r="D371" s="220" t="s">
        <v>749</v>
      </c>
      <c r="E371" s="222">
        <v>24</v>
      </c>
      <c r="F371" s="192">
        <v>0</v>
      </c>
      <c r="G371" s="24">
        <v>0.2</v>
      </c>
      <c r="H371" s="24">
        <v>0.05</v>
      </c>
      <c r="I371" s="24">
        <v>0.05</v>
      </c>
      <c r="J371" s="24">
        <v>0</v>
      </c>
      <c r="K371" s="224">
        <f t="shared" si="46"/>
        <v>0</v>
      </c>
      <c r="L371" s="225">
        <f t="shared" si="47"/>
        <v>0</v>
      </c>
      <c r="M371" s="225">
        <f t="shared" si="48"/>
        <v>0</v>
      </c>
      <c r="N371" s="226">
        <f t="shared" si="49"/>
        <v>0</v>
      </c>
      <c r="O371" s="34">
        <v>0.3</v>
      </c>
      <c r="P371" s="226">
        <f t="shared" si="50"/>
        <v>0</v>
      </c>
      <c r="Q371" s="107" t="s">
        <v>1486</v>
      </c>
      <c r="R371" s="34">
        <v>0.3</v>
      </c>
      <c r="S371" s="226">
        <f t="shared" si="51"/>
        <v>0</v>
      </c>
      <c r="T371" s="156" t="s">
        <v>1486</v>
      </c>
      <c r="U371" s="2" t="s">
        <v>109</v>
      </c>
      <c r="V371" s="2" t="s">
        <v>47</v>
      </c>
      <c r="W371" s="2" t="s">
        <v>5886</v>
      </c>
      <c r="X371" s="2"/>
      <c r="Y371" s="488" t="s">
        <v>1486</v>
      </c>
      <c r="Z371" s="293">
        <f t="shared" si="44"/>
        <v>0</v>
      </c>
      <c r="AA371" s="293">
        <f t="shared" si="45"/>
        <v>0</v>
      </c>
    </row>
    <row r="372" spans="1:27" s="320" customFormat="1" x14ac:dyDescent="0.25">
      <c r="A372" s="220" t="s">
        <v>411</v>
      </c>
      <c r="B372" s="221" t="s">
        <v>3530</v>
      </c>
      <c r="C372" s="223" t="s">
        <v>1561</v>
      </c>
      <c r="D372" s="220" t="s">
        <v>426</v>
      </c>
      <c r="E372" s="222">
        <v>12</v>
      </c>
      <c r="F372" s="192">
        <v>1570</v>
      </c>
      <c r="G372" s="24">
        <v>0.2</v>
      </c>
      <c r="H372" s="24">
        <v>0.05</v>
      </c>
      <c r="I372" s="24">
        <v>0.05</v>
      </c>
      <c r="J372" s="24">
        <v>0</v>
      </c>
      <c r="K372" s="224">
        <f t="shared" si="46"/>
        <v>0.27800000000000002</v>
      </c>
      <c r="L372" s="225">
        <f t="shared" si="47"/>
        <v>26094.182825484764</v>
      </c>
      <c r="M372" s="225">
        <f t="shared" si="48"/>
        <v>2174.5152354570637</v>
      </c>
      <c r="N372" s="226">
        <f t="shared" si="49"/>
        <v>2587.6731301939058</v>
      </c>
      <c r="O372" s="34">
        <v>0.3</v>
      </c>
      <c r="P372" s="226">
        <f t="shared" si="50"/>
        <v>3363.9750692520774</v>
      </c>
      <c r="Q372" s="107" t="s">
        <v>1486</v>
      </c>
      <c r="R372" s="34">
        <v>0.3</v>
      </c>
      <c r="S372" s="226">
        <f t="shared" si="51"/>
        <v>2669</v>
      </c>
      <c r="T372" s="156" t="s">
        <v>1486</v>
      </c>
      <c r="U372" s="2" t="s">
        <v>50</v>
      </c>
      <c r="V372" s="2" t="s">
        <v>47</v>
      </c>
      <c r="W372" s="2" t="s">
        <v>2900</v>
      </c>
      <c r="X372" s="2" t="s">
        <v>2903</v>
      </c>
      <c r="Y372" s="488" t="s">
        <v>1486</v>
      </c>
      <c r="Z372" s="293">
        <f t="shared" si="44"/>
        <v>604.51523545706368</v>
      </c>
      <c r="AA372" s="293">
        <f t="shared" si="45"/>
        <v>672.85714285714312</v>
      </c>
    </row>
    <row r="373" spans="1:27" s="320" customFormat="1" x14ac:dyDescent="0.25">
      <c r="A373" s="220" t="s">
        <v>412</v>
      </c>
      <c r="B373" s="221" t="s">
        <v>3538</v>
      </c>
      <c r="C373" s="223" t="s">
        <v>1561</v>
      </c>
      <c r="D373" s="220" t="s">
        <v>426</v>
      </c>
      <c r="E373" s="222">
        <v>1</v>
      </c>
      <c r="F373" s="192">
        <v>0</v>
      </c>
      <c r="G373" s="24">
        <v>0.2</v>
      </c>
      <c r="H373" s="24">
        <v>0.05</v>
      </c>
      <c r="I373" s="24">
        <v>0.05</v>
      </c>
      <c r="J373" s="24">
        <v>0</v>
      </c>
      <c r="K373" s="224">
        <f t="shared" si="46"/>
        <v>0</v>
      </c>
      <c r="L373" s="225">
        <f t="shared" si="47"/>
        <v>0</v>
      </c>
      <c r="M373" s="225">
        <f t="shared" si="48"/>
        <v>0</v>
      </c>
      <c r="N373" s="226">
        <f t="shared" si="49"/>
        <v>0</v>
      </c>
      <c r="O373" s="34">
        <v>0.3</v>
      </c>
      <c r="P373" s="226">
        <f t="shared" si="50"/>
        <v>0</v>
      </c>
      <c r="Q373" s="107" t="s">
        <v>1486</v>
      </c>
      <c r="R373" s="34">
        <v>0.3</v>
      </c>
      <c r="S373" s="226">
        <f t="shared" si="51"/>
        <v>0</v>
      </c>
      <c r="T373" s="156" t="s">
        <v>1486</v>
      </c>
      <c r="U373" s="2" t="s">
        <v>109</v>
      </c>
      <c r="V373" s="2" t="s">
        <v>47</v>
      </c>
      <c r="W373" s="2" t="s">
        <v>2900</v>
      </c>
      <c r="X373" s="2"/>
      <c r="Y373" s="488" t="s">
        <v>1486</v>
      </c>
      <c r="Z373" s="293">
        <f t="shared" si="44"/>
        <v>0</v>
      </c>
      <c r="AA373" s="293">
        <f t="shared" si="45"/>
        <v>0</v>
      </c>
    </row>
    <row r="374" spans="1:27" s="320" customFormat="1" x14ac:dyDescent="0.25">
      <c r="A374" s="220" t="s">
        <v>413</v>
      </c>
      <c r="B374" s="221" t="s">
        <v>771</v>
      </c>
      <c r="C374" s="223" t="s">
        <v>1561</v>
      </c>
      <c r="D374" s="220" t="s">
        <v>749</v>
      </c>
      <c r="E374" s="222">
        <v>24</v>
      </c>
      <c r="F374" s="192">
        <v>0</v>
      </c>
      <c r="G374" s="24">
        <v>0.2</v>
      </c>
      <c r="H374" s="24">
        <v>0.05</v>
      </c>
      <c r="I374" s="24">
        <v>0.05</v>
      </c>
      <c r="J374" s="24">
        <v>0</v>
      </c>
      <c r="K374" s="224">
        <f t="shared" si="46"/>
        <v>0</v>
      </c>
      <c r="L374" s="225">
        <f t="shared" si="47"/>
        <v>0</v>
      </c>
      <c r="M374" s="225">
        <f t="shared" si="48"/>
        <v>0</v>
      </c>
      <c r="N374" s="226">
        <f t="shared" si="49"/>
        <v>0</v>
      </c>
      <c r="O374" s="34">
        <v>0.3</v>
      </c>
      <c r="P374" s="226">
        <f t="shared" si="50"/>
        <v>0</v>
      </c>
      <c r="Q374" s="107" t="s">
        <v>1486</v>
      </c>
      <c r="R374" s="34">
        <v>0.3</v>
      </c>
      <c r="S374" s="226">
        <f t="shared" si="51"/>
        <v>0</v>
      </c>
      <c r="T374" s="156" t="s">
        <v>1486</v>
      </c>
      <c r="U374" s="2" t="s">
        <v>109</v>
      </c>
      <c r="V374" s="2" t="s">
        <v>47</v>
      </c>
      <c r="W374" s="2" t="s">
        <v>5883</v>
      </c>
      <c r="X374" s="2"/>
      <c r="Y374" s="488" t="s">
        <v>1486</v>
      </c>
      <c r="Z374" s="293">
        <f t="shared" si="44"/>
        <v>0</v>
      </c>
      <c r="AA374" s="293">
        <f t="shared" si="45"/>
        <v>0</v>
      </c>
    </row>
    <row r="375" spans="1:27" s="320" customFormat="1" x14ac:dyDescent="0.25">
      <c r="A375" s="220" t="s">
        <v>414</v>
      </c>
      <c r="B375" s="221" t="s">
        <v>3531</v>
      </c>
      <c r="C375" s="223" t="s">
        <v>1561</v>
      </c>
      <c r="D375" s="220" t="s">
        <v>426</v>
      </c>
      <c r="E375" s="222">
        <v>12</v>
      </c>
      <c r="F375" s="192">
        <v>1570</v>
      </c>
      <c r="G375" s="24">
        <v>0.2</v>
      </c>
      <c r="H375" s="24">
        <v>0.05</v>
      </c>
      <c r="I375" s="24">
        <v>0.05</v>
      </c>
      <c r="J375" s="24">
        <v>0</v>
      </c>
      <c r="K375" s="224">
        <f t="shared" si="46"/>
        <v>0.27800000000000002</v>
      </c>
      <c r="L375" s="225">
        <f t="shared" si="47"/>
        <v>26094.182825484764</v>
      </c>
      <c r="M375" s="225">
        <f t="shared" si="48"/>
        <v>2174.5152354570637</v>
      </c>
      <c r="N375" s="226">
        <f t="shared" si="49"/>
        <v>2587.6731301939058</v>
      </c>
      <c r="O375" s="34">
        <v>0.3</v>
      </c>
      <c r="P375" s="226">
        <f t="shared" si="50"/>
        <v>3363.9750692520774</v>
      </c>
      <c r="Q375" s="107" t="s">
        <v>1486</v>
      </c>
      <c r="R375" s="34">
        <v>0.3</v>
      </c>
      <c r="S375" s="226">
        <f t="shared" si="51"/>
        <v>2669</v>
      </c>
      <c r="T375" s="156" t="s">
        <v>1486</v>
      </c>
      <c r="U375" s="2" t="s">
        <v>50</v>
      </c>
      <c r="V375" s="2" t="s">
        <v>47</v>
      </c>
      <c r="W375" s="2" t="s">
        <v>2900</v>
      </c>
      <c r="X375" s="2" t="s">
        <v>2903</v>
      </c>
      <c r="Y375" s="488" t="s">
        <v>1486</v>
      </c>
      <c r="Z375" s="293">
        <f t="shared" si="44"/>
        <v>604.51523545706368</v>
      </c>
      <c r="AA375" s="293">
        <f t="shared" si="45"/>
        <v>672.85714285714312</v>
      </c>
    </row>
    <row r="376" spans="1:27" s="320" customFormat="1" x14ac:dyDescent="0.25">
      <c r="A376" s="220" t="s">
        <v>415</v>
      </c>
      <c r="B376" s="221" t="s">
        <v>3532</v>
      </c>
      <c r="C376" s="223" t="s">
        <v>1561</v>
      </c>
      <c r="D376" s="220" t="s">
        <v>426</v>
      </c>
      <c r="E376" s="222">
        <v>12</v>
      </c>
      <c r="F376" s="192">
        <v>1026</v>
      </c>
      <c r="G376" s="24">
        <v>0.2</v>
      </c>
      <c r="H376" s="24">
        <v>0.05</v>
      </c>
      <c r="I376" s="24">
        <v>0.05</v>
      </c>
      <c r="J376" s="24">
        <v>0</v>
      </c>
      <c r="K376" s="224">
        <f t="shared" si="46"/>
        <v>0.27800000000000002</v>
      </c>
      <c r="L376" s="225">
        <f t="shared" si="47"/>
        <v>17052.63157894737</v>
      </c>
      <c r="M376" s="225">
        <f t="shared" si="48"/>
        <v>1421.0526315789475</v>
      </c>
      <c r="N376" s="226">
        <f t="shared" si="49"/>
        <v>1691.0526315789475</v>
      </c>
      <c r="O376" s="34">
        <v>0.3</v>
      </c>
      <c r="P376" s="226">
        <f t="shared" si="50"/>
        <v>2198.3684210526317</v>
      </c>
      <c r="Q376" s="107" t="s">
        <v>1486</v>
      </c>
      <c r="R376" s="34">
        <v>0.3</v>
      </c>
      <c r="S376" s="226">
        <f t="shared" si="51"/>
        <v>1744.2</v>
      </c>
      <c r="T376" s="156" t="s">
        <v>1486</v>
      </c>
      <c r="U376" s="2" t="s">
        <v>50</v>
      </c>
      <c r="V376" s="2" t="s">
        <v>47</v>
      </c>
      <c r="W376" s="2" t="s">
        <v>2900</v>
      </c>
      <c r="X376" s="2" t="s">
        <v>2903</v>
      </c>
      <c r="Y376" s="488" t="s">
        <v>1486</v>
      </c>
      <c r="Z376" s="293">
        <f t="shared" si="44"/>
        <v>395.05263157894751</v>
      </c>
      <c r="AA376" s="293">
        <f t="shared" si="45"/>
        <v>439.71428571428578</v>
      </c>
    </row>
    <row r="377" spans="1:27" s="320" customFormat="1" x14ac:dyDescent="0.25">
      <c r="A377" s="220" t="s">
        <v>417</v>
      </c>
      <c r="B377" s="221" t="s">
        <v>772</v>
      </c>
      <c r="C377" s="223" t="s">
        <v>1561</v>
      </c>
      <c r="D377" s="220" t="s">
        <v>749</v>
      </c>
      <c r="E377" s="222">
        <v>12</v>
      </c>
      <c r="F377" s="192">
        <v>0</v>
      </c>
      <c r="G377" s="24">
        <v>0.2</v>
      </c>
      <c r="H377" s="24">
        <v>0.05</v>
      </c>
      <c r="I377" s="24">
        <v>0.05</v>
      </c>
      <c r="J377" s="24">
        <v>0</v>
      </c>
      <c r="K377" s="224">
        <f t="shared" si="46"/>
        <v>0</v>
      </c>
      <c r="L377" s="225">
        <f t="shared" si="47"/>
        <v>0</v>
      </c>
      <c r="M377" s="225">
        <f t="shared" si="48"/>
        <v>0</v>
      </c>
      <c r="N377" s="226">
        <f t="shared" si="49"/>
        <v>0</v>
      </c>
      <c r="O377" s="34">
        <v>0.3</v>
      </c>
      <c r="P377" s="226">
        <f t="shared" si="50"/>
        <v>0</v>
      </c>
      <c r="Q377" s="107" t="s">
        <v>1486</v>
      </c>
      <c r="R377" s="34">
        <v>0.3</v>
      </c>
      <c r="S377" s="226">
        <f t="shared" si="51"/>
        <v>0</v>
      </c>
      <c r="T377" s="156" t="s">
        <v>1486</v>
      </c>
      <c r="U377" s="2" t="s">
        <v>109</v>
      </c>
      <c r="V377" s="2" t="s">
        <v>47</v>
      </c>
      <c r="W377" s="2" t="s">
        <v>5886</v>
      </c>
      <c r="X377" s="2"/>
      <c r="Y377" s="488" t="s">
        <v>1486</v>
      </c>
      <c r="Z377" s="293">
        <f t="shared" si="44"/>
        <v>0</v>
      </c>
      <c r="AA377" s="293">
        <f t="shared" si="45"/>
        <v>0</v>
      </c>
    </row>
    <row r="378" spans="1:27" s="320" customFormat="1" x14ac:dyDescent="0.25">
      <c r="A378" s="220" t="s">
        <v>418</v>
      </c>
      <c r="B378" s="221" t="s">
        <v>3533</v>
      </c>
      <c r="C378" s="223" t="s">
        <v>1561</v>
      </c>
      <c r="D378" s="220" t="s">
        <v>426</v>
      </c>
      <c r="E378" s="222">
        <v>12</v>
      </c>
      <c r="F378" s="192">
        <v>1124</v>
      </c>
      <c r="G378" s="24">
        <v>0.2</v>
      </c>
      <c r="H378" s="24">
        <v>0.05</v>
      </c>
      <c r="I378" s="24">
        <v>0.05</v>
      </c>
      <c r="J378" s="24">
        <v>0</v>
      </c>
      <c r="K378" s="224">
        <f t="shared" si="46"/>
        <v>0.27800000000000014</v>
      </c>
      <c r="L378" s="225">
        <f t="shared" si="47"/>
        <v>18681.440443213298</v>
      </c>
      <c r="M378" s="225">
        <f t="shared" si="48"/>
        <v>1556.7867036011082</v>
      </c>
      <c r="N378" s="226">
        <f t="shared" si="49"/>
        <v>1852.5761772853186</v>
      </c>
      <c r="O378" s="34">
        <v>0.3</v>
      </c>
      <c r="P378" s="226">
        <f t="shared" si="50"/>
        <v>2408.3490304709144</v>
      </c>
      <c r="Q378" s="107" t="s">
        <v>1486</v>
      </c>
      <c r="R378" s="34">
        <v>0.3</v>
      </c>
      <c r="S378" s="226">
        <f t="shared" si="51"/>
        <v>1910.8</v>
      </c>
      <c r="T378" s="156" t="s">
        <v>1486</v>
      </c>
      <c r="U378" s="2" t="s">
        <v>50</v>
      </c>
      <c r="V378" s="2" t="s">
        <v>47</v>
      </c>
      <c r="W378" s="2" t="s">
        <v>2900</v>
      </c>
      <c r="X378" s="2" t="s">
        <v>2903</v>
      </c>
      <c r="Y378" s="488" t="s">
        <v>1486</v>
      </c>
      <c r="Z378" s="293">
        <f t="shared" si="44"/>
        <v>432.78670360110823</v>
      </c>
      <c r="AA378" s="293">
        <f t="shared" si="45"/>
        <v>481.71428571428578</v>
      </c>
    </row>
    <row r="379" spans="1:27" s="320" customFormat="1" x14ac:dyDescent="0.25">
      <c r="A379" s="220" t="s">
        <v>419</v>
      </c>
      <c r="B379" s="221" t="s">
        <v>773</v>
      </c>
      <c r="C379" s="223" t="s">
        <v>1561</v>
      </c>
      <c r="D379" s="220" t="s">
        <v>749</v>
      </c>
      <c r="E379" s="222">
        <v>12</v>
      </c>
      <c r="F379" s="192">
        <v>0</v>
      </c>
      <c r="G379" s="24">
        <v>0.2</v>
      </c>
      <c r="H379" s="24">
        <v>0.05</v>
      </c>
      <c r="I379" s="24">
        <v>0.05</v>
      </c>
      <c r="J379" s="24">
        <v>0</v>
      </c>
      <c r="K379" s="224">
        <f t="shared" si="46"/>
        <v>0</v>
      </c>
      <c r="L379" s="225">
        <f t="shared" si="47"/>
        <v>0</v>
      </c>
      <c r="M379" s="225">
        <f t="shared" si="48"/>
        <v>0</v>
      </c>
      <c r="N379" s="226">
        <f t="shared" si="49"/>
        <v>0</v>
      </c>
      <c r="O379" s="34">
        <v>0.3</v>
      </c>
      <c r="P379" s="226">
        <f t="shared" si="50"/>
        <v>0</v>
      </c>
      <c r="Q379" s="107" t="s">
        <v>1486</v>
      </c>
      <c r="R379" s="34">
        <v>0.3</v>
      </c>
      <c r="S379" s="226">
        <f t="shared" si="51"/>
        <v>0</v>
      </c>
      <c r="T379" s="156" t="s">
        <v>1486</v>
      </c>
      <c r="U379" s="2" t="s">
        <v>109</v>
      </c>
      <c r="V379" s="2" t="s">
        <v>47</v>
      </c>
      <c r="W379" s="2" t="s">
        <v>5886</v>
      </c>
      <c r="X379" s="2"/>
      <c r="Y379" s="488" t="s">
        <v>1486</v>
      </c>
      <c r="Z379" s="293">
        <f t="shared" si="44"/>
        <v>0</v>
      </c>
      <c r="AA379" s="293">
        <f t="shared" si="45"/>
        <v>0</v>
      </c>
    </row>
    <row r="380" spans="1:27" s="320" customFormat="1" x14ac:dyDescent="0.25">
      <c r="A380" s="220" t="s">
        <v>420</v>
      </c>
      <c r="B380" s="221" t="s">
        <v>3534</v>
      </c>
      <c r="C380" s="223" t="s">
        <v>1561</v>
      </c>
      <c r="D380" s="220" t="s">
        <v>426</v>
      </c>
      <c r="E380" s="222">
        <v>12</v>
      </c>
      <c r="F380" s="192">
        <v>1128</v>
      </c>
      <c r="G380" s="24">
        <v>0.2</v>
      </c>
      <c r="H380" s="24">
        <v>0.05</v>
      </c>
      <c r="I380" s="24">
        <v>0.05</v>
      </c>
      <c r="J380" s="24">
        <v>0</v>
      </c>
      <c r="K380" s="224">
        <f t="shared" si="46"/>
        <v>0.27800000000000014</v>
      </c>
      <c r="L380" s="225">
        <f t="shared" si="47"/>
        <v>18747.922437673133</v>
      </c>
      <c r="M380" s="225">
        <f t="shared" si="48"/>
        <v>1562.3268698060945</v>
      </c>
      <c r="N380" s="226">
        <f t="shared" si="49"/>
        <v>1859.1689750692524</v>
      </c>
      <c r="O380" s="34">
        <v>0.3</v>
      </c>
      <c r="P380" s="226">
        <f t="shared" si="50"/>
        <v>2416.919667590028</v>
      </c>
      <c r="Q380" s="107" t="s">
        <v>1486</v>
      </c>
      <c r="R380" s="34">
        <v>0.3</v>
      </c>
      <c r="S380" s="226">
        <f t="shared" si="51"/>
        <v>1917.6000000000001</v>
      </c>
      <c r="T380" s="156" t="s">
        <v>1486</v>
      </c>
      <c r="U380" s="2" t="s">
        <v>50</v>
      </c>
      <c r="V380" s="2" t="s">
        <v>47</v>
      </c>
      <c r="W380" s="2" t="s">
        <v>2900</v>
      </c>
      <c r="X380" s="2" t="s">
        <v>2903</v>
      </c>
      <c r="Y380" s="488" t="s">
        <v>1486</v>
      </c>
      <c r="Z380" s="293">
        <f t="shared" si="44"/>
        <v>434.32686980609446</v>
      </c>
      <c r="AA380" s="293">
        <f t="shared" si="45"/>
        <v>483.42857142857156</v>
      </c>
    </row>
    <row r="381" spans="1:27" s="320" customFormat="1" x14ac:dyDescent="0.25">
      <c r="A381" s="220" t="s">
        <v>422</v>
      </c>
      <c r="B381" s="221" t="s">
        <v>774</v>
      </c>
      <c r="C381" s="223" t="s">
        <v>1561</v>
      </c>
      <c r="D381" s="220" t="s">
        <v>749</v>
      </c>
      <c r="E381" s="222">
        <v>24</v>
      </c>
      <c r="F381" s="192">
        <v>0</v>
      </c>
      <c r="G381" s="24">
        <v>0.2</v>
      </c>
      <c r="H381" s="24">
        <v>0.05</v>
      </c>
      <c r="I381" s="24">
        <v>0.05</v>
      </c>
      <c r="J381" s="24">
        <v>0</v>
      </c>
      <c r="K381" s="224">
        <f t="shared" si="46"/>
        <v>0</v>
      </c>
      <c r="L381" s="225">
        <f t="shared" si="47"/>
        <v>0</v>
      </c>
      <c r="M381" s="225">
        <f t="shared" si="48"/>
        <v>0</v>
      </c>
      <c r="N381" s="226">
        <f t="shared" si="49"/>
        <v>0</v>
      </c>
      <c r="O381" s="34">
        <v>0.3</v>
      </c>
      <c r="P381" s="226">
        <f t="shared" si="50"/>
        <v>0</v>
      </c>
      <c r="Q381" s="107" t="s">
        <v>1486</v>
      </c>
      <c r="R381" s="34">
        <v>0.3</v>
      </c>
      <c r="S381" s="226">
        <f t="shared" si="51"/>
        <v>0</v>
      </c>
      <c r="T381" s="156" t="s">
        <v>1486</v>
      </c>
      <c r="U381" s="2" t="s">
        <v>109</v>
      </c>
      <c r="V381" s="2" t="s">
        <v>47</v>
      </c>
      <c r="W381" s="2" t="s">
        <v>2900</v>
      </c>
      <c r="X381" s="2"/>
      <c r="Y381" s="488" t="s">
        <v>1486</v>
      </c>
      <c r="Z381" s="293">
        <f t="shared" si="44"/>
        <v>0</v>
      </c>
      <c r="AA381" s="293">
        <f t="shared" si="45"/>
        <v>0</v>
      </c>
    </row>
    <row r="382" spans="1:27" s="320" customFormat="1" x14ac:dyDescent="0.25">
      <c r="A382" s="220" t="s">
        <v>423</v>
      </c>
      <c r="B382" s="221" t="s">
        <v>3535</v>
      </c>
      <c r="C382" s="223" t="s">
        <v>1561</v>
      </c>
      <c r="D382" s="220" t="s">
        <v>426</v>
      </c>
      <c r="E382" s="222">
        <v>12</v>
      </c>
      <c r="F382" s="192">
        <v>592</v>
      </c>
      <c r="G382" s="24">
        <v>0.2</v>
      </c>
      <c r="H382" s="24">
        <v>0.05</v>
      </c>
      <c r="I382" s="24">
        <v>0.05</v>
      </c>
      <c r="J382" s="24">
        <v>0</v>
      </c>
      <c r="K382" s="224">
        <f t="shared" si="46"/>
        <v>0.27800000000000014</v>
      </c>
      <c r="L382" s="225">
        <f t="shared" si="47"/>
        <v>9839.3351800554046</v>
      </c>
      <c r="M382" s="225">
        <f t="shared" si="48"/>
        <v>819.94459833795031</v>
      </c>
      <c r="N382" s="226">
        <f t="shared" si="49"/>
        <v>975.73407202216083</v>
      </c>
      <c r="O382" s="34">
        <v>0.3</v>
      </c>
      <c r="P382" s="226">
        <f t="shared" si="50"/>
        <v>1268.4542936288092</v>
      </c>
      <c r="Q382" s="107" t="s">
        <v>1486</v>
      </c>
      <c r="R382" s="34">
        <v>0.3</v>
      </c>
      <c r="S382" s="226">
        <f t="shared" si="51"/>
        <v>1006.4</v>
      </c>
      <c r="T382" s="156" t="s">
        <v>1486</v>
      </c>
      <c r="U382" s="2" t="s">
        <v>50</v>
      </c>
      <c r="V382" s="2" t="s">
        <v>47</v>
      </c>
      <c r="W382" s="2" t="s">
        <v>2900</v>
      </c>
      <c r="X382" s="2" t="s">
        <v>2903</v>
      </c>
      <c r="Y382" s="488" t="s">
        <v>1486</v>
      </c>
      <c r="Z382" s="293">
        <f t="shared" si="44"/>
        <v>227.94459833795031</v>
      </c>
      <c r="AA382" s="293">
        <f t="shared" si="45"/>
        <v>253.71428571428578</v>
      </c>
    </row>
    <row r="383" spans="1:27" s="320" customFormat="1" x14ac:dyDescent="0.25">
      <c r="A383" s="220" t="s">
        <v>424</v>
      </c>
      <c r="B383" s="221" t="s">
        <v>775</v>
      </c>
      <c r="C383" s="223" t="s">
        <v>1561</v>
      </c>
      <c r="D383" s="220" t="s">
        <v>749</v>
      </c>
      <c r="E383" s="222">
        <v>12</v>
      </c>
      <c r="F383" s="192">
        <v>0</v>
      </c>
      <c r="G383" s="24">
        <v>0.2</v>
      </c>
      <c r="H383" s="24">
        <v>0.05</v>
      </c>
      <c r="I383" s="24">
        <v>0.05</v>
      </c>
      <c r="J383" s="24">
        <v>0</v>
      </c>
      <c r="K383" s="224">
        <f t="shared" si="46"/>
        <v>0</v>
      </c>
      <c r="L383" s="225">
        <f t="shared" si="47"/>
        <v>0</v>
      </c>
      <c r="M383" s="225">
        <f t="shared" si="48"/>
        <v>0</v>
      </c>
      <c r="N383" s="226">
        <f t="shared" si="49"/>
        <v>0</v>
      </c>
      <c r="O383" s="34">
        <v>0.3</v>
      </c>
      <c r="P383" s="226">
        <f t="shared" si="50"/>
        <v>0</v>
      </c>
      <c r="Q383" s="107" t="s">
        <v>1486</v>
      </c>
      <c r="R383" s="34">
        <v>0.3</v>
      </c>
      <c r="S383" s="226">
        <f t="shared" si="51"/>
        <v>0</v>
      </c>
      <c r="T383" s="156" t="s">
        <v>1486</v>
      </c>
      <c r="U383" s="2" t="s">
        <v>109</v>
      </c>
      <c r="V383" s="2" t="s">
        <v>47</v>
      </c>
      <c r="W383" s="2" t="s">
        <v>5886</v>
      </c>
      <c r="X383" s="2"/>
      <c r="Y383" s="488" t="s">
        <v>1486</v>
      </c>
      <c r="Z383" s="293">
        <f t="shared" si="44"/>
        <v>0</v>
      </c>
      <c r="AA383" s="293">
        <f t="shared" si="45"/>
        <v>0</v>
      </c>
    </row>
    <row r="384" spans="1:27" s="320" customFormat="1" x14ac:dyDescent="0.25">
      <c r="A384" s="220" t="s">
        <v>425</v>
      </c>
      <c r="B384" s="221" t="s">
        <v>776</v>
      </c>
      <c r="C384" s="223" t="s">
        <v>1561</v>
      </c>
      <c r="D384" s="220" t="s">
        <v>749</v>
      </c>
      <c r="E384" s="222">
        <v>24</v>
      </c>
      <c r="F384" s="192">
        <v>0</v>
      </c>
      <c r="G384" s="24">
        <v>0.2</v>
      </c>
      <c r="H384" s="24">
        <v>0.05</v>
      </c>
      <c r="I384" s="24">
        <v>0.05</v>
      </c>
      <c r="J384" s="24">
        <v>0</v>
      </c>
      <c r="K384" s="224">
        <f t="shared" si="46"/>
        <v>0</v>
      </c>
      <c r="L384" s="225">
        <f t="shared" si="47"/>
        <v>0</v>
      </c>
      <c r="M384" s="225">
        <f t="shared" si="48"/>
        <v>0</v>
      </c>
      <c r="N384" s="226">
        <f t="shared" si="49"/>
        <v>0</v>
      </c>
      <c r="O384" s="34">
        <v>0.3</v>
      </c>
      <c r="P384" s="226">
        <f t="shared" si="50"/>
        <v>0</v>
      </c>
      <c r="Q384" s="107" t="s">
        <v>1486</v>
      </c>
      <c r="R384" s="34">
        <v>0.3</v>
      </c>
      <c r="S384" s="226">
        <f t="shared" si="51"/>
        <v>0</v>
      </c>
      <c r="T384" s="156" t="s">
        <v>1486</v>
      </c>
      <c r="U384" s="2" t="s">
        <v>109</v>
      </c>
      <c r="V384" s="2" t="s">
        <v>47</v>
      </c>
      <c r="W384" s="2" t="s">
        <v>5886</v>
      </c>
      <c r="X384" s="2"/>
      <c r="Y384" s="488" t="s">
        <v>1486</v>
      </c>
      <c r="Z384" s="293">
        <f t="shared" ref="Z384:Z447" si="52">+M384-F384</f>
        <v>0</v>
      </c>
      <c r="AA384" s="293">
        <f t="shared" ref="AA384:AA447" si="53">+(S384/1.19)-F384</f>
        <v>0</v>
      </c>
    </row>
    <row r="385" spans="1:27" s="320" customFormat="1" x14ac:dyDescent="0.25">
      <c r="A385" s="220" t="s">
        <v>427</v>
      </c>
      <c r="B385" s="221" t="s">
        <v>3536</v>
      </c>
      <c r="C385" s="223" t="s">
        <v>1561</v>
      </c>
      <c r="D385" s="220" t="s">
        <v>426</v>
      </c>
      <c r="E385" s="222">
        <v>12</v>
      </c>
      <c r="F385" s="192">
        <v>819</v>
      </c>
      <c r="G385" s="24">
        <v>0.2</v>
      </c>
      <c r="H385" s="24">
        <v>0.05</v>
      </c>
      <c r="I385" s="24">
        <v>0.05</v>
      </c>
      <c r="J385" s="24">
        <v>0</v>
      </c>
      <c r="K385" s="224">
        <f t="shared" si="46"/>
        <v>0.27800000000000014</v>
      </c>
      <c r="L385" s="225">
        <f t="shared" si="47"/>
        <v>13612.188365650973</v>
      </c>
      <c r="M385" s="225">
        <f t="shared" si="48"/>
        <v>1134.3490304709144</v>
      </c>
      <c r="N385" s="226">
        <f t="shared" si="49"/>
        <v>1349.8753462603881</v>
      </c>
      <c r="O385" s="34">
        <v>0.3</v>
      </c>
      <c r="P385" s="226">
        <f t="shared" si="50"/>
        <v>1754.8379501385045</v>
      </c>
      <c r="Q385" s="107" t="s">
        <v>1486</v>
      </c>
      <c r="R385" s="34">
        <v>0.3</v>
      </c>
      <c r="S385" s="226">
        <f t="shared" si="51"/>
        <v>1392.3</v>
      </c>
      <c r="T385" s="156" t="s">
        <v>1486</v>
      </c>
      <c r="U385" s="2" t="s">
        <v>50</v>
      </c>
      <c r="V385" s="2" t="s">
        <v>47</v>
      </c>
      <c r="W385" s="2" t="s">
        <v>2900</v>
      </c>
      <c r="X385" s="2" t="s">
        <v>2903</v>
      </c>
      <c r="Y385" s="488" t="s">
        <v>1486</v>
      </c>
      <c r="Z385" s="293">
        <f t="shared" si="52"/>
        <v>315.34903047091439</v>
      </c>
      <c r="AA385" s="293">
        <f t="shared" si="53"/>
        <v>351</v>
      </c>
    </row>
    <row r="386" spans="1:27" s="320" customFormat="1" x14ac:dyDescent="0.25">
      <c r="A386" s="220" t="s">
        <v>428</v>
      </c>
      <c r="B386" s="221" t="s">
        <v>3537</v>
      </c>
      <c r="C386" s="223" t="s">
        <v>1561</v>
      </c>
      <c r="D386" s="220" t="s">
        <v>426</v>
      </c>
      <c r="E386" s="222">
        <v>12</v>
      </c>
      <c r="F386" s="192">
        <v>866</v>
      </c>
      <c r="G386" s="24">
        <v>0.2</v>
      </c>
      <c r="H386" s="24">
        <v>0.05</v>
      </c>
      <c r="I386" s="24">
        <v>0.05</v>
      </c>
      <c r="J386" s="24">
        <v>0</v>
      </c>
      <c r="K386" s="224">
        <f t="shared" si="46"/>
        <v>0.27800000000000002</v>
      </c>
      <c r="L386" s="225">
        <f t="shared" si="47"/>
        <v>14393.351800554017</v>
      </c>
      <c r="M386" s="225">
        <f t="shared" si="48"/>
        <v>1199.4459833795015</v>
      </c>
      <c r="N386" s="226">
        <f t="shared" si="49"/>
        <v>1427.3407202216067</v>
      </c>
      <c r="O386" s="34">
        <v>0.3</v>
      </c>
      <c r="P386" s="226">
        <f t="shared" si="50"/>
        <v>1855.5429362880889</v>
      </c>
      <c r="Q386" s="107" t="s">
        <v>1486</v>
      </c>
      <c r="R386" s="34">
        <v>0.3</v>
      </c>
      <c r="S386" s="226">
        <f t="shared" si="51"/>
        <v>1472.1999999999998</v>
      </c>
      <c r="T386" s="156" t="s">
        <v>1486</v>
      </c>
      <c r="U386" s="2" t="s">
        <v>50</v>
      </c>
      <c r="V386" s="2" t="s">
        <v>47</v>
      </c>
      <c r="W386" s="2" t="s">
        <v>2900</v>
      </c>
      <c r="X386" s="2" t="s">
        <v>2903</v>
      </c>
      <c r="Y386" s="488" t="s">
        <v>1486</v>
      </c>
      <c r="Z386" s="293">
        <f t="shared" si="52"/>
        <v>333.44598337950151</v>
      </c>
      <c r="AA386" s="293">
        <f t="shared" si="53"/>
        <v>371.14285714285711</v>
      </c>
    </row>
    <row r="387" spans="1:27" s="320" customFormat="1" x14ac:dyDescent="0.25">
      <c r="A387" s="220" t="s">
        <v>429</v>
      </c>
      <c r="B387" s="221" t="s">
        <v>777</v>
      </c>
      <c r="C387" s="223" t="s">
        <v>1561</v>
      </c>
      <c r="D387" s="220" t="s">
        <v>749</v>
      </c>
      <c r="E387" s="222">
        <v>10</v>
      </c>
      <c r="F387" s="192">
        <v>0</v>
      </c>
      <c r="G387" s="24">
        <v>0.2</v>
      </c>
      <c r="H387" s="24">
        <v>0.05</v>
      </c>
      <c r="I387" s="24">
        <v>0.05</v>
      </c>
      <c r="J387" s="24">
        <v>0</v>
      </c>
      <c r="K387" s="224">
        <f t="shared" ref="K387:K450" si="54">IF(F387=0,0,1-(F387/M387))</f>
        <v>0</v>
      </c>
      <c r="L387" s="225">
        <f t="shared" ref="L387:L450" si="55">+M387*E387</f>
        <v>0</v>
      </c>
      <c r="M387" s="225">
        <f t="shared" ref="M387:M450" si="56">+F387/(1-G387)/(1-H387)/(1-I387)/(1-J387)</f>
        <v>0</v>
      </c>
      <c r="N387" s="226">
        <f t="shared" ref="N387:N450" si="57">+M387*1.19</f>
        <v>0</v>
      </c>
      <c r="O387" s="34">
        <v>0.3</v>
      </c>
      <c r="P387" s="226">
        <f t="shared" ref="P387:P450" si="58">+N387*(1+O387)</f>
        <v>0</v>
      </c>
      <c r="Q387" s="107" t="s">
        <v>1486</v>
      </c>
      <c r="R387" s="34">
        <v>0.3</v>
      </c>
      <c r="S387" s="226">
        <f t="shared" si="51"/>
        <v>0</v>
      </c>
      <c r="T387" s="156" t="s">
        <v>1486</v>
      </c>
      <c r="U387" s="2" t="s">
        <v>109</v>
      </c>
      <c r="V387" s="2" t="s">
        <v>47</v>
      </c>
      <c r="W387" s="2" t="s">
        <v>5886</v>
      </c>
      <c r="X387" s="2"/>
      <c r="Y387" s="488" t="s">
        <v>1486</v>
      </c>
      <c r="Z387" s="293">
        <f t="shared" si="52"/>
        <v>0</v>
      </c>
      <c r="AA387" s="293">
        <f t="shared" si="53"/>
        <v>0</v>
      </c>
    </row>
    <row r="388" spans="1:27" s="320" customFormat="1" x14ac:dyDescent="0.25">
      <c r="A388" s="220" t="s">
        <v>430</v>
      </c>
      <c r="B388" s="221" t="s">
        <v>2700</v>
      </c>
      <c r="C388" s="223" t="s">
        <v>1561</v>
      </c>
      <c r="D388" s="220" t="s">
        <v>426</v>
      </c>
      <c r="E388" s="222">
        <v>6</v>
      </c>
      <c r="F388" s="192">
        <v>2464</v>
      </c>
      <c r="G388" s="24">
        <v>0.2</v>
      </c>
      <c r="H388" s="24">
        <v>0.05</v>
      </c>
      <c r="I388" s="24">
        <v>0.05</v>
      </c>
      <c r="J388" s="24">
        <v>0</v>
      </c>
      <c r="K388" s="224">
        <f t="shared" si="54"/>
        <v>0.27800000000000014</v>
      </c>
      <c r="L388" s="225">
        <f t="shared" si="55"/>
        <v>20476.454293628813</v>
      </c>
      <c r="M388" s="225">
        <f t="shared" si="56"/>
        <v>3412.7423822714686</v>
      </c>
      <c r="N388" s="226">
        <f t="shared" si="57"/>
        <v>4061.1634349030473</v>
      </c>
      <c r="O388" s="34">
        <v>0.3</v>
      </c>
      <c r="P388" s="226">
        <f t="shared" si="58"/>
        <v>5279.5124653739613</v>
      </c>
      <c r="Q388" s="107" t="s">
        <v>1486</v>
      </c>
      <c r="R388" s="34">
        <v>0.30186666174734361</v>
      </c>
      <c r="S388" s="226">
        <f t="shared" si="51"/>
        <v>4199.9999704051415</v>
      </c>
      <c r="T388" s="156" t="s">
        <v>1486</v>
      </c>
      <c r="U388" s="2" t="s">
        <v>50</v>
      </c>
      <c r="V388" s="2" t="s">
        <v>47</v>
      </c>
      <c r="W388" s="2" t="s">
        <v>2900</v>
      </c>
      <c r="X388" s="2" t="s">
        <v>2903</v>
      </c>
      <c r="Y388" s="488" t="s">
        <v>1486</v>
      </c>
      <c r="Z388" s="293">
        <f t="shared" si="52"/>
        <v>948.74238227146861</v>
      </c>
      <c r="AA388" s="293">
        <f t="shared" si="53"/>
        <v>1065.4117398362537</v>
      </c>
    </row>
    <row r="389" spans="1:27" s="320" customFormat="1" x14ac:dyDescent="0.25">
      <c r="A389" s="220" t="s">
        <v>431</v>
      </c>
      <c r="B389" s="221" t="s">
        <v>778</v>
      </c>
      <c r="C389" s="223" t="s">
        <v>1561</v>
      </c>
      <c r="D389" s="220" t="s">
        <v>749</v>
      </c>
      <c r="E389" s="222">
        <v>10</v>
      </c>
      <c r="F389" s="192">
        <v>4905</v>
      </c>
      <c r="G389" s="24">
        <v>0.2</v>
      </c>
      <c r="H389" s="24">
        <v>0.05</v>
      </c>
      <c r="I389" s="24">
        <v>0.05</v>
      </c>
      <c r="J389" s="24">
        <v>0</v>
      </c>
      <c r="K389" s="224">
        <f t="shared" si="54"/>
        <v>0.27800000000000002</v>
      </c>
      <c r="L389" s="225">
        <f t="shared" si="55"/>
        <v>67936.288088642657</v>
      </c>
      <c r="M389" s="225">
        <f t="shared" si="56"/>
        <v>6793.6288088642659</v>
      </c>
      <c r="N389" s="226">
        <f t="shared" si="57"/>
        <v>8084.4182825484759</v>
      </c>
      <c r="O389" s="34">
        <v>0.3</v>
      </c>
      <c r="P389" s="226">
        <f t="shared" si="58"/>
        <v>10509.743767313019</v>
      </c>
      <c r="Q389" s="107" t="s">
        <v>1486</v>
      </c>
      <c r="R389" s="34">
        <v>0.3</v>
      </c>
      <c r="S389" s="226">
        <f t="shared" si="51"/>
        <v>8338.5</v>
      </c>
      <c r="T389" s="156" t="s">
        <v>1486</v>
      </c>
      <c r="U389" s="2" t="s">
        <v>50</v>
      </c>
      <c r="V389" s="2" t="s">
        <v>47</v>
      </c>
      <c r="W389" s="2" t="s">
        <v>5886</v>
      </c>
      <c r="X389" s="2"/>
      <c r="Y389" s="488" t="s">
        <v>1486</v>
      </c>
      <c r="Z389" s="293">
        <f t="shared" si="52"/>
        <v>1888.6288088642659</v>
      </c>
      <c r="AA389" s="293">
        <f t="shared" si="53"/>
        <v>2102.1428571428578</v>
      </c>
    </row>
    <row r="390" spans="1:27" s="320" customFormat="1" x14ac:dyDescent="0.25">
      <c r="A390" s="220" t="s">
        <v>432</v>
      </c>
      <c r="B390" s="221" t="s">
        <v>779</v>
      </c>
      <c r="C390" s="223" t="s">
        <v>1561</v>
      </c>
      <c r="D390" s="220" t="s">
        <v>749</v>
      </c>
      <c r="E390" s="222">
        <v>12</v>
      </c>
      <c r="F390" s="192">
        <v>0</v>
      </c>
      <c r="G390" s="24">
        <v>0.2</v>
      </c>
      <c r="H390" s="24">
        <v>0.05</v>
      </c>
      <c r="I390" s="24">
        <v>0.05</v>
      </c>
      <c r="J390" s="24">
        <v>0</v>
      </c>
      <c r="K390" s="224">
        <f t="shared" si="54"/>
        <v>0</v>
      </c>
      <c r="L390" s="225">
        <f t="shared" si="55"/>
        <v>0</v>
      </c>
      <c r="M390" s="225">
        <f t="shared" si="56"/>
        <v>0</v>
      </c>
      <c r="N390" s="226">
        <f t="shared" si="57"/>
        <v>0</v>
      </c>
      <c r="O390" s="34">
        <v>0.3</v>
      </c>
      <c r="P390" s="226">
        <f t="shared" si="58"/>
        <v>0</v>
      </c>
      <c r="Q390" s="107" t="s">
        <v>1486</v>
      </c>
      <c r="R390" s="34">
        <v>0.3</v>
      </c>
      <c r="S390" s="226">
        <f t="shared" si="51"/>
        <v>0</v>
      </c>
      <c r="T390" s="156" t="s">
        <v>1486</v>
      </c>
      <c r="U390" s="2" t="s">
        <v>109</v>
      </c>
      <c r="V390" s="2" t="s">
        <v>47</v>
      </c>
      <c r="W390" s="2" t="s">
        <v>5886</v>
      </c>
      <c r="X390" s="2"/>
      <c r="Y390" s="488" t="s">
        <v>1486</v>
      </c>
      <c r="Z390" s="293">
        <f t="shared" si="52"/>
        <v>0</v>
      </c>
      <c r="AA390" s="293">
        <f t="shared" si="53"/>
        <v>0</v>
      </c>
    </row>
    <row r="391" spans="1:27" s="320" customFormat="1" x14ac:dyDescent="0.25">
      <c r="A391" s="220" t="s">
        <v>433</v>
      </c>
      <c r="B391" s="221" t="s">
        <v>3540</v>
      </c>
      <c r="C391" s="223" t="s">
        <v>1561</v>
      </c>
      <c r="D391" s="220" t="s">
        <v>3539</v>
      </c>
      <c r="E391" s="222">
        <v>48</v>
      </c>
      <c r="F391" s="192">
        <v>547</v>
      </c>
      <c r="G391" s="24">
        <v>0.2</v>
      </c>
      <c r="H391" s="24">
        <v>0.05</v>
      </c>
      <c r="I391" s="24">
        <v>0.05</v>
      </c>
      <c r="J391" s="24">
        <v>0</v>
      </c>
      <c r="K391" s="224">
        <f t="shared" si="54"/>
        <v>0.27800000000000014</v>
      </c>
      <c r="L391" s="225">
        <f t="shared" si="55"/>
        <v>36365.650969529088</v>
      </c>
      <c r="M391" s="225">
        <f t="shared" si="56"/>
        <v>757.61772853185607</v>
      </c>
      <c r="N391" s="226">
        <f t="shared" si="57"/>
        <v>901.56509695290868</v>
      </c>
      <c r="O391" s="34">
        <v>0.3</v>
      </c>
      <c r="P391" s="226">
        <f t="shared" si="58"/>
        <v>1172.0346260387814</v>
      </c>
      <c r="Q391" s="107" t="s">
        <v>1486</v>
      </c>
      <c r="R391" s="34">
        <v>0.14002667459628423</v>
      </c>
      <c r="S391" s="226">
        <f t="shared" si="51"/>
        <v>756.91882616756743</v>
      </c>
      <c r="T391" s="156" t="s">
        <v>1486</v>
      </c>
      <c r="U391" s="2" t="s">
        <v>50</v>
      </c>
      <c r="V391" s="2" t="s">
        <v>47</v>
      </c>
      <c r="W391" s="2" t="s">
        <v>2900</v>
      </c>
      <c r="X391" s="2" t="s">
        <v>2901</v>
      </c>
      <c r="Y391" s="488" t="s">
        <v>1486</v>
      </c>
      <c r="Z391" s="293">
        <f t="shared" si="52"/>
        <v>210.61772853185607</v>
      </c>
      <c r="AA391" s="293">
        <f t="shared" si="53"/>
        <v>89.066240476947428</v>
      </c>
    </row>
    <row r="392" spans="1:27" s="320" customFormat="1" x14ac:dyDescent="0.25">
      <c r="A392" s="220" t="s">
        <v>434</v>
      </c>
      <c r="B392" s="221" t="s">
        <v>780</v>
      </c>
      <c r="C392" s="223" t="s">
        <v>1561</v>
      </c>
      <c r="D392" s="220" t="s">
        <v>749</v>
      </c>
      <c r="E392" s="222">
        <v>12</v>
      </c>
      <c r="F392" s="192">
        <v>0</v>
      </c>
      <c r="G392" s="24">
        <v>0.2</v>
      </c>
      <c r="H392" s="24">
        <v>0.05</v>
      </c>
      <c r="I392" s="24">
        <v>0.05</v>
      </c>
      <c r="J392" s="24">
        <v>0</v>
      </c>
      <c r="K392" s="224">
        <f t="shared" si="54"/>
        <v>0</v>
      </c>
      <c r="L392" s="225">
        <f t="shared" si="55"/>
        <v>0</v>
      </c>
      <c r="M392" s="225">
        <f t="shared" si="56"/>
        <v>0</v>
      </c>
      <c r="N392" s="226">
        <f t="shared" si="57"/>
        <v>0</v>
      </c>
      <c r="O392" s="34">
        <v>0.3</v>
      </c>
      <c r="P392" s="226">
        <f t="shared" si="58"/>
        <v>0</v>
      </c>
      <c r="Q392" s="107" t="s">
        <v>1486</v>
      </c>
      <c r="R392" s="34">
        <v>0.3</v>
      </c>
      <c r="S392" s="226">
        <f t="shared" si="51"/>
        <v>0</v>
      </c>
      <c r="T392" s="156" t="s">
        <v>1486</v>
      </c>
      <c r="U392" s="2" t="s">
        <v>109</v>
      </c>
      <c r="V392" s="2" t="s">
        <v>47</v>
      </c>
      <c r="W392" s="2" t="s">
        <v>5886</v>
      </c>
      <c r="X392" s="2"/>
      <c r="Y392" s="488" t="s">
        <v>1486</v>
      </c>
      <c r="Z392" s="293">
        <f t="shared" si="52"/>
        <v>0</v>
      </c>
      <c r="AA392" s="293">
        <f t="shared" si="53"/>
        <v>0</v>
      </c>
    </row>
    <row r="393" spans="1:27" s="320" customFormat="1" x14ac:dyDescent="0.25">
      <c r="A393" s="220" t="s">
        <v>435</v>
      </c>
      <c r="B393" s="221" t="s">
        <v>438</v>
      </c>
      <c r="C393" s="223" t="s">
        <v>1561</v>
      </c>
      <c r="D393" s="220" t="s">
        <v>439</v>
      </c>
      <c r="E393" s="222">
        <v>12</v>
      </c>
      <c r="F393" s="192">
        <v>0</v>
      </c>
      <c r="G393" s="24">
        <v>0.2</v>
      </c>
      <c r="H393" s="24">
        <v>0.05</v>
      </c>
      <c r="I393" s="24">
        <v>0.05</v>
      </c>
      <c r="J393" s="24">
        <v>0</v>
      </c>
      <c r="K393" s="224">
        <f t="shared" si="54"/>
        <v>0</v>
      </c>
      <c r="L393" s="225">
        <f t="shared" si="55"/>
        <v>0</v>
      </c>
      <c r="M393" s="225">
        <f t="shared" si="56"/>
        <v>0</v>
      </c>
      <c r="N393" s="226">
        <f t="shared" si="57"/>
        <v>0</v>
      </c>
      <c r="O393" s="34">
        <v>0.3</v>
      </c>
      <c r="P393" s="226">
        <f t="shared" si="58"/>
        <v>0</v>
      </c>
      <c r="Q393" s="107" t="s">
        <v>1486</v>
      </c>
      <c r="R393" s="34">
        <v>0.3</v>
      </c>
      <c r="S393" s="226">
        <f t="shared" si="51"/>
        <v>0</v>
      </c>
      <c r="T393" s="156" t="s">
        <v>1486</v>
      </c>
      <c r="U393" s="2" t="s">
        <v>109</v>
      </c>
      <c r="V393" s="2" t="s">
        <v>47</v>
      </c>
      <c r="W393" s="2" t="s">
        <v>5963</v>
      </c>
      <c r="X393" s="2" t="s">
        <v>1486</v>
      </c>
      <c r="Y393" s="488" t="s">
        <v>1486</v>
      </c>
      <c r="Z393" s="293">
        <f t="shared" si="52"/>
        <v>0</v>
      </c>
      <c r="AA393" s="293">
        <f t="shared" si="53"/>
        <v>0</v>
      </c>
    </row>
    <row r="394" spans="1:27" s="320" customFormat="1" x14ac:dyDescent="0.25">
      <c r="A394" s="220" t="s">
        <v>436</v>
      </c>
      <c r="B394" s="221" t="s">
        <v>781</v>
      </c>
      <c r="C394" s="223" t="s">
        <v>1561</v>
      </c>
      <c r="D394" s="220" t="s">
        <v>749</v>
      </c>
      <c r="E394" s="222">
        <v>12</v>
      </c>
      <c r="F394" s="192">
        <v>0</v>
      </c>
      <c r="G394" s="24">
        <v>0.2</v>
      </c>
      <c r="H394" s="24">
        <v>0.05</v>
      </c>
      <c r="I394" s="24">
        <v>0.05</v>
      </c>
      <c r="J394" s="24">
        <v>0</v>
      </c>
      <c r="K394" s="224">
        <f t="shared" si="54"/>
        <v>0</v>
      </c>
      <c r="L394" s="225">
        <f t="shared" si="55"/>
        <v>0</v>
      </c>
      <c r="M394" s="225">
        <f t="shared" si="56"/>
        <v>0</v>
      </c>
      <c r="N394" s="226">
        <f t="shared" si="57"/>
        <v>0</v>
      </c>
      <c r="O394" s="34">
        <v>0.3</v>
      </c>
      <c r="P394" s="226">
        <f t="shared" si="58"/>
        <v>0</v>
      </c>
      <c r="Q394" s="107" t="s">
        <v>1486</v>
      </c>
      <c r="R394" s="34">
        <v>0.3</v>
      </c>
      <c r="S394" s="226">
        <f t="shared" si="51"/>
        <v>0</v>
      </c>
      <c r="T394" s="156" t="s">
        <v>1486</v>
      </c>
      <c r="U394" s="2" t="s">
        <v>109</v>
      </c>
      <c r="V394" s="2" t="s">
        <v>47</v>
      </c>
      <c r="W394" s="2" t="s">
        <v>5886</v>
      </c>
      <c r="X394" s="2"/>
      <c r="Y394" s="488" t="s">
        <v>1486</v>
      </c>
      <c r="Z394" s="293">
        <f t="shared" si="52"/>
        <v>0</v>
      </c>
      <c r="AA394" s="293">
        <f t="shared" si="53"/>
        <v>0</v>
      </c>
    </row>
    <row r="395" spans="1:27" s="320" customFormat="1" x14ac:dyDescent="0.25">
      <c r="A395" s="220" t="s">
        <v>437</v>
      </c>
      <c r="B395" s="221" t="s">
        <v>441</v>
      </c>
      <c r="C395" s="223" t="s">
        <v>1561</v>
      </c>
      <c r="D395" s="220" t="s">
        <v>439</v>
      </c>
      <c r="E395" s="222">
        <v>12</v>
      </c>
      <c r="F395" s="192">
        <v>0</v>
      </c>
      <c r="G395" s="24">
        <v>0.2</v>
      </c>
      <c r="H395" s="24">
        <v>0.05</v>
      </c>
      <c r="I395" s="24">
        <v>0.05</v>
      </c>
      <c r="J395" s="24">
        <v>0</v>
      </c>
      <c r="K395" s="224">
        <f t="shared" si="54"/>
        <v>0</v>
      </c>
      <c r="L395" s="225">
        <f t="shared" si="55"/>
        <v>0</v>
      </c>
      <c r="M395" s="225">
        <f t="shared" si="56"/>
        <v>0</v>
      </c>
      <c r="N395" s="226">
        <f t="shared" si="57"/>
        <v>0</v>
      </c>
      <c r="O395" s="34">
        <v>0.3</v>
      </c>
      <c r="P395" s="226">
        <f t="shared" si="58"/>
        <v>0</v>
      </c>
      <c r="Q395" s="107" t="s">
        <v>1486</v>
      </c>
      <c r="R395" s="34">
        <v>0.3</v>
      </c>
      <c r="S395" s="226">
        <f t="shared" si="51"/>
        <v>0</v>
      </c>
      <c r="T395" s="156" t="s">
        <v>1486</v>
      </c>
      <c r="U395" s="2" t="s">
        <v>109</v>
      </c>
      <c r="V395" s="2" t="s">
        <v>47</v>
      </c>
      <c r="W395" s="2" t="s">
        <v>5963</v>
      </c>
      <c r="X395" s="2" t="s">
        <v>1486</v>
      </c>
      <c r="Y395" s="488" t="s">
        <v>1486</v>
      </c>
      <c r="Z395" s="293">
        <f t="shared" si="52"/>
        <v>0</v>
      </c>
      <c r="AA395" s="293">
        <f t="shared" si="53"/>
        <v>0</v>
      </c>
    </row>
    <row r="396" spans="1:27" s="320" customFormat="1" x14ac:dyDescent="0.25">
      <c r="A396" s="220" t="s">
        <v>440</v>
      </c>
      <c r="B396" s="221" t="s">
        <v>443</v>
      </c>
      <c r="C396" s="223" t="s">
        <v>1561</v>
      </c>
      <c r="D396" s="220" t="s">
        <v>439</v>
      </c>
      <c r="E396" s="222">
        <v>12</v>
      </c>
      <c r="F396" s="192">
        <v>0</v>
      </c>
      <c r="G396" s="24">
        <v>0.2</v>
      </c>
      <c r="H396" s="24">
        <v>0.05</v>
      </c>
      <c r="I396" s="24">
        <v>0.05</v>
      </c>
      <c r="J396" s="24">
        <v>0</v>
      </c>
      <c r="K396" s="224">
        <f t="shared" si="54"/>
        <v>0</v>
      </c>
      <c r="L396" s="225">
        <f t="shared" si="55"/>
        <v>0</v>
      </c>
      <c r="M396" s="225">
        <f t="shared" si="56"/>
        <v>0</v>
      </c>
      <c r="N396" s="226">
        <f t="shared" si="57"/>
        <v>0</v>
      </c>
      <c r="O396" s="34">
        <v>0.3</v>
      </c>
      <c r="P396" s="226">
        <f t="shared" si="58"/>
        <v>0</v>
      </c>
      <c r="Q396" s="107" t="s">
        <v>1486</v>
      </c>
      <c r="R396" s="34">
        <v>0.3</v>
      </c>
      <c r="S396" s="226">
        <f t="shared" si="51"/>
        <v>0</v>
      </c>
      <c r="T396" s="156" t="s">
        <v>1486</v>
      </c>
      <c r="U396" s="2" t="s">
        <v>109</v>
      </c>
      <c r="V396" s="2" t="s">
        <v>47</v>
      </c>
      <c r="W396" s="2" t="s">
        <v>5963</v>
      </c>
      <c r="X396" s="2" t="s">
        <v>1486</v>
      </c>
      <c r="Y396" s="488" t="s">
        <v>1486</v>
      </c>
      <c r="Z396" s="293">
        <f t="shared" si="52"/>
        <v>0</v>
      </c>
      <c r="AA396" s="293">
        <f t="shared" si="53"/>
        <v>0</v>
      </c>
    </row>
    <row r="397" spans="1:27" s="320" customFormat="1" x14ac:dyDescent="0.25">
      <c r="A397" s="220" t="s">
        <v>442</v>
      </c>
      <c r="B397" s="221" t="s">
        <v>5892</v>
      </c>
      <c r="C397" s="223" t="s">
        <v>1561</v>
      </c>
      <c r="D397" s="220" t="s">
        <v>782</v>
      </c>
      <c r="E397" s="222">
        <v>6</v>
      </c>
      <c r="F397" s="192">
        <v>4134</v>
      </c>
      <c r="G397" s="24">
        <v>0.2</v>
      </c>
      <c r="H397" s="24">
        <v>0.05</v>
      </c>
      <c r="I397" s="24">
        <v>0.05</v>
      </c>
      <c r="J397" s="24">
        <v>0</v>
      </c>
      <c r="K397" s="224">
        <f t="shared" si="54"/>
        <v>0.27800000000000002</v>
      </c>
      <c r="L397" s="225">
        <f t="shared" si="55"/>
        <v>34354.570637119119</v>
      </c>
      <c r="M397" s="225">
        <f t="shared" si="56"/>
        <v>5725.7617728531859</v>
      </c>
      <c r="N397" s="226">
        <f t="shared" si="57"/>
        <v>6813.6565096952909</v>
      </c>
      <c r="O397" s="34">
        <v>0.3</v>
      </c>
      <c r="P397" s="226">
        <f t="shared" si="58"/>
        <v>8857.7534626038778</v>
      </c>
      <c r="Q397" s="107" t="s">
        <v>1486</v>
      </c>
      <c r="R397" s="34">
        <v>0.24316000000844915</v>
      </c>
      <c r="S397" s="226">
        <f t="shared" si="51"/>
        <v>6500.000000072564</v>
      </c>
      <c r="T397" s="156" t="s">
        <v>1486</v>
      </c>
      <c r="U397" s="2">
        <v>3</v>
      </c>
      <c r="V397" s="2" t="s">
        <v>47</v>
      </c>
      <c r="W397" s="2" t="s">
        <v>5863</v>
      </c>
      <c r="X397" s="2" t="s">
        <v>3470</v>
      </c>
      <c r="Y397" s="488" t="s">
        <v>1486</v>
      </c>
      <c r="Z397" s="293">
        <f t="shared" si="52"/>
        <v>1591.7617728531859</v>
      </c>
      <c r="AA397" s="293">
        <f t="shared" si="53"/>
        <v>1328.1848740105579</v>
      </c>
    </row>
    <row r="398" spans="1:27" s="320" customFormat="1" x14ac:dyDescent="0.25">
      <c r="A398" s="220" t="s">
        <v>444</v>
      </c>
      <c r="B398" s="221" t="s">
        <v>445</v>
      </c>
      <c r="C398" s="223" t="s">
        <v>1561</v>
      </c>
      <c r="D398" s="220" t="s">
        <v>439</v>
      </c>
      <c r="E398" s="222">
        <v>24</v>
      </c>
      <c r="F398" s="192">
        <v>0</v>
      </c>
      <c r="G398" s="24">
        <v>0.2</v>
      </c>
      <c r="H398" s="24">
        <v>0.05</v>
      </c>
      <c r="I398" s="24">
        <v>0.05</v>
      </c>
      <c r="J398" s="24">
        <v>0</v>
      </c>
      <c r="K398" s="224">
        <f t="shared" si="54"/>
        <v>0</v>
      </c>
      <c r="L398" s="225">
        <f t="shared" si="55"/>
        <v>0</v>
      </c>
      <c r="M398" s="225">
        <f t="shared" si="56"/>
        <v>0</v>
      </c>
      <c r="N398" s="226">
        <f t="shared" si="57"/>
        <v>0</v>
      </c>
      <c r="O398" s="34">
        <v>0.3</v>
      </c>
      <c r="P398" s="226">
        <f t="shared" si="58"/>
        <v>0</v>
      </c>
      <c r="Q398" s="107" t="s">
        <v>1486</v>
      </c>
      <c r="R398" s="34">
        <v>0.3</v>
      </c>
      <c r="S398" s="226">
        <f t="shared" si="51"/>
        <v>0</v>
      </c>
      <c r="T398" s="156" t="s">
        <v>1486</v>
      </c>
      <c r="U398" s="2" t="s">
        <v>109</v>
      </c>
      <c r="V398" s="2" t="s">
        <v>47</v>
      </c>
      <c r="W398" s="2" t="s">
        <v>5963</v>
      </c>
      <c r="X398" s="2" t="s">
        <v>1486</v>
      </c>
      <c r="Y398" s="488" t="s">
        <v>1486</v>
      </c>
      <c r="Z398" s="293">
        <f t="shared" si="52"/>
        <v>0</v>
      </c>
      <c r="AA398" s="293">
        <f t="shared" si="53"/>
        <v>0</v>
      </c>
    </row>
    <row r="399" spans="1:27" s="320" customFormat="1" x14ac:dyDescent="0.25">
      <c r="A399" s="220" t="s">
        <v>446</v>
      </c>
      <c r="B399" s="221" t="s">
        <v>2173</v>
      </c>
      <c r="C399" s="223" t="s">
        <v>1561</v>
      </c>
      <c r="D399" s="220" t="s">
        <v>782</v>
      </c>
      <c r="E399" s="222">
        <v>6</v>
      </c>
      <c r="F399" s="192">
        <v>0</v>
      </c>
      <c r="G399" s="24">
        <v>0.2</v>
      </c>
      <c r="H399" s="24">
        <v>0.05</v>
      </c>
      <c r="I399" s="24">
        <v>0.05</v>
      </c>
      <c r="J399" s="24">
        <v>0</v>
      </c>
      <c r="K399" s="224">
        <f t="shared" si="54"/>
        <v>0</v>
      </c>
      <c r="L399" s="225">
        <f t="shared" si="55"/>
        <v>0</v>
      </c>
      <c r="M399" s="225">
        <f t="shared" si="56"/>
        <v>0</v>
      </c>
      <c r="N399" s="226">
        <f t="shared" si="57"/>
        <v>0</v>
      </c>
      <c r="O399" s="34">
        <v>0.3</v>
      </c>
      <c r="P399" s="226">
        <f t="shared" si="58"/>
        <v>0</v>
      </c>
      <c r="Q399" s="107" t="s">
        <v>1486</v>
      </c>
      <c r="R399" s="34">
        <v>0.24316000000844915</v>
      </c>
      <c r="S399" s="226">
        <f t="shared" si="51"/>
        <v>0</v>
      </c>
      <c r="T399" s="156" t="s">
        <v>1486</v>
      </c>
      <c r="U399" s="2" t="s">
        <v>109</v>
      </c>
      <c r="V399" s="2" t="s">
        <v>47</v>
      </c>
      <c r="W399" s="2" t="s">
        <v>5863</v>
      </c>
      <c r="X399" s="2" t="s">
        <v>3470</v>
      </c>
      <c r="Y399" s="488" t="s">
        <v>1486</v>
      </c>
      <c r="Z399" s="293">
        <f t="shared" si="52"/>
        <v>0</v>
      </c>
      <c r="AA399" s="293">
        <f t="shared" si="53"/>
        <v>0</v>
      </c>
    </row>
    <row r="400" spans="1:27" s="320" customFormat="1" x14ac:dyDescent="0.25">
      <c r="A400" s="220" t="s">
        <v>448</v>
      </c>
      <c r="B400" s="221" t="s">
        <v>447</v>
      </c>
      <c r="C400" s="223" t="s">
        <v>1561</v>
      </c>
      <c r="D400" s="220" t="s">
        <v>439</v>
      </c>
      <c r="E400" s="222">
        <v>24</v>
      </c>
      <c r="F400" s="192">
        <v>0</v>
      </c>
      <c r="G400" s="24">
        <v>0.2</v>
      </c>
      <c r="H400" s="24">
        <v>0.05</v>
      </c>
      <c r="I400" s="24">
        <v>0.05</v>
      </c>
      <c r="J400" s="24">
        <v>0</v>
      </c>
      <c r="K400" s="224">
        <f t="shared" si="54"/>
        <v>0</v>
      </c>
      <c r="L400" s="225">
        <f t="shared" si="55"/>
        <v>0</v>
      </c>
      <c r="M400" s="225">
        <f t="shared" si="56"/>
        <v>0</v>
      </c>
      <c r="N400" s="226">
        <f t="shared" si="57"/>
        <v>0</v>
      </c>
      <c r="O400" s="34">
        <v>0.3</v>
      </c>
      <c r="P400" s="226">
        <f t="shared" si="58"/>
        <v>0</v>
      </c>
      <c r="Q400" s="107" t="s">
        <v>1486</v>
      </c>
      <c r="R400" s="34">
        <v>0.3</v>
      </c>
      <c r="S400" s="226">
        <f t="shared" si="51"/>
        <v>0</v>
      </c>
      <c r="T400" s="156" t="s">
        <v>1486</v>
      </c>
      <c r="U400" s="2" t="s">
        <v>109</v>
      </c>
      <c r="V400" s="2" t="s">
        <v>47</v>
      </c>
      <c r="W400" s="2" t="s">
        <v>5963</v>
      </c>
      <c r="X400" s="2" t="s">
        <v>1486</v>
      </c>
      <c r="Y400" s="488" t="s">
        <v>1486</v>
      </c>
      <c r="Z400" s="293">
        <f t="shared" si="52"/>
        <v>0</v>
      </c>
      <c r="AA400" s="293">
        <f t="shared" si="53"/>
        <v>0</v>
      </c>
    </row>
    <row r="401" spans="1:27" s="320" customFormat="1" x14ac:dyDescent="0.25">
      <c r="A401" s="220" t="s">
        <v>450</v>
      </c>
      <c r="B401" s="221" t="s">
        <v>5893</v>
      </c>
      <c r="C401" s="223" t="s">
        <v>1561</v>
      </c>
      <c r="D401" s="220" t="s">
        <v>782</v>
      </c>
      <c r="E401" s="222">
        <v>6</v>
      </c>
      <c r="F401" s="192">
        <v>4134</v>
      </c>
      <c r="G401" s="24">
        <v>0.2</v>
      </c>
      <c r="H401" s="24">
        <v>0.05</v>
      </c>
      <c r="I401" s="24">
        <v>0.05</v>
      </c>
      <c r="J401" s="24">
        <v>0</v>
      </c>
      <c r="K401" s="224">
        <f t="shared" si="54"/>
        <v>0.27800000000000002</v>
      </c>
      <c r="L401" s="225">
        <f t="shared" si="55"/>
        <v>34354.570637119119</v>
      </c>
      <c r="M401" s="225">
        <f t="shared" si="56"/>
        <v>5725.7617728531859</v>
      </c>
      <c r="N401" s="226">
        <f t="shared" si="57"/>
        <v>6813.6565096952909</v>
      </c>
      <c r="O401" s="34">
        <v>0.3</v>
      </c>
      <c r="P401" s="226">
        <f t="shared" si="58"/>
        <v>8857.7534626038778</v>
      </c>
      <c r="Q401" s="107" t="s">
        <v>1486</v>
      </c>
      <c r="R401" s="34">
        <v>0.24316000000844915</v>
      </c>
      <c r="S401" s="226">
        <f t="shared" si="51"/>
        <v>6500.000000072564</v>
      </c>
      <c r="T401" s="156" t="s">
        <v>1486</v>
      </c>
      <c r="U401" s="2">
        <v>4</v>
      </c>
      <c r="V401" s="2" t="s">
        <v>47</v>
      </c>
      <c r="W401" s="2" t="s">
        <v>5863</v>
      </c>
      <c r="X401" s="2" t="s">
        <v>3470</v>
      </c>
      <c r="Y401" s="488" t="s">
        <v>1486</v>
      </c>
      <c r="Z401" s="293">
        <f t="shared" si="52"/>
        <v>1591.7617728531859</v>
      </c>
      <c r="AA401" s="293">
        <f t="shared" si="53"/>
        <v>1328.1848740105579</v>
      </c>
    </row>
    <row r="402" spans="1:27" s="320" customFormat="1" x14ac:dyDescent="0.25">
      <c r="A402" s="220" t="s">
        <v>452</v>
      </c>
      <c r="B402" s="221" t="s">
        <v>5894</v>
      </c>
      <c r="C402" s="223" t="s">
        <v>1561</v>
      </c>
      <c r="D402" s="220" t="s">
        <v>782</v>
      </c>
      <c r="E402" s="222">
        <v>12</v>
      </c>
      <c r="F402" s="192">
        <v>1232</v>
      </c>
      <c r="G402" s="24">
        <v>0.2</v>
      </c>
      <c r="H402" s="24">
        <v>0.05</v>
      </c>
      <c r="I402" s="24">
        <v>0.05</v>
      </c>
      <c r="J402" s="24">
        <v>0</v>
      </c>
      <c r="K402" s="224">
        <f t="shared" si="54"/>
        <v>0.27800000000000014</v>
      </c>
      <c r="L402" s="225">
        <f t="shared" si="55"/>
        <v>20476.454293628813</v>
      </c>
      <c r="M402" s="225">
        <f t="shared" si="56"/>
        <v>1706.3711911357343</v>
      </c>
      <c r="N402" s="226">
        <f t="shared" si="57"/>
        <v>2030.5817174515237</v>
      </c>
      <c r="O402" s="34">
        <v>0.3</v>
      </c>
      <c r="P402" s="226">
        <f t="shared" si="58"/>
        <v>2639.7562326869806</v>
      </c>
      <c r="Q402" s="107" t="s">
        <v>1486</v>
      </c>
      <c r="R402" s="34">
        <v>0.3</v>
      </c>
      <c r="S402" s="226">
        <f t="shared" si="51"/>
        <v>2094.4</v>
      </c>
      <c r="T402" s="156" t="s">
        <v>1486</v>
      </c>
      <c r="U402" s="2">
        <v>5</v>
      </c>
      <c r="V402" s="2" t="s">
        <v>47</v>
      </c>
      <c r="W402" s="2" t="s">
        <v>5863</v>
      </c>
      <c r="X402" s="2" t="s">
        <v>3470</v>
      </c>
      <c r="Y402" s="488" t="s">
        <v>1486</v>
      </c>
      <c r="Z402" s="293">
        <f t="shared" si="52"/>
        <v>474.37119113573431</v>
      </c>
      <c r="AA402" s="293">
        <f t="shared" si="53"/>
        <v>528.00000000000023</v>
      </c>
    </row>
    <row r="403" spans="1:27" s="320" customFormat="1" x14ac:dyDescent="0.25">
      <c r="A403" s="220" t="s">
        <v>454</v>
      </c>
      <c r="B403" s="221" t="s">
        <v>449</v>
      </c>
      <c r="C403" s="223" t="s">
        <v>1561</v>
      </c>
      <c r="D403" s="220" t="s">
        <v>439</v>
      </c>
      <c r="E403" s="222">
        <v>12</v>
      </c>
      <c r="F403" s="192">
        <v>0</v>
      </c>
      <c r="G403" s="24">
        <v>0.2</v>
      </c>
      <c r="H403" s="24">
        <v>0.05</v>
      </c>
      <c r="I403" s="24">
        <v>0.05</v>
      </c>
      <c r="J403" s="24">
        <v>0</v>
      </c>
      <c r="K403" s="224">
        <f t="shared" si="54"/>
        <v>0</v>
      </c>
      <c r="L403" s="225">
        <f t="shared" si="55"/>
        <v>0</v>
      </c>
      <c r="M403" s="225">
        <f t="shared" si="56"/>
        <v>0</v>
      </c>
      <c r="N403" s="226">
        <f t="shared" si="57"/>
        <v>0</v>
      </c>
      <c r="O403" s="34">
        <v>0.3</v>
      </c>
      <c r="P403" s="226">
        <f t="shared" si="58"/>
        <v>0</v>
      </c>
      <c r="Q403" s="107" t="s">
        <v>1486</v>
      </c>
      <c r="R403" s="34">
        <v>0.3</v>
      </c>
      <c r="S403" s="226">
        <f t="shared" si="51"/>
        <v>0</v>
      </c>
      <c r="T403" s="156" t="s">
        <v>1486</v>
      </c>
      <c r="U403" s="2" t="s">
        <v>109</v>
      </c>
      <c r="V403" s="2" t="s">
        <v>47</v>
      </c>
      <c r="W403" s="2" t="s">
        <v>5963</v>
      </c>
      <c r="X403" s="2" t="s">
        <v>1486</v>
      </c>
      <c r="Y403" s="488" t="s">
        <v>1486</v>
      </c>
      <c r="Z403" s="293">
        <f t="shared" si="52"/>
        <v>0</v>
      </c>
      <c r="AA403" s="293">
        <f t="shared" si="53"/>
        <v>0</v>
      </c>
    </row>
    <row r="404" spans="1:27" s="320" customFormat="1" x14ac:dyDescent="0.25">
      <c r="A404" s="220" t="s">
        <v>457</v>
      </c>
      <c r="B404" s="221" t="s">
        <v>451</v>
      </c>
      <c r="C404" s="223" t="s">
        <v>1561</v>
      </c>
      <c r="D404" s="220" t="s">
        <v>439</v>
      </c>
      <c r="E404" s="222">
        <v>12</v>
      </c>
      <c r="F404" s="192">
        <v>0</v>
      </c>
      <c r="G404" s="24">
        <v>0.2</v>
      </c>
      <c r="H404" s="24">
        <v>0.05</v>
      </c>
      <c r="I404" s="24">
        <v>0.05</v>
      </c>
      <c r="J404" s="24">
        <v>0</v>
      </c>
      <c r="K404" s="224">
        <f t="shared" si="54"/>
        <v>0</v>
      </c>
      <c r="L404" s="225">
        <f t="shared" si="55"/>
        <v>0</v>
      </c>
      <c r="M404" s="225">
        <f t="shared" si="56"/>
        <v>0</v>
      </c>
      <c r="N404" s="226">
        <f t="shared" si="57"/>
        <v>0</v>
      </c>
      <c r="O404" s="34">
        <v>0.3</v>
      </c>
      <c r="P404" s="226">
        <f t="shared" si="58"/>
        <v>0</v>
      </c>
      <c r="Q404" s="107" t="s">
        <v>1486</v>
      </c>
      <c r="R404" s="34">
        <v>0.3</v>
      </c>
      <c r="S404" s="226">
        <f t="shared" si="51"/>
        <v>0</v>
      </c>
      <c r="T404" s="156" t="s">
        <v>1486</v>
      </c>
      <c r="U404" s="2" t="s">
        <v>109</v>
      </c>
      <c r="V404" s="2" t="s">
        <v>47</v>
      </c>
      <c r="W404" s="2" t="s">
        <v>5963</v>
      </c>
      <c r="X404" s="2" t="s">
        <v>1486</v>
      </c>
      <c r="Y404" s="488" t="s">
        <v>1486</v>
      </c>
      <c r="Z404" s="293">
        <f t="shared" si="52"/>
        <v>0</v>
      </c>
      <c r="AA404" s="293">
        <f t="shared" si="53"/>
        <v>0</v>
      </c>
    </row>
    <row r="405" spans="1:27" s="320" customFormat="1" x14ac:dyDescent="0.25">
      <c r="A405" s="220" t="s">
        <v>460</v>
      </c>
      <c r="B405" s="221" t="s">
        <v>453</v>
      </c>
      <c r="C405" s="223" t="s">
        <v>1561</v>
      </c>
      <c r="D405" s="220" t="s">
        <v>439</v>
      </c>
      <c r="E405" s="222">
        <v>12</v>
      </c>
      <c r="F405" s="192">
        <v>0</v>
      </c>
      <c r="G405" s="24">
        <v>0.2</v>
      </c>
      <c r="H405" s="24">
        <v>0.05</v>
      </c>
      <c r="I405" s="24">
        <v>0.05</v>
      </c>
      <c r="J405" s="24">
        <v>0</v>
      </c>
      <c r="K405" s="224">
        <f t="shared" si="54"/>
        <v>0</v>
      </c>
      <c r="L405" s="225">
        <f t="shared" si="55"/>
        <v>0</v>
      </c>
      <c r="M405" s="225">
        <f t="shared" si="56"/>
        <v>0</v>
      </c>
      <c r="N405" s="226">
        <f t="shared" si="57"/>
        <v>0</v>
      </c>
      <c r="O405" s="34">
        <v>0.3</v>
      </c>
      <c r="P405" s="226">
        <f t="shared" si="58"/>
        <v>0</v>
      </c>
      <c r="Q405" s="107" t="s">
        <v>1486</v>
      </c>
      <c r="R405" s="34">
        <v>0.3</v>
      </c>
      <c r="S405" s="226">
        <f t="shared" si="51"/>
        <v>0</v>
      </c>
      <c r="T405" s="156" t="s">
        <v>1486</v>
      </c>
      <c r="U405" s="2" t="s">
        <v>109</v>
      </c>
      <c r="V405" s="2" t="s">
        <v>47</v>
      </c>
      <c r="W405" s="2" t="s">
        <v>5963</v>
      </c>
      <c r="X405" s="2" t="s">
        <v>1486</v>
      </c>
      <c r="Y405" s="488" t="s">
        <v>1486</v>
      </c>
      <c r="Z405" s="293">
        <f t="shared" si="52"/>
        <v>0</v>
      </c>
      <c r="AA405" s="293">
        <f t="shared" si="53"/>
        <v>0</v>
      </c>
    </row>
    <row r="406" spans="1:27" s="320" customFormat="1" x14ac:dyDescent="0.25">
      <c r="A406" s="220" t="s">
        <v>462</v>
      </c>
      <c r="B406" s="221" t="s">
        <v>455</v>
      </c>
      <c r="C406" s="223" t="s">
        <v>1561</v>
      </c>
      <c r="D406" s="220" t="s">
        <v>439</v>
      </c>
      <c r="E406" s="222">
        <v>12</v>
      </c>
      <c r="F406" s="192">
        <v>0</v>
      </c>
      <c r="G406" s="24">
        <v>0.2</v>
      </c>
      <c r="H406" s="24">
        <v>0.05</v>
      </c>
      <c r="I406" s="24">
        <v>0.05</v>
      </c>
      <c r="J406" s="24">
        <v>0</v>
      </c>
      <c r="K406" s="224">
        <f t="shared" si="54"/>
        <v>0</v>
      </c>
      <c r="L406" s="225">
        <f t="shared" si="55"/>
        <v>0</v>
      </c>
      <c r="M406" s="225">
        <f t="shared" si="56"/>
        <v>0</v>
      </c>
      <c r="N406" s="226">
        <f t="shared" si="57"/>
        <v>0</v>
      </c>
      <c r="O406" s="34">
        <v>0.3</v>
      </c>
      <c r="P406" s="226">
        <f t="shared" si="58"/>
        <v>0</v>
      </c>
      <c r="Q406" s="107" t="s">
        <v>1486</v>
      </c>
      <c r="R406" s="34">
        <v>0.3</v>
      </c>
      <c r="S406" s="226">
        <f t="shared" si="51"/>
        <v>0</v>
      </c>
      <c r="T406" s="156" t="s">
        <v>1486</v>
      </c>
      <c r="U406" s="2" t="s">
        <v>109</v>
      </c>
      <c r="V406" s="2" t="s">
        <v>47</v>
      </c>
      <c r="W406" s="2" t="s">
        <v>5963</v>
      </c>
      <c r="X406" s="2" t="s">
        <v>1486</v>
      </c>
      <c r="Y406" s="488" t="s">
        <v>1486</v>
      </c>
      <c r="Z406" s="293">
        <f t="shared" si="52"/>
        <v>0</v>
      </c>
      <c r="AA406" s="293">
        <f t="shared" si="53"/>
        <v>0</v>
      </c>
    </row>
    <row r="407" spans="1:27" s="320" customFormat="1" x14ac:dyDescent="0.25">
      <c r="A407" s="220" t="s">
        <v>463</v>
      </c>
      <c r="B407" s="221" t="s">
        <v>5895</v>
      </c>
      <c r="C407" s="223" t="s">
        <v>1561</v>
      </c>
      <c r="D407" s="220" t="s">
        <v>782</v>
      </c>
      <c r="E407" s="222">
        <v>12</v>
      </c>
      <c r="F407" s="192">
        <v>1232</v>
      </c>
      <c r="G407" s="24">
        <v>0.2</v>
      </c>
      <c r="H407" s="24">
        <v>0.05</v>
      </c>
      <c r="I407" s="24">
        <v>0.05</v>
      </c>
      <c r="J407" s="24">
        <v>0</v>
      </c>
      <c r="K407" s="224">
        <f t="shared" si="54"/>
        <v>0.27800000000000014</v>
      </c>
      <c r="L407" s="225">
        <f t="shared" si="55"/>
        <v>20476.454293628813</v>
      </c>
      <c r="M407" s="225">
        <f t="shared" si="56"/>
        <v>1706.3711911357343</v>
      </c>
      <c r="N407" s="226">
        <f t="shared" si="57"/>
        <v>2030.5817174515237</v>
      </c>
      <c r="O407" s="34">
        <v>0.3</v>
      </c>
      <c r="P407" s="226">
        <f t="shared" si="58"/>
        <v>2639.7562326869806</v>
      </c>
      <c r="Q407" s="107" t="s">
        <v>1486</v>
      </c>
      <c r="R407" s="34">
        <v>0.28600000100378636</v>
      </c>
      <c r="S407" s="226">
        <f t="shared" si="51"/>
        <v>2053.3333362200392</v>
      </c>
      <c r="T407" s="156" t="s">
        <v>1486</v>
      </c>
      <c r="U407" s="2">
        <v>6</v>
      </c>
      <c r="V407" s="2" t="s">
        <v>47</v>
      </c>
      <c r="W407" s="2" t="s">
        <v>5863</v>
      </c>
      <c r="X407" s="2" t="s">
        <v>3470</v>
      </c>
      <c r="Y407" s="488" t="s">
        <v>1486</v>
      </c>
      <c r="Z407" s="293">
        <f t="shared" si="52"/>
        <v>474.37119113573431</v>
      </c>
      <c r="AA407" s="293">
        <f t="shared" si="53"/>
        <v>493.49019850423474</v>
      </c>
    </row>
    <row r="408" spans="1:27" s="320" customFormat="1" x14ac:dyDescent="0.25">
      <c r="A408" s="220" t="s">
        <v>464</v>
      </c>
      <c r="B408" s="221" t="s">
        <v>456</v>
      </c>
      <c r="C408" s="223" t="s">
        <v>1561</v>
      </c>
      <c r="D408" s="220" t="s">
        <v>439</v>
      </c>
      <c r="E408" s="222">
        <v>12</v>
      </c>
      <c r="F408" s="192">
        <v>0</v>
      </c>
      <c r="G408" s="24">
        <v>0.2</v>
      </c>
      <c r="H408" s="24">
        <v>0.05</v>
      </c>
      <c r="I408" s="24">
        <v>0.05</v>
      </c>
      <c r="J408" s="24">
        <v>0</v>
      </c>
      <c r="K408" s="224">
        <f t="shared" si="54"/>
        <v>0</v>
      </c>
      <c r="L408" s="225">
        <f t="shared" si="55"/>
        <v>0</v>
      </c>
      <c r="M408" s="225">
        <f t="shared" si="56"/>
        <v>0</v>
      </c>
      <c r="N408" s="226">
        <f t="shared" si="57"/>
        <v>0</v>
      </c>
      <c r="O408" s="34">
        <v>0.3</v>
      </c>
      <c r="P408" s="226">
        <f t="shared" si="58"/>
        <v>0</v>
      </c>
      <c r="Q408" s="107" t="s">
        <v>1486</v>
      </c>
      <c r="R408" s="34">
        <v>0.3</v>
      </c>
      <c r="S408" s="226">
        <f t="shared" si="51"/>
        <v>0</v>
      </c>
      <c r="T408" s="156" t="s">
        <v>1486</v>
      </c>
      <c r="U408" s="2" t="s">
        <v>109</v>
      </c>
      <c r="V408" s="2" t="s">
        <v>47</v>
      </c>
      <c r="W408" s="2" t="s">
        <v>5963</v>
      </c>
      <c r="X408" s="2" t="s">
        <v>1486</v>
      </c>
      <c r="Y408" s="488" t="s">
        <v>1486</v>
      </c>
      <c r="Z408" s="293">
        <f t="shared" si="52"/>
        <v>0</v>
      </c>
      <c r="AA408" s="293">
        <f t="shared" si="53"/>
        <v>0</v>
      </c>
    </row>
    <row r="409" spans="1:27" s="320" customFormat="1" x14ac:dyDescent="0.25">
      <c r="A409" s="220" t="s">
        <v>465</v>
      </c>
      <c r="B409" s="221" t="s">
        <v>458</v>
      </c>
      <c r="C409" s="223" t="s">
        <v>1561</v>
      </c>
      <c r="D409" s="220" t="s">
        <v>459</v>
      </c>
      <c r="E409" s="222">
        <v>300</v>
      </c>
      <c r="F409" s="192">
        <v>40</v>
      </c>
      <c r="G409" s="24">
        <v>0.2</v>
      </c>
      <c r="H409" s="24">
        <v>0.05</v>
      </c>
      <c r="I409" s="24">
        <v>0.05</v>
      </c>
      <c r="J409" s="24">
        <v>0</v>
      </c>
      <c r="K409" s="224">
        <f t="shared" si="54"/>
        <v>0.27800000000000002</v>
      </c>
      <c r="L409" s="225">
        <f t="shared" si="55"/>
        <v>16620.498614958451</v>
      </c>
      <c r="M409" s="225">
        <f t="shared" si="56"/>
        <v>55.4016620498615</v>
      </c>
      <c r="N409" s="226">
        <f t="shared" si="57"/>
        <v>65.927977839335185</v>
      </c>
      <c r="O409" s="34">
        <v>0.3</v>
      </c>
      <c r="P409" s="226">
        <f t="shared" si="58"/>
        <v>85.706371191135744</v>
      </c>
      <c r="Q409" s="107" t="s">
        <v>1486</v>
      </c>
      <c r="R409" s="34">
        <v>0.3</v>
      </c>
      <c r="S409" s="226">
        <f t="shared" si="51"/>
        <v>68</v>
      </c>
      <c r="T409" s="156" t="s">
        <v>1486</v>
      </c>
      <c r="U409" s="2">
        <v>1</v>
      </c>
      <c r="V409" s="2" t="s">
        <v>47</v>
      </c>
      <c r="W409" s="2" t="s">
        <v>5863</v>
      </c>
      <c r="X409" s="2" t="s">
        <v>5887</v>
      </c>
      <c r="Y409" s="488" t="s">
        <v>1486</v>
      </c>
      <c r="Z409" s="293">
        <f t="shared" si="52"/>
        <v>15.4016620498615</v>
      </c>
      <c r="AA409" s="293">
        <f t="shared" si="53"/>
        <v>17.142857142857146</v>
      </c>
    </row>
    <row r="410" spans="1:27" s="320" customFormat="1" x14ac:dyDescent="0.25">
      <c r="A410" s="220" t="s">
        <v>466</v>
      </c>
      <c r="B410" s="221" t="s">
        <v>5896</v>
      </c>
      <c r="C410" s="223" t="s">
        <v>1561</v>
      </c>
      <c r="D410" s="220" t="s">
        <v>782</v>
      </c>
      <c r="E410" s="222">
        <v>12</v>
      </c>
      <c r="F410" s="192">
        <v>1231</v>
      </c>
      <c r="G410" s="24">
        <v>0.2</v>
      </c>
      <c r="H410" s="24">
        <v>0.05</v>
      </c>
      <c r="I410" s="24">
        <v>0.05</v>
      </c>
      <c r="J410" s="24">
        <v>0</v>
      </c>
      <c r="K410" s="224">
        <f t="shared" si="54"/>
        <v>0.27800000000000002</v>
      </c>
      <c r="L410" s="225">
        <f t="shared" si="55"/>
        <v>20459.833795013852</v>
      </c>
      <c r="M410" s="225">
        <f t="shared" si="56"/>
        <v>1704.9861495844875</v>
      </c>
      <c r="N410" s="226">
        <f t="shared" si="57"/>
        <v>2028.93351800554</v>
      </c>
      <c r="O410" s="34">
        <v>0.3</v>
      </c>
      <c r="P410" s="226">
        <f t="shared" si="58"/>
        <v>2637.6135734072022</v>
      </c>
      <c r="Q410" s="107" t="s">
        <v>1486</v>
      </c>
      <c r="R410" s="34">
        <v>0.3</v>
      </c>
      <c r="S410" s="226">
        <f t="shared" si="51"/>
        <v>2092.6999999999998</v>
      </c>
      <c r="T410" s="156" t="s">
        <v>1486</v>
      </c>
      <c r="U410" s="2">
        <v>7</v>
      </c>
      <c r="V410" s="2" t="s">
        <v>47</v>
      </c>
      <c r="W410" s="2" t="s">
        <v>5863</v>
      </c>
      <c r="X410" s="2" t="s">
        <v>3470</v>
      </c>
      <c r="Y410" s="488" t="s">
        <v>1486</v>
      </c>
      <c r="Z410" s="293">
        <f t="shared" si="52"/>
        <v>473.98614958448752</v>
      </c>
      <c r="AA410" s="293">
        <f t="shared" si="53"/>
        <v>527.57142857142844</v>
      </c>
    </row>
    <row r="411" spans="1:27" s="320" customFormat="1" x14ac:dyDescent="0.25">
      <c r="A411" s="220" t="s">
        <v>467</v>
      </c>
      <c r="B411" s="221" t="s">
        <v>3105</v>
      </c>
      <c r="C411" s="223" t="s">
        <v>1570</v>
      </c>
      <c r="D411" s="220" t="s">
        <v>461</v>
      </c>
      <c r="E411" s="222">
        <v>100</v>
      </c>
      <c r="F411" s="192">
        <v>31.77</v>
      </c>
      <c r="G411" s="24">
        <v>0.2</v>
      </c>
      <c r="H411" s="24">
        <v>0.05</v>
      </c>
      <c r="I411" s="24">
        <v>0.05</v>
      </c>
      <c r="J411" s="24">
        <v>0</v>
      </c>
      <c r="K411" s="224">
        <f t="shared" si="54"/>
        <v>0.27800000000000002</v>
      </c>
      <c r="L411" s="225">
        <f t="shared" si="55"/>
        <v>4400.2770083102496</v>
      </c>
      <c r="M411" s="225">
        <f t="shared" si="56"/>
        <v>44.002770083102497</v>
      </c>
      <c r="N411" s="226">
        <f t="shared" si="57"/>
        <v>52.363296398891968</v>
      </c>
      <c r="O411" s="34">
        <v>0.3</v>
      </c>
      <c r="P411" s="226">
        <f t="shared" si="58"/>
        <v>68.072285318559565</v>
      </c>
      <c r="Q411" s="107" t="s">
        <v>1486</v>
      </c>
      <c r="R411" s="34">
        <v>0.3</v>
      </c>
      <c r="S411" s="226">
        <f t="shared" si="51"/>
        <v>54.009</v>
      </c>
      <c r="T411" s="156" t="s">
        <v>1486</v>
      </c>
      <c r="U411" s="2" t="s">
        <v>109</v>
      </c>
      <c r="V411" s="2" t="s">
        <v>47</v>
      </c>
      <c r="W411" s="2" t="s">
        <v>5883</v>
      </c>
      <c r="X411" s="2" t="s">
        <v>4003</v>
      </c>
      <c r="Y411" s="488" t="s">
        <v>1486</v>
      </c>
      <c r="Z411" s="293">
        <f t="shared" si="52"/>
        <v>12.232770083102498</v>
      </c>
      <c r="AA411" s="293">
        <f t="shared" si="53"/>
        <v>13.615714285714287</v>
      </c>
    </row>
    <row r="412" spans="1:27" s="320" customFormat="1" x14ac:dyDescent="0.25">
      <c r="A412" s="220" t="s">
        <v>468</v>
      </c>
      <c r="B412" s="221" t="s">
        <v>5897</v>
      </c>
      <c r="C412" s="223" t="s">
        <v>1561</v>
      </c>
      <c r="D412" s="220" t="s">
        <v>782</v>
      </c>
      <c r="E412" s="222">
        <v>12</v>
      </c>
      <c r="F412" s="192">
        <v>21846</v>
      </c>
      <c r="G412" s="24">
        <v>0.2</v>
      </c>
      <c r="H412" s="24">
        <v>0.05</v>
      </c>
      <c r="I412" s="24">
        <v>0.05</v>
      </c>
      <c r="J412" s="24">
        <v>0</v>
      </c>
      <c r="K412" s="224">
        <f t="shared" si="54"/>
        <v>0.27800000000000002</v>
      </c>
      <c r="L412" s="225">
        <f t="shared" si="55"/>
        <v>363091.41274238232</v>
      </c>
      <c r="M412" s="225">
        <f t="shared" si="56"/>
        <v>30257.617728531859</v>
      </c>
      <c r="N412" s="226">
        <f t="shared" si="57"/>
        <v>36006.565096952909</v>
      </c>
      <c r="O412" s="34">
        <v>0.3</v>
      </c>
      <c r="P412" s="226">
        <f t="shared" si="58"/>
        <v>46808.534626038781</v>
      </c>
      <c r="Q412" s="107" t="s">
        <v>1486</v>
      </c>
      <c r="R412" s="34">
        <v>0.3</v>
      </c>
      <c r="S412" s="226">
        <f t="shared" si="51"/>
        <v>37138.200000000004</v>
      </c>
      <c r="T412" s="156" t="s">
        <v>1486</v>
      </c>
      <c r="U412" s="2">
        <v>12</v>
      </c>
      <c r="V412" s="2" t="s">
        <v>47</v>
      </c>
      <c r="W412" s="2" t="s">
        <v>5863</v>
      </c>
      <c r="X412" s="2" t="s">
        <v>3470</v>
      </c>
      <c r="Y412" s="488" t="s">
        <v>1486</v>
      </c>
      <c r="Z412" s="293">
        <f t="shared" si="52"/>
        <v>8411.617728531859</v>
      </c>
      <c r="AA412" s="293">
        <f t="shared" si="53"/>
        <v>9362.5714285714348</v>
      </c>
    </row>
    <row r="413" spans="1:27" s="320" customFormat="1" x14ac:dyDescent="0.25">
      <c r="A413" s="220" t="s">
        <v>469</v>
      </c>
      <c r="B413" s="221" t="s">
        <v>3136</v>
      </c>
      <c r="C413" s="223" t="s">
        <v>1570</v>
      </c>
      <c r="D413" s="220" t="s">
        <v>461</v>
      </c>
      <c r="E413" s="222">
        <v>10</v>
      </c>
      <c r="F413" s="192">
        <v>1232</v>
      </c>
      <c r="G413" s="24">
        <v>0.2</v>
      </c>
      <c r="H413" s="24">
        <v>0.05</v>
      </c>
      <c r="I413" s="24">
        <v>0.05</v>
      </c>
      <c r="J413" s="24">
        <v>0</v>
      </c>
      <c r="K413" s="224">
        <f t="shared" si="54"/>
        <v>0.27800000000000014</v>
      </c>
      <c r="L413" s="225">
        <f t="shared" si="55"/>
        <v>17063.711911357343</v>
      </c>
      <c r="M413" s="225">
        <f t="shared" si="56"/>
        <v>1706.3711911357343</v>
      </c>
      <c r="N413" s="226">
        <f t="shared" si="57"/>
        <v>2030.5817174515237</v>
      </c>
      <c r="O413" s="34">
        <v>0.3</v>
      </c>
      <c r="P413" s="226">
        <f t="shared" si="58"/>
        <v>2639.7562326869806</v>
      </c>
      <c r="Q413" s="107" t="s">
        <v>1486</v>
      </c>
      <c r="R413" s="34">
        <v>0.3</v>
      </c>
      <c r="S413" s="226">
        <f t="shared" ref="S413:S476" si="59">+(F413/(1-R413))*1.19</f>
        <v>2094.4</v>
      </c>
      <c r="T413" s="156" t="s">
        <v>1486</v>
      </c>
      <c r="U413" s="2" t="s">
        <v>109</v>
      </c>
      <c r="V413" s="2" t="s">
        <v>47</v>
      </c>
      <c r="W413" s="2" t="s">
        <v>5883</v>
      </c>
      <c r="X413" s="2" t="s">
        <v>4003</v>
      </c>
      <c r="Y413" s="488" t="s">
        <v>1486</v>
      </c>
      <c r="Z413" s="293">
        <f t="shared" si="52"/>
        <v>474.37119113573431</v>
      </c>
      <c r="AA413" s="293">
        <f t="shared" si="53"/>
        <v>528.00000000000023</v>
      </c>
    </row>
    <row r="414" spans="1:27" s="320" customFormat="1" x14ac:dyDescent="0.25">
      <c r="A414" s="220" t="s">
        <v>470</v>
      </c>
      <c r="B414" s="221" t="s">
        <v>784</v>
      </c>
      <c r="C414" s="223" t="s">
        <v>1561</v>
      </c>
      <c r="D414" s="220" t="s">
        <v>782</v>
      </c>
      <c r="E414" s="222">
        <v>12</v>
      </c>
      <c r="F414" s="192">
        <v>0</v>
      </c>
      <c r="G414" s="24">
        <v>0.2</v>
      </c>
      <c r="H414" s="24">
        <v>0.05</v>
      </c>
      <c r="I414" s="24">
        <v>0.05</v>
      </c>
      <c r="J414" s="24">
        <v>0</v>
      </c>
      <c r="K414" s="224">
        <f t="shared" si="54"/>
        <v>0</v>
      </c>
      <c r="L414" s="225">
        <f t="shared" si="55"/>
        <v>0</v>
      </c>
      <c r="M414" s="225">
        <f t="shared" si="56"/>
        <v>0</v>
      </c>
      <c r="N414" s="226">
        <f t="shared" si="57"/>
        <v>0</v>
      </c>
      <c r="O414" s="34">
        <v>0.3</v>
      </c>
      <c r="P414" s="226">
        <f t="shared" si="58"/>
        <v>0</v>
      </c>
      <c r="Q414" s="107" t="s">
        <v>1486</v>
      </c>
      <c r="R414" s="34">
        <v>0.3</v>
      </c>
      <c r="S414" s="226">
        <f t="shared" si="59"/>
        <v>0</v>
      </c>
      <c r="T414" s="156" t="s">
        <v>1486</v>
      </c>
      <c r="U414" s="2" t="s">
        <v>109</v>
      </c>
      <c r="V414" s="2" t="s">
        <v>47</v>
      </c>
      <c r="W414" s="2" t="s">
        <v>5863</v>
      </c>
      <c r="X414" s="2" t="s">
        <v>3470</v>
      </c>
      <c r="Y414" s="488" t="s">
        <v>1486</v>
      </c>
      <c r="Z414" s="293">
        <f t="shared" si="52"/>
        <v>0</v>
      </c>
      <c r="AA414" s="293">
        <f t="shared" si="53"/>
        <v>0</v>
      </c>
    </row>
    <row r="415" spans="1:27" s="320" customFormat="1" x14ac:dyDescent="0.25">
      <c r="A415" s="220" t="s">
        <v>471</v>
      </c>
      <c r="B415" s="221" t="s">
        <v>3108</v>
      </c>
      <c r="C415" s="223" t="s">
        <v>1570</v>
      </c>
      <c r="D415" s="220" t="s">
        <v>461</v>
      </c>
      <c r="E415" s="222">
        <v>25</v>
      </c>
      <c r="F415" s="192">
        <f>13401/E415</f>
        <v>536.04</v>
      </c>
      <c r="G415" s="24">
        <v>0.2</v>
      </c>
      <c r="H415" s="24">
        <v>0.05</v>
      </c>
      <c r="I415" s="24">
        <v>0.05</v>
      </c>
      <c r="J415" s="24">
        <v>0</v>
      </c>
      <c r="K415" s="224">
        <f t="shared" si="54"/>
        <v>0.27800000000000002</v>
      </c>
      <c r="L415" s="225">
        <f t="shared" si="55"/>
        <v>18560.941828254847</v>
      </c>
      <c r="M415" s="225">
        <f t="shared" si="56"/>
        <v>742.43767313019384</v>
      </c>
      <c r="N415" s="226">
        <f t="shared" si="57"/>
        <v>883.50083102493068</v>
      </c>
      <c r="O415" s="34">
        <v>0.3</v>
      </c>
      <c r="P415" s="226">
        <f t="shared" si="58"/>
        <v>1148.5510803324098</v>
      </c>
      <c r="Q415" s="107" t="s">
        <v>1486</v>
      </c>
      <c r="R415" s="34">
        <v>0.3</v>
      </c>
      <c r="S415" s="226">
        <f t="shared" si="59"/>
        <v>911.26800000000003</v>
      </c>
      <c r="T415" s="156" t="s">
        <v>1486</v>
      </c>
      <c r="U415" s="2" t="s">
        <v>109</v>
      </c>
      <c r="V415" s="2" t="s">
        <v>47</v>
      </c>
      <c r="W415" s="2" t="s">
        <v>5883</v>
      </c>
      <c r="X415" s="2" t="s">
        <v>4003</v>
      </c>
      <c r="Y415" s="488" t="s">
        <v>1486</v>
      </c>
      <c r="Z415" s="293">
        <f t="shared" si="52"/>
        <v>206.39767313019388</v>
      </c>
      <c r="AA415" s="293">
        <f t="shared" si="53"/>
        <v>229.73142857142864</v>
      </c>
    </row>
    <row r="416" spans="1:27" s="320" customFormat="1" x14ac:dyDescent="0.25">
      <c r="A416" s="220" t="s">
        <v>472</v>
      </c>
      <c r="B416" s="221" t="s">
        <v>3109</v>
      </c>
      <c r="C416" s="223" t="s">
        <v>1570</v>
      </c>
      <c r="D416" s="220" t="s">
        <v>461</v>
      </c>
      <c r="E416" s="222">
        <v>25</v>
      </c>
      <c r="F416" s="192">
        <f>27561/E416</f>
        <v>1102.44</v>
      </c>
      <c r="G416" s="24">
        <v>0.2</v>
      </c>
      <c r="H416" s="24">
        <v>0.05</v>
      </c>
      <c r="I416" s="24">
        <v>0.05</v>
      </c>
      <c r="J416" s="24">
        <v>0</v>
      </c>
      <c r="K416" s="224">
        <f t="shared" si="54"/>
        <v>0.27800000000000002</v>
      </c>
      <c r="L416" s="225">
        <f t="shared" si="55"/>
        <v>38173.130193905818</v>
      </c>
      <c r="M416" s="225">
        <f t="shared" si="56"/>
        <v>1526.9252077562328</v>
      </c>
      <c r="N416" s="226">
        <f t="shared" si="57"/>
        <v>1817.0409972299169</v>
      </c>
      <c r="O416" s="34">
        <v>0.3</v>
      </c>
      <c r="P416" s="226">
        <f t="shared" si="58"/>
        <v>2362.1532963988921</v>
      </c>
      <c r="Q416" s="107" t="s">
        <v>1486</v>
      </c>
      <c r="R416" s="34">
        <v>0.3</v>
      </c>
      <c r="S416" s="226">
        <f t="shared" si="59"/>
        <v>1874.1480000000001</v>
      </c>
      <c r="T416" s="156" t="s">
        <v>1486</v>
      </c>
      <c r="U416" s="2" t="s">
        <v>109</v>
      </c>
      <c r="V416" s="2" t="s">
        <v>47</v>
      </c>
      <c r="W416" s="2" t="s">
        <v>5883</v>
      </c>
      <c r="X416" s="2" t="s">
        <v>4003</v>
      </c>
      <c r="Y416" s="488" t="s">
        <v>1486</v>
      </c>
      <c r="Z416" s="293">
        <f t="shared" si="52"/>
        <v>424.48520775623274</v>
      </c>
      <c r="AA416" s="293">
        <f t="shared" si="53"/>
        <v>472.47428571428577</v>
      </c>
    </row>
    <row r="417" spans="1:27" s="320" customFormat="1" x14ac:dyDescent="0.25">
      <c r="A417" s="220" t="s">
        <v>473</v>
      </c>
      <c r="B417" s="221" t="s">
        <v>5898</v>
      </c>
      <c r="C417" s="223" t="s">
        <v>1561</v>
      </c>
      <c r="D417" s="220" t="s">
        <v>782</v>
      </c>
      <c r="E417" s="222">
        <v>12</v>
      </c>
      <c r="F417" s="192">
        <v>1188</v>
      </c>
      <c r="G417" s="24">
        <v>0.2</v>
      </c>
      <c r="H417" s="24">
        <v>0.05</v>
      </c>
      <c r="I417" s="24">
        <v>0.05</v>
      </c>
      <c r="J417" s="24">
        <v>0</v>
      </c>
      <c r="K417" s="224">
        <f t="shared" si="54"/>
        <v>0.27800000000000002</v>
      </c>
      <c r="L417" s="225">
        <f t="shared" si="55"/>
        <v>19745.152354570637</v>
      </c>
      <c r="M417" s="225">
        <f t="shared" si="56"/>
        <v>1645.4293628808864</v>
      </c>
      <c r="N417" s="226">
        <f t="shared" si="57"/>
        <v>1958.0609418282547</v>
      </c>
      <c r="O417" s="34">
        <v>0.3</v>
      </c>
      <c r="P417" s="226">
        <f t="shared" si="58"/>
        <v>2545.4792243767311</v>
      </c>
      <c r="Q417" s="107" t="s">
        <v>1486</v>
      </c>
      <c r="R417" s="34">
        <v>0.29314020456527418</v>
      </c>
      <c r="S417" s="226">
        <f t="shared" si="59"/>
        <v>2000.0005788001399</v>
      </c>
      <c r="T417" s="156" t="s">
        <v>1486</v>
      </c>
      <c r="U417" s="2">
        <v>13</v>
      </c>
      <c r="V417" s="2" t="s">
        <v>47</v>
      </c>
      <c r="W417" s="2" t="s">
        <v>5863</v>
      </c>
      <c r="X417" s="2" t="s">
        <v>3470</v>
      </c>
      <c r="Y417" s="488" t="s">
        <v>1486</v>
      </c>
      <c r="Z417" s="293">
        <f t="shared" si="52"/>
        <v>457.4293628808864</v>
      </c>
      <c r="AA417" s="293">
        <f t="shared" si="53"/>
        <v>492.67275529423523</v>
      </c>
    </row>
    <row r="418" spans="1:27" s="320" customFormat="1" x14ac:dyDescent="0.25">
      <c r="A418" s="220" t="s">
        <v>474</v>
      </c>
      <c r="B418" s="221" t="s">
        <v>3110</v>
      </c>
      <c r="C418" s="223" t="s">
        <v>1570</v>
      </c>
      <c r="D418" s="220" t="s">
        <v>461</v>
      </c>
      <c r="E418" s="222">
        <v>50</v>
      </c>
      <c r="F418" s="192">
        <f>4938/E418</f>
        <v>98.76</v>
      </c>
      <c r="G418" s="24">
        <v>0.2</v>
      </c>
      <c r="H418" s="24">
        <v>0.05</v>
      </c>
      <c r="I418" s="24">
        <v>0.05</v>
      </c>
      <c r="J418" s="24">
        <v>0</v>
      </c>
      <c r="K418" s="224">
        <f t="shared" si="54"/>
        <v>0.27799999999999991</v>
      </c>
      <c r="L418" s="225">
        <f t="shared" si="55"/>
        <v>6839.3351800554019</v>
      </c>
      <c r="M418" s="225">
        <f t="shared" si="56"/>
        <v>136.78670360110803</v>
      </c>
      <c r="N418" s="226">
        <f t="shared" si="57"/>
        <v>162.77617728531854</v>
      </c>
      <c r="O418" s="34">
        <v>0.3</v>
      </c>
      <c r="P418" s="226">
        <f t="shared" si="58"/>
        <v>211.60903047091412</v>
      </c>
      <c r="Q418" s="107" t="s">
        <v>1486</v>
      </c>
      <c r="R418" s="34">
        <v>0.3</v>
      </c>
      <c r="S418" s="226">
        <f t="shared" si="59"/>
        <v>167.892</v>
      </c>
      <c r="T418" s="156" t="s">
        <v>1486</v>
      </c>
      <c r="U418" s="2" t="s">
        <v>109</v>
      </c>
      <c r="V418" s="2" t="s">
        <v>47</v>
      </c>
      <c r="W418" s="2" t="s">
        <v>5883</v>
      </c>
      <c r="X418" s="2" t="s">
        <v>4003</v>
      </c>
      <c r="Y418" s="488" t="s">
        <v>1486</v>
      </c>
      <c r="Z418" s="293">
        <f t="shared" si="52"/>
        <v>38.026703601108025</v>
      </c>
      <c r="AA418" s="293">
        <f t="shared" si="53"/>
        <v>42.325714285714284</v>
      </c>
    </row>
    <row r="419" spans="1:27" s="320" customFormat="1" x14ac:dyDescent="0.25">
      <c r="A419" s="220" t="s">
        <v>475</v>
      </c>
      <c r="B419" s="221" t="s">
        <v>785</v>
      </c>
      <c r="C419" s="223" t="s">
        <v>1561</v>
      </c>
      <c r="D419" s="220" t="s">
        <v>782</v>
      </c>
      <c r="E419" s="222">
        <v>12</v>
      </c>
      <c r="F419" s="192">
        <v>0</v>
      </c>
      <c r="G419" s="24">
        <v>0.2</v>
      </c>
      <c r="H419" s="24">
        <v>0.05</v>
      </c>
      <c r="I419" s="24">
        <v>0.05</v>
      </c>
      <c r="J419" s="24">
        <v>0</v>
      </c>
      <c r="K419" s="224">
        <f t="shared" si="54"/>
        <v>0</v>
      </c>
      <c r="L419" s="225">
        <f t="shared" si="55"/>
        <v>0</v>
      </c>
      <c r="M419" s="225">
        <f t="shared" si="56"/>
        <v>0</v>
      </c>
      <c r="N419" s="226">
        <f t="shared" si="57"/>
        <v>0</v>
      </c>
      <c r="O419" s="34">
        <v>0.3</v>
      </c>
      <c r="P419" s="226">
        <f t="shared" si="58"/>
        <v>0</v>
      </c>
      <c r="Q419" s="107" t="s">
        <v>1486</v>
      </c>
      <c r="R419" s="34">
        <v>0.3</v>
      </c>
      <c r="S419" s="226">
        <f t="shared" si="59"/>
        <v>0</v>
      </c>
      <c r="T419" s="156" t="s">
        <v>1486</v>
      </c>
      <c r="U419" s="2" t="s">
        <v>109</v>
      </c>
      <c r="V419" s="2" t="s">
        <v>47</v>
      </c>
      <c r="W419" s="2" t="s">
        <v>5863</v>
      </c>
      <c r="X419" s="2" t="s">
        <v>3470</v>
      </c>
      <c r="Y419" s="488" t="s">
        <v>1486</v>
      </c>
      <c r="Z419" s="293">
        <f t="shared" si="52"/>
        <v>0</v>
      </c>
      <c r="AA419" s="293">
        <f t="shared" si="53"/>
        <v>0</v>
      </c>
    </row>
    <row r="420" spans="1:27" s="320" customFormat="1" x14ac:dyDescent="0.25">
      <c r="A420" s="220" t="s">
        <v>476</v>
      </c>
      <c r="B420" s="221" t="s">
        <v>3107</v>
      </c>
      <c r="C420" s="223" t="s">
        <v>1570</v>
      </c>
      <c r="D420" s="220" t="s">
        <v>461</v>
      </c>
      <c r="E420" s="222">
        <v>50</v>
      </c>
      <c r="F420" s="192">
        <f>5920/E420</f>
        <v>118.4</v>
      </c>
      <c r="G420" s="24">
        <v>0.2</v>
      </c>
      <c r="H420" s="24">
        <v>0.05</v>
      </c>
      <c r="I420" s="24">
        <v>0.05</v>
      </c>
      <c r="J420" s="24">
        <v>0</v>
      </c>
      <c r="K420" s="224">
        <f t="shared" si="54"/>
        <v>0.27800000000000002</v>
      </c>
      <c r="L420" s="225">
        <f t="shared" si="55"/>
        <v>8199.4459833795026</v>
      </c>
      <c r="M420" s="225">
        <f t="shared" si="56"/>
        <v>163.98891966759004</v>
      </c>
      <c r="N420" s="226">
        <f t="shared" si="57"/>
        <v>195.14681440443215</v>
      </c>
      <c r="O420" s="34">
        <v>0.3</v>
      </c>
      <c r="P420" s="226">
        <f t="shared" si="58"/>
        <v>253.69085872576181</v>
      </c>
      <c r="Q420" s="107" t="s">
        <v>1486</v>
      </c>
      <c r="R420" s="34">
        <v>0.3</v>
      </c>
      <c r="S420" s="226">
        <f t="shared" si="59"/>
        <v>201.28000000000003</v>
      </c>
      <c r="T420" s="156" t="s">
        <v>1486</v>
      </c>
      <c r="U420" s="2" t="s">
        <v>109</v>
      </c>
      <c r="V420" s="2" t="s">
        <v>47</v>
      </c>
      <c r="W420" s="2" t="s">
        <v>5883</v>
      </c>
      <c r="X420" s="2" t="s">
        <v>4003</v>
      </c>
      <c r="Y420" s="488" t="s">
        <v>1486</v>
      </c>
      <c r="Z420" s="293">
        <f t="shared" si="52"/>
        <v>45.588919667590034</v>
      </c>
      <c r="AA420" s="293">
        <f t="shared" si="53"/>
        <v>50.742857142857162</v>
      </c>
    </row>
    <row r="421" spans="1:27" s="320" customFormat="1" x14ac:dyDescent="0.25">
      <c r="A421" s="220" t="s">
        <v>477</v>
      </c>
      <c r="B421" s="221" t="s">
        <v>786</v>
      </c>
      <c r="C421" s="223" t="s">
        <v>1561</v>
      </c>
      <c r="D421" s="220" t="s">
        <v>782</v>
      </c>
      <c r="E421" s="222">
        <v>1</v>
      </c>
      <c r="F421" s="192">
        <v>13522</v>
      </c>
      <c r="G421" s="24">
        <v>0.2</v>
      </c>
      <c r="H421" s="24">
        <v>0.05</v>
      </c>
      <c r="I421" s="24">
        <v>0.05</v>
      </c>
      <c r="J421" s="24">
        <v>0</v>
      </c>
      <c r="K421" s="224">
        <f t="shared" si="54"/>
        <v>0.27800000000000014</v>
      </c>
      <c r="L421" s="225">
        <f t="shared" si="55"/>
        <v>18728.531855955684</v>
      </c>
      <c r="M421" s="225">
        <f t="shared" si="56"/>
        <v>18728.531855955684</v>
      </c>
      <c r="N421" s="226">
        <f t="shared" si="57"/>
        <v>22286.952908587264</v>
      </c>
      <c r="O421" s="34">
        <v>0.3</v>
      </c>
      <c r="P421" s="226">
        <f t="shared" si="58"/>
        <v>28973.038781163443</v>
      </c>
      <c r="Q421" s="107" t="s">
        <v>1486</v>
      </c>
      <c r="R421" s="34">
        <v>0.2526324187131756</v>
      </c>
      <c r="S421" s="226">
        <f t="shared" si="59"/>
        <v>21530.476304971722</v>
      </c>
      <c r="T421" s="156" t="s">
        <v>1486</v>
      </c>
      <c r="U421" s="2">
        <v>2</v>
      </c>
      <c r="V421" s="2" t="s">
        <v>47</v>
      </c>
      <c r="W421" s="2" t="s">
        <v>5863</v>
      </c>
      <c r="X421" s="2" t="s">
        <v>3470</v>
      </c>
      <c r="Y421" s="488" t="s">
        <v>1486</v>
      </c>
      <c r="Z421" s="293">
        <f t="shared" si="52"/>
        <v>5206.5318559556836</v>
      </c>
      <c r="AA421" s="293">
        <f t="shared" si="53"/>
        <v>4570.8372310686755</v>
      </c>
    </row>
    <row r="422" spans="1:27" s="320" customFormat="1" x14ac:dyDescent="0.25">
      <c r="A422" s="220" t="s">
        <v>478</v>
      </c>
      <c r="B422" s="221" t="s">
        <v>3135</v>
      </c>
      <c r="C422" s="223" t="s">
        <v>1570</v>
      </c>
      <c r="D422" s="220" t="s">
        <v>461</v>
      </c>
      <c r="E422" s="222">
        <v>10</v>
      </c>
      <c r="F422" s="192">
        <v>306</v>
      </c>
      <c r="G422" s="24">
        <v>0.2</v>
      </c>
      <c r="H422" s="24">
        <v>0.05</v>
      </c>
      <c r="I422" s="24">
        <v>0.05</v>
      </c>
      <c r="J422" s="24">
        <v>0</v>
      </c>
      <c r="K422" s="224">
        <f t="shared" si="54"/>
        <v>0.27800000000000002</v>
      </c>
      <c r="L422" s="225">
        <f t="shared" si="55"/>
        <v>4238.2271468144045</v>
      </c>
      <c r="M422" s="225">
        <f t="shared" si="56"/>
        <v>423.82271468144046</v>
      </c>
      <c r="N422" s="226">
        <f t="shared" si="57"/>
        <v>504.3490304709141</v>
      </c>
      <c r="O422" s="34">
        <v>0.3</v>
      </c>
      <c r="P422" s="226">
        <f t="shared" si="58"/>
        <v>655.65373961218836</v>
      </c>
      <c r="Q422" s="107" t="s">
        <v>1486</v>
      </c>
      <c r="R422" s="34">
        <v>0.3</v>
      </c>
      <c r="S422" s="226">
        <f t="shared" si="59"/>
        <v>520.20000000000005</v>
      </c>
      <c r="T422" s="156" t="s">
        <v>1486</v>
      </c>
      <c r="U422" s="2" t="s">
        <v>109</v>
      </c>
      <c r="V422" s="2" t="s">
        <v>47</v>
      </c>
      <c r="W422" s="2" t="s">
        <v>5883</v>
      </c>
      <c r="X422" s="2" t="s">
        <v>4003</v>
      </c>
      <c r="Y422" s="488" t="s">
        <v>1486</v>
      </c>
      <c r="Z422" s="293">
        <f t="shared" si="52"/>
        <v>117.82271468144046</v>
      </c>
      <c r="AA422" s="293">
        <f t="shared" si="53"/>
        <v>131.14285714285722</v>
      </c>
    </row>
    <row r="423" spans="1:27" s="320" customFormat="1" x14ac:dyDescent="0.25">
      <c r="A423" s="220" t="s">
        <v>479</v>
      </c>
      <c r="B423" s="221" t="s">
        <v>787</v>
      </c>
      <c r="C423" s="223" t="s">
        <v>1561</v>
      </c>
      <c r="D423" s="220" t="s">
        <v>782</v>
      </c>
      <c r="E423" s="222">
        <v>12</v>
      </c>
      <c r="F423" s="192">
        <v>0</v>
      </c>
      <c r="G423" s="24">
        <v>0.2</v>
      </c>
      <c r="H423" s="24">
        <v>0.05</v>
      </c>
      <c r="I423" s="24">
        <v>0.05</v>
      </c>
      <c r="J423" s="24">
        <v>0</v>
      </c>
      <c r="K423" s="224">
        <f t="shared" si="54"/>
        <v>0</v>
      </c>
      <c r="L423" s="225">
        <f t="shared" si="55"/>
        <v>0</v>
      </c>
      <c r="M423" s="225">
        <f t="shared" si="56"/>
        <v>0</v>
      </c>
      <c r="N423" s="226">
        <f t="shared" si="57"/>
        <v>0</v>
      </c>
      <c r="O423" s="34">
        <v>0.3</v>
      </c>
      <c r="P423" s="226">
        <f t="shared" si="58"/>
        <v>0</v>
      </c>
      <c r="Q423" s="107" t="s">
        <v>1486</v>
      </c>
      <c r="R423" s="34">
        <v>0.3</v>
      </c>
      <c r="S423" s="226">
        <f t="shared" si="59"/>
        <v>0</v>
      </c>
      <c r="T423" s="156" t="s">
        <v>1486</v>
      </c>
      <c r="U423" s="2" t="s">
        <v>109</v>
      </c>
      <c r="V423" s="2" t="s">
        <v>47</v>
      </c>
      <c r="W423" s="2" t="s">
        <v>5863</v>
      </c>
      <c r="X423" s="2" t="s">
        <v>3470</v>
      </c>
      <c r="Y423" s="488" t="s">
        <v>1486</v>
      </c>
      <c r="Z423" s="293">
        <f t="shared" si="52"/>
        <v>0</v>
      </c>
      <c r="AA423" s="293">
        <f t="shared" si="53"/>
        <v>0</v>
      </c>
    </row>
    <row r="424" spans="1:27" s="320" customFormat="1" x14ac:dyDescent="0.25">
      <c r="A424" s="220" t="s">
        <v>480</v>
      </c>
      <c r="B424" s="221" t="s">
        <v>3111</v>
      </c>
      <c r="C424" s="223" t="s">
        <v>1570</v>
      </c>
      <c r="D424" s="220" t="s">
        <v>461</v>
      </c>
      <c r="E424" s="222">
        <v>50</v>
      </c>
      <c r="F424" s="192">
        <f>4260/E424</f>
        <v>85.2</v>
      </c>
      <c r="G424" s="24">
        <v>0.2</v>
      </c>
      <c r="H424" s="24">
        <v>0.05</v>
      </c>
      <c r="I424" s="24">
        <v>0.05</v>
      </c>
      <c r="J424" s="24">
        <v>0</v>
      </c>
      <c r="K424" s="224">
        <f t="shared" si="54"/>
        <v>0.27800000000000002</v>
      </c>
      <c r="L424" s="225">
        <f t="shared" si="55"/>
        <v>5900.2770083102496</v>
      </c>
      <c r="M424" s="225">
        <f t="shared" si="56"/>
        <v>118.00554016620499</v>
      </c>
      <c r="N424" s="226">
        <f t="shared" si="57"/>
        <v>140.42659279778394</v>
      </c>
      <c r="O424" s="34">
        <v>0.3</v>
      </c>
      <c r="P424" s="226">
        <f t="shared" si="58"/>
        <v>182.55457063711913</v>
      </c>
      <c r="Q424" s="107" t="s">
        <v>1486</v>
      </c>
      <c r="R424" s="34">
        <v>0.3</v>
      </c>
      <c r="S424" s="226">
        <f t="shared" si="59"/>
        <v>144.84</v>
      </c>
      <c r="T424" s="156" t="s">
        <v>1486</v>
      </c>
      <c r="U424" s="2" t="s">
        <v>109</v>
      </c>
      <c r="V424" s="2" t="s">
        <v>47</v>
      </c>
      <c r="W424" s="2" t="s">
        <v>5883</v>
      </c>
      <c r="X424" s="2" t="s">
        <v>4003</v>
      </c>
      <c r="Y424" s="488" t="s">
        <v>1486</v>
      </c>
      <c r="Z424" s="293">
        <f t="shared" si="52"/>
        <v>32.805540166204992</v>
      </c>
      <c r="AA424" s="293">
        <f t="shared" si="53"/>
        <v>36.51428571428572</v>
      </c>
    </row>
    <row r="425" spans="1:27" s="320" customFormat="1" x14ac:dyDescent="0.25">
      <c r="A425" s="220" t="s">
        <v>481</v>
      </c>
      <c r="B425" s="221" t="s">
        <v>5899</v>
      </c>
      <c r="C425" s="223" t="s">
        <v>1561</v>
      </c>
      <c r="D425" s="220" t="s">
        <v>782</v>
      </c>
      <c r="E425" s="222">
        <v>12</v>
      </c>
      <c r="F425" s="192">
        <v>1231</v>
      </c>
      <c r="G425" s="24">
        <v>0.2</v>
      </c>
      <c r="H425" s="24">
        <v>0.05</v>
      </c>
      <c r="I425" s="24">
        <v>0.05</v>
      </c>
      <c r="J425" s="24">
        <v>0</v>
      </c>
      <c r="K425" s="224">
        <f t="shared" si="54"/>
        <v>0.27800000000000002</v>
      </c>
      <c r="L425" s="225">
        <f t="shared" si="55"/>
        <v>20459.833795013852</v>
      </c>
      <c r="M425" s="225">
        <f t="shared" si="56"/>
        <v>1704.9861495844875</v>
      </c>
      <c r="N425" s="226">
        <f t="shared" si="57"/>
        <v>2028.93351800554</v>
      </c>
      <c r="O425" s="34">
        <v>0.3</v>
      </c>
      <c r="P425" s="226">
        <f t="shared" si="58"/>
        <v>2637.6135734072022</v>
      </c>
      <c r="Q425" s="107" t="s">
        <v>1486</v>
      </c>
      <c r="R425" s="34">
        <v>0.3</v>
      </c>
      <c r="S425" s="226">
        <f t="shared" si="59"/>
        <v>2092.6999999999998</v>
      </c>
      <c r="T425" s="156" t="s">
        <v>1486</v>
      </c>
      <c r="U425" s="2">
        <v>14</v>
      </c>
      <c r="V425" s="2" t="s">
        <v>47</v>
      </c>
      <c r="W425" s="2" t="s">
        <v>5863</v>
      </c>
      <c r="X425" s="2" t="s">
        <v>3470</v>
      </c>
      <c r="Y425" s="488" t="s">
        <v>1486</v>
      </c>
      <c r="Z425" s="293">
        <f t="shared" si="52"/>
        <v>473.98614958448752</v>
      </c>
      <c r="AA425" s="293">
        <f t="shared" si="53"/>
        <v>527.57142857142844</v>
      </c>
    </row>
    <row r="426" spans="1:27" s="320" customFormat="1" x14ac:dyDescent="0.25">
      <c r="A426" s="220" t="s">
        <v>482</v>
      </c>
      <c r="B426" s="221" t="s">
        <v>3105</v>
      </c>
      <c r="C426" s="223" t="s">
        <v>1570</v>
      </c>
      <c r="D426" s="220" t="s">
        <v>461</v>
      </c>
      <c r="E426" s="222">
        <v>10</v>
      </c>
      <c r="F426" s="192">
        <f>3061/E426</f>
        <v>306.10000000000002</v>
      </c>
      <c r="G426" s="24">
        <v>0.2</v>
      </c>
      <c r="H426" s="24">
        <v>0.05</v>
      </c>
      <c r="I426" s="24">
        <v>0.05</v>
      </c>
      <c r="J426" s="24">
        <v>0</v>
      </c>
      <c r="K426" s="224">
        <f t="shared" si="54"/>
        <v>0.27800000000000002</v>
      </c>
      <c r="L426" s="225">
        <f t="shared" si="55"/>
        <v>4239.6121883656515</v>
      </c>
      <c r="M426" s="225">
        <f t="shared" si="56"/>
        <v>423.96121883656514</v>
      </c>
      <c r="N426" s="226">
        <f t="shared" si="57"/>
        <v>504.51385041551248</v>
      </c>
      <c r="O426" s="34">
        <v>0.3</v>
      </c>
      <c r="P426" s="226">
        <f t="shared" si="58"/>
        <v>655.86800554016622</v>
      </c>
      <c r="Q426" s="107" t="s">
        <v>1486</v>
      </c>
      <c r="R426" s="34">
        <v>0.3</v>
      </c>
      <c r="S426" s="226">
        <f t="shared" si="59"/>
        <v>520.37</v>
      </c>
      <c r="T426" s="156" t="s">
        <v>1486</v>
      </c>
      <c r="U426" s="2" t="s">
        <v>109</v>
      </c>
      <c r="V426" s="2" t="s">
        <v>47</v>
      </c>
      <c r="W426" s="2" t="s">
        <v>5883</v>
      </c>
      <c r="X426" s="2" t="s">
        <v>4003</v>
      </c>
      <c r="Y426" s="488" t="s">
        <v>1486</v>
      </c>
      <c r="Z426" s="293">
        <f t="shared" si="52"/>
        <v>117.86121883656511</v>
      </c>
      <c r="AA426" s="293">
        <f t="shared" si="53"/>
        <v>131.18571428571431</v>
      </c>
    </row>
    <row r="427" spans="1:27" s="320" customFormat="1" x14ac:dyDescent="0.25">
      <c r="A427" s="220" t="s">
        <v>483</v>
      </c>
      <c r="B427" s="221" t="s">
        <v>5900</v>
      </c>
      <c r="C427" s="223" t="s">
        <v>1561</v>
      </c>
      <c r="D427" s="220" t="s">
        <v>782</v>
      </c>
      <c r="E427" s="222">
        <v>12</v>
      </c>
      <c r="F427" s="192">
        <v>1232</v>
      </c>
      <c r="G427" s="24">
        <v>0.2</v>
      </c>
      <c r="H427" s="24">
        <v>0.05</v>
      </c>
      <c r="I427" s="24">
        <v>0.05</v>
      </c>
      <c r="J427" s="24">
        <v>0</v>
      </c>
      <c r="K427" s="224">
        <f t="shared" si="54"/>
        <v>0.27800000000000014</v>
      </c>
      <c r="L427" s="225">
        <f t="shared" si="55"/>
        <v>20476.454293628813</v>
      </c>
      <c r="M427" s="225">
        <f t="shared" si="56"/>
        <v>1706.3711911357343</v>
      </c>
      <c r="N427" s="226">
        <f t="shared" si="57"/>
        <v>2030.5817174515237</v>
      </c>
      <c r="O427" s="34">
        <v>0.3</v>
      </c>
      <c r="P427" s="226">
        <f t="shared" si="58"/>
        <v>2639.7562326869806</v>
      </c>
      <c r="Q427" s="107" t="s">
        <v>1486</v>
      </c>
      <c r="R427" s="34">
        <v>0.29314020456527418</v>
      </c>
      <c r="S427" s="226">
        <f t="shared" si="59"/>
        <v>2074.0746743112559</v>
      </c>
      <c r="T427" s="156" t="s">
        <v>1486</v>
      </c>
      <c r="U427" s="2">
        <v>15</v>
      </c>
      <c r="V427" s="2" t="s">
        <v>47</v>
      </c>
      <c r="W427" s="2" t="s">
        <v>5863</v>
      </c>
      <c r="X427" s="2" t="s">
        <v>3470</v>
      </c>
      <c r="Y427" s="488" t="s">
        <v>1486</v>
      </c>
      <c r="Z427" s="293">
        <f t="shared" si="52"/>
        <v>474.37119113573431</v>
      </c>
      <c r="AA427" s="293">
        <f t="shared" si="53"/>
        <v>510.91989437920665</v>
      </c>
    </row>
    <row r="428" spans="1:27" s="320" customFormat="1" x14ac:dyDescent="0.25">
      <c r="A428" s="220" t="s">
        <v>484</v>
      </c>
      <c r="B428" s="221" t="s">
        <v>3112</v>
      </c>
      <c r="C428" s="223" t="s">
        <v>1570</v>
      </c>
      <c r="D428" s="220" t="s">
        <v>461</v>
      </c>
      <c r="E428" s="222">
        <v>25</v>
      </c>
      <c r="F428" s="192">
        <v>31.76</v>
      </c>
      <c r="G428" s="24">
        <v>0.2</v>
      </c>
      <c r="H428" s="24">
        <v>0.05</v>
      </c>
      <c r="I428" s="24">
        <v>0.05</v>
      </c>
      <c r="J428" s="24">
        <v>0</v>
      </c>
      <c r="K428" s="224">
        <f t="shared" si="54"/>
        <v>0.27800000000000014</v>
      </c>
      <c r="L428" s="225">
        <f t="shared" si="55"/>
        <v>1099.7229916897509</v>
      </c>
      <c r="M428" s="225">
        <f t="shared" si="56"/>
        <v>43.988919667590039</v>
      </c>
      <c r="N428" s="226">
        <f t="shared" si="57"/>
        <v>52.346814404432145</v>
      </c>
      <c r="O428" s="34">
        <v>0.3</v>
      </c>
      <c r="P428" s="226">
        <f t="shared" si="58"/>
        <v>68.050858725761785</v>
      </c>
      <c r="Q428" s="107" t="s">
        <v>1486</v>
      </c>
      <c r="R428" s="34">
        <v>0.3</v>
      </c>
      <c r="S428" s="226">
        <f t="shared" si="59"/>
        <v>53.991999999999997</v>
      </c>
      <c r="T428" s="156" t="s">
        <v>1486</v>
      </c>
      <c r="U428" s="2" t="s">
        <v>109</v>
      </c>
      <c r="V428" s="2" t="s">
        <v>47</v>
      </c>
      <c r="W428" s="2" t="s">
        <v>5883</v>
      </c>
      <c r="X428" s="2" t="s">
        <v>4003</v>
      </c>
      <c r="Y428" s="488" t="s">
        <v>1486</v>
      </c>
      <c r="Z428" s="293">
        <f t="shared" si="52"/>
        <v>12.228919667590038</v>
      </c>
      <c r="AA428" s="293">
        <f t="shared" si="53"/>
        <v>13.611428571428572</v>
      </c>
    </row>
    <row r="429" spans="1:27" s="320" customFormat="1" x14ac:dyDescent="0.25">
      <c r="A429" s="220" t="s">
        <v>485</v>
      </c>
      <c r="B429" s="221" t="s">
        <v>788</v>
      </c>
      <c r="C429" s="223" t="s">
        <v>1561</v>
      </c>
      <c r="D429" s="220" t="s">
        <v>782</v>
      </c>
      <c r="E429" s="222">
        <v>12</v>
      </c>
      <c r="F429" s="192">
        <v>0</v>
      </c>
      <c r="G429" s="24">
        <v>0.2</v>
      </c>
      <c r="H429" s="24">
        <v>0.05</v>
      </c>
      <c r="I429" s="24">
        <v>0.05</v>
      </c>
      <c r="J429" s="24">
        <v>0</v>
      </c>
      <c r="K429" s="224">
        <f t="shared" si="54"/>
        <v>0</v>
      </c>
      <c r="L429" s="225">
        <f t="shared" si="55"/>
        <v>0</v>
      </c>
      <c r="M429" s="225">
        <f t="shared" si="56"/>
        <v>0</v>
      </c>
      <c r="N429" s="226">
        <f t="shared" si="57"/>
        <v>0</v>
      </c>
      <c r="O429" s="34">
        <v>0.3</v>
      </c>
      <c r="P429" s="226">
        <f t="shared" si="58"/>
        <v>0</v>
      </c>
      <c r="Q429" s="107" t="s">
        <v>1486</v>
      </c>
      <c r="R429" s="34">
        <v>0.3</v>
      </c>
      <c r="S429" s="226">
        <f t="shared" si="59"/>
        <v>0</v>
      </c>
      <c r="T429" s="156" t="s">
        <v>1486</v>
      </c>
      <c r="U429" s="2" t="s">
        <v>109</v>
      </c>
      <c r="V429" s="2" t="s">
        <v>47</v>
      </c>
      <c r="W429" s="2" t="s">
        <v>5863</v>
      </c>
      <c r="X429" s="2" t="s">
        <v>3470</v>
      </c>
      <c r="Y429" s="488" t="s">
        <v>1486</v>
      </c>
      <c r="Z429" s="293">
        <f t="shared" si="52"/>
        <v>0</v>
      </c>
      <c r="AA429" s="293">
        <f t="shared" si="53"/>
        <v>0</v>
      </c>
    </row>
    <row r="430" spans="1:27" s="320" customFormat="1" x14ac:dyDescent="0.25">
      <c r="A430" s="220" t="s">
        <v>486</v>
      </c>
      <c r="B430" s="221" t="s">
        <v>3113</v>
      </c>
      <c r="C430" s="223" t="s">
        <v>1570</v>
      </c>
      <c r="D430" s="220" t="s">
        <v>461</v>
      </c>
      <c r="E430" s="222">
        <v>25</v>
      </c>
      <c r="F430" s="192">
        <v>210.84</v>
      </c>
      <c r="G430" s="24">
        <v>0.2</v>
      </c>
      <c r="H430" s="24">
        <v>0.05</v>
      </c>
      <c r="I430" s="24">
        <v>0.05</v>
      </c>
      <c r="J430" s="24">
        <v>0</v>
      </c>
      <c r="K430" s="224">
        <f t="shared" si="54"/>
        <v>0.27800000000000002</v>
      </c>
      <c r="L430" s="225">
        <f t="shared" si="55"/>
        <v>7300.5540166204992</v>
      </c>
      <c r="M430" s="225">
        <f t="shared" si="56"/>
        <v>292.02216066481998</v>
      </c>
      <c r="N430" s="226">
        <f t="shared" si="57"/>
        <v>347.50637119113577</v>
      </c>
      <c r="O430" s="34">
        <v>0.3</v>
      </c>
      <c r="P430" s="226">
        <f t="shared" si="58"/>
        <v>451.75828254847653</v>
      </c>
      <c r="Q430" s="107" t="s">
        <v>1486</v>
      </c>
      <c r="R430" s="34">
        <v>0.3</v>
      </c>
      <c r="S430" s="226">
        <f t="shared" si="59"/>
        <v>358.42800000000005</v>
      </c>
      <c r="T430" s="156" t="s">
        <v>1486</v>
      </c>
      <c r="U430" s="2" t="s">
        <v>109</v>
      </c>
      <c r="V430" s="2" t="s">
        <v>47</v>
      </c>
      <c r="W430" s="2" t="s">
        <v>5883</v>
      </c>
      <c r="X430" s="2" t="s">
        <v>4003</v>
      </c>
      <c r="Y430" s="488" t="s">
        <v>1486</v>
      </c>
      <c r="Z430" s="293">
        <f t="shared" si="52"/>
        <v>81.182160664819975</v>
      </c>
      <c r="AA430" s="293">
        <f t="shared" si="53"/>
        <v>90.360000000000042</v>
      </c>
    </row>
    <row r="431" spans="1:27" s="320" customFormat="1" x14ac:dyDescent="0.25">
      <c r="A431" s="220" t="s">
        <v>487</v>
      </c>
      <c r="B431" s="221" t="s">
        <v>3680</v>
      </c>
      <c r="C431" s="223" t="s">
        <v>1561</v>
      </c>
      <c r="D431" s="220" t="s">
        <v>782</v>
      </c>
      <c r="E431" s="222">
        <v>12</v>
      </c>
      <c r="F431" s="192">
        <v>1165</v>
      </c>
      <c r="G431" s="24">
        <v>0.2</v>
      </c>
      <c r="H431" s="24">
        <v>0.05</v>
      </c>
      <c r="I431" s="24">
        <v>0.05</v>
      </c>
      <c r="J431" s="24">
        <v>0</v>
      </c>
      <c r="K431" s="224">
        <f t="shared" si="54"/>
        <v>0.27800000000000002</v>
      </c>
      <c r="L431" s="225">
        <f t="shared" si="55"/>
        <v>19362.880886426596</v>
      </c>
      <c r="M431" s="225">
        <f t="shared" si="56"/>
        <v>1613.5734072022162</v>
      </c>
      <c r="N431" s="226">
        <f t="shared" si="57"/>
        <v>1920.1523545706373</v>
      </c>
      <c r="O431" s="34">
        <v>0.3</v>
      </c>
      <c r="P431" s="226">
        <f t="shared" si="58"/>
        <v>2496.1980609418283</v>
      </c>
      <c r="Q431" s="107" t="s">
        <v>1486</v>
      </c>
      <c r="R431" s="34">
        <v>0.3</v>
      </c>
      <c r="S431" s="226">
        <f t="shared" si="59"/>
        <v>1980.5</v>
      </c>
      <c r="T431" s="156" t="s">
        <v>1486</v>
      </c>
      <c r="U431" s="2">
        <v>16</v>
      </c>
      <c r="V431" s="2" t="s">
        <v>47</v>
      </c>
      <c r="W431" s="2" t="s">
        <v>5863</v>
      </c>
      <c r="X431" s="2" t="s">
        <v>3470</v>
      </c>
      <c r="Y431" s="488" t="s">
        <v>1486</v>
      </c>
      <c r="Z431" s="293">
        <f t="shared" si="52"/>
        <v>448.57340720221623</v>
      </c>
      <c r="AA431" s="293">
        <f t="shared" si="53"/>
        <v>499.28571428571445</v>
      </c>
    </row>
    <row r="432" spans="1:27" s="320" customFormat="1" x14ac:dyDescent="0.25">
      <c r="A432" s="220" t="s">
        <v>488</v>
      </c>
      <c r="B432" s="221" t="s">
        <v>3114</v>
      </c>
      <c r="C432" s="223" t="s">
        <v>1570</v>
      </c>
      <c r="D432" s="220" t="s">
        <v>461</v>
      </c>
      <c r="E432" s="222">
        <v>50</v>
      </c>
      <c r="F432" s="192">
        <f>3682/E432</f>
        <v>73.64</v>
      </c>
      <c r="G432" s="24">
        <v>0.2</v>
      </c>
      <c r="H432" s="24">
        <v>0.05</v>
      </c>
      <c r="I432" s="24">
        <v>0.05</v>
      </c>
      <c r="J432" s="24">
        <v>0</v>
      </c>
      <c r="K432" s="224">
        <f t="shared" si="54"/>
        <v>0.27800000000000002</v>
      </c>
      <c r="L432" s="225">
        <f t="shared" si="55"/>
        <v>5099.7229916897513</v>
      </c>
      <c r="M432" s="225">
        <f t="shared" si="56"/>
        <v>101.99445983379502</v>
      </c>
      <c r="N432" s="226">
        <f t="shared" si="57"/>
        <v>121.37340720221607</v>
      </c>
      <c r="O432" s="34">
        <v>0.3</v>
      </c>
      <c r="P432" s="226">
        <f t="shared" si="58"/>
        <v>157.7854293628809</v>
      </c>
      <c r="Q432" s="107" t="s">
        <v>1486</v>
      </c>
      <c r="R432" s="34">
        <v>0.3</v>
      </c>
      <c r="S432" s="226">
        <f t="shared" si="59"/>
        <v>125.188</v>
      </c>
      <c r="T432" s="156" t="s">
        <v>1486</v>
      </c>
      <c r="U432" s="2" t="s">
        <v>109</v>
      </c>
      <c r="V432" s="2" t="s">
        <v>47</v>
      </c>
      <c r="W432" s="2" t="s">
        <v>5883</v>
      </c>
      <c r="X432" s="2" t="s">
        <v>4003</v>
      </c>
      <c r="Y432" s="488" t="s">
        <v>1486</v>
      </c>
      <c r="Z432" s="293">
        <f t="shared" si="52"/>
        <v>28.354459833795019</v>
      </c>
      <c r="AA432" s="293">
        <f t="shared" si="53"/>
        <v>31.560000000000002</v>
      </c>
    </row>
    <row r="433" spans="1:27" s="320" customFormat="1" x14ac:dyDescent="0.25">
      <c r="A433" s="220" t="s">
        <v>489</v>
      </c>
      <c r="B433" s="221" t="s">
        <v>789</v>
      </c>
      <c r="C433" s="223" t="s">
        <v>1561</v>
      </c>
      <c r="D433" s="220" t="s">
        <v>782</v>
      </c>
      <c r="E433" s="222">
        <v>12</v>
      </c>
      <c r="F433" s="192">
        <v>0</v>
      </c>
      <c r="G433" s="24">
        <v>0.2</v>
      </c>
      <c r="H433" s="24">
        <v>0.05</v>
      </c>
      <c r="I433" s="24">
        <v>0.05</v>
      </c>
      <c r="J433" s="24">
        <v>0</v>
      </c>
      <c r="K433" s="224">
        <f t="shared" si="54"/>
        <v>0</v>
      </c>
      <c r="L433" s="225">
        <f t="shared" si="55"/>
        <v>0</v>
      </c>
      <c r="M433" s="225">
        <f t="shared" si="56"/>
        <v>0</v>
      </c>
      <c r="N433" s="226">
        <f t="shared" si="57"/>
        <v>0</v>
      </c>
      <c r="O433" s="34">
        <v>0.3</v>
      </c>
      <c r="P433" s="226">
        <f t="shared" si="58"/>
        <v>0</v>
      </c>
      <c r="Q433" s="107" t="s">
        <v>1486</v>
      </c>
      <c r="R433" s="34">
        <v>0.3</v>
      </c>
      <c r="S433" s="226">
        <f t="shared" si="59"/>
        <v>0</v>
      </c>
      <c r="T433" s="156" t="s">
        <v>1486</v>
      </c>
      <c r="U433" s="2" t="s">
        <v>109</v>
      </c>
      <c r="V433" s="2" t="s">
        <v>47</v>
      </c>
      <c r="W433" s="2" t="s">
        <v>5863</v>
      </c>
      <c r="X433" s="2" t="s">
        <v>3470</v>
      </c>
      <c r="Y433" s="488" t="s">
        <v>1486</v>
      </c>
      <c r="Z433" s="293">
        <f t="shared" si="52"/>
        <v>0</v>
      </c>
      <c r="AA433" s="293">
        <f t="shared" si="53"/>
        <v>0</v>
      </c>
    </row>
    <row r="434" spans="1:27" s="320" customFormat="1" x14ac:dyDescent="0.25">
      <c r="A434" s="220" t="s">
        <v>490</v>
      </c>
      <c r="B434" s="221" t="s">
        <v>3115</v>
      </c>
      <c r="C434" s="223" t="s">
        <v>1570</v>
      </c>
      <c r="D434" s="220" t="s">
        <v>461</v>
      </c>
      <c r="E434" s="222">
        <v>50</v>
      </c>
      <c r="F434" s="192">
        <f>2708/E434</f>
        <v>54.16</v>
      </c>
      <c r="G434" s="24">
        <v>0.2</v>
      </c>
      <c r="H434" s="24">
        <v>0.05</v>
      </c>
      <c r="I434" s="24">
        <v>0.05</v>
      </c>
      <c r="J434" s="24">
        <v>0</v>
      </c>
      <c r="K434" s="224">
        <f t="shared" si="54"/>
        <v>0.27800000000000002</v>
      </c>
      <c r="L434" s="225">
        <f t="shared" si="55"/>
        <v>3750.6925207756231</v>
      </c>
      <c r="M434" s="225">
        <f t="shared" si="56"/>
        <v>75.013850415512465</v>
      </c>
      <c r="N434" s="226">
        <f t="shared" si="57"/>
        <v>89.266481994459824</v>
      </c>
      <c r="O434" s="34">
        <v>0.3</v>
      </c>
      <c r="P434" s="226">
        <f t="shared" si="58"/>
        <v>116.04642659279777</v>
      </c>
      <c r="Q434" s="107" t="s">
        <v>1486</v>
      </c>
      <c r="R434" s="34">
        <v>0.3</v>
      </c>
      <c r="S434" s="226">
        <f t="shared" si="59"/>
        <v>92.071999999999989</v>
      </c>
      <c r="T434" s="156" t="s">
        <v>1486</v>
      </c>
      <c r="U434" s="2" t="s">
        <v>109</v>
      </c>
      <c r="V434" s="2" t="s">
        <v>47</v>
      </c>
      <c r="W434" s="2" t="s">
        <v>5883</v>
      </c>
      <c r="X434" s="2" t="s">
        <v>4003</v>
      </c>
      <c r="Y434" s="488" t="s">
        <v>1486</v>
      </c>
      <c r="Z434" s="293">
        <f t="shared" si="52"/>
        <v>20.853850415512468</v>
      </c>
      <c r="AA434" s="293">
        <f t="shared" si="53"/>
        <v>23.21142857142857</v>
      </c>
    </row>
    <row r="435" spans="1:27" s="320" customFormat="1" x14ac:dyDescent="0.25">
      <c r="A435" s="220" t="s">
        <v>491</v>
      </c>
      <c r="B435" s="221" t="s">
        <v>790</v>
      </c>
      <c r="C435" s="223" t="s">
        <v>1561</v>
      </c>
      <c r="D435" s="220" t="s">
        <v>782</v>
      </c>
      <c r="E435" s="222">
        <v>12</v>
      </c>
      <c r="F435" s="192">
        <v>0</v>
      </c>
      <c r="G435" s="24">
        <v>0.2</v>
      </c>
      <c r="H435" s="24">
        <v>0.05</v>
      </c>
      <c r="I435" s="24">
        <v>0.05</v>
      </c>
      <c r="J435" s="24">
        <v>0</v>
      </c>
      <c r="K435" s="224">
        <f t="shared" si="54"/>
        <v>0</v>
      </c>
      <c r="L435" s="225">
        <f t="shared" si="55"/>
        <v>0</v>
      </c>
      <c r="M435" s="225">
        <f t="shared" si="56"/>
        <v>0</v>
      </c>
      <c r="N435" s="226">
        <f t="shared" si="57"/>
        <v>0</v>
      </c>
      <c r="O435" s="34">
        <v>0.3</v>
      </c>
      <c r="P435" s="226">
        <f t="shared" si="58"/>
        <v>0</v>
      </c>
      <c r="Q435" s="107" t="s">
        <v>1486</v>
      </c>
      <c r="R435" s="34">
        <v>0.3</v>
      </c>
      <c r="S435" s="226">
        <f t="shared" si="59"/>
        <v>0</v>
      </c>
      <c r="T435" s="156" t="s">
        <v>1486</v>
      </c>
      <c r="U435" s="2" t="s">
        <v>109</v>
      </c>
      <c r="V435" s="2" t="s">
        <v>47</v>
      </c>
      <c r="W435" s="2" t="s">
        <v>5863</v>
      </c>
      <c r="X435" s="2" t="s">
        <v>3470</v>
      </c>
      <c r="Y435" s="488" t="s">
        <v>1486</v>
      </c>
      <c r="Z435" s="293">
        <f t="shared" si="52"/>
        <v>0</v>
      </c>
      <c r="AA435" s="293">
        <f t="shared" si="53"/>
        <v>0</v>
      </c>
    </row>
    <row r="436" spans="1:27" s="320" customFormat="1" x14ac:dyDescent="0.25">
      <c r="A436" s="220" t="s">
        <v>492</v>
      </c>
      <c r="B436" s="221" t="s">
        <v>3137</v>
      </c>
      <c r="C436" s="223" t="s">
        <v>1570</v>
      </c>
      <c r="D436" s="220" t="s">
        <v>461</v>
      </c>
      <c r="E436" s="222">
        <v>10</v>
      </c>
      <c r="F436" s="192">
        <f>2419/E436</f>
        <v>241.9</v>
      </c>
      <c r="G436" s="24">
        <v>0.2</v>
      </c>
      <c r="H436" s="24">
        <v>0.05</v>
      </c>
      <c r="I436" s="24">
        <v>0.05</v>
      </c>
      <c r="J436" s="24">
        <v>0</v>
      </c>
      <c r="K436" s="224">
        <f t="shared" si="54"/>
        <v>0.27799999999999991</v>
      </c>
      <c r="L436" s="225">
        <f t="shared" si="55"/>
        <v>3350.4155124653739</v>
      </c>
      <c r="M436" s="225">
        <f t="shared" si="56"/>
        <v>335.04155124653738</v>
      </c>
      <c r="N436" s="226">
        <f t="shared" si="57"/>
        <v>398.69944598337946</v>
      </c>
      <c r="O436" s="34">
        <v>0.3</v>
      </c>
      <c r="P436" s="226">
        <f t="shared" si="58"/>
        <v>518.30927977839337</v>
      </c>
      <c r="Q436" s="107" t="s">
        <v>1486</v>
      </c>
      <c r="R436" s="34">
        <v>0.3</v>
      </c>
      <c r="S436" s="226">
        <f t="shared" si="59"/>
        <v>411.23</v>
      </c>
      <c r="T436" s="156" t="s">
        <v>1486</v>
      </c>
      <c r="U436" s="2" t="s">
        <v>109</v>
      </c>
      <c r="V436" s="2" t="s">
        <v>47</v>
      </c>
      <c r="W436" s="2" t="s">
        <v>5883</v>
      </c>
      <c r="X436" s="2" t="s">
        <v>4003</v>
      </c>
      <c r="Y436" s="488" t="s">
        <v>1486</v>
      </c>
      <c r="Z436" s="293">
        <f t="shared" si="52"/>
        <v>93.141551246537375</v>
      </c>
      <c r="AA436" s="293">
        <f t="shared" si="53"/>
        <v>103.67142857142861</v>
      </c>
    </row>
    <row r="437" spans="1:27" s="320" customFormat="1" x14ac:dyDescent="0.25">
      <c r="A437" s="220" t="s">
        <v>493</v>
      </c>
      <c r="B437" s="221" t="s">
        <v>5901</v>
      </c>
      <c r="C437" s="223" t="s">
        <v>1561</v>
      </c>
      <c r="D437" s="220" t="s">
        <v>782</v>
      </c>
      <c r="E437" s="222">
        <v>12</v>
      </c>
      <c r="F437" s="192">
        <v>1642</v>
      </c>
      <c r="G437" s="24">
        <v>0.2</v>
      </c>
      <c r="H437" s="24">
        <v>0.05</v>
      </c>
      <c r="I437" s="24">
        <v>0.05</v>
      </c>
      <c r="J437" s="24">
        <v>0</v>
      </c>
      <c r="K437" s="224">
        <f t="shared" si="54"/>
        <v>0.27800000000000002</v>
      </c>
      <c r="L437" s="225">
        <f t="shared" si="55"/>
        <v>27290.858725761776</v>
      </c>
      <c r="M437" s="225">
        <f t="shared" si="56"/>
        <v>2274.2382271468146</v>
      </c>
      <c r="N437" s="226">
        <f t="shared" si="57"/>
        <v>2706.3434903047091</v>
      </c>
      <c r="O437" s="34">
        <v>0.3</v>
      </c>
      <c r="P437" s="226">
        <f t="shared" si="58"/>
        <v>3518.2465373961218</v>
      </c>
      <c r="Q437" s="107" t="s">
        <v>1486</v>
      </c>
      <c r="R437" s="34">
        <v>0.3</v>
      </c>
      <c r="S437" s="226">
        <f t="shared" si="59"/>
        <v>2791.4</v>
      </c>
      <c r="T437" s="156" t="s">
        <v>1486</v>
      </c>
      <c r="U437" s="2">
        <v>17</v>
      </c>
      <c r="V437" s="2" t="s">
        <v>47</v>
      </c>
      <c r="W437" s="2" t="s">
        <v>5863</v>
      </c>
      <c r="X437" s="2" t="s">
        <v>3470</v>
      </c>
      <c r="Y437" s="488" t="s">
        <v>1486</v>
      </c>
      <c r="Z437" s="293">
        <f t="shared" si="52"/>
        <v>632.23822714681455</v>
      </c>
      <c r="AA437" s="293">
        <f t="shared" si="53"/>
        <v>703.71428571428578</v>
      </c>
    </row>
    <row r="438" spans="1:27" s="320" customFormat="1" x14ac:dyDescent="0.25">
      <c r="A438" s="220" t="s">
        <v>494</v>
      </c>
      <c r="B438" s="221" t="s">
        <v>3116</v>
      </c>
      <c r="C438" s="223" t="s">
        <v>1570</v>
      </c>
      <c r="D438" s="220" t="s">
        <v>461</v>
      </c>
      <c r="E438" s="222">
        <v>25</v>
      </c>
      <c r="F438" s="192">
        <f>5343/E438</f>
        <v>213.72</v>
      </c>
      <c r="G438" s="24">
        <v>0.2</v>
      </c>
      <c r="H438" s="24">
        <v>0.05</v>
      </c>
      <c r="I438" s="24">
        <v>0.05</v>
      </c>
      <c r="J438" s="24">
        <v>0</v>
      </c>
      <c r="K438" s="224">
        <f t="shared" si="54"/>
        <v>0.27800000000000014</v>
      </c>
      <c r="L438" s="225">
        <f t="shared" si="55"/>
        <v>7400.2770083102505</v>
      </c>
      <c r="M438" s="225">
        <f t="shared" si="56"/>
        <v>296.01108033241002</v>
      </c>
      <c r="N438" s="226">
        <f t="shared" si="57"/>
        <v>352.25318559556791</v>
      </c>
      <c r="O438" s="34">
        <v>0.3</v>
      </c>
      <c r="P438" s="226">
        <f t="shared" si="58"/>
        <v>457.9291412742383</v>
      </c>
      <c r="Q438" s="107" t="s">
        <v>1486</v>
      </c>
      <c r="R438" s="34">
        <v>0.3</v>
      </c>
      <c r="S438" s="226">
        <f t="shared" si="59"/>
        <v>363.32400000000001</v>
      </c>
      <c r="T438" s="156" t="s">
        <v>1486</v>
      </c>
      <c r="U438" s="2" t="s">
        <v>109</v>
      </c>
      <c r="V438" s="2" t="s">
        <v>47</v>
      </c>
      <c r="W438" s="2" t="s">
        <v>5883</v>
      </c>
      <c r="X438" s="2" t="s">
        <v>4003</v>
      </c>
      <c r="Y438" s="488" t="s">
        <v>1486</v>
      </c>
      <c r="Z438" s="293">
        <f t="shared" si="52"/>
        <v>82.291080332410019</v>
      </c>
      <c r="AA438" s="293">
        <f t="shared" si="53"/>
        <v>91.594285714285746</v>
      </c>
    </row>
    <row r="439" spans="1:27" s="320" customFormat="1" x14ac:dyDescent="0.25">
      <c r="A439" s="220" t="s">
        <v>495</v>
      </c>
      <c r="B439" s="221" t="s">
        <v>3679</v>
      </c>
      <c r="C439" s="223" t="s">
        <v>1561</v>
      </c>
      <c r="D439" s="220" t="s">
        <v>782</v>
      </c>
      <c r="E439" s="222">
        <v>12</v>
      </c>
      <c r="F439" s="192">
        <v>1231</v>
      </c>
      <c r="G439" s="24">
        <v>0.2</v>
      </c>
      <c r="H439" s="24">
        <v>0.05</v>
      </c>
      <c r="I439" s="24">
        <v>0.05</v>
      </c>
      <c r="J439" s="24">
        <v>0</v>
      </c>
      <c r="K439" s="224">
        <f t="shared" si="54"/>
        <v>0.27800000000000002</v>
      </c>
      <c r="L439" s="225">
        <f t="shared" si="55"/>
        <v>20459.833795013852</v>
      </c>
      <c r="M439" s="225">
        <f t="shared" si="56"/>
        <v>1704.9861495844875</v>
      </c>
      <c r="N439" s="226">
        <f t="shared" si="57"/>
        <v>2028.93351800554</v>
      </c>
      <c r="O439" s="34">
        <v>0.3</v>
      </c>
      <c r="P439" s="226">
        <f t="shared" si="58"/>
        <v>2637.6135734072022</v>
      </c>
      <c r="Q439" s="107" t="s">
        <v>1486</v>
      </c>
      <c r="R439" s="34">
        <v>0.3</v>
      </c>
      <c r="S439" s="226">
        <f t="shared" si="59"/>
        <v>2092.6999999999998</v>
      </c>
      <c r="T439" s="156" t="s">
        <v>1486</v>
      </c>
      <c r="U439" s="2">
        <v>18</v>
      </c>
      <c r="V439" s="2" t="s">
        <v>47</v>
      </c>
      <c r="W439" s="2" t="s">
        <v>5863</v>
      </c>
      <c r="X439" s="2" t="s">
        <v>3470</v>
      </c>
      <c r="Y439" s="488" t="s">
        <v>1486</v>
      </c>
      <c r="Z439" s="293">
        <f t="shared" si="52"/>
        <v>473.98614958448752</v>
      </c>
      <c r="AA439" s="293">
        <f t="shared" si="53"/>
        <v>527.57142857142844</v>
      </c>
    </row>
    <row r="440" spans="1:27" s="320" customFormat="1" x14ac:dyDescent="0.25">
      <c r="A440" s="220" t="s">
        <v>496</v>
      </c>
      <c r="B440" s="221" t="s">
        <v>3159</v>
      </c>
      <c r="C440" s="223" t="s">
        <v>1570</v>
      </c>
      <c r="D440" s="220" t="s">
        <v>461</v>
      </c>
      <c r="E440" s="222">
        <v>25</v>
      </c>
      <c r="F440" s="192">
        <f>4235/E440</f>
        <v>169.4</v>
      </c>
      <c r="G440" s="24">
        <v>0.2</v>
      </c>
      <c r="H440" s="24">
        <v>0.05</v>
      </c>
      <c r="I440" s="24">
        <v>0.05</v>
      </c>
      <c r="J440" s="24">
        <v>0</v>
      </c>
      <c r="K440" s="224">
        <f t="shared" si="54"/>
        <v>0.27799999999999991</v>
      </c>
      <c r="L440" s="225">
        <f t="shared" si="55"/>
        <v>5865.6509695290861</v>
      </c>
      <c r="M440" s="225">
        <f t="shared" si="56"/>
        <v>234.62603878116343</v>
      </c>
      <c r="N440" s="226">
        <f t="shared" si="57"/>
        <v>279.20498614958444</v>
      </c>
      <c r="O440" s="34">
        <v>0.3</v>
      </c>
      <c r="P440" s="226">
        <f t="shared" si="58"/>
        <v>362.9664819944598</v>
      </c>
      <c r="Q440" s="107" t="s">
        <v>1486</v>
      </c>
      <c r="R440" s="34">
        <v>0.3</v>
      </c>
      <c r="S440" s="226">
        <f t="shared" si="59"/>
        <v>287.98</v>
      </c>
      <c r="T440" s="156" t="s">
        <v>1486</v>
      </c>
      <c r="U440" s="2" t="s">
        <v>109</v>
      </c>
      <c r="V440" s="2" t="s">
        <v>47</v>
      </c>
      <c r="W440" s="2" t="s">
        <v>5883</v>
      </c>
      <c r="X440" s="2" t="s">
        <v>4003</v>
      </c>
      <c r="Y440" s="488" t="s">
        <v>1486</v>
      </c>
      <c r="Z440" s="293">
        <f t="shared" si="52"/>
        <v>65.226038781163425</v>
      </c>
      <c r="AA440" s="293">
        <f t="shared" si="53"/>
        <v>72.600000000000023</v>
      </c>
    </row>
    <row r="441" spans="1:27" s="320" customFormat="1" x14ac:dyDescent="0.25">
      <c r="A441" s="220" t="s">
        <v>497</v>
      </c>
      <c r="B441" s="221" t="s">
        <v>3681</v>
      </c>
      <c r="C441" s="223" t="s">
        <v>1561</v>
      </c>
      <c r="D441" s="220" t="s">
        <v>782</v>
      </c>
      <c r="E441" s="222">
        <v>12</v>
      </c>
      <c r="F441" s="192">
        <v>1165</v>
      </c>
      <c r="G441" s="24">
        <v>0.2</v>
      </c>
      <c r="H441" s="24">
        <v>0.05</v>
      </c>
      <c r="I441" s="24">
        <v>0.05</v>
      </c>
      <c r="J441" s="24">
        <v>0</v>
      </c>
      <c r="K441" s="224">
        <f t="shared" si="54"/>
        <v>0.27800000000000002</v>
      </c>
      <c r="L441" s="225">
        <f t="shared" si="55"/>
        <v>19362.880886426596</v>
      </c>
      <c r="M441" s="225">
        <f t="shared" si="56"/>
        <v>1613.5734072022162</v>
      </c>
      <c r="N441" s="226">
        <f t="shared" si="57"/>
        <v>1920.1523545706373</v>
      </c>
      <c r="O441" s="34">
        <v>0.3</v>
      </c>
      <c r="P441" s="226">
        <f t="shared" si="58"/>
        <v>2496.1980609418283</v>
      </c>
      <c r="Q441" s="107" t="s">
        <v>1486</v>
      </c>
      <c r="R441" s="34">
        <v>0.3</v>
      </c>
      <c r="S441" s="226">
        <f t="shared" si="59"/>
        <v>1980.5</v>
      </c>
      <c r="T441" s="156" t="s">
        <v>1486</v>
      </c>
      <c r="U441" s="2">
        <v>19</v>
      </c>
      <c r="V441" s="2" t="s">
        <v>47</v>
      </c>
      <c r="W441" s="2" t="s">
        <v>5863</v>
      </c>
      <c r="X441" s="2" t="s">
        <v>3470</v>
      </c>
      <c r="Y441" s="488" t="s">
        <v>1486</v>
      </c>
      <c r="Z441" s="293">
        <f t="shared" si="52"/>
        <v>448.57340720221623</v>
      </c>
      <c r="AA441" s="293">
        <f t="shared" si="53"/>
        <v>499.28571428571445</v>
      </c>
    </row>
    <row r="442" spans="1:27" s="320" customFormat="1" x14ac:dyDescent="0.25">
      <c r="A442" s="220" t="s">
        <v>498</v>
      </c>
      <c r="B442" s="221" t="s">
        <v>3160</v>
      </c>
      <c r="C442" s="223" t="s">
        <v>1570</v>
      </c>
      <c r="D442" s="220" t="s">
        <v>461</v>
      </c>
      <c r="E442" s="222">
        <v>25</v>
      </c>
      <c r="F442" s="192">
        <f>2996/E442</f>
        <v>119.84</v>
      </c>
      <c r="G442" s="24">
        <v>0.2</v>
      </c>
      <c r="H442" s="24">
        <v>0.05</v>
      </c>
      <c r="I442" s="24">
        <v>0.05</v>
      </c>
      <c r="J442" s="24">
        <v>0</v>
      </c>
      <c r="K442" s="224">
        <f t="shared" si="54"/>
        <v>0.27799999999999991</v>
      </c>
      <c r="L442" s="225">
        <f t="shared" si="55"/>
        <v>4149.5844875346256</v>
      </c>
      <c r="M442" s="225">
        <f t="shared" si="56"/>
        <v>165.98337950138503</v>
      </c>
      <c r="N442" s="226">
        <f t="shared" si="57"/>
        <v>197.52022160664816</v>
      </c>
      <c r="O442" s="34">
        <v>0.3</v>
      </c>
      <c r="P442" s="226">
        <f t="shared" si="58"/>
        <v>256.77628808864262</v>
      </c>
      <c r="Q442" s="107" t="s">
        <v>1486</v>
      </c>
      <c r="R442" s="34">
        <v>0.3</v>
      </c>
      <c r="S442" s="226">
        <f t="shared" si="59"/>
        <v>203.72800000000001</v>
      </c>
      <c r="T442" s="156" t="s">
        <v>1486</v>
      </c>
      <c r="U442" s="2" t="s">
        <v>109</v>
      </c>
      <c r="V442" s="2" t="s">
        <v>47</v>
      </c>
      <c r="W442" s="2" t="s">
        <v>5883</v>
      </c>
      <c r="X442" s="2" t="s">
        <v>4003</v>
      </c>
      <c r="Y442" s="488" t="s">
        <v>1486</v>
      </c>
      <c r="Z442" s="293">
        <f t="shared" si="52"/>
        <v>46.143379501385027</v>
      </c>
      <c r="AA442" s="293">
        <f t="shared" si="53"/>
        <v>51.360000000000014</v>
      </c>
    </row>
    <row r="443" spans="1:27" s="320" customFormat="1" x14ac:dyDescent="0.25">
      <c r="A443" s="220" t="s">
        <v>499</v>
      </c>
      <c r="B443" s="221" t="s">
        <v>791</v>
      </c>
      <c r="C443" s="223" t="s">
        <v>1561</v>
      </c>
      <c r="D443" s="220" t="s">
        <v>782</v>
      </c>
      <c r="E443" s="222">
        <v>12</v>
      </c>
      <c r="F443" s="192">
        <v>0</v>
      </c>
      <c r="G443" s="24">
        <v>0.2</v>
      </c>
      <c r="H443" s="24">
        <v>0.05</v>
      </c>
      <c r="I443" s="24">
        <v>0.05</v>
      </c>
      <c r="J443" s="24">
        <v>0</v>
      </c>
      <c r="K443" s="224">
        <f t="shared" si="54"/>
        <v>0</v>
      </c>
      <c r="L443" s="225">
        <f t="shared" si="55"/>
        <v>0</v>
      </c>
      <c r="M443" s="225">
        <f t="shared" si="56"/>
        <v>0</v>
      </c>
      <c r="N443" s="226">
        <f t="shared" si="57"/>
        <v>0</v>
      </c>
      <c r="O443" s="34">
        <v>0.3</v>
      </c>
      <c r="P443" s="226">
        <f t="shared" si="58"/>
        <v>0</v>
      </c>
      <c r="Q443" s="107" t="s">
        <v>1486</v>
      </c>
      <c r="R443" s="34">
        <v>0.3</v>
      </c>
      <c r="S443" s="226">
        <f t="shared" si="59"/>
        <v>0</v>
      </c>
      <c r="T443" s="156" t="s">
        <v>1486</v>
      </c>
      <c r="U443" s="2" t="s">
        <v>109</v>
      </c>
      <c r="V443" s="2" t="s">
        <v>47</v>
      </c>
      <c r="W443" s="2" t="s">
        <v>5863</v>
      </c>
      <c r="X443" s="2" t="s">
        <v>3470</v>
      </c>
      <c r="Y443" s="488" t="s">
        <v>1486</v>
      </c>
      <c r="Z443" s="293">
        <f t="shared" si="52"/>
        <v>0</v>
      </c>
      <c r="AA443" s="293">
        <f t="shared" si="53"/>
        <v>0</v>
      </c>
    </row>
    <row r="444" spans="1:27" s="320" customFormat="1" x14ac:dyDescent="0.25">
      <c r="A444" s="220" t="s">
        <v>500</v>
      </c>
      <c r="B444" s="221" t="s">
        <v>3158</v>
      </c>
      <c r="C444" s="223" t="s">
        <v>1570</v>
      </c>
      <c r="D444" s="220" t="s">
        <v>461</v>
      </c>
      <c r="E444" s="222">
        <v>25</v>
      </c>
      <c r="F444" s="192">
        <v>513</v>
      </c>
      <c r="G444" s="24">
        <v>0.2</v>
      </c>
      <c r="H444" s="24">
        <v>0.05</v>
      </c>
      <c r="I444" s="24">
        <v>0.05</v>
      </c>
      <c r="J444" s="24">
        <v>0</v>
      </c>
      <c r="K444" s="224">
        <f t="shared" si="54"/>
        <v>0.27800000000000002</v>
      </c>
      <c r="L444" s="225">
        <f t="shared" si="55"/>
        <v>17763.157894736843</v>
      </c>
      <c r="M444" s="225">
        <f t="shared" si="56"/>
        <v>710.52631578947376</v>
      </c>
      <c r="N444" s="226">
        <f t="shared" si="57"/>
        <v>845.52631578947376</v>
      </c>
      <c r="O444" s="34">
        <v>0.3</v>
      </c>
      <c r="P444" s="226">
        <f t="shared" si="58"/>
        <v>1099.1842105263158</v>
      </c>
      <c r="Q444" s="107" t="s">
        <v>1486</v>
      </c>
      <c r="R444" s="34">
        <v>0.3</v>
      </c>
      <c r="S444" s="226">
        <f t="shared" si="59"/>
        <v>872.1</v>
      </c>
      <c r="T444" s="156" t="s">
        <v>1486</v>
      </c>
      <c r="U444" s="2" t="s">
        <v>109</v>
      </c>
      <c r="V444" s="2" t="s">
        <v>47</v>
      </c>
      <c r="W444" s="2" t="s">
        <v>5883</v>
      </c>
      <c r="X444" s="2" t="s">
        <v>4003</v>
      </c>
      <c r="Y444" s="488" t="s">
        <v>1486</v>
      </c>
      <c r="Z444" s="293">
        <f t="shared" si="52"/>
        <v>197.52631578947376</v>
      </c>
      <c r="AA444" s="293">
        <f t="shared" si="53"/>
        <v>219.85714285714289</v>
      </c>
    </row>
    <row r="445" spans="1:27" s="320" customFormat="1" x14ac:dyDescent="0.25">
      <c r="A445" s="220" t="s">
        <v>501</v>
      </c>
      <c r="B445" s="221" t="s">
        <v>3403</v>
      </c>
      <c r="C445" s="223" t="s">
        <v>834</v>
      </c>
      <c r="D445" s="220" t="s">
        <v>835</v>
      </c>
      <c r="E445" s="222">
        <v>24</v>
      </c>
      <c r="F445" s="192">
        <v>357.96638655462186</v>
      </c>
      <c r="G445" s="24">
        <v>0.2</v>
      </c>
      <c r="H445" s="24">
        <v>0.05</v>
      </c>
      <c r="I445" s="24">
        <v>0.05</v>
      </c>
      <c r="J445" s="24">
        <v>0</v>
      </c>
      <c r="K445" s="224">
        <f t="shared" si="54"/>
        <v>0.27800000000000002</v>
      </c>
      <c r="L445" s="225">
        <f t="shared" si="55"/>
        <v>11899.159663865546</v>
      </c>
      <c r="M445" s="225">
        <f t="shared" si="56"/>
        <v>495.79831932773112</v>
      </c>
      <c r="N445" s="226">
        <f t="shared" si="57"/>
        <v>590</v>
      </c>
      <c r="O445" s="34">
        <v>0.3</v>
      </c>
      <c r="P445" s="226">
        <f t="shared" si="58"/>
        <v>767</v>
      </c>
      <c r="Q445" s="107" t="s">
        <v>1486</v>
      </c>
      <c r="R445" s="34">
        <v>0.29003429300810651</v>
      </c>
      <c r="S445" s="226">
        <f t="shared" si="59"/>
        <v>600.00081103193895</v>
      </c>
      <c r="T445" s="156" t="s">
        <v>1486</v>
      </c>
      <c r="U445" s="2"/>
      <c r="V445" s="2" t="s">
        <v>47</v>
      </c>
      <c r="W445" s="2" t="s">
        <v>5963</v>
      </c>
      <c r="X445" s="2" t="s">
        <v>1486</v>
      </c>
      <c r="Y445" s="488" t="s">
        <v>1486</v>
      </c>
      <c r="Z445" s="293">
        <f t="shared" si="52"/>
        <v>137.83193277310926</v>
      </c>
      <c r="AA445" s="293">
        <f t="shared" si="53"/>
        <v>146.23597565709156</v>
      </c>
    </row>
    <row r="446" spans="1:27" s="320" customFormat="1" x14ac:dyDescent="0.25">
      <c r="A446" s="220" t="s">
        <v>502</v>
      </c>
      <c r="B446" s="221" t="s">
        <v>3157</v>
      </c>
      <c r="C446" s="223" t="s">
        <v>1570</v>
      </c>
      <c r="D446" s="220" t="s">
        <v>461</v>
      </c>
      <c r="E446" s="222">
        <v>25</v>
      </c>
      <c r="F446" s="192">
        <f>8881/E446</f>
        <v>355.24</v>
      </c>
      <c r="G446" s="24">
        <v>0.2</v>
      </c>
      <c r="H446" s="24">
        <v>0.05</v>
      </c>
      <c r="I446" s="24">
        <v>0.05</v>
      </c>
      <c r="J446" s="24">
        <v>0</v>
      </c>
      <c r="K446" s="224">
        <f t="shared" si="54"/>
        <v>0.27800000000000002</v>
      </c>
      <c r="L446" s="225">
        <f t="shared" si="55"/>
        <v>12300.554016620499</v>
      </c>
      <c r="M446" s="225">
        <f t="shared" si="56"/>
        <v>492.02216066481998</v>
      </c>
      <c r="N446" s="226">
        <f t="shared" si="57"/>
        <v>585.50637119113571</v>
      </c>
      <c r="O446" s="34">
        <v>0.3</v>
      </c>
      <c r="P446" s="226">
        <f t="shared" si="58"/>
        <v>761.15828254847645</v>
      </c>
      <c r="Q446" s="107" t="s">
        <v>1486</v>
      </c>
      <c r="R446" s="34">
        <v>0.3</v>
      </c>
      <c r="S446" s="226">
        <f t="shared" si="59"/>
        <v>603.90800000000002</v>
      </c>
      <c r="T446" s="156" t="s">
        <v>1486</v>
      </c>
      <c r="U446" s="2" t="s">
        <v>109</v>
      </c>
      <c r="V446" s="2" t="s">
        <v>47</v>
      </c>
      <c r="W446" s="2" t="s">
        <v>5883</v>
      </c>
      <c r="X446" s="2" t="s">
        <v>4003</v>
      </c>
      <c r="Y446" s="488" t="s">
        <v>1486</v>
      </c>
      <c r="Z446" s="293">
        <f t="shared" si="52"/>
        <v>136.78216066481997</v>
      </c>
      <c r="AA446" s="293">
        <f t="shared" si="53"/>
        <v>152.24571428571431</v>
      </c>
    </row>
    <row r="447" spans="1:27" s="320" customFormat="1" x14ac:dyDescent="0.25">
      <c r="A447" s="220" t="s">
        <v>503</v>
      </c>
      <c r="B447" s="221" t="s">
        <v>3117</v>
      </c>
      <c r="C447" s="223" t="s">
        <v>1570</v>
      </c>
      <c r="D447" s="220" t="s">
        <v>461</v>
      </c>
      <c r="E447" s="222">
        <v>25</v>
      </c>
      <c r="F447" s="192">
        <f>23321/E447</f>
        <v>932.84</v>
      </c>
      <c r="G447" s="24">
        <v>0.2</v>
      </c>
      <c r="H447" s="24">
        <v>0.05</v>
      </c>
      <c r="I447" s="24">
        <v>0.05</v>
      </c>
      <c r="J447" s="24">
        <v>0</v>
      </c>
      <c r="K447" s="224">
        <f t="shared" si="54"/>
        <v>0.27799999999999991</v>
      </c>
      <c r="L447" s="225">
        <f t="shared" si="55"/>
        <v>32300.554016620499</v>
      </c>
      <c r="M447" s="225">
        <f t="shared" si="56"/>
        <v>1292.0221606648199</v>
      </c>
      <c r="N447" s="226">
        <f t="shared" si="57"/>
        <v>1537.5063711911357</v>
      </c>
      <c r="O447" s="34">
        <v>0.3</v>
      </c>
      <c r="P447" s="226">
        <f t="shared" si="58"/>
        <v>1998.7582825484765</v>
      </c>
      <c r="Q447" s="107" t="s">
        <v>1486</v>
      </c>
      <c r="R447" s="34">
        <v>0.3</v>
      </c>
      <c r="S447" s="226">
        <f t="shared" si="59"/>
        <v>1585.8280000000002</v>
      </c>
      <c r="T447" s="156" t="s">
        <v>1486</v>
      </c>
      <c r="U447" s="2" t="s">
        <v>109</v>
      </c>
      <c r="V447" s="2" t="s">
        <v>47</v>
      </c>
      <c r="W447" s="2" t="s">
        <v>5883</v>
      </c>
      <c r="X447" s="2" t="s">
        <v>4003</v>
      </c>
      <c r="Y447" s="488" t="s">
        <v>1486</v>
      </c>
      <c r="Z447" s="293">
        <f t="shared" si="52"/>
        <v>359.18216066481989</v>
      </c>
      <c r="AA447" s="293">
        <f t="shared" si="53"/>
        <v>399.78857142857157</v>
      </c>
    </row>
    <row r="448" spans="1:27" s="320" customFormat="1" x14ac:dyDescent="0.25">
      <c r="A448" s="220" t="s">
        <v>504</v>
      </c>
      <c r="B448" s="221" t="s">
        <v>3138</v>
      </c>
      <c r="C448" s="223" t="s">
        <v>1570</v>
      </c>
      <c r="D448" s="220" t="s">
        <v>461</v>
      </c>
      <c r="E448" s="222">
        <v>10</v>
      </c>
      <c r="F448" s="192">
        <v>870</v>
      </c>
      <c r="G448" s="24">
        <v>0.2</v>
      </c>
      <c r="H448" s="24">
        <v>0.05</v>
      </c>
      <c r="I448" s="24">
        <v>0.05</v>
      </c>
      <c r="J448" s="24">
        <v>0</v>
      </c>
      <c r="K448" s="224">
        <f t="shared" si="54"/>
        <v>0.27800000000000002</v>
      </c>
      <c r="L448" s="225">
        <f t="shared" si="55"/>
        <v>12049.861495844874</v>
      </c>
      <c r="M448" s="225">
        <f t="shared" si="56"/>
        <v>1204.9861495844875</v>
      </c>
      <c r="N448" s="226">
        <f t="shared" si="57"/>
        <v>1433.93351800554</v>
      </c>
      <c r="O448" s="34">
        <v>0.3</v>
      </c>
      <c r="P448" s="226">
        <f t="shared" si="58"/>
        <v>1864.113573407202</v>
      </c>
      <c r="Q448" s="107" t="s">
        <v>1486</v>
      </c>
      <c r="R448" s="34">
        <v>0.3</v>
      </c>
      <c r="S448" s="226">
        <f t="shared" si="59"/>
        <v>1479</v>
      </c>
      <c r="T448" s="156" t="s">
        <v>1486</v>
      </c>
      <c r="U448" s="2" t="s">
        <v>109</v>
      </c>
      <c r="V448" s="2" t="s">
        <v>47</v>
      </c>
      <c r="W448" s="2" t="s">
        <v>5883</v>
      </c>
      <c r="X448" s="2" t="s">
        <v>4003</v>
      </c>
      <c r="Y448" s="488" t="s">
        <v>1486</v>
      </c>
      <c r="Z448" s="293">
        <f t="shared" ref="Z448:Z511" si="60">+M448-F448</f>
        <v>334.98614958448752</v>
      </c>
      <c r="AA448" s="293">
        <f t="shared" ref="AA448:AA511" si="61">+(S448/1.19)-F448</f>
        <v>372.85714285714289</v>
      </c>
    </row>
    <row r="449" spans="1:27" s="320" customFormat="1" x14ac:dyDescent="0.25">
      <c r="A449" s="220" t="s">
        <v>505</v>
      </c>
      <c r="B449" s="221" t="s">
        <v>3118</v>
      </c>
      <c r="C449" s="223" t="s">
        <v>1570</v>
      </c>
      <c r="D449" s="220" t="s">
        <v>461</v>
      </c>
      <c r="E449" s="222">
        <v>25</v>
      </c>
      <c r="F449" s="192">
        <f>11913/E449</f>
        <v>476.52</v>
      </c>
      <c r="G449" s="24">
        <v>0.2</v>
      </c>
      <c r="H449" s="24">
        <v>0.05</v>
      </c>
      <c r="I449" s="24">
        <v>0.05</v>
      </c>
      <c r="J449" s="24">
        <v>0</v>
      </c>
      <c r="K449" s="224">
        <f t="shared" si="54"/>
        <v>0.27800000000000002</v>
      </c>
      <c r="L449" s="225">
        <f t="shared" si="55"/>
        <v>16500</v>
      </c>
      <c r="M449" s="225">
        <f t="shared" si="56"/>
        <v>660</v>
      </c>
      <c r="N449" s="226">
        <f t="shared" si="57"/>
        <v>785.4</v>
      </c>
      <c r="O449" s="34">
        <v>0.3</v>
      </c>
      <c r="P449" s="226">
        <f t="shared" si="58"/>
        <v>1021.02</v>
      </c>
      <c r="Q449" s="107" t="s">
        <v>1486</v>
      </c>
      <c r="R449" s="34">
        <v>0.3</v>
      </c>
      <c r="S449" s="226">
        <f t="shared" si="59"/>
        <v>810.08399999999995</v>
      </c>
      <c r="T449" s="156" t="s">
        <v>1486</v>
      </c>
      <c r="U449" s="2" t="s">
        <v>109</v>
      </c>
      <c r="V449" s="2" t="s">
        <v>47</v>
      </c>
      <c r="W449" s="2" t="s">
        <v>5883</v>
      </c>
      <c r="X449" s="2" t="s">
        <v>4003</v>
      </c>
      <c r="Y449" s="488" t="s">
        <v>1486</v>
      </c>
      <c r="Z449" s="293">
        <f t="shared" si="60"/>
        <v>183.48000000000002</v>
      </c>
      <c r="AA449" s="293">
        <f t="shared" si="61"/>
        <v>204.22285714285715</v>
      </c>
    </row>
    <row r="450" spans="1:27" s="320" customFormat="1" x14ac:dyDescent="0.25">
      <c r="A450" s="220" t="s">
        <v>506</v>
      </c>
      <c r="B450" s="221" t="s">
        <v>3139</v>
      </c>
      <c r="C450" s="223" t="s">
        <v>1570</v>
      </c>
      <c r="D450" s="220" t="s">
        <v>461</v>
      </c>
      <c r="E450" s="222">
        <v>10</v>
      </c>
      <c r="F450" s="192">
        <v>870</v>
      </c>
      <c r="G450" s="24">
        <v>0.2</v>
      </c>
      <c r="H450" s="24">
        <v>0.05</v>
      </c>
      <c r="I450" s="24">
        <v>0.05</v>
      </c>
      <c r="J450" s="24">
        <v>0</v>
      </c>
      <c r="K450" s="224">
        <f t="shared" si="54"/>
        <v>0.27800000000000002</v>
      </c>
      <c r="L450" s="225">
        <f t="shared" si="55"/>
        <v>12049.861495844874</v>
      </c>
      <c r="M450" s="225">
        <f t="shared" si="56"/>
        <v>1204.9861495844875</v>
      </c>
      <c r="N450" s="226">
        <f t="shared" si="57"/>
        <v>1433.93351800554</v>
      </c>
      <c r="O450" s="34">
        <v>0.3</v>
      </c>
      <c r="P450" s="226">
        <f t="shared" si="58"/>
        <v>1864.113573407202</v>
      </c>
      <c r="Q450" s="107" t="s">
        <v>1486</v>
      </c>
      <c r="R450" s="34">
        <v>0.3</v>
      </c>
      <c r="S450" s="226">
        <f t="shared" si="59"/>
        <v>1479</v>
      </c>
      <c r="T450" s="156" t="s">
        <v>1486</v>
      </c>
      <c r="U450" s="2" t="s">
        <v>109</v>
      </c>
      <c r="V450" s="2" t="s">
        <v>47</v>
      </c>
      <c r="W450" s="2" t="s">
        <v>5883</v>
      </c>
      <c r="X450" s="2" t="s">
        <v>4003</v>
      </c>
      <c r="Y450" s="488" t="s">
        <v>1486</v>
      </c>
      <c r="Z450" s="293">
        <f t="shared" si="60"/>
        <v>334.98614958448752</v>
      </c>
      <c r="AA450" s="293">
        <f t="shared" si="61"/>
        <v>372.85714285714289</v>
      </c>
    </row>
    <row r="451" spans="1:27" s="320" customFormat="1" x14ac:dyDescent="0.25">
      <c r="A451" s="220" t="s">
        <v>507</v>
      </c>
      <c r="B451" s="221" t="s">
        <v>3119</v>
      </c>
      <c r="C451" s="223" t="s">
        <v>1570</v>
      </c>
      <c r="D451" s="220" t="s">
        <v>461</v>
      </c>
      <c r="E451" s="222">
        <v>50</v>
      </c>
      <c r="F451" s="192">
        <f>11913/E451</f>
        <v>238.26</v>
      </c>
      <c r="G451" s="24">
        <v>0.2</v>
      </c>
      <c r="H451" s="24">
        <v>0.05</v>
      </c>
      <c r="I451" s="24">
        <v>0.05</v>
      </c>
      <c r="J451" s="24">
        <v>0</v>
      </c>
      <c r="K451" s="224">
        <f t="shared" ref="K451:K514" si="62">IF(F451=0,0,1-(F451/M451))</f>
        <v>0.27800000000000002</v>
      </c>
      <c r="L451" s="225">
        <f t="shared" ref="L451:L514" si="63">+M451*E451</f>
        <v>16500</v>
      </c>
      <c r="M451" s="225">
        <f t="shared" ref="M451:M514" si="64">+F451/(1-G451)/(1-H451)/(1-I451)/(1-J451)</f>
        <v>330</v>
      </c>
      <c r="N451" s="226">
        <f t="shared" ref="N451:N514" si="65">+M451*1.19</f>
        <v>392.7</v>
      </c>
      <c r="O451" s="34">
        <v>0.3</v>
      </c>
      <c r="P451" s="226">
        <f t="shared" ref="P451:P514" si="66">+N451*(1+O451)</f>
        <v>510.51</v>
      </c>
      <c r="Q451" s="107" t="s">
        <v>1486</v>
      </c>
      <c r="R451" s="34">
        <v>0.3</v>
      </c>
      <c r="S451" s="226">
        <f t="shared" si="59"/>
        <v>405.04199999999997</v>
      </c>
      <c r="T451" s="156" t="s">
        <v>1486</v>
      </c>
      <c r="U451" s="2" t="s">
        <v>109</v>
      </c>
      <c r="V451" s="2" t="s">
        <v>47</v>
      </c>
      <c r="W451" s="2" t="s">
        <v>5883</v>
      </c>
      <c r="X451" s="2" t="s">
        <v>4003</v>
      </c>
      <c r="Y451" s="488" t="s">
        <v>1486</v>
      </c>
      <c r="Z451" s="293">
        <f t="shared" si="60"/>
        <v>91.740000000000009</v>
      </c>
      <c r="AA451" s="293">
        <f t="shared" si="61"/>
        <v>102.11142857142858</v>
      </c>
    </row>
    <row r="452" spans="1:27" s="320" customFormat="1" x14ac:dyDescent="0.25">
      <c r="A452" s="220" t="s">
        <v>508</v>
      </c>
      <c r="B452" s="221" t="s">
        <v>3148</v>
      </c>
      <c r="C452" s="223" t="s">
        <v>1570</v>
      </c>
      <c r="D452" s="220" t="s">
        <v>461</v>
      </c>
      <c r="E452" s="222">
        <v>25</v>
      </c>
      <c r="F452" s="192">
        <f>7509/E452</f>
        <v>300.36</v>
      </c>
      <c r="G452" s="24">
        <v>0.2</v>
      </c>
      <c r="H452" s="24">
        <v>0.05</v>
      </c>
      <c r="I452" s="24">
        <v>0.05</v>
      </c>
      <c r="J452" s="24">
        <v>0</v>
      </c>
      <c r="K452" s="224">
        <f t="shared" si="62"/>
        <v>0.27800000000000002</v>
      </c>
      <c r="L452" s="225">
        <f t="shared" si="63"/>
        <v>10400.27700831025</v>
      </c>
      <c r="M452" s="225">
        <f t="shared" si="64"/>
        <v>416.01108033241002</v>
      </c>
      <c r="N452" s="226">
        <f t="shared" si="65"/>
        <v>495.05318559556792</v>
      </c>
      <c r="O452" s="34">
        <v>0.3</v>
      </c>
      <c r="P452" s="226">
        <f t="shared" si="66"/>
        <v>643.56914127423829</v>
      </c>
      <c r="Q452" s="107" t="s">
        <v>1486</v>
      </c>
      <c r="R452" s="34">
        <v>0.3</v>
      </c>
      <c r="S452" s="226">
        <f t="shared" si="59"/>
        <v>510.61200000000002</v>
      </c>
      <c r="T452" s="156" t="s">
        <v>1486</v>
      </c>
      <c r="U452" s="2" t="s">
        <v>109</v>
      </c>
      <c r="V452" s="2" t="s">
        <v>47</v>
      </c>
      <c r="W452" s="2" t="s">
        <v>5883</v>
      </c>
      <c r="X452" s="2" t="s">
        <v>4003</v>
      </c>
      <c r="Y452" s="488" t="s">
        <v>1486</v>
      </c>
      <c r="Z452" s="293">
        <f t="shared" si="60"/>
        <v>115.65108033241</v>
      </c>
      <c r="AA452" s="293">
        <f t="shared" si="61"/>
        <v>128.72571428571433</v>
      </c>
    </row>
    <row r="453" spans="1:27" s="320" customFormat="1" x14ac:dyDescent="0.25">
      <c r="A453" s="220" t="s">
        <v>509</v>
      </c>
      <c r="B453" s="221" t="s">
        <v>3149</v>
      </c>
      <c r="C453" s="223" t="s">
        <v>1570</v>
      </c>
      <c r="D453" s="220" t="s">
        <v>461</v>
      </c>
      <c r="E453" s="222">
        <v>25</v>
      </c>
      <c r="F453" s="192">
        <f>8664/E453</f>
        <v>346.56</v>
      </c>
      <c r="G453" s="24">
        <v>0.2</v>
      </c>
      <c r="H453" s="24">
        <v>0.05</v>
      </c>
      <c r="I453" s="24">
        <v>0.05</v>
      </c>
      <c r="J453" s="24">
        <v>0</v>
      </c>
      <c r="K453" s="224">
        <f t="shared" si="62"/>
        <v>0.27800000000000002</v>
      </c>
      <c r="L453" s="225">
        <f t="shared" si="63"/>
        <v>12000</v>
      </c>
      <c r="M453" s="225">
        <f t="shared" si="64"/>
        <v>480</v>
      </c>
      <c r="N453" s="226">
        <f t="shared" si="65"/>
        <v>571.19999999999993</v>
      </c>
      <c r="O453" s="34">
        <v>0.3</v>
      </c>
      <c r="P453" s="226">
        <f t="shared" si="66"/>
        <v>742.56</v>
      </c>
      <c r="Q453" s="107" t="s">
        <v>1486</v>
      </c>
      <c r="R453" s="34">
        <v>0.3</v>
      </c>
      <c r="S453" s="226">
        <f t="shared" si="59"/>
        <v>589.15200000000004</v>
      </c>
      <c r="T453" s="156" t="s">
        <v>1486</v>
      </c>
      <c r="U453" s="2" t="s">
        <v>109</v>
      </c>
      <c r="V453" s="2" t="s">
        <v>47</v>
      </c>
      <c r="W453" s="2" t="s">
        <v>5883</v>
      </c>
      <c r="X453" s="2" t="s">
        <v>4003</v>
      </c>
      <c r="Y453" s="488" t="s">
        <v>1486</v>
      </c>
      <c r="Z453" s="293">
        <f t="shared" si="60"/>
        <v>133.44</v>
      </c>
      <c r="AA453" s="293">
        <f t="shared" si="61"/>
        <v>148.52571428571434</v>
      </c>
    </row>
    <row r="454" spans="1:27" s="320" customFormat="1" x14ac:dyDescent="0.25">
      <c r="A454" s="220" t="s">
        <v>510</v>
      </c>
      <c r="B454" s="221" t="s">
        <v>3144</v>
      </c>
      <c r="C454" s="223" t="s">
        <v>1570</v>
      </c>
      <c r="D454" s="220" t="s">
        <v>461</v>
      </c>
      <c r="E454" s="222">
        <v>50</v>
      </c>
      <c r="F454" s="192">
        <f>4549/E454</f>
        <v>90.98</v>
      </c>
      <c r="G454" s="24">
        <v>0.2</v>
      </c>
      <c r="H454" s="24">
        <v>0.05</v>
      </c>
      <c r="I454" s="24">
        <v>0.05</v>
      </c>
      <c r="J454" s="24">
        <v>0</v>
      </c>
      <c r="K454" s="224">
        <f t="shared" si="62"/>
        <v>0.27800000000000002</v>
      </c>
      <c r="L454" s="225">
        <f t="shared" si="63"/>
        <v>6300.5540166204992</v>
      </c>
      <c r="M454" s="225">
        <f t="shared" si="64"/>
        <v>126.01108033240999</v>
      </c>
      <c r="N454" s="226">
        <f t="shared" si="65"/>
        <v>149.95318559556787</v>
      </c>
      <c r="O454" s="34">
        <v>0.3</v>
      </c>
      <c r="P454" s="226">
        <f t="shared" si="66"/>
        <v>194.93914127423824</v>
      </c>
      <c r="Q454" s="107" t="s">
        <v>1486</v>
      </c>
      <c r="R454" s="34">
        <v>0.3</v>
      </c>
      <c r="S454" s="226">
        <f t="shared" si="59"/>
        <v>154.66600000000003</v>
      </c>
      <c r="T454" s="156" t="s">
        <v>1486</v>
      </c>
      <c r="U454" s="2" t="s">
        <v>109</v>
      </c>
      <c r="V454" s="2" t="s">
        <v>47</v>
      </c>
      <c r="W454" s="2" t="s">
        <v>5883</v>
      </c>
      <c r="X454" s="2" t="s">
        <v>4003</v>
      </c>
      <c r="Y454" s="488" t="s">
        <v>1486</v>
      </c>
      <c r="Z454" s="293">
        <f t="shared" si="60"/>
        <v>35.031080332409985</v>
      </c>
      <c r="AA454" s="293">
        <f t="shared" si="61"/>
        <v>38.991428571428585</v>
      </c>
    </row>
    <row r="455" spans="1:27" s="320" customFormat="1" x14ac:dyDescent="0.25">
      <c r="A455" s="220" t="s">
        <v>511</v>
      </c>
      <c r="B455" s="221" t="s">
        <v>3145</v>
      </c>
      <c r="C455" s="223" t="s">
        <v>1570</v>
      </c>
      <c r="D455" s="220" t="s">
        <v>461</v>
      </c>
      <c r="E455" s="222">
        <v>50</v>
      </c>
      <c r="F455" s="192">
        <f>4549/E455</f>
        <v>90.98</v>
      </c>
      <c r="G455" s="24">
        <v>0.2</v>
      </c>
      <c r="H455" s="24">
        <v>0.05</v>
      </c>
      <c r="I455" s="24">
        <v>0.05</v>
      </c>
      <c r="J455" s="24">
        <v>0</v>
      </c>
      <c r="K455" s="224">
        <f t="shared" si="62"/>
        <v>0.27800000000000002</v>
      </c>
      <c r="L455" s="225">
        <f t="shared" si="63"/>
        <v>6300.5540166204992</v>
      </c>
      <c r="M455" s="225">
        <f t="shared" si="64"/>
        <v>126.01108033240999</v>
      </c>
      <c r="N455" s="226">
        <f t="shared" si="65"/>
        <v>149.95318559556787</v>
      </c>
      <c r="O455" s="34">
        <v>0.3</v>
      </c>
      <c r="P455" s="226">
        <f t="shared" si="66"/>
        <v>194.93914127423824</v>
      </c>
      <c r="Q455" s="107" t="s">
        <v>1486</v>
      </c>
      <c r="R455" s="34">
        <v>0.3</v>
      </c>
      <c r="S455" s="226">
        <f t="shared" si="59"/>
        <v>154.66600000000003</v>
      </c>
      <c r="T455" s="156" t="s">
        <v>1486</v>
      </c>
      <c r="U455" s="2" t="s">
        <v>109</v>
      </c>
      <c r="V455" s="2" t="s">
        <v>47</v>
      </c>
      <c r="W455" s="2" t="s">
        <v>5883</v>
      </c>
      <c r="X455" s="2" t="s">
        <v>4003</v>
      </c>
      <c r="Y455" s="488" t="s">
        <v>1486</v>
      </c>
      <c r="Z455" s="293">
        <f t="shared" si="60"/>
        <v>35.031080332409985</v>
      </c>
      <c r="AA455" s="293">
        <f t="shared" si="61"/>
        <v>38.991428571428585</v>
      </c>
    </row>
    <row r="456" spans="1:27" s="320" customFormat="1" x14ac:dyDescent="0.25">
      <c r="A456" s="220" t="s">
        <v>512</v>
      </c>
      <c r="B456" s="221" t="s">
        <v>3147</v>
      </c>
      <c r="C456" s="223" t="s">
        <v>1570</v>
      </c>
      <c r="D456" s="220" t="s">
        <v>461</v>
      </c>
      <c r="E456" s="222">
        <v>25</v>
      </c>
      <c r="F456" s="192">
        <f>11805/E456</f>
        <v>472.2</v>
      </c>
      <c r="G456" s="24">
        <v>0.2</v>
      </c>
      <c r="H456" s="24">
        <v>0.05</v>
      </c>
      <c r="I456" s="24">
        <v>0.05</v>
      </c>
      <c r="J456" s="24">
        <v>0</v>
      </c>
      <c r="K456" s="224">
        <f t="shared" si="62"/>
        <v>0.27800000000000014</v>
      </c>
      <c r="L456" s="225">
        <f t="shared" si="63"/>
        <v>16350.415512465377</v>
      </c>
      <c r="M456" s="225">
        <f t="shared" si="64"/>
        <v>654.01662049861511</v>
      </c>
      <c r="N456" s="226">
        <f t="shared" si="65"/>
        <v>778.27977839335199</v>
      </c>
      <c r="O456" s="34">
        <v>0.3</v>
      </c>
      <c r="P456" s="226">
        <f t="shared" si="66"/>
        <v>1011.7637119113576</v>
      </c>
      <c r="Q456" s="107" t="s">
        <v>1486</v>
      </c>
      <c r="R456" s="34">
        <v>0.3</v>
      </c>
      <c r="S456" s="226">
        <f t="shared" si="59"/>
        <v>802.7399999999999</v>
      </c>
      <c r="T456" s="156" t="s">
        <v>1486</v>
      </c>
      <c r="U456" s="2" t="s">
        <v>109</v>
      </c>
      <c r="V456" s="2" t="s">
        <v>47</v>
      </c>
      <c r="W456" s="2" t="s">
        <v>5883</v>
      </c>
      <c r="X456" s="2" t="s">
        <v>4003</v>
      </c>
      <c r="Y456" s="488" t="s">
        <v>1486</v>
      </c>
      <c r="Z456" s="293">
        <f t="shared" si="60"/>
        <v>181.81662049861512</v>
      </c>
      <c r="AA456" s="293">
        <f t="shared" si="61"/>
        <v>202.37142857142857</v>
      </c>
    </row>
    <row r="457" spans="1:27" s="320" customFormat="1" x14ac:dyDescent="0.25">
      <c r="A457" s="220" t="s">
        <v>513</v>
      </c>
      <c r="B457" s="221" t="s">
        <v>3146</v>
      </c>
      <c r="C457" s="223" t="s">
        <v>1570</v>
      </c>
      <c r="D457" s="220" t="s">
        <v>461</v>
      </c>
      <c r="E457" s="222">
        <v>50</v>
      </c>
      <c r="F457" s="192">
        <f>4874/E457</f>
        <v>97.48</v>
      </c>
      <c r="G457" s="24">
        <v>0.2</v>
      </c>
      <c r="H457" s="24">
        <v>0.05</v>
      </c>
      <c r="I457" s="24">
        <v>0.05</v>
      </c>
      <c r="J457" s="24">
        <v>0</v>
      </c>
      <c r="K457" s="224">
        <f t="shared" si="62"/>
        <v>0.27800000000000002</v>
      </c>
      <c r="L457" s="225">
        <f t="shared" si="63"/>
        <v>6750.692520775624</v>
      </c>
      <c r="M457" s="225">
        <f t="shared" si="64"/>
        <v>135.01385041551248</v>
      </c>
      <c r="N457" s="226">
        <f t="shared" si="65"/>
        <v>160.66648199445984</v>
      </c>
      <c r="O457" s="34">
        <v>0.3</v>
      </c>
      <c r="P457" s="226">
        <f t="shared" si="66"/>
        <v>208.86642659279781</v>
      </c>
      <c r="Q457" s="107" t="s">
        <v>1486</v>
      </c>
      <c r="R457" s="34">
        <v>0.3</v>
      </c>
      <c r="S457" s="226">
        <f t="shared" si="59"/>
        <v>165.71600000000001</v>
      </c>
      <c r="T457" s="156" t="s">
        <v>1486</v>
      </c>
      <c r="U457" s="2" t="s">
        <v>109</v>
      </c>
      <c r="V457" s="2" t="s">
        <v>47</v>
      </c>
      <c r="W457" s="2" t="s">
        <v>5883</v>
      </c>
      <c r="X457" s="2" t="s">
        <v>4003</v>
      </c>
      <c r="Y457" s="488" t="s">
        <v>1486</v>
      </c>
      <c r="Z457" s="293">
        <f t="shared" si="60"/>
        <v>37.533850415512475</v>
      </c>
      <c r="AA457" s="293">
        <f t="shared" si="61"/>
        <v>41.777142857142863</v>
      </c>
    </row>
    <row r="458" spans="1:27" s="320" customFormat="1" x14ac:dyDescent="0.25">
      <c r="A458" s="220" t="s">
        <v>514</v>
      </c>
      <c r="B458" s="221" t="s">
        <v>3120</v>
      </c>
      <c r="C458" s="223" t="s">
        <v>1570</v>
      </c>
      <c r="D458" s="220" t="s">
        <v>461</v>
      </c>
      <c r="E458" s="222">
        <v>50</v>
      </c>
      <c r="F458" s="192">
        <f>5957/E458</f>
        <v>119.14</v>
      </c>
      <c r="G458" s="24">
        <v>0.2</v>
      </c>
      <c r="H458" s="24">
        <v>0.05</v>
      </c>
      <c r="I458" s="24">
        <v>0.05</v>
      </c>
      <c r="J458" s="24">
        <v>0</v>
      </c>
      <c r="K458" s="224">
        <f t="shared" si="62"/>
        <v>0.27799999999999991</v>
      </c>
      <c r="L458" s="225">
        <f t="shared" si="63"/>
        <v>8250.6925207756231</v>
      </c>
      <c r="M458" s="225">
        <f t="shared" si="64"/>
        <v>165.01385041551245</v>
      </c>
      <c r="N458" s="226">
        <f t="shared" si="65"/>
        <v>196.3664819944598</v>
      </c>
      <c r="O458" s="34">
        <v>0.3</v>
      </c>
      <c r="P458" s="226">
        <f t="shared" si="66"/>
        <v>255.27642659279775</v>
      </c>
      <c r="Q458" s="107" t="s">
        <v>1486</v>
      </c>
      <c r="R458" s="34">
        <v>0.3</v>
      </c>
      <c r="S458" s="226">
        <f t="shared" si="59"/>
        <v>202.53800000000001</v>
      </c>
      <c r="T458" s="156" t="s">
        <v>1486</v>
      </c>
      <c r="U458" s="2" t="s">
        <v>109</v>
      </c>
      <c r="V458" s="2" t="s">
        <v>47</v>
      </c>
      <c r="W458" s="2" t="s">
        <v>5883</v>
      </c>
      <c r="X458" s="2" t="s">
        <v>4003</v>
      </c>
      <c r="Y458" s="488" t="s">
        <v>1486</v>
      </c>
      <c r="Z458" s="293">
        <f t="shared" si="60"/>
        <v>45.87385041551245</v>
      </c>
      <c r="AA458" s="293">
        <f t="shared" si="61"/>
        <v>51.060000000000016</v>
      </c>
    </row>
    <row r="459" spans="1:27" s="320" customFormat="1" x14ac:dyDescent="0.25">
      <c r="A459" s="220" t="s">
        <v>515</v>
      </c>
      <c r="B459" s="221" t="s">
        <v>3140</v>
      </c>
      <c r="C459" s="223" t="s">
        <v>1570</v>
      </c>
      <c r="D459" s="220" t="s">
        <v>461</v>
      </c>
      <c r="E459" s="222">
        <v>10</v>
      </c>
      <c r="F459" s="192">
        <f>3610/E459</f>
        <v>361</v>
      </c>
      <c r="G459" s="24">
        <v>0.2</v>
      </c>
      <c r="H459" s="24">
        <v>0.05</v>
      </c>
      <c r="I459" s="24">
        <v>0.05</v>
      </c>
      <c r="J459" s="24">
        <v>0</v>
      </c>
      <c r="K459" s="224">
        <f t="shared" si="62"/>
        <v>0.27800000000000002</v>
      </c>
      <c r="L459" s="225">
        <f t="shared" si="63"/>
        <v>5000</v>
      </c>
      <c r="M459" s="225">
        <f t="shared" si="64"/>
        <v>500</v>
      </c>
      <c r="N459" s="226">
        <f t="shared" si="65"/>
        <v>595</v>
      </c>
      <c r="O459" s="34">
        <v>0.3</v>
      </c>
      <c r="P459" s="226">
        <f t="shared" si="66"/>
        <v>773.5</v>
      </c>
      <c r="Q459" s="107" t="s">
        <v>1486</v>
      </c>
      <c r="R459" s="34">
        <v>0.3</v>
      </c>
      <c r="S459" s="226">
        <f t="shared" si="59"/>
        <v>613.70000000000005</v>
      </c>
      <c r="T459" s="156" t="s">
        <v>1486</v>
      </c>
      <c r="U459" s="2" t="s">
        <v>109</v>
      </c>
      <c r="V459" s="2" t="s">
        <v>47</v>
      </c>
      <c r="W459" s="2" t="s">
        <v>5883</v>
      </c>
      <c r="X459" s="2" t="s">
        <v>4003</v>
      </c>
      <c r="Y459" s="488" t="s">
        <v>1486</v>
      </c>
      <c r="Z459" s="293">
        <f t="shared" si="60"/>
        <v>139</v>
      </c>
      <c r="AA459" s="293">
        <f t="shared" si="61"/>
        <v>154.71428571428578</v>
      </c>
    </row>
    <row r="460" spans="1:27" s="320" customFormat="1" x14ac:dyDescent="0.25">
      <c r="A460" s="220" t="s">
        <v>516</v>
      </c>
      <c r="B460" s="221" t="s">
        <v>3122</v>
      </c>
      <c r="C460" s="223" t="s">
        <v>1570</v>
      </c>
      <c r="D460" s="220" t="s">
        <v>461</v>
      </c>
      <c r="E460" s="222">
        <v>25</v>
      </c>
      <c r="F460" s="192">
        <f>14332/E460</f>
        <v>573.28</v>
      </c>
      <c r="G460" s="24">
        <v>0.2</v>
      </c>
      <c r="H460" s="24">
        <v>0.05</v>
      </c>
      <c r="I460" s="24">
        <v>0.05</v>
      </c>
      <c r="J460" s="24">
        <v>0</v>
      </c>
      <c r="K460" s="224">
        <f t="shared" si="62"/>
        <v>0.27800000000000002</v>
      </c>
      <c r="L460" s="225">
        <f t="shared" si="63"/>
        <v>19850.415512465373</v>
      </c>
      <c r="M460" s="225">
        <f t="shared" si="64"/>
        <v>794.016620498615</v>
      </c>
      <c r="N460" s="226">
        <f t="shared" si="65"/>
        <v>944.87977839335178</v>
      </c>
      <c r="O460" s="34">
        <v>0.3</v>
      </c>
      <c r="P460" s="226">
        <f t="shared" si="66"/>
        <v>1228.3437119113573</v>
      </c>
      <c r="Q460" s="107" t="s">
        <v>1486</v>
      </c>
      <c r="R460" s="34">
        <v>0.3</v>
      </c>
      <c r="S460" s="226">
        <f t="shared" si="59"/>
        <v>974.57599999999991</v>
      </c>
      <c r="T460" s="156" t="s">
        <v>1486</v>
      </c>
      <c r="U460" s="2" t="s">
        <v>109</v>
      </c>
      <c r="V460" s="2" t="s">
        <v>47</v>
      </c>
      <c r="W460" s="2" t="s">
        <v>5883</v>
      </c>
      <c r="X460" s="2" t="s">
        <v>4003</v>
      </c>
      <c r="Y460" s="488" t="s">
        <v>1486</v>
      </c>
      <c r="Z460" s="293">
        <f t="shared" si="60"/>
        <v>220.73662049861503</v>
      </c>
      <c r="AA460" s="293">
        <f t="shared" si="61"/>
        <v>245.69142857142856</v>
      </c>
    </row>
    <row r="461" spans="1:27" s="320" customFormat="1" x14ac:dyDescent="0.25">
      <c r="A461" s="220" t="s">
        <v>519</v>
      </c>
      <c r="B461" s="221" t="s">
        <v>3141</v>
      </c>
      <c r="C461" s="223" t="s">
        <v>1570</v>
      </c>
      <c r="D461" s="220" t="s">
        <v>461</v>
      </c>
      <c r="E461" s="222">
        <v>10</v>
      </c>
      <c r="F461" s="192">
        <v>361</v>
      </c>
      <c r="G461" s="24">
        <v>0.2</v>
      </c>
      <c r="H461" s="24">
        <v>0.05</v>
      </c>
      <c r="I461" s="24">
        <v>0.05</v>
      </c>
      <c r="J461" s="24">
        <v>0</v>
      </c>
      <c r="K461" s="224">
        <f t="shared" si="62"/>
        <v>0.27800000000000002</v>
      </c>
      <c r="L461" s="225">
        <f t="shared" si="63"/>
        <v>5000</v>
      </c>
      <c r="M461" s="225">
        <f t="shared" si="64"/>
        <v>500</v>
      </c>
      <c r="N461" s="226">
        <f t="shared" si="65"/>
        <v>595</v>
      </c>
      <c r="O461" s="34">
        <v>0.3</v>
      </c>
      <c r="P461" s="226">
        <f t="shared" si="66"/>
        <v>773.5</v>
      </c>
      <c r="Q461" s="107" t="s">
        <v>1486</v>
      </c>
      <c r="R461" s="34">
        <v>0.3</v>
      </c>
      <c r="S461" s="226">
        <f t="shared" si="59"/>
        <v>613.70000000000005</v>
      </c>
      <c r="T461" s="156" t="s">
        <v>1486</v>
      </c>
      <c r="U461" s="2" t="s">
        <v>109</v>
      </c>
      <c r="V461" s="2" t="s">
        <v>47</v>
      </c>
      <c r="W461" s="2" t="s">
        <v>5883</v>
      </c>
      <c r="X461" s="2" t="s">
        <v>4003</v>
      </c>
      <c r="Y461" s="488" t="s">
        <v>1486</v>
      </c>
      <c r="Z461" s="293">
        <f t="shared" si="60"/>
        <v>139</v>
      </c>
      <c r="AA461" s="293">
        <f t="shared" si="61"/>
        <v>154.71428571428578</v>
      </c>
    </row>
    <row r="462" spans="1:27" s="320" customFormat="1" x14ac:dyDescent="0.25">
      <c r="A462" s="220" t="s">
        <v>521</v>
      </c>
      <c r="B462" s="221" t="s">
        <v>3123</v>
      </c>
      <c r="C462" s="223" t="s">
        <v>1570</v>
      </c>
      <c r="D462" s="220" t="s">
        <v>461</v>
      </c>
      <c r="E462" s="222">
        <v>25</v>
      </c>
      <c r="F462" s="192">
        <f>14332/E462</f>
        <v>573.28</v>
      </c>
      <c r="G462" s="24">
        <v>0.2</v>
      </c>
      <c r="H462" s="24">
        <v>0.05</v>
      </c>
      <c r="I462" s="24">
        <v>0.05</v>
      </c>
      <c r="J462" s="24">
        <v>0</v>
      </c>
      <c r="K462" s="224">
        <f t="shared" si="62"/>
        <v>0.27800000000000002</v>
      </c>
      <c r="L462" s="225">
        <f t="shared" si="63"/>
        <v>19850.415512465373</v>
      </c>
      <c r="M462" s="225">
        <f t="shared" si="64"/>
        <v>794.016620498615</v>
      </c>
      <c r="N462" s="226">
        <f t="shared" si="65"/>
        <v>944.87977839335178</v>
      </c>
      <c r="O462" s="34">
        <v>0.3</v>
      </c>
      <c r="P462" s="226">
        <f t="shared" si="66"/>
        <v>1228.3437119113573</v>
      </c>
      <c r="Q462" s="107" t="s">
        <v>1486</v>
      </c>
      <c r="R462" s="34">
        <v>0.3</v>
      </c>
      <c r="S462" s="226">
        <f t="shared" si="59"/>
        <v>974.57599999999991</v>
      </c>
      <c r="T462" s="156" t="s">
        <v>1486</v>
      </c>
      <c r="U462" s="2" t="s">
        <v>109</v>
      </c>
      <c r="V462" s="2" t="s">
        <v>47</v>
      </c>
      <c r="W462" s="2" t="s">
        <v>5883</v>
      </c>
      <c r="X462" s="2" t="s">
        <v>4003</v>
      </c>
      <c r="Y462" s="488" t="s">
        <v>1486</v>
      </c>
      <c r="Z462" s="293">
        <f t="shared" si="60"/>
        <v>220.73662049861503</v>
      </c>
      <c r="AA462" s="293">
        <f t="shared" si="61"/>
        <v>245.69142857142856</v>
      </c>
    </row>
    <row r="463" spans="1:27" s="320" customFormat="1" x14ac:dyDescent="0.25">
      <c r="A463" s="220" t="s">
        <v>523</v>
      </c>
      <c r="B463" s="221" t="s">
        <v>3121</v>
      </c>
      <c r="C463" s="223" t="s">
        <v>1570</v>
      </c>
      <c r="D463" s="220" t="s">
        <v>461</v>
      </c>
      <c r="E463" s="222">
        <v>50</v>
      </c>
      <c r="F463" s="192">
        <f>5957/E463</f>
        <v>119.14</v>
      </c>
      <c r="G463" s="24">
        <v>0.2</v>
      </c>
      <c r="H463" s="24">
        <v>0.05</v>
      </c>
      <c r="I463" s="24">
        <v>0.05</v>
      </c>
      <c r="J463" s="24">
        <v>0</v>
      </c>
      <c r="K463" s="224">
        <f t="shared" si="62"/>
        <v>0.27799999999999991</v>
      </c>
      <c r="L463" s="225">
        <f t="shared" si="63"/>
        <v>8250.6925207756231</v>
      </c>
      <c r="M463" s="225">
        <f t="shared" si="64"/>
        <v>165.01385041551245</v>
      </c>
      <c r="N463" s="226">
        <f t="shared" si="65"/>
        <v>196.3664819944598</v>
      </c>
      <c r="O463" s="34">
        <v>0.3</v>
      </c>
      <c r="P463" s="226">
        <f t="shared" si="66"/>
        <v>255.27642659279775</v>
      </c>
      <c r="Q463" s="107" t="s">
        <v>1486</v>
      </c>
      <c r="R463" s="34">
        <v>0.3</v>
      </c>
      <c r="S463" s="226">
        <f t="shared" si="59"/>
        <v>202.53800000000001</v>
      </c>
      <c r="T463" s="156" t="s">
        <v>1486</v>
      </c>
      <c r="U463" s="2" t="s">
        <v>109</v>
      </c>
      <c r="V463" s="2" t="s">
        <v>47</v>
      </c>
      <c r="W463" s="2" t="s">
        <v>5883</v>
      </c>
      <c r="X463" s="2" t="s">
        <v>4003</v>
      </c>
      <c r="Y463" s="488" t="s">
        <v>1486</v>
      </c>
      <c r="Z463" s="293">
        <f t="shared" si="60"/>
        <v>45.87385041551245</v>
      </c>
      <c r="AA463" s="293">
        <f t="shared" si="61"/>
        <v>51.060000000000016</v>
      </c>
    </row>
    <row r="464" spans="1:27" s="320" customFormat="1" x14ac:dyDescent="0.25">
      <c r="A464" s="220" t="s">
        <v>525</v>
      </c>
      <c r="B464" s="221" t="s">
        <v>3150</v>
      </c>
      <c r="C464" s="223" t="s">
        <v>1570</v>
      </c>
      <c r="D464" s="220" t="s">
        <v>461</v>
      </c>
      <c r="E464" s="222">
        <v>50</v>
      </c>
      <c r="F464" s="192">
        <f>5379/E464</f>
        <v>107.58</v>
      </c>
      <c r="G464" s="24">
        <v>0.2</v>
      </c>
      <c r="H464" s="24">
        <v>0.05</v>
      </c>
      <c r="I464" s="24">
        <v>0.05</v>
      </c>
      <c r="J464" s="24">
        <v>0</v>
      </c>
      <c r="K464" s="224">
        <f t="shared" si="62"/>
        <v>0.27800000000000002</v>
      </c>
      <c r="L464" s="225">
        <f t="shared" si="63"/>
        <v>7450.1385041551248</v>
      </c>
      <c r="M464" s="225">
        <f t="shared" si="64"/>
        <v>149.00277008310249</v>
      </c>
      <c r="N464" s="226">
        <f t="shared" si="65"/>
        <v>177.31329639889196</v>
      </c>
      <c r="O464" s="34">
        <v>0.3</v>
      </c>
      <c r="P464" s="226">
        <f t="shared" si="66"/>
        <v>230.50728531855955</v>
      </c>
      <c r="Q464" s="107" t="s">
        <v>1486</v>
      </c>
      <c r="R464" s="34">
        <v>0.3</v>
      </c>
      <c r="S464" s="226">
        <f t="shared" si="59"/>
        <v>182.886</v>
      </c>
      <c r="T464" s="156" t="s">
        <v>1486</v>
      </c>
      <c r="U464" s="2" t="s">
        <v>109</v>
      </c>
      <c r="V464" s="2" t="s">
        <v>47</v>
      </c>
      <c r="W464" s="2" t="s">
        <v>5883</v>
      </c>
      <c r="X464" s="2" t="s">
        <v>4003</v>
      </c>
      <c r="Y464" s="488" t="s">
        <v>1486</v>
      </c>
      <c r="Z464" s="293">
        <f t="shared" si="60"/>
        <v>41.422770083102492</v>
      </c>
      <c r="AA464" s="293">
        <f t="shared" si="61"/>
        <v>46.105714285714285</v>
      </c>
    </row>
    <row r="465" spans="1:27" s="320" customFormat="1" x14ac:dyDescent="0.25">
      <c r="A465" s="220" t="s">
        <v>527</v>
      </c>
      <c r="B465" s="221" t="s">
        <v>3151</v>
      </c>
      <c r="C465" s="223" t="s">
        <v>1570</v>
      </c>
      <c r="D465" s="220" t="s">
        <v>461</v>
      </c>
      <c r="E465" s="222">
        <v>50</v>
      </c>
      <c r="F465" s="192">
        <f>5379/E465</f>
        <v>107.58</v>
      </c>
      <c r="G465" s="24">
        <v>0.2</v>
      </c>
      <c r="H465" s="24">
        <v>0.05</v>
      </c>
      <c r="I465" s="24">
        <v>0.05</v>
      </c>
      <c r="J465" s="24">
        <v>0</v>
      </c>
      <c r="K465" s="224">
        <f t="shared" si="62"/>
        <v>0.27800000000000002</v>
      </c>
      <c r="L465" s="225">
        <f t="shared" si="63"/>
        <v>7450.1385041551248</v>
      </c>
      <c r="M465" s="225">
        <f t="shared" si="64"/>
        <v>149.00277008310249</v>
      </c>
      <c r="N465" s="226">
        <f t="shared" si="65"/>
        <v>177.31329639889196</v>
      </c>
      <c r="O465" s="34">
        <v>0.3</v>
      </c>
      <c r="P465" s="226">
        <f t="shared" si="66"/>
        <v>230.50728531855955</v>
      </c>
      <c r="Q465" s="107" t="s">
        <v>1486</v>
      </c>
      <c r="R465" s="34">
        <v>0.3</v>
      </c>
      <c r="S465" s="226">
        <f t="shared" si="59"/>
        <v>182.886</v>
      </c>
      <c r="T465" s="156" t="s">
        <v>1486</v>
      </c>
      <c r="U465" s="2" t="s">
        <v>109</v>
      </c>
      <c r="V465" s="2" t="s">
        <v>47</v>
      </c>
      <c r="W465" s="2" t="s">
        <v>5883</v>
      </c>
      <c r="X465" s="2" t="s">
        <v>4003</v>
      </c>
      <c r="Y465" s="488" t="s">
        <v>1486</v>
      </c>
      <c r="Z465" s="293">
        <f t="shared" si="60"/>
        <v>41.422770083102492</v>
      </c>
      <c r="AA465" s="293">
        <f t="shared" si="61"/>
        <v>46.105714285714285</v>
      </c>
    </row>
    <row r="466" spans="1:27" s="320" customFormat="1" x14ac:dyDescent="0.25">
      <c r="A466" s="220" t="s">
        <v>529</v>
      </c>
      <c r="B466" s="221" t="s">
        <v>3124</v>
      </c>
      <c r="C466" s="223" t="s">
        <v>1570</v>
      </c>
      <c r="D466" s="220" t="s">
        <v>461</v>
      </c>
      <c r="E466" s="222">
        <v>50</v>
      </c>
      <c r="F466" s="192">
        <f>5837/E466</f>
        <v>116.74</v>
      </c>
      <c r="G466" s="24">
        <v>0.2</v>
      </c>
      <c r="H466" s="24">
        <v>0.05</v>
      </c>
      <c r="I466" s="24">
        <v>0.05</v>
      </c>
      <c r="J466" s="24">
        <v>0</v>
      </c>
      <c r="K466" s="224">
        <f t="shared" si="62"/>
        <v>0.27800000000000014</v>
      </c>
      <c r="L466" s="225">
        <f t="shared" si="63"/>
        <v>8084.4875346260396</v>
      </c>
      <c r="M466" s="225">
        <f t="shared" si="64"/>
        <v>161.68975069252079</v>
      </c>
      <c r="N466" s="226">
        <f t="shared" si="65"/>
        <v>192.41080332409973</v>
      </c>
      <c r="O466" s="34">
        <v>0.3</v>
      </c>
      <c r="P466" s="226">
        <f t="shared" si="66"/>
        <v>250.13404432132967</v>
      </c>
      <c r="Q466" s="107" t="s">
        <v>1486</v>
      </c>
      <c r="R466" s="34">
        <v>0.3</v>
      </c>
      <c r="S466" s="226">
        <f t="shared" si="59"/>
        <v>198.458</v>
      </c>
      <c r="T466" s="156" t="s">
        <v>1486</v>
      </c>
      <c r="U466" s="2" t="s">
        <v>109</v>
      </c>
      <c r="V466" s="2" t="s">
        <v>47</v>
      </c>
      <c r="W466" s="2" t="s">
        <v>5883</v>
      </c>
      <c r="X466" s="2" t="s">
        <v>4003</v>
      </c>
      <c r="Y466" s="488" t="s">
        <v>1486</v>
      </c>
      <c r="Z466" s="293">
        <f t="shared" si="60"/>
        <v>44.949750692520794</v>
      </c>
      <c r="AA466" s="293">
        <f t="shared" si="61"/>
        <v>50.031428571428577</v>
      </c>
    </row>
    <row r="467" spans="1:27" s="320" customFormat="1" x14ac:dyDescent="0.25">
      <c r="A467" s="220" t="s">
        <v>531</v>
      </c>
      <c r="B467" s="221" t="s">
        <v>3152</v>
      </c>
      <c r="C467" s="223" t="s">
        <v>1570</v>
      </c>
      <c r="D467" s="220" t="s">
        <v>461</v>
      </c>
      <c r="E467" s="222">
        <v>50</v>
      </c>
      <c r="F467" s="192">
        <f>5379/E467</f>
        <v>107.58</v>
      </c>
      <c r="G467" s="24">
        <v>0.2</v>
      </c>
      <c r="H467" s="24">
        <v>0.05</v>
      </c>
      <c r="I467" s="24">
        <v>0.05</v>
      </c>
      <c r="J467" s="24">
        <v>0</v>
      </c>
      <c r="K467" s="224">
        <f t="shared" si="62"/>
        <v>0.27800000000000002</v>
      </c>
      <c r="L467" s="225">
        <f t="shared" si="63"/>
        <v>7450.1385041551248</v>
      </c>
      <c r="M467" s="225">
        <f t="shared" si="64"/>
        <v>149.00277008310249</v>
      </c>
      <c r="N467" s="226">
        <f t="shared" si="65"/>
        <v>177.31329639889196</v>
      </c>
      <c r="O467" s="34">
        <v>0.3</v>
      </c>
      <c r="P467" s="226">
        <f t="shared" si="66"/>
        <v>230.50728531855955</v>
      </c>
      <c r="Q467" s="107" t="s">
        <v>1486</v>
      </c>
      <c r="R467" s="34">
        <v>0.3</v>
      </c>
      <c r="S467" s="226">
        <f t="shared" si="59"/>
        <v>182.886</v>
      </c>
      <c r="T467" s="156" t="s">
        <v>1486</v>
      </c>
      <c r="U467" s="2" t="s">
        <v>109</v>
      </c>
      <c r="V467" s="2" t="s">
        <v>47</v>
      </c>
      <c r="W467" s="2" t="s">
        <v>5883</v>
      </c>
      <c r="X467" s="2" t="s">
        <v>4003</v>
      </c>
      <c r="Y467" s="488" t="s">
        <v>1486</v>
      </c>
      <c r="Z467" s="293">
        <f t="shared" si="60"/>
        <v>41.422770083102492</v>
      </c>
      <c r="AA467" s="293">
        <f t="shared" si="61"/>
        <v>46.105714285714285</v>
      </c>
    </row>
    <row r="468" spans="1:27" s="320" customFormat="1" x14ac:dyDescent="0.25">
      <c r="A468" s="220" t="s">
        <v>533</v>
      </c>
      <c r="B468" s="221" t="s">
        <v>3154</v>
      </c>
      <c r="C468" s="223" t="s">
        <v>1570</v>
      </c>
      <c r="D468" s="220" t="s">
        <v>461</v>
      </c>
      <c r="E468" s="222">
        <v>10</v>
      </c>
      <c r="F468" s="192">
        <f>5704/E468</f>
        <v>570.4</v>
      </c>
      <c r="G468" s="24">
        <v>0.2</v>
      </c>
      <c r="H468" s="24">
        <v>0.05</v>
      </c>
      <c r="I468" s="24">
        <v>0.05</v>
      </c>
      <c r="J468" s="24">
        <v>0</v>
      </c>
      <c r="K468" s="224">
        <f t="shared" si="62"/>
        <v>0.27800000000000002</v>
      </c>
      <c r="L468" s="225">
        <f t="shared" si="63"/>
        <v>7900.2770083102496</v>
      </c>
      <c r="M468" s="225">
        <f t="shared" si="64"/>
        <v>790.02770083102496</v>
      </c>
      <c r="N468" s="226">
        <f t="shared" si="65"/>
        <v>940.13296398891964</v>
      </c>
      <c r="O468" s="34">
        <v>0.3</v>
      </c>
      <c r="P468" s="226">
        <f t="shared" si="66"/>
        <v>1222.1728531855956</v>
      </c>
      <c r="Q468" s="107" t="s">
        <v>1486</v>
      </c>
      <c r="R468" s="34">
        <v>0.3</v>
      </c>
      <c r="S468" s="226">
        <f t="shared" si="59"/>
        <v>969.68</v>
      </c>
      <c r="T468" s="156" t="s">
        <v>1486</v>
      </c>
      <c r="U468" s="2" t="s">
        <v>109</v>
      </c>
      <c r="V468" s="2" t="s">
        <v>47</v>
      </c>
      <c r="W468" s="2" t="s">
        <v>5883</v>
      </c>
      <c r="X468" s="2" t="s">
        <v>4003</v>
      </c>
      <c r="Y468" s="488" t="s">
        <v>1486</v>
      </c>
      <c r="Z468" s="293">
        <f t="shared" si="60"/>
        <v>219.62770083102498</v>
      </c>
      <c r="AA468" s="293">
        <f t="shared" si="61"/>
        <v>244.45714285714291</v>
      </c>
    </row>
    <row r="469" spans="1:27" s="320" customFormat="1" x14ac:dyDescent="0.25">
      <c r="A469" s="220" t="s">
        <v>535</v>
      </c>
      <c r="B469" s="221" t="s">
        <v>3155</v>
      </c>
      <c r="C469" s="223" t="s">
        <v>1570</v>
      </c>
      <c r="D469" s="220" t="s">
        <v>461</v>
      </c>
      <c r="E469" s="222">
        <v>10</v>
      </c>
      <c r="F469" s="192">
        <f>5704/E469</f>
        <v>570.4</v>
      </c>
      <c r="G469" s="24">
        <v>0.2</v>
      </c>
      <c r="H469" s="24">
        <v>0.05</v>
      </c>
      <c r="I469" s="24">
        <v>0.05</v>
      </c>
      <c r="J469" s="24">
        <v>0</v>
      </c>
      <c r="K469" s="224">
        <f t="shared" si="62"/>
        <v>0.27800000000000002</v>
      </c>
      <c r="L469" s="225">
        <f t="shared" si="63"/>
        <v>7900.2770083102496</v>
      </c>
      <c r="M469" s="225">
        <f t="shared" si="64"/>
        <v>790.02770083102496</v>
      </c>
      <c r="N469" s="226">
        <f t="shared" si="65"/>
        <v>940.13296398891964</v>
      </c>
      <c r="O469" s="34">
        <v>0.3</v>
      </c>
      <c r="P469" s="226">
        <f t="shared" si="66"/>
        <v>1222.1728531855956</v>
      </c>
      <c r="Q469" s="107" t="s">
        <v>1486</v>
      </c>
      <c r="R469" s="34">
        <v>0.3</v>
      </c>
      <c r="S469" s="226">
        <f t="shared" si="59"/>
        <v>969.68</v>
      </c>
      <c r="T469" s="156" t="s">
        <v>1486</v>
      </c>
      <c r="U469" s="2" t="s">
        <v>109</v>
      </c>
      <c r="V469" s="2" t="s">
        <v>47</v>
      </c>
      <c r="W469" s="2" t="s">
        <v>5883</v>
      </c>
      <c r="X469" s="2" t="s">
        <v>4003</v>
      </c>
      <c r="Y469" s="488" t="s">
        <v>1486</v>
      </c>
      <c r="Z469" s="293">
        <f t="shared" si="60"/>
        <v>219.62770083102498</v>
      </c>
      <c r="AA469" s="293">
        <f t="shared" si="61"/>
        <v>244.45714285714291</v>
      </c>
    </row>
    <row r="470" spans="1:27" s="320" customFormat="1" x14ac:dyDescent="0.25">
      <c r="A470" s="220" t="s">
        <v>537</v>
      </c>
      <c r="B470" s="221" t="s">
        <v>3126</v>
      </c>
      <c r="C470" s="223" t="s">
        <v>1570</v>
      </c>
      <c r="D470" s="220" t="s">
        <v>461</v>
      </c>
      <c r="E470" s="222">
        <v>50</v>
      </c>
      <c r="F470" s="192">
        <f>3935/E470</f>
        <v>78.7</v>
      </c>
      <c r="G470" s="24">
        <v>0.2</v>
      </c>
      <c r="H470" s="24">
        <v>0.05</v>
      </c>
      <c r="I470" s="24">
        <v>0.05</v>
      </c>
      <c r="J470" s="24">
        <v>0</v>
      </c>
      <c r="K470" s="224">
        <f t="shared" si="62"/>
        <v>0.27800000000000002</v>
      </c>
      <c r="L470" s="225">
        <f t="shared" si="63"/>
        <v>5450.1385041551248</v>
      </c>
      <c r="M470" s="225">
        <f t="shared" si="64"/>
        <v>109.0027700831025</v>
      </c>
      <c r="N470" s="226">
        <f t="shared" si="65"/>
        <v>129.71329639889197</v>
      </c>
      <c r="O470" s="34">
        <v>0.3</v>
      </c>
      <c r="P470" s="226">
        <f t="shared" si="66"/>
        <v>168.62728531855956</v>
      </c>
      <c r="Q470" s="107" t="s">
        <v>1486</v>
      </c>
      <c r="R470" s="34">
        <v>0.3</v>
      </c>
      <c r="S470" s="226">
        <f t="shared" si="59"/>
        <v>133.79000000000002</v>
      </c>
      <c r="T470" s="156" t="s">
        <v>1486</v>
      </c>
      <c r="U470" s="2" t="s">
        <v>109</v>
      </c>
      <c r="V470" s="2" t="s">
        <v>47</v>
      </c>
      <c r="W470" s="2" t="s">
        <v>5883</v>
      </c>
      <c r="X470" s="2" t="s">
        <v>4003</v>
      </c>
      <c r="Y470" s="488" t="s">
        <v>1486</v>
      </c>
      <c r="Z470" s="293">
        <f t="shared" si="60"/>
        <v>30.302770083102502</v>
      </c>
      <c r="AA470" s="293">
        <f t="shared" si="61"/>
        <v>33.728571428571442</v>
      </c>
    </row>
    <row r="471" spans="1:27" s="320" customFormat="1" x14ac:dyDescent="0.25">
      <c r="A471" s="220" t="s">
        <v>540</v>
      </c>
      <c r="B471" s="221" t="s">
        <v>3142</v>
      </c>
      <c r="C471" s="223" t="s">
        <v>1570</v>
      </c>
      <c r="D471" s="220" t="s">
        <v>461</v>
      </c>
      <c r="E471" s="222">
        <v>10</v>
      </c>
      <c r="F471" s="192">
        <f>3256/E471</f>
        <v>325.60000000000002</v>
      </c>
      <c r="G471" s="24">
        <v>0.2</v>
      </c>
      <c r="H471" s="24">
        <v>0.05</v>
      </c>
      <c r="I471" s="24">
        <v>0.05</v>
      </c>
      <c r="J471" s="24">
        <v>0</v>
      </c>
      <c r="K471" s="224">
        <f t="shared" si="62"/>
        <v>0.27800000000000002</v>
      </c>
      <c r="L471" s="225">
        <f t="shared" si="63"/>
        <v>4509.6952908587264</v>
      </c>
      <c r="M471" s="225">
        <f t="shared" si="64"/>
        <v>450.96952908587264</v>
      </c>
      <c r="N471" s="226">
        <f t="shared" si="65"/>
        <v>536.65373961218836</v>
      </c>
      <c r="O471" s="34">
        <v>0.3</v>
      </c>
      <c r="P471" s="226">
        <f t="shared" si="66"/>
        <v>697.6498614958449</v>
      </c>
      <c r="Q471" s="107" t="s">
        <v>1486</v>
      </c>
      <c r="R471" s="34">
        <v>0.3</v>
      </c>
      <c r="S471" s="226">
        <f t="shared" si="59"/>
        <v>553.5200000000001</v>
      </c>
      <c r="T471" s="156" t="s">
        <v>1486</v>
      </c>
      <c r="U471" s="2" t="s">
        <v>109</v>
      </c>
      <c r="V471" s="2" t="s">
        <v>47</v>
      </c>
      <c r="W471" s="2" t="s">
        <v>5883</v>
      </c>
      <c r="X471" s="2" t="s">
        <v>4003</v>
      </c>
      <c r="Y471" s="488" t="s">
        <v>1486</v>
      </c>
      <c r="Z471" s="293">
        <f t="shared" si="60"/>
        <v>125.36952908587261</v>
      </c>
      <c r="AA471" s="293">
        <f t="shared" si="61"/>
        <v>139.5428571428572</v>
      </c>
    </row>
    <row r="472" spans="1:27" s="320" customFormat="1" x14ac:dyDescent="0.25">
      <c r="A472" s="220" t="s">
        <v>541</v>
      </c>
      <c r="B472" s="221" t="s">
        <v>3125</v>
      </c>
      <c r="C472" s="223" t="s">
        <v>1570</v>
      </c>
      <c r="D472" s="220" t="s">
        <v>461</v>
      </c>
      <c r="E472" s="222">
        <v>25</v>
      </c>
      <c r="F472" s="192">
        <f>2924/E472</f>
        <v>116.96</v>
      </c>
      <c r="G472" s="24">
        <v>0.2</v>
      </c>
      <c r="H472" s="24">
        <v>0.05</v>
      </c>
      <c r="I472" s="24">
        <v>0.05</v>
      </c>
      <c r="J472" s="24">
        <v>0</v>
      </c>
      <c r="K472" s="224">
        <f t="shared" si="62"/>
        <v>0.27800000000000002</v>
      </c>
      <c r="L472" s="225">
        <f t="shared" si="63"/>
        <v>4049.8614958448757</v>
      </c>
      <c r="M472" s="225">
        <f t="shared" si="64"/>
        <v>161.99445983379502</v>
      </c>
      <c r="N472" s="226">
        <f t="shared" si="65"/>
        <v>192.77340720221608</v>
      </c>
      <c r="O472" s="34">
        <v>0.3</v>
      </c>
      <c r="P472" s="226">
        <f t="shared" si="66"/>
        <v>250.6054293628809</v>
      </c>
      <c r="Q472" s="107" t="s">
        <v>1486</v>
      </c>
      <c r="R472" s="34">
        <v>0.3</v>
      </c>
      <c r="S472" s="226">
        <f t="shared" si="59"/>
        <v>198.83199999999999</v>
      </c>
      <c r="T472" s="156" t="s">
        <v>1486</v>
      </c>
      <c r="U472" s="2" t="s">
        <v>109</v>
      </c>
      <c r="V472" s="2" t="s">
        <v>47</v>
      </c>
      <c r="W472" s="2" t="s">
        <v>5883</v>
      </c>
      <c r="X472" s="2" t="s">
        <v>4003</v>
      </c>
      <c r="Y472" s="488" t="s">
        <v>1486</v>
      </c>
      <c r="Z472" s="293">
        <f t="shared" si="60"/>
        <v>45.034459833795026</v>
      </c>
      <c r="AA472" s="293">
        <f t="shared" si="61"/>
        <v>50.125714285714295</v>
      </c>
    </row>
    <row r="473" spans="1:27" s="320" customFormat="1" x14ac:dyDescent="0.25">
      <c r="A473" s="220" t="s">
        <v>543</v>
      </c>
      <c r="B473" s="221" t="s">
        <v>3127</v>
      </c>
      <c r="C473" s="223" t="s">
        <v>1570</v>
      </c>
      <c r="D473" s="220" t="s">
        <v>461</v>
      </c>
      <c r="E473" s="222">
        <v>50</v>
      </c>
      <c r="F473" s="192">
        <f>3935/E473</f>
        <v>78.7</v>
      </c>
      <c r="G473" s="24">
        <v>0.2</v>
      </c>
      <c r="H473" s="24">
        <v>0.05</v>
      </c>
      <c r="I473" s="24">
        <v>0.05</v>
      </c>
      <c r="J473" s="24">
        <v>0</v>
      </c>
      <c r="K473" s="224">
        <f t="shared" si="62"/>
        <v>0.27800000000000002</v>
      </c>
      <c r="L473" s="225">
        <f t="shared" si="63"/>
        <v>5450.1385041551248</v>
      </c>
      <c r="M473" s="225">
        <f t="shared" si="64"/>
        <v>109.0027700831025</v>
      </c>
      <c r="N473" s="226">
        <f t="shared" si="65"/>
        <v>129.71329639889197</v>
      </c>
      <c r="O473" s="34">
        <v>0.3</v>
      </c>
      <c r="P473" s="226">
        <f t="shared" si="66"/>
        <v>168.62728531855956</v>
      </c>
      <c r="Q473" s="107" t="s">
        <v>1486</v>
      </c>
      <c r="R473" s="34">
        <v>0.3</v>
      </c>
      <c r="S473" s="226">
        <f t="shared" si="59"/>
        <v>133.79000000000002</v>
      </c>
      <c r="T473" s="156" t="s">
        <v>1486</v>
      </c>
      <c r="U473" s="2" t="s">
        <v>109</v>
      </c>
      <c r="V473" s="2" t="s">
        <v>47</v>
      </c>
      <c r="W473" s="2" t="s">
        <v>5883</v>
      </c>
      <c r="X473" s="2" t="s">
        <v>4003</v>
      </c>
      <c r="Y473" s="488" t="s">
        <v>1486</v>
      </c>
      <c r="Z473" s="293">
        <f t="shared" si="60"/>
        <v>30.302770083102502</v>
      </c>
      <c r="AA473" s="293">
        <f t="shared" si="61"/>
        <v>33.728571428571442</v>
      </c>
    </row>
    <row r="474" spans="1:27" s="320" customFormat="1" x14ac:dyDescent="0.25">
      <c r="A474" s="220" t="s">
        <v>544</v>
      </c>
      <c r="B474" s="221" t="s">
        <v>3161</v>
      </c>
      <c r="C474" s="223" t="s">
        <v>1570</v>
      </c>
      <c r="D474" s="220" t="s">
        <v>461</v>
      </c>
      <c r="E474" s="222">
        <v>50</v>
      </c>
      <c r="F474" s="192">
        <f>5090/E474</f>
        <v>101.8</v>
      </c>
      <c r="G474" s="24">
        <v>0.2</v>
      </c>
      <c r="H474" s="24">
        <v>0.05</v>
      </c>
      <c r="I474" s="24">
        <v>0.05</v>
      </c>
      <c r="J474" s="24">
        <v>0</v>
      </c>
      <c r="K474" s="224">
        <f t="shared" si="62"/>
        <v>0.27800000000000002</v>
      </c>
      <c r="L474" s="225">
        <f t="shared" si="63"/>
        <v>7049.8614958448752</v>
      </c>
      <c r="M474" s="225">
        <f t="shared" si="64"/>
        <v>140.99722991689751</v>
      </c>
      <c r="N474" s="226">
        <f t="shared" si="65"/>
        <v>167.78670360110803</v>
      </c>
      <c r="O474" s="34">
        <v>0.3</v>
      </c>
      <c r="P474" s="226">
        <f t="shared" si="66"/>
        <v>218.12271468144044</v>
      </c>
      <c r="Q474" s="107" t="s">
        <v>1486</v>
      </c>
      <c r="R474" s="34">
        <v>0.3</v>
      </c>
      <c r="S474" s="226">
        <f t="shared" si="59"/>
        <v>173.06</v>
      </c>
      <c r="T474" s="156" t="s">
        <v>1486</v>
      </c>
      <c r="U474" s="2" t="s">
        <v>109</v>
      </c>
      <c r="V474" s="2" t="s">
        <v>47</v>
      </c>
      <c r="W474" s="2" t="s">
        <v>5883</v>
      </c>
      <c r="X474" s="2" t="s">
        <v>4003</v>
      </c>
      <c r="Y474" s="488" t="s">
        <v>1486</v>
      </c>
      <c r="Z474" s="293">
        <f t="shared" si="60"/>
        <v>39.197229916897513</v>
      </c>
      <c r="AA474" s="293">
        <f t="shared" si="61"/>
        <v>43.628571428571448</v>
      </c>
    </row>
    <row r="475" spans="1:27" s="320" customFormat="1" x14ac:dyDescent="0.25">
      <c r="A475" s="220" t="s">
        <v>547</v>
      </c>
      <c r="B475" s="221" t="s">
        <v>3153</v>
      </c>
      <c r="C475" s="223" t="s">
        <v>1570</v>
      </c>
      <c r="D475" s="220" t="s">
        <v>461</v>
      </c>
      <c r="E475" s="222">
        <v>50</v>
      </c>
      <c r="F475" s="192">
        <f>6173/E475</f>
        <v>123.46</v>
      </c>
      <c r="G475" s="24">
        <v>0.2</v>
      </c>
      <c r="H475" s="24">
        <v>0.05</v>
      </c>
      <c r="I475" s="24">
        <v>0.05</v>
      </c>
      <c r="J475" s="24">
        <v>0</v>
      </c>
      <c r="K475" s="224">
        <f t="shared" si="62"/>
        <v>0.27800000000000002</v>
      </c>
      <c r="L475" s="225">
        <f t="shared" si="63"/>
        <v>8549.8614958448761</v>
      </c>
      <c r="M475" s="225">
        <f t="shared" si="64"/>
        <v>170.99722991689751</v>
      </c>
      <c r="N475" s="226">
        <f t="shared" si="65"/>
        <v>203.48670360110802</v>
      </c>
      <c r="O475" s="34">
        <v>0.3</v>
      </c>
      <c r="P475" s="226">
        <f t="shared" si="66"/>
        <v>264.53271468144044</v>
      </c>
      <c r="Q475" s="107" t="s">
        <v>1486</v>
      </c>
      <c r="R475" s="34">
        <v>0.3</v>
      </c>
      <c r="S475" s="226">
        <f t="shared" si="59"/>
        <v>209.88199999999998</v>
      </c>
      <c r="T475" s="156" t="s">
        <v>1486</v>
      </c>
      <c r="U475" s="2" t="s">
        <v>109</v>
      </c>
      <c r="V475" s="2" t="s">
        <v>47</v>
      </c>
      <c r="W475" s="2" t="s">
        <v>5883</v>
      </c>
      <c r="X475" s="2" t="s">
        <v>4003</v>
      </c>
      <c r="Y475" s="488" t="s">
        <v>1486</v>
      </c>
      <c r="Z475" s="293">
        <f t="shared" si="60"/>
        <v>47.537229916897516</v>
      </c>
      <c r="AA475" s="293">
        <f t="shared" si="61"/>
        <v>52.911428571428573</v>
      </c>
    </row>
    <row r="476" spans="1:27" s="320" customFormat="1" x14ac:dyDescent="0.25">
      <c r="A476" s="220" t="s">
        <v>549</v>
      </c>
      <c r="B476" s="221" t="s">
        <v>3106</v>
      </c>
      <c r="C476" s="223" t="s">
        <v>1570</v>
      </c>
      <c r="D476" s="220" t="s">
        <v>461</v>
      </c>
      <c r="E476" s="222">
        <v>50</v>
      </c>
      <c r="F476" s="192">
        <v>252.1</v>
      </c>
      <c r="G476" s="24">
        <v>0.2</v>
      </c>
      <c r="H476" s="24">
        <v>0.05</v>
      </c>
      <c r="I476" s="24">
        <v>0.05</v>
      </c>
      <c r="J476" s="24">
        <v>0</v>
      </c>
      <c r="K476" s="224">
        <f t="shared" si="62"/>
        <v>0.27800000000000002</v>
      </c>
      <c r="L476" s="225">
        <f t="shared" si="63"/>
        <v>17458.448753462606</v>
      </c>
      <c r="M476" s="225">
        <f t="shared" si="64"/>
        <v>349.1689750692521</v>
      </c>
      <c r="N476" s="226">
        <f t="shared" si="65"/>
        <v>415.51108033240996</v>
      </c>
      <c r="O476" s="34">
        <v>0.3</v>
      </c>
      <c r="P476" s="226">
        <f t="shared" si="66"/>
        <v>540.16440443213298</v>
      </c>
      <c r="Q476" s="107" t="s">
        <v>1486</v>
      </c>
      <c r="R476" s="34">
        <v>0.3</v>
      </c>
      <c r="S476" s="226">
        <f t="shared" si="59"/>
        <v>428.57</v>
      </c>
      <c r="T476" s="156" t="s">
        <v>1486</v>
      </c>
      <c r="U476" s="2" t="s">
        <v>109</v>
      </c>
      <c r="V476" s="2" t="s">
        <v>47</v>
      </c>
      <c r="W476" s="2" t="s">
        <v>5883</v>
      </c>
      <c r="X476" s="2" t="s">
        <v>4003</v>
      </c>
      <c r="Y476" s="488" t="s">
        <v>1486</v>
      </c>
      <c r="Z476" s="293">
        <f t="shared" si="60"/>
        <v>97.068975069252105</v>
      </c>
      <c r="AA476" s="293">
        <f t="shared" si="61"/>
        <v>108.04285714285717</v>
      </c>
    </row>
    <row r="477" spans="1:27" s="320" customFormat="1" x14ac:dyDescent="0.25">
      <c r="A477" s="220" t="s">
        <v>551</v>
      </c>
      <c r="B477" s="221" t="s">
        <v>3128</v>
      </c>
      <c r="C477" s="223" t="s">
        <v>1570</v>
      </c>
      <c r="D477" s="220" t="s">
        <v>461</v>
      </c>
      <c r="E477" s="222">
        <v>50</v>
      </c>
      <c r="F477" s="192">
        <f>93314/E477</f>
        <v>1866.28</v>
      </c>
      <c r="G477" s="24">
        <v>0.2</v>
      </c>
      <c r="H477" s="24">
        <v>0.05</v>
      </c>
      <c r="I477" s="24">
        <v>0.05</v>
      </c>
      <c r="J477" s="24">
        <v>0</v>
      </c>
      <c r="K477" s="224">
        <f t="shared" si="62"/>
        <v>0.27800000000000002</v>
      </c>
      <c r="L477" s="225">
        <f t="shared" si="63"/>
        <v>129243.76731301939</v>
      </c>
      <c r="M477" s="225">
        <f t="shared" si="64"/>
        <v>2584.8753462603877</v>
      </c>
      <c r="N477" s="226">
        <f t="shared" si="65"/>
        <v>3076.0016620498614</v>
      </c>
      <c r="O477" s="34">
        <v>0.3</v>
      </c>
      <c r="P477" s="226">
        <f t="shared" si="66"/>
        <v>3998.8021606648199</v>
      </c>
      <c r="Q477" s="107" t="s">
        <v>1486</v>
      </c>
      <c r="R477" s="34">
        <v>0.3</v>
      </c>
      <c r="S477" s="226">
        <f t="shared" ref="S477:S540" si="67">+(F477/(1-R477))*1.19</f>
        <v>3172.6759999999999</v>
      </c>
      <c r="T477" s="156" t="s">
        <v>1486</v>
      </c>
      <c r="U477" s="2" t="s">
        <v>109</v>
      </c>
      <c r="V477" s="2" t="s">
        <v>47</v>
      </c>
      <c r="W477" s="2" t="s">
        <v>5883</v>
      </c>
      <c r="X477" s="2" t="s">
        <v>4003</v>
      </c>
      <c r="Y477" s="488" t="s">
        <v>1486</v>
      </c>
      <c r="Z477" s="293">
        <f t="shared" si="60"/>
        <v>718.59534626038771</v>
      </c>
      <c r="AA477" s="293">
        <f t="shared" si="61"/>
        <v>799.8342857142859</v>
      </c>
    </row>
    <row r="478" spans="1:27" s="320" customFormat="1" x14ac:dyDescent="0.25">
      <c r="A478" s="220" t="s">
        <v>553</v>
      </c>
      <c r="B478" s="221" t="s">
        <v>3129</v>
      </c>
      <c r="C478" s="223" t="s">
        <v>1570</v>
      </c>
      <c r="D478" s="220" t="s">
        <v>461</v>
      </c>
      <c r="E478" s="222">
        <v>50</v>
      </c>
      <c r="F478" s="192">
        <v>168</v>
      </c>
      <c r="G478" s="24">
        <v>0.2</v>
      </c>
      <c r="H478" s="24">
        <v>0.05</v>
      </c>
      <c r="I478" s="24">
        <v>0.05</v>
      </c>
      <c r="J478" s="24">
        <v>0</v>
      </c>
      <c r="K478" s="224">
        <f t="shared" si="62"/>
        <v>0.27800000000000002</v>
      </c>
      <c r="L478" s="225">
        <f t="shared" si="63"/>
        <v>11634.349030470916</v>
      </c>
      <c r="M478" s="225">
        <f t="shared" si="64"/>
        <v>232.6869806094183</v>
      </c>
      <c r="N478" s="226">
        <f t="shared" si="65"/>
        <v>276.89750692520778</v>
      </c>
      <c r="O478" s="34">
        <v>0.3</v>
      </c>
      <c r="P478" s="226">
        <f t="shared" si="66"/>
        <v>359.96675900277012</v>
      </c>
      <c r="Q478" s="107" t="s">
        <v>1486</v>
      </c>
      <c r="R478" s="34">
        <v>0.3</v>
      </c>
      <c r="S478" s="226">
        <f t="shared" si="67"/>
        <v>285.60000000000002</v>
      </c>
      <c r="T478" s="156" t="s">
        <v>1486</v>
      </c>
      <c r="U478" s="2" t="s">
        <v>109</v>
      </c>
      <c r="V478" s="2" t="s">
        <v>47</v>
      </c>
      <c r="W478" s="2" t="s">
        <v>5883</v>
      </c>
      <c r="X478" s="2" t="s">
        <v>4003</v>
      </c>
      <c r="Y478" s="488" t="s">
        <v>1486</v>
      </c>
      <c r="Z478" s="293">
        <f t="shared" si="60"/>
        <v>64.686980609418299</v>
      </c>
      <c r="AA478" s="293">
        <f t="shared" si="61"/>
        <v>72.000000000000028</v>
      </c>
    </row>
    <row r="479" spans="1:27" s="320" customFormat="1" x14ac:dyDescent="0.25">
      <c r="A479" s="220" t="s">
        <v>555</v>
      </c>
      <c r="B479" s="221" t="s">
        <v>3132</v>
      </c>
      <c r="C479" s="223" t="s">
        <v>1570</v>
      </c>
      <c r="D479" s="220" t="s">
        <v>461</v>
      </c>
      <c r="E479" s="222">
        <v>25</v>
      </c>
      <c r="F479" s="192">
        <f>22815/E479</f>
        <v>912.6</v>
      </c>
      <c r="G479" s="24">
        <v>0.2</v>
      </c>
      <c r="H479" s="24">
        <v>0.05</v>
      </c>
      <c r="I479" s="24">
        <v>0.05</v>
      </c>
      <c r="J479" s="24">
        <v>0</v>
      </c>
      <c r="K479" s="224">
        <f t="shared" si="62"/>
        <v>0.27800000000000002</v>
      </c>
      <c r="L479" s="225">
        <f t="shared" si="63"/>
        <v>31599.722991689752</v>
      </c>
      <c r="M479" s="225">
        <f t="shared" si="64"/>
        <v>1263.9889196675902</v>
      </c>
      <c r="N479" s="226">
        <f t="shared" si="65"/>
        <v>1504.1468144044322</v>
      </c>
      <c r="O479" s="34">
        <v>0.3</v>
      </c>
      <c r="P479" s="226">
        <f t="shared" si="66"/>
        <v>1955.390858725762</v>
      </c>
      <c r="Q479" s="107" t="s">
        <v>1486</v>
      </c>
      <c r="R479" s="34">
        <v>0.3</v>
      </c>
      <c r="S479" s="226">
        <f t="shared" si="67"/>
        <v>1551.42</v>
      </c>
      <c r="T479" s="156" t="s">
        <v>1486</v>
      </c>
      <c r="U479" s="2" t="s">
        <v>109</v>
      </c>
      <c r="V479" s="2" t="s">
        <v>47</v>
      </c>
      <c r="W479" s="2" t="s">
        <v>5883</v>
      </c>
      <c r="X479" s="2" t="s">
        <v>4003</v>
      </c>
      <c r="Y479" s="488" t="s">
        <v>1486</v>
      </c>
      <c r="Z479" s="293">
        <f t="shared" si="60"/>
        <v>351.38891966759013</v>
      </c>
      <c r="AA479" s="293">
        <f t="shared" si="61"/>
        <v>391.11428571428576</v>
      </c>
    </row>
    <row r="480" spans="1:27" s="320" customFormat="1" x14ac:dyDescent="0.25">
      <c r="A480" s="220" t="s">
        <v>557</v>
      </c>
      <c r="B480" s="221" t="s">
        <v>3130</v>
      </c>
      <c r="C480" s="223" t="s">
        <v>1570</v>
      </c>
      <c r="D480" s="220" t="s">
        <v>461</v>
      </c>
      <c r="E480" s="222">
        <v>50</v>
      </c>
      <c r="F480" s="192">
        <v>168</v>
      </c>
      <c r="G480" s="24">
        <v>0.2</v>
      </c>
      <c r="H480" s="24">
        <v>0.05</v>
      </c>
      <c r="I480" s="24">
        <v>0.05</v>
      </c>
      <c r="J480" s="24">
        <v>0</v>
      </c>
      <c r="K480" s="224">
        <f t="shared" si="62"/>
        <v>0.27800000000000002</v>
      </c>
      <c r="L480" s="225">
        <f t="shared" si="63"/>
        <v>11634.349030470916</v>
      </c>
      <c r="M480" s="225">
        <f t="shared" si="64"/>
        <v>232.6869806094183</v>
      </c>
      <c r="N480" s="226">
        <f t="shared" si="65"/>
        <v>276.89750692520778</v>
      </c>
      <c r="O480" s="34">
        <v>0.3</v>
      </c>
      <c r="P480" s="226">
        <f t="shared" si="66"/>
        <v>359.96675900277012</v>
      </c>
      <c r="Q480" s="107" t="s">
        <v>1486</v>
      </c>
      <c r="R480" s="34">
        <v>0.3</v>
      </c>
      <c r="S480" s="226">
        <f t="shared" si="67"/>
        <v>285.60000000000002</v>
      </c>
      <c r="T480" s="156" t="s">
        <v>1486</v>
      </c>
      <c r="U480" s="2" t="s">
        <v>109</v>
      </c>
      <c r="V480" s="2" t="s">
        <v>47</v>
      </c>
      <c r="W480" s="2" t="s">
        <v>5883</v>
      </c>
      <c r="X480" s="2" t="s">
        <v>4003</v>
      </c>
      <c r="Y480" s="488" t="s">
        <v>1486</v>
      </c>
      <c r="Z480" s="293">
        <f t="shared" si="60"/>
        <v>64.686980609418299</v>
      </c>
      <c r="AA480" s="293">
        <f t="shared" si="61"/>
        <v>72.000000000000028</v>
      </c>
    </row>
    <row r="481" spans="1:27" s="320" customFormat="1" x14ac:dyDescent="0.25">
      <c r="A481" s="220" t="s">
        <v>559</v>
      </c>
      <c r="B481" s="221" t="s">
        <v>3143</v>
      </c>
      <c r="C481" s="223" t="s">
        <v>1570</v>
      </c>
      <c r="D481" s="220" t="s">
        <v>461</v>
      </c>
      <c r="E481" s="222">
        <v>10</v>
      </c>
      <c r="F481" s="192">
        <f>4332/E481</f>
        <v>433.2</v>
      </c>
      <c r="G481" s="24">
        <v>0.2</v>
      </c>
      <c r="H481" s="24">
        <v>0.05</v>
      </c>
      <c r="I481" s="24">
        <v>0.05</v>
      </c>
      <c r="J481" s="24">
        <v>0</v>
      </c>
      <c r="K481" s="224">
        <f t="shared" si="62"/>
        <v>0.27800000000000002</v>
      </c>
      <c r="L481" s="225">
        <f t="shared" si="63"/>
        <v>6000</v>
      </c>
      <c r="M481" s="225">
        <f t="shared" si="64"/>
        <v>600</v>
      </c>
      <c r="N481" s="226">
        <f t="shared" si="65"/>
        <v>714</v>
      </c>
      <c r="O481" s="34">
        <v>0.3</v>
      </c>
      <c r="P481" s="226">
        <f t="shared" si="66"/>
        <v>928.2</v>
      </c>
      <c r="Q481" s="107" t="s">
        <v>1486</v>
      </c>
      <c r="R481" s="34">
        <v>0.3</v>
      </c>
      <c r="S481" s="226">
        <f t="shared" si="67"/>
        <v>736.44</v>
      </c>
      <c r="T481" s="156" t="s">
        <v>1486</v>
      </c>
      <c r="U481" s="2" t="s">
        <v>109</v>
      </c>
      <c r="V481" s="2" t="s">
        <v>47</v>
      </c>
      <c r="W481" s="2" t="s">
        <v>5883</v>
      </c>
      <c r="X481" s="2" t="s">
        <v>4003</v>
      </c>
      <c r="Y481" s="488" t="s">
        <v>1486</v>
      </c>
      <c r="Z481" s="293">
        <f t="shared" si="60"/>
        <v>166.8</v>
      </c>
      <c r="AA481" s="293">
        <f t="shared" si="61"/>
        <v>185.6571428571429</v>
      </c>
    </row>
    <row r="482" spans="1:27" s="320" customFormat="1" x14ac:dyDescent="0.25">
      <c r="A482" s="220" t="s">
        <v>561</v>
      </c>
      <c r="B482" s="221" t="s">
        <v>3133</v>
      </c>
      <c r="C482" s="223" t="s">
        <v>1570</v>
      </c>
      <c r="D482" s="220" t="s">
        <v>461</v>
      </c>
      <c r="E482" s="222">
        <v>25</v>
      </c>
      <c r="F482" s="192">
        <f>22815/E482</f>
        <v>912.6</v>
      </c>
      <c r="G482" s="24">
        <v>0.2</v>
      </c>
      <c r="H482" s="24">
        <v>0.05</v>
      </c>
      <c r="I482" s="24">
        <v>0.05</v>
      </c>
      <c r="J482" s="24">
        <v>0</v>
      </c>
      <c r="K482" s="224">
        <f t="shared" si="62"/>
        <v>0.27800000000000002</v>
      </c>
      <c r="L482" s="225">
        <f t="shared" si="63"/>
        <v>31599.722991689752</v>
      </c>
      <c r="M482" s="225">
        <f t="shared" si="64"/>
        <v>1263.9889196675902</v>
      </c>
      <c r="N482" s="226">
        <f t="shared" si="65"/>
        <v>1504.1468144044322</v>
      </c>
      <c r="O482" s="34">
        <v>0.3</v>
      </c>
      <c r="P482" s="226">
        <f t="shared" si="66"/>
        <v>1955.390858725762</v>
      </c>
      <c r="Q482" s="107" t="s">
        <v>1486</v>
      </c>
      <c r="R482" s="34">
        <v>0.3</v>
      </c>
      <c r="S482" s="226">
        <f t="shared" si="67"/>
        <v>1551.42</v>
      </c>
      <c r="T482" s="156" t="s">
        <v>1486</v>
      </c>
      <c r="U482" s="2" t="s">
        <v>109</v>
      </c>
      <c r="V482" s="2" t="s">
        <v>47</v>
      </c>
      <c r="W482" s="2" t="s">
        <v>5883</v>
      </c>
      <c r="X482" s="2" t="s">
        <v>4003</v>
      </c>
      <c r="Y482" s="488" t="s">
        <v>1486</v>
      </c>
      <c r="Z482" s="293">
        <f t="shared" si="60"/>
        <v>351.38891966759013</v>
      </c>
      <c r="AA482" s="293">
        <f t="shared" si="61"/>
        <v>391.11428571428576</v>
      </c>
    </row>
    <row r="483" spans="1:27" s="320" customFormat="1" x14ac:dyDescent="0.25">
      <c r="A483" s="220" t="s">
        <v>563</v>
      </c>
      <c r="B483" s="221" t="s">
        <v>3131</v>
      </c>
      <c r="C483" s="223" t="s">
        <v>1570</v>
      </c>
      <c r="D483" s="220" t="s">
        <v>461</v>
      </c>
      <c r="E483" s="222">
        <v>50</v>
      </c>
      <c r="F483" s="192">
        <f>8411/E483</f>
        <v>168.22</v>
      </c>
      <c r="G483" s="24">
        <v>0.2</v>
      </c>
      <c r="H483" s="24">
        <v>0.05</v>
      </c>
      <c r="I483" s="24">
        <v>0.05</v>
      </c>
      <c r="J483" s="24">
        <v>0</v>
      </c>
      <c r="K483" s="224">
        <f t="shared" si="62"/>
        <v>0.27800000000000002</v>
      </c>
      <c r="L483" s="225">
        <f t="shared" si="63"/>
        <v>11649.584487534627</v>
      </c>
      <c r="M483" s="225">
        <f t="shared" si="64"/>
        <v>232.99168975069253</v>
      </c>
      <c r="N483" s="226">
        <f t="shared" si="65"/>
        <v>277.2601108033241</v>
      </c>
      <c r="O483" s="34">
        <v>0.3</v>
      </c>
      <c r="P483" s="226">
        <f t="shared" si="66"/>
        <v>360.43814404432135</v>
      </c>
      <c r="Q483" s="107" t="s">
        <v>1486</v>
      </c>
      <c r="R483" s="34">
        <v>0.3</v>
      </c>
      <c r="S483" s="226">
        <f t="shared" si="67"/>
        <v>285.97399999999999</v>
      </c>
      <c r="T483" s="156" t="s">
        <v>1486</v>
      </c>
      <c r="U483" s="2" t="s">
        <v>109</v>
      </c>
      <c r="V483" s="2" t="s">
        <v>47</v>
      </c>
      <c r="W483" s="2" t="s">
        <v>5883</v>
      </c>
      <c r="X483" s="2" t="s">
        <v>4003</v>
      </c>
      <c r="Y483" s="488" t="s">
        <v>1486</v>
      </c>
      <c r="Z483" s="293">
        <f t="shared" si="60"/>
        <v>64.771689750692531</v>
      </c>
      <c r="AA483" s="293">
        <f t="shared" si="61"/>
        <v>72.094285714285718</v>
      </c>
    </row>
    <row r="484" spans="1:27" s="320" customFormat="1" x14ac:dyDescent="0.25">
      <c r="A484" s="220" t="s">
        <v>565</v>
      </c>
      <c r="B484" s="221" t="s">
        <v>3134</v>
      </c>
      <c r="C484" s="223" t="s">
        <v>1570</v>
      </c>
      <c r="D484" s="220" t="s">
        <v>461</v>
      </c>
      <c r="E484" s="222">
        <v>50</v>
      </c>
      <c r="F484" s="192">
        <f>3718/E484</f>
        <v>74.36</v>
      </c>
      <c r="G484" s="24">
        <v>0.2</v>
      </c>
      <c r="H484" s="24">
        <v>0.05</v>
      </c>
      <c r="I484" s="24">
        <v>0.05</v>
      </c>
      <c r="J484" s="24">
        <v>0</v>
      </c>
      <c r="K484" s="224">
        <f t="shared" si="62"/>
        <v>0.27799999999999991</v>
      </c>
      <c r="L484" s="225">
        <f t="shared" si="63"/>
        <v>5149.5844875346256</v>
      </c>
      <c r="M484" s="225">
        <f t="shared" si="64"/>
        <v>102.99168975069252</v>
      </c>
      <c r="N484" s="226">
        <f t="shared" si="65"/>
        <v>122.56011080332409</v>
      </c>
      <c r="O484" s="34">
        <v>0.3</v>
      </c>
      <c r="P484" s="226">
        <f t="shared" si="66"/>
        <v>159.32814404432133</v>
      </c>
      <c r="Q484" s="107" t="s">
        <v>1486</v>
      </c>
      <c r="R484" s="34">
        <v>0.3</v>
      </c>
      <c r="S484" s="226">
        <f t="shared" si="67"/>
        <v>126.41199999999999</v>
      </c>
      <c r="T484" s="156" t="s">
        <v>1486</v>
      </c>
      <c r="U484" s="2" t="s">
        <v>109</v>
      </c>
      <c r="V484" s="2" t="s">
        <v>47</v>
      </c>
      <c r="W484" s="2" t="s">
        <v>5883</v>
      </c>
      <c r="X484" s="2" t="s">
        <v>4003</v>
      </c>
      <c r="Y484" s="488" t="s">
        <v>1486</v>
      </c>
      <c r="Z484" s="293">
        <f t="shared" si="60"/>
        <v>28.631689750692516</v>
      </c>
      <c r="AA484" s="293">
        <f t="shared" si="61"/>
        <v>31.868571428571428</v>
      </c>
    </row>
    <row r="485" spans="1:27" s="320" customFormat="1" x14ac:dyDescent="0.25">
      <c r="A485" s="220" t="s">
        <v>567</v>
      </c>
      <c r="B485" s="221" t="s">
        <v>3156</v>
      </c>
      <c r="C485" s="223" t="s">
        <v>1570</v>
      </c>
      <c r="D485" s="220" t="s">
        <v>461</v>
      </c>
      <c r="E485" s="222">
        <v>50</v>
      </c>
      <c r="F485" s="192">
        <f>6447/E485</f>
        <v>128.94</v>
      </c>
      <c r="G485" s="24">
        <v>0.2</v>
      </c>
      <c r="H485" s="24">
        <v>0.05</v>
      </c>
      <c r="I485" s="24">
        <v>0.05</v>
      </c>
      <c r="J485" s="24">
        <v>0</v>
      </c>
      <c r="K485" s="224">
        <f t="shared" si="62"/>
        <v>0.27799999999999991</v>
      </c>
      <c r="L485" s="225">
        <f t="shared" si="63"/>
        <v>8929.362880886425</v>
      </c>
      <c r="M485" s="225">
        <f t="shared" si="64"/>
        <v>178.58725761772851</v>
      </c>
      <c r="N485" s="226">
        <f t="shared" si="65"/>
        <v>212.5188365650969</v>
      </c>
      <c r="O485" s="34">
        <v>0.3</v>
      </c>
      <c r="P485" s="226">
        <f t="shared" si="66"/>
        <v>276.27448753462596</v>
      </c>
      <c r="Q485" s="107" t="s">
        <v>1486</v>
      </c>
      <c r="R485" s="34">
        <v>0.3</v>
      </c>
      <c r="S485" s="226">
        <f t="shared" si="67"/>
        <v>219.19800000000001</v>
      </c>
      <c r="T485" s="156" t="s">
        <v>1486</v>
      </c>
      <c r="U485" s="2" t="s">
        <v>109</v>
      </c>
      <c r="V485" s="2" t="s">
        <v>47</v>
      </c>
      <c r="W485" s="2" t="s">
        <v>5883</v>
      </c>
      <c r="X485" s="2" t="s">
        <v>4003</v>
      </c>
      <c r="Y485" s="488" t="s">
        <v>1486</v>
      </c>
      <c r="Z485" s="293">
        <f t="shared" si="60"/>
        <v>49.647257617728513</v>
      </c>
      <c r="AA485" s="293">
        <f t="shared" si="61"/>
        <v>55.260000000000019</v>
      </c>
    </row>
    <row r="486" spans="1:27" s="320" customFormat="1" x14ac:dyDescent="0.25">
      <c r="A486" s="220" t="s">
        <v>569</v>
      </c>
      <c r="B486" s="221" t="s">
        <v>517</v>
      </c>
      <c r="C486" s="223" t="s">
        <v>1570</v>
      </c>
      <c r="D486" s="220" t="s">
        <v>518</v>
      </c>
      <c r="E486" s="222">
        <v>6</v>
      </c>
      <c r="F486" s="192">
        <v>0</v>
      </c>
      <c r="G486" s="24">
        <v>0.2</v>
      </c>
      <c r="H486" s="24">
        <v>0.05</v>
      </c>
      <c r="I486" s="24">
        <v>0.05</v>
      </c>
      <c r="J486" s="24">
        <v>0</v>
      </c>
      <c r="K486" s="224">
        <f t="shared" si="62"/>
        <v>0</v>
      </c>
      <c r="L486" s="225">
        <f t="shared" si="63"/>
        <v>0</v>
      </c>
      <c r="M486" s="225">
        <f t="shared" si="64"/>
        <v>0</v>
      </c>
      <c r="N486" s="226">
        <f t="shared" si="65"/>
        <v>0</v>
      </c>
      <c r="O486" s="34">
        <v>0.3</v>
      </c>
      <c r="P486" s="226">
        <f t="shared" si="66"/>
        <v>0</v>
      </c>
      <c r="Q486" s="107" t="s">
        <v>1486</v>
      </c>
      <c r="R486" s="34">
        <v>0.3</v>
      </c>
      <c r="S486" s="226">
        <f t="shared" si="67"/>
        <v>0</v>
      </c>
      <c r="T486" s="156" t="s">
        <v>1486</v>
      </c>
      <c r="U486" s="2" t="s">
        <v>109</v>
      </c>
      <c r="V486" s="2" t="s">
        <v>47</v>
      </c>
      <c r="W486" s="2" t="s">
        <v>2900</v>
      </c>
      <c r="X486" s="2" t="s">
        <v>3541</v>
      </c>
      <c r="Y486" s="488" t="s">
        <v>1486</v>
      </c>
      <c r="Z486" s="293">
        <f t="shared" si="60"/>
        <v>0</v>
      </c>
      <c r="AA486" s="293">
        <f t="shared" si="61"/>
        <v>0</v>
      </c>
    </row>
    <row r="487" spans="1:27" s="320" customFormat="1" x14ac:dyDescent="0.25">
      <c r="A487" s="220" t="s">
        <v>660</v>
      </c>
      <c r="B487" s="221" t="s">
        <v>520</v>
      </c>
      <c r="C487" s="223" t="s">
        <v>1570</v>
      </c>
      <c r="D487" s="220" t="s">
        <v>518</v>
      </c>
      <c r="E487" s="222">
        <v>6</v>
      </c>
      <c r="F487" s="192">
        <v>0</v>
      </c>
      <c r="G487" s="24">
        <v>0.2</v>
      </c>
      <c r="H487" s="24">
        <v>0.05</v>
      </c>
      <c r="I487" s="24">
        <v>0.05</v>
      </c>
      <c r="J487" s="24">
        <v>0</v>
      </c>
      <c r="K487" s="224">
        <f t="shared" si="62"/>
        <v>0</v>
      </c>
      <c r="L487" s="225">
        <f t="shared" si="63"/>
        <v>0</v>
      </c>
      <c r="M487" s="225">
        <f t="shared" si="64"/>
        <v>0</v>
      </c>
      <c r="N487" s="226">
        <f t="shared" si="65"/>
        <v>0</v>
      </c>
      <c r="O487" s="34">
        <v>0.3</v>
      </c>
      <c r="P487" s="226">
        <f t="shared" si="66"/>
        <v>0</v>
      </c>
      <c r="Q487" s="107" t="s">
        <v>1486</v>
      </c>
      <c r="R487" s="34">
        <v>0.3</v>
      </c>
      <c r="S487" s="226">
        <f t="shared" si="67"/>
        <v>0</v>
      </c>
      <c r="T487" s="156" t="s">
        <v>1486</v>
      </c>
      <c r="U487" s="2" t="s">
        <v>109</v>
      </c>
      <c r="V487" s="2" t="s">
        <v>47</v>
      </c>
      <c r="W487" s="2" t="s">
        <v>2900</v>
      </c>
      <c r="X487" s="2" t="s">
        <v>3541</v>
      </c>
      <c r="Y487" s="488" t="s">
        <v>1486</v>
      </c>
      <c r="Z487" s="293">
        <f t="shared" si="60"/>
        <v>0</v>
      </c>
      <c r="AA487" s="293">
        <f t="shared" si="61"/>
        <v>0</v>
      </c>
    </row>
    <row r="488" spans="1:27" s="320" customFormat="1" x14ac:dyDescent="0.25">
      <c r="A488" s="220" t="s">
        <v>662</v>
      </c>
      <c r="B488" s="221" t="s">
        <v>522</v>
      </c>
      <c r="C488" s="223" t="s">
        <v>1570</v>
      </c>
      <c r="D488" s="220" t="s">
        <v>518</v>
      </c>
      <c r="E488" s="222">
        <v>12</v>
      </c>
      <c r="F488" s="192">
        <v>0</v>
      </c>
      <c r="G488" s="24">
        <v>0.2</v>
      </c>
      <c r="H488" s="24">
        <v>0.05</v>
      </c>
      <c r="I488" s="24">
        <v>0.05</v>
      </c>
      <c r="J488" s="24">
        <v>0</v>
      </c>
      <c r="K488" s="224">
        <f t="shared" si="62"/>
        <v>0</v>
      </c>
      <c r="L488" s="225">
        <f t="shared" si="63"/>
        <v>0</v>
      </c>
      <c r="M488" s="225">
        <f t="shared" si="64"/>
        <v>0</v>
      </c>
      <c r="N488" s="226">
        <f t="shared" si="65"/>
        <v>0</v>
      </c>
      <c r="O488" s="34">
        <v>0.3</v>
      </c>
      <c r="P488" s="226">
        <f t="shared" si="66"/>
        <v>0</v>
      </c>
      <c r="Q488" s="107" t="s">
        <v>1486</v>
      </c>
      <c r="R488" s="34">
        <v>0.3</v>
      </c>
      <c r="S488" s="226">
        <f t="shared" si="67"/>
        <v>0</v>
      </c>
      <c r="T488" s="156" t="s">
        <v>1486</v>
      </c>
      <c r="U488" s="2" t="s">
        <v>109</v>
      </c>
      <c r="V488" s="2" t="s">
        <v>47</v>
      </c>
      <c r="W488" s="2" t="s">
        <v>2900</v>
      </c>
      <c r="X488" s="2" t="s">
        <v>3541</v>
      </c>
      <c r="Y488" s="488" t="s">
        <v>1486</v>
      </c>
      <c r="Z488" s="293">
        <f t="shared" si="60"/>
        <v>0</v>
      </c>
      <c r="AA488" s="293">
        <f t="shared" si="61"/>
        <v>0</v>
      </c>
    </row>
    <row r="489" spans="1:27" s="320" customFormat="1" x14ac:dyDescent="0.25">
      <c r="A489" s="220" t="s">
        <v>663</v>
      </c>
      <c r="B489" s="221" t="s">
        <v>524</v>
      </c>
      <c r="C489" s="223" t="s">
        <v>1570</v>
      </c>
      <c r="D489" s="220" t="s">
        <v>518</v>
      </c>
      <c r="E489" s="222">
        <v>12</v>
      </c>
      <c r="F489" s="192">
        <v>0</v>
      </c>
      <c r="G489" s="24">
        <v>0.2</v>
      </c>
      <c r="H489" s="24">
        <v>0.05</v>
      </c>
      <c r="I489" s="24">
        <v>0.05</v>
      </c>
      <c r="J489" s="24">
        <v>0</v>
      </c>
      <c r="K489" s="224">
        <f t="shared" si="62"/>
        <v>0</v>
      </c>
      <c r="L489" s="225">
        <f t="shared" si="63"/>
        <v>0</v>
      </c>
      <c r="M489" s="225">
        <f t="shared" si="64"/>
        <v>0</v>
      </c>
      <c r="N489" s="226">
        <f t="shared" si="65"/>
        <v>0</v>
      </c>
      <c r="O489" s="34">
        <v>0.3</v>
      </c>
      <c r="P489" s="226">
        <f t="shared" si="66"/>
        <v>0</v>
      </c>
      <c r="Q489" s="107" t="s">
        <v>1486</v>
      </c>
      <c r="R489" s="34">
        <v>0.3</v>
      </c>
      <c r="S489" s="226">
        <f t="shared" si="67"/>
        <v>0</v>
      </c>
      <c r="T489" s="156" t="s">
        <v>1486</v>
      </c>
      <c r="U489" s="2" t="s">
        <v>109</v>
      </c>
      <c r="V489" s="2" t="s">
        <v>47</v>
      </c>
      <c r="W489" s="2" t="s">
        <v>2900</v>
      </c>
      <c r="X489" s="2" t="s">
        <v>3541</v>
      </c>
      <c r="Y489" s="488" t="s">
        <v>1486</v>
      </c>
      <c r="Z489" s="293">
        <f t="shared" si="60"/>
        <v>0</v>
      </c>
      <c r="AA489" s="293">
        <f t="shared" si="61"/>
        <v>0</v>
      </c>
    </row>
    <row r="490" spans="1:27" s="320" customFormat="1" x14ac:dyDescent="0.25">
      <c r="A490" s="220" t="s">
        <v>665</v>
      </c>
      <c r="B490" s="221" t="s">
        <v>526</v>
      </c>
      <c r="C490" s="223" t="s">
        <v>1570</v>
      </c>
      <c r="D490" s="220" t="s">
        <v>518</v>
      </c>
      <c r="E490" s="222">
        <v>6</v>
      </c>
      <c r="F490" s="192">
        <v>8000</v>
      </c>
      <c r="G490" s="24">
        <v>0.2</v>
      </c>
      <c r="H490" s="24">
        <v>0.05</v>
      </c>
      <c r="I490" s="24">
        <v>0.05</v>
      </c>
      <c r="J490" s="24">
        <v>0</v>
      </c>
      <c r="K490" s="224">
        <f t="shared" si="62"/>
        <v>0.27800000000000014</v>
      </c>
      <c r="L490" s="225">
        <f t="shared" si="63"/>
        <v>66481.994459833804</v>
      </c>
      <c r="M490" s="225">
        <f t="shared" si="64"/>
        <v>11080.332409972301</v>
      </c>
      <c r="N490" s="226">
        <f t="shared" si="65"/>
        <v>13185.595567867038</v>
      </c>
      <c r="O490" s="34">
        <v>0.3</v>
      </c>
      <c r="P490" s="226">
        <f t="shared" si="66"/>
        <v>17141.27423822715</v>
      </c>
      <c r="Q490" s="107" t="s">
        <v>1486</v>
      </c>
      <c r="R490" s="34">
        <v>0.3</v>
      </c>
      <c r="S490" s="226">
        <f t="shared" si="67"/>
        <v>13600</v>
      </c>
      <c r="T490" s="156" t="s">
        <v>1486</v>
      </c>
      <c r="U490" s="2" t="s">
        <v>50</v>
      </c>
      <c r="V490" s="2" t="s">
        <v>47</v>
      </c>
      <c r="W490" s="2" t="s">
        <v>2900</v>
      </c>
      <c r="X490" s="2" t="s">
        <v>3541</v>
      </c>
      <c r="Y490" s="488" t="s">
        <v>1486</v>
      </c>
      <c r="Z490" s="293">
        <f t="shared" si="60"/>
        <v>3080.3324099723013</v>
      </c>
      <c r="AA490" s="293">
        <f t="shared" si="61"/>
        <v>3428.5714285714294</v>
      </c>
    </row>
    <row r="491" spans="1:27" s="320" customFormat="1" x14ac:dyDescent="0.25">
      <c r="A491" s="220" t="s">
        <v>666</v>
      </c>
      <c r="B491" s="221" t="s">
        <v>528</v>
      </c>
      <c r="C491" s="223" t="s">
        <v>1570</v>
      </c>
      <c r="D491" s="220" t="s">
        <v>518</v>
      </c>
      <c r="E491" s="222">
        <v>6</v>
      </c>
      <c r="F491" s="192">
        <v>8000</v>
      </c>
      <c r="G491" s="24">
        <v>0.2</v>
      </c>
      <c r="H491" s="24">
        <v>0.05</v>
      </c>
      <c r="I491" s="24">
        <v>0.05</v>
      </c>
      <c r="J491" s="24">
        <v>0</v>
      </c>
      <c r="K491" s="224">
        <f t="shared" si="62"/>
        <v>0.27800000000000014</v>
      </c>
      <c r="L491" s="225">
        <f t="shared" si="63"/>
        <v>66481.994459833804</v>
      </c>
      <c r="M491" s="225">
        <f t="shared" si="64"/>
        <v>11080.332409972301</v>
      </c>
      <c r="N491" s="226">
        <f t="shared" si="65"/>
        <v>13185.595567867038</v>
      </c>
      <c r="O491" s="34">
        <v>0.3</v>
      </c>
      <c r="P491" s="226">
        <f t="shared" si="66"/>
        <v>17141.27423822715</v>
      </c>
      <c r="Q491" s="107" t="s">
        <v>1486</v>
      </c>
      <c r="R491" s="34">
        <v>0.3</v>
      </c>
      <c r="S491" s="226">
        <f t="shared" si="67"/>
        <v>13600</v>
      </c>
      <c r="T491" s="156" t="s">
        <v>1486</v>
      </c>
      <c r="U491" s="2" t="s">
        <v>50</v>
      </c>
      <c r="V491" s="2" t="s">
        <v>47</v>
      </c>
      <c r="W491" s="2" t="s">
        <v>2900</v>
      </c>
      <c r="X491" s="2" t="s">
        <v>3541</v>
      </c>
      <c r="Y491" s="488" t="s">
        <v>1486</v>
      </c>
      <c r="Z491" s="293">
        <f t="shared" si="60"/>
        <v>3080.3324099723013</v>
      </c>
      <c r="AA491" s="293">
        <f t="shared" si="61"/>
        <v>3428.5714285714294</v>
      </c>
    </row>
    <row r="492" spans="1:27" s="320" customFormat="1" x14ac:dyDescent="0.25">
      <c r="A492" s="220" t="s">
        <v>667</v>
      </c>
      <c r="B492" s="221" t="s">
        <v>530</v>
      </c>
      <c r="C492" s="223" t="s">
        <v>1570</v>
      </c>
      <c r="D492" s="220" t="s">
        <v>518</v>
      </c>
      <c r="E492" s="222">
        <v>48</v>
      </c>
      <c r="F492" s="192">
        <v>833</v>
      </c>
      <c r="G492" s="24">
        <v>0.2</v>
      </c>
      <c r="H492" s="24">
        <v>0.05</v>
      </c>
      <c r="I492" s="24">
        <v>0.05</v>
      </c>
      <c r="J492" s="24">
        <v>0</v>
      </c>
      <c r="K492" s="224">
        <f t="shared" si="62"/>
        <v>0.27800000000000002</v>
      </c>
      <c r="L492" s="225">
        <f t="shared" si="63"/>
        <v>55379.501385041556</v>
      </c>
      <c r="M492" s="225">
        <f t="shared" si="64"/>
        <v>1153.7396121883658</v>
      </c>
      <c r="N492" s="226">
        <f t="shared" si="65"/>
        <v>1372.9501385041551</v>
      </c>
      <c r="O492" s="34">
        <v>0.3</v>
      </c>
      <c r="P492" s="226">
        <f t="shared" si="66"/>
        <v>1784.8351800554017</v>
      </c>
      <c r="Q492" s="107" t="s">
        <v>1486</v>
      </c>
      <c r="R492" s="34">
        <v>0.2979000034506934</v>
      </c>
      <c r="S492" s="226">
        <f t="shared" si="67"/>
        <v>1411.8644137187168</v>
      </c>
      <c r="T492" s="156" t="s">
        <v>1486</v>
      </c>
      <c r="U492" s="2" t="s">
        <v>50</v>
      </c>
      <c r="V492" s="2" t="s">
        <v>47</v>
      </c>
      <c r="W492" s="2" t="s">
        <v>2900</v>
      </c>
      <c r="X492" s="2" t="s">
        <v>3541</v>
      </c>
      <c r="Y492" s="488" t="s">
        <v>1486</v>
      </c>
      <c r="Z492" s="293">
        <f t="shared" si="60"/>
        <v>320.73961218836575</v>
      </c>
      <c r="AA492" s="293">
        <f t="shared" si="61"/>
        <v>353.44068379724104</v>
      </c>
    </row>
    <row r="493" spans="1:27" s="320" customFormat="1" x14ac:dyDescent="0.25">
      <c r="A493" s="220" t="s">
        <v>668</v>
      </c>
      <c r="B493" s="221" t="s">
        <v>532</v>
      </c>
      <c r="C493" s="223" t="s">
        <v>1570</v>
      </c>
      <c r="D493" s="220" t="s">
        <v>518</v>
      </c>
      <c r="E493" s="222">
        <v>48</v>
      </c>
      <c r="F493" s="192">
        <v>833</v>
      </c>
      <c r="G493" s="24">
        <v>0.2</v>
      </c>
      <c r="H493" s="24">
        <v>0.05</v>
      </c>
      <c r="I493" s="24">
        <v>0.05</v>
      </c>
      <c r="J493" s="24">
        <v>0</v>
      </c>
      <c r="K493" s="224">
        <f t="shared" si="62"/>
        <v>0.27800000000000002</v>
      </c>
      <c r="L493" s="225">
        <f t="shared" si="63"/>
        <v>55379.501385041556</v>
      </c>
      <c r="M493" s="225">
        <f t="shared" si="64"/>
        <v>1153.7396121883658</v>
      </c>
      <c r="N493" s="226">
        <f t="shared" si="65"/>
        <v>1372.9501385041551</v>
      </c>
      <c r="O493" s="34">
        <v>0.3</v>
      </c>
      <c r="P493" s="226">
        <f t="shared" si="66"/>
        <v>1784.8351800554017</v>
      </c>
      <c r="Q493" s="107" t="s">
        <v>1486</v>
      </c>
      <c r="R493" s="34">
        <v>0.2979000034506934</v>
      </c>
      <c r="S493" s="226">
        <f t="shared" si="67"/>
        <v>1411.8644137187168</v>
      </c>
      <c r="T493" s="156" t="s">
        <v>1486</v>
      </c>
      <c r="U493" s="2" t="s">
        <v>50</v>
      </c>
      <c r="V493" s="2" t="s">
        <v>47</v>
      </c>
      <c r="W493" s="2" t="s">
        <v>2900</v>
      </c>
      <c r="X493" s="2" t="s">
        <v>3541</v>
      </c>
      <c r="Y493" s="488" t="s">
        <v>1486</v>
      </c>
      <c r="Z493" s="293">
        <f t="shared" si="60"/>
        <v>320.73961218836575</v>
      </c>
      <c r="AA493" s="293">
        <f t="shared" si="61"/>
        <v>353.44068379724104</v>
      </c>
    </row>
    <row r="494" spans="1:27" s="320" customFormat="1" x14ac:dyDescent="0.25">
      <c r="A494" s="220" t="s">
        <v>669</v>
      </c>
      <c r="B494" s="221" t="s">
        <v>2441</v>
      </c>
      <c r="C494" s="223" t="s">
        <v>1570</v>
      </c>
      <c r="D494" s="220" t="s">
        <v>534</v>
      </c>
      <c r="E494" s="222">
        <v>48</v>
      </c>
      <c r="F494" s="192">
        <v>510</v>
      </c>
      <c r="G494" s="24">
        <v>0.2</v>
      </c>
      <c r="H494" s="24">
        <v>0.05</v>
      </c>
      <c r="I494" s="24">
        <v>0.05</v>
      </c>
      <c r="J494" s="24">
        <v>0</v>
      </c>
      <c r="K494" s="224">
        <f t="shared" si="62"/>
        <v>0.27800000000000014</v>
      </c>
      <c r="L494" s="225">
        <f t="shared" si="63"/>
        <v>33905.817174515243</v>
      </c>
      <c r="M494" s="225">
        <f t="shared" si="64"/>
        <v>706.37119113573419</v>
      </c>
      <c r="N494" s="226">
        <f t="shared" si="65"/>
        <v>840.58171745152367</v>
      </c>
      <c r="O494" s="34">
        <v>0.3</v>
      </c>
      <c r="P494" s="226">
        <f t="shared" si="66"/>
        <v>1092.7562326869809</v>
      </c>
      <c r="Q494" s="107" t="s">
        <v>1486</v>
      </c>
      <c r="R494" s="34">
        <v>0.3</v>
      </c>
      <c r="S494" s="226">
        <f t="shared" si="67"/>
        <v>867.00000000000011</v>
      </c>
      <c r="T494" s="156" t="s">
        <v>1486</v>
      </c>
      <c r="U494" s="2" t="s">
        <v>50</v>
      </c>
      <c r="V494" s="2" t="s">
        <v>47</v>
      </c>
      <c r="W494" s="2" t="s">
        <v>2900</v>
      </c>
      <c r="X494" s="2" t="s">
        <v>3541</v>
      </c>
      <c r="Y494" s="488" t="s">
        <v>1486</v>
      </c>
      <c r="Z494" s="293">
        <f t="shared" si="60"/>
        <v>196.37119113573419</v>
      </c>
      <c r="AA494" s="293">
        <f t="shared" si="61"/>
        <v>218.57142857142867</v>
      </c>
    </row>
    <row r="495" spans="1:27" s="320" customFormat="1" x14ac:dyDescent="0.25">
      <c r="A495" s="220" t="s">
        <v>670</v>
      </c>
      <c r="B495" s="221" t="s">
        <v>536</v>
      </c>
      <c r="C495" s="223" t="s">
        <v>1570</v>
      </c>
      <c r="D495" s="220" t="s">
        <v>534</v>
      </c>
      <c r="E495" s="222">
        <v>48</v>
      </c>
      <c r="F495" s="192">
        <v>510</v>
      </c>
      <c r="G495" s="24">
        <v>0.2</v>
      </c>
      <c r="H495" s="24">
        <v>0.05</v>
      </c>
      <c r="I495" s="24">
        <v>0.05</v>
      </c>
      <c r="J495" s="24">
        <v>0</v>
      </c>
      <c r="K495" s="224">
        <f t="shared" si="62"/>
        <v>0.27800000000000014</v>
      </c>
      <c r="L495" s="225">
        <f t="shared" si="63"/>
        <v>33905.817174515243</v>
      </c>
      <c r="M495" s="225">
        <f t="shared" si="64"/>
        <v>706.37119113573419</v>
      </c>
      <c r="N495" s="226">
        <f t="shared" si="65"/>
        <v>840.58171745152367</v>
      </c>
      <c r="O495" s="34">
        <v>0.3</v>
      </c>
      <c r="P495" s="226">
        <f t="shared" si="66"/>
        <v>1092.7562326869809</v>
      </c>
      <c r="Q495" s="107" t="s">
        <v>1486</v>
      </c>
      <c r="R495" s="34">
        <v>0.3</v>
      </c>
      <c r="S495" s="226">
        <f t="shared" si="67"/>
        <v>867.00000000000011</v>
      </c>
      <c r="T495" s="156" t="s">
        <v>1486</v>
      </c>
      <c r="U495" s="2" t="s">
        <v>50</v>
      </c>
      <c r="V495" s="2" t="s">
        <v>47</v>
      </c>
      <c r="W495" s="2" t="s">
        <v>2900</v>
      </c>
      <c r="X495" s="2" t="s">
        <v>3541</v>
      </c>
      <c r="Y495" s="488" t="s">
        <v>1486</v>
      </c>
      <c r="Z495" s="293">
        <f t="shared" si="60"/>
        <v>196.37119113573419</v>
      </c>
      <c r="AA495" s="293">
        <f t="shared" si="61"/>
        <v>218.57142857142867</v>
      </c>
    </row>
    <row r="496" spans="1:27" s="320" customFormat="1" x14ac:dyDescent="0.25">
      <c r="A496" s="220" t="s">
        <v>672</v>
      </c>
      <c r="B496" s="221" t="s">
        <v>538</v>
      </c>
      <c r="C496" s="223" t="s">
        <v>1570</v>
      </c>
      <c r="D496" s="220" t="s">
        <v>539</v>
      </c>
      <c r="E496" s="222">
        <v>24</v>
      </c>
      <c r="F496" s="192">
        <v>479</v>
      </c>
      <c r="G496" s="24">
        <v>0.2</v>
      </c>
      <c r="H496" s="24">
        <v>0.05</v>
      </c>
      <c r="I496" s="24">
        <v>0.05</v>
      </c>
      <c r="J496" s="24">
        <v>0</v>
      </c>
      <c r="K496" s="224">
        <f t="shared" si="62"/>
        <v>0.27800000000000002</v>
      </c>
      <c r="L496" s="225">
        <f t="shared" si="63"/>
        <v>15922.437673130195</v>
      </c>
      <c r="M496" s="225">
        <f t="shared" si="64"/>
        <v>663.43490304709144</v>
      </c>
      <c r="N496" s="226">
        <f t="shared" si="65"/>
        <v>789.48753462603872</v>
      </c>
      <c r="O496" s="34">
        <v>0.3</v>
      </c>
      <c r="P496" s="226">
        <f t="shared" si="66"/>
        <v>1026.3337950138505</v>
      </c>
      <c r="Q496" s="107" t="s">
        <v>1486</v>
      </c>
      <c r="R496" s="34">
        <v>0.3</v>
      </c>
      <c r="S496" s="226">
        <f t="shared" si="67"/>
        <v>814.30000000000007</v>
      </c>
      <c r="T496" s="156" t="s">
        <v>1486</v>
      </c>
      <c r="U496" s="2" t="s">
        <v>50</v>
      </c>
      <c r="V496" s="2" t="s">
        <v>47</v>
      </c>
      <c r="W496" s="2" t="s">
        <v>2900</v>
      </c>
      <c r="X496" s="2" t="s">
        <v>2903</v>
      </c>
      <c r="Y496" s="488" t="s">
        <v>1486</v>
      </c>
      <c r="Z496" s="293">
        <f t="shared" si="60"/>
        <v>184.43490304709144</v>
      </c>
      <c r="AA496" s="293">
        <f t="shared" si="61"/>
        <v>205.28571428571433</v>
      </c>
    </row>
    <row r="497" spans="1:27" s="320" customFormat="1" x14ac:dyDescent="0.25">
      <c r="A497" s="220" t="s">
        <v>673</v>
      </c>
      <c r="B497" s="221" t="s">
        <v>2470</v>
      </c>
      <c r="C497" s="223" t="s">
        <v>1570</v>
      </c>
      <c r="D497" s="220" t="s">
        <v>539</v>
      </c>
      <c r="E497" s="222">
        <v>24</v>
      </c>
      <c r="F497" s="192">
        <v>792</v>
      </c>
      <c r="G497" s="24">
        <v>0.2</v>
      </c>
      <c r="H497" s="24">
        <v>0.05</v>
      </c>
      <c r="I497" s="24">
        <v>0.05</v>
      </c>
      <c r="J497" s="24">
        <v>0</v>
      </c>
      <c r="K497" s="224">
        <f t="shared" si="62"/>
        <v>0.27800000000000014</v>
      </c>
      <c r="L497" s="225">
        <f t="shared" si="63"/>
        <v>26326.869806094186</v>
      </c>
      <c r="M497" s="225">
        <f t="shared" si="64"/>
        <v>1096.9529085872578</v>
      </c>
      <c r="N497" s="226">
        <f t="shared" si="65"/>
        <v>1305.3739612188367</v>
      </c>
      <c r="O497" s="34">
        <v>0.3</v>
      </c>
      <c r="P497" s="226">
        <f t="shared" si="66"/>
        <v>1696.9861495844877</v>
      </c>
      <c r="Q497" s="107" t="s">
        <v>1486</v>
      </c>
      <c r="R497" s="34">
        <v>0.3</v>
      </c>
      <c r="S497" s="226">
        <f t="shared" si="67"/>
        <v>1346.4</v>
      </c>
      <c r="T497" s="156" t="s">
        <v>1486</v>
      </c>
      <c r="U497" s="2" t="s">
        <v>50</v>
      </c>
      <c r="V497" s="2" t="s">
        <v>47</v>
      </c>
      <c r="W497" s="2" t="s">
        <v>2900</v>
      </c>
      <c r="X497" s="2" t="s">
        <v>2903</v>
      </c>
      <c r="Y497" s="488" t="s">
        <v>1486</v>
      </c>
      <c r="Z497" s="293">
        <f t="shared" si="60"/>
        <v>304.95290858725775</v>
      </c>
      <c r="AA497" s="293">
        <f t="shared" si="61"/>
        <v>339.42857142857156</v>
      </c>
    </row>
    <row r="498" spans="1:27" s="320" customFormat="1" x14ac:dyDescent="0.25">
      <c r="A498" s="220" t="s">
        <v>675</v>
      </c>
      <c r="B498" s="221" t="s">
        <v>542</v>
      </c>
      <c r="C498" s="223" t="s">
        <v>1570</v>
      </c>
      <c r="D498" s="220" t="s">
        <v>539</v>
      </c>
      <c r="E498" s="222">
        <v>24</v>
      </c>
      <c r="F498" s="192">
        <v>729</v>
      </c>
      <c r="G498" s="24">
        <v>0.2</v>
      </c>
      <c r="H498" s="24">
        <v>0.05</v>
      </c>
      <c r="I498" s="24">
        <v>0.05</v>
      </c>
      <c r="J498" s="24">
        <v>0</v>
      </c>
      <c r="K498" s="224">
        <f t="shared" si="62"/>
        <v>0.27800000000000002</v>
      </c>
      <c r="L498" s="225">
        <f t="shared" si="63"/>
        <v>24232.686980609418</v>
      </c>
      <c r="M498" s="225">
        <f t="shared" si="64"/>
        <v>1009.6952908587258</v>
      </c>
      <c r="N498" s="226">
        <f t="shared" si="65"/>
        <v>1201.5373961218836</v>
      </c>
      <c r="O498" s="34">
        <v>0.3</v>
      </c>
      <c r="P498" s="226">
        <f t="shared" si="66"/>
        <v>1561.9986149584488</v>
      </c>
      <c r="Q498" s="107" t="s">
        <v>1486</v>
      </c>
      <c r="R498" s="34">
        <v>0.3</v>
      </c>
      <c r="S498" s="226">
        <f t="shared" si="67"/>
        <v>1239.3000000000002</v>
      </c>
      <c r="T498" s="156" t="s">
        <v>1486</v>
      </c>
      <c r="U498" s="2" t="s">
        <v>50</v>
      </c>
      <c r="V498" s="2" t="s">
        <v>47</v>
      </c>
      <c r="W498" s="2" t="s">
        <v>2900</v>
      </c>
      <c r="X498" s="2" t="s">
        <v>2903</v>
      </c>
      <c r="Y498" s="488" t="s">
        <v>1486</v>
      </c>
      <c r="Z498" s="293">
        <f t="shared" si="60"/>
        <v>280.6952908587258</v>
      </c>
      <c r="AA498" s="293">
        <f t="shared" si="61"/>
        <v>312.42857142857156</v>
      </c>
    </row>
    <row r="499" spans="1:27" s="320" customFormat="1" ht="15" customHeight="1" x14ac:dyDescent="0.25">
      <c r="A499" s="220" t="s">
        <v>676</v>
      </c>
      <c r="B499" s="221" t="s">
        <v>2427</v>
      </c>
      <c r="C499" s="223" t="s">
        <v>1570</v>
      </c>
      <c r="D499" s="220" t="s">
        <v>539</v>
      </c>
      <c r="E499" s="222">
        <v>6</v>
      </c>
      <c r="F499" s="192">
        <v>4667</v>
      </c>
      <c r="G499" s="24">
        <v>0.2</v>
      </c>
      <c r="H499" s="24">
        <v>0.05</v>
      </c>
      <c r="I499" s="24">
        <v>0.05</v>
      </c>
      <c r="J499" s="24">
        <v>0</v>
      </c>
      <c r="K499" s="224">
        <f t="shared" si="62"/>
        <v>0.27800000000000002</v>
      </c>
      <c r="L499" s="225">
        <f t="shared" si="63"/>
        <v>38783.933518005542</v>
      </c>
      <c r="M499" s="225">
        <f t="shared" si="64"/>
        <v>6463.9889196675904</v>
      </c>
      <c r="N499" s="226">
        <f t="shared" si="65"/>
        <v>7692.146814404432</v>
      </c>
      <c r="O499" s="34">
        <v>0.3</v>
      </c>
      <c r="P499" s="226">
        <f t="shared" si="66"/>
        <v>9999.7908587257625</v>
      </c>
      <c r="Q499" s="107" t="s">
        <v>1486</v>
      </c>
      <c r="R499" s="34">
        <v>0.3</v>
      </c>
      <c r="S499" s="226">
        <f t="shared" si="67"/>
        <v>7933.9000000000005</v>
      </c>
      <c r="T499" s="156" t="s">
        <v>1486</v>
      </c>
      <c r="U499" s="2" t="s">
        <v>50</v>
      </c>
      <c r="V499" s="2" t="s">
        <v>47</v>
      </c>
      <c r="W499" s="2" t="s">
        <v>2900</v>
      </c>
      <c r="X499" s="2" t="s">
        <v>2903</v>
      </c>
      <c r="Y499" s="488" t="s">
        <v>1486</v>
      </c>
      <c r="Z499" s="293">
        <f t="shared" si="60"/>
        <v>1796.9889196675904</v>
      </c>
      <c r="AA499" s="293">
        <f t="shared" si="61"/>
        <v>2000.1428571428578</v>
      </c>
    </row>
    <row r="500" spans="1:27" s="320" customFormat="1" x14ac:dyDescent="0.25">
      <c r="A500" s="220" t="s">
        <v>677</v>
      </c>
      <c r="B500" s="221" t="s">
        <v>545</v>
      </c>
      <c r="C500" s="223" t="s">
        <v>1570</v>
      </c>
      <c r="D500" s="220" t="s">
        <v>546</v>
      </c>
      <c r="E500" s="222">
        <v>24</v>
      </c>
      <c r="F500" s="192">
        <v>1104</v>
      </c>
      <c r="G500" s="24">
        <v>0.2</v>
      </c>
      <c r="H500" s="24">
        <v>0.05</v>
      </c>
      <c r="I500" s="24">
        <v>0.05</v>
      </c>
      <c r="J500" s="24">
        <v>0</v>
      </c>
      <c r="K500" s="224">
        <f t="shared" si="62"/>
        <v>0.27800000000000014</v>
      </c>
      <c r="L500" s="225">
        <f t="shared" si="63"/>
        <v>36698.060941828262</v>
      </c>
      <c r="M500" s="225">
        <f t="shared" si="64"/>
        <v>1529.0858725761775</v>
      </c>
      <c r="N500" s="226">
        <f t="shared" si="65"/>
        <v>1819.6121883656513</v>
      </c>
      <c r="O500" s="34">
        <v>0.3</v>
      </c>
      <c r="P500" s="226">
        <f t="shared" si="66"/>
        <v>2365.4958448753468</v>
      </c>
      <c r="Q500" s="107" t="s">
        <v>1486</v>
      </c>
      <c r="R500" s="34">
        <v>0.3</v>
      </c>
      <c r="S500" s="226">
        <f t="shared" si="67"/>
        <v>1876.8000000000002</v>
      </c>
      <c r="T500" s="156" t="s">
        <v>1486</v>
      </c>
      <c r="U500" s="2" t="s">
        <v>50</v>
      </c>
      <c r="V500" s="2" t="s">
        <v>47</v>
      </c>
      <c r="W500" s="2" t="s">
        <v>2900</v>
      </c>
      <c r="X500" s="2" t="s">
        <v>2903</v>
      </c>
      <c r="Y500" s="488" t="s">
        <v>1486</v>
      </c>
      <c r="Z500" s="293">
        <f t="shared" si="60"/>
        <v>425.08587257617751</v>
      </c>
      <c r="AA500" s="293">
        <f t="shared" si="61"/>
        <v>473.14285714285734</v>
      </c>
    </row>
    <row r="501" spans="1:27" s="320" customFormat="1" x14ac:dyDescent="0.25">
      <c r="A501" s="220" t="s">
        <v>679</v>
      </c>
      <c r="B501" s="221" t="s">
        <v>548</v>
      </c>
      <c r="C501" s="223" t="s">
        <v>1570</v>
      </c>
      <c r="D501" s="220" t="s">
        <v>546</v>
      </c>
      <c r="E501" s="222">
        <v>12</v>
      </c>
      <c r="F501" s="192">
        <v>2083</v>
      </c>
      <c r="G501" s="24">
        <v>0.2</v>
      </c>
      <c r="H501" s="24">
        <v>0.05</v>
      </c>
      <c r="I501" s="24">
        <v>0.05</v>
      </c>
      <c r="J501" s="24">
        <v>0</v>
      </c>
      <c r="K501" s="224">
        <f t="shared" si="62"/>
        <v>0.27800000000000014</v>
      </c>
      <c r="L501" s="225">
        <f t="shared" si="63"/>
        <v>34620.498614958458</v>
      </c>
      <c r="M501" s="225">
        <f t="shared" si="64"/>
        <v>2885.0415512465379</v>
      </c>
      <c r="N501" s="226">
        <f t="shared" si="65"/>
        <v>3433.19944598338</v>
      </c>
      <c r="O501" s="34">
        <v>0.3</v>
      </c>
      <c r="P501" s="226">
        <f t="shared" si="66"/>
        <v>4463.1592797783942</v>
      </c>
      <c r="Q501" s="107" t="s">
        <v>1486</v>
      </c>
      <c r="R501" s="34">
        <v>0.3</v>
      </c>
      <c r="S501" s="226">
        <f t="shared" si="67"/>
        <v>3541.1</v>
      </c>
      <c r="T501" s="156" t="s">
        <v>1486</v>
      </c>
      <c r="U501" s="2" t="s">
        <v>50</v>
      </c>
      <c r="V501" s="2" t="s">
        <v>47</v>
      </c>
      <c r="W501" s="2" t="s">
        <v>2900</v>
      </c>
      <c r="X501" s="2" t="s">
        <v>2903</v>
      </c>
      <c r="Y501" s="488" t="s">
        <v>1486</v>
      </c>
      <c r="Z501" s="293">
        <f t="shared" si="60"/>
        <v>802.04155124653789</v>
      </c>
      <c r="AA501" s="293">
        <f t="shared" si="61"/>
        <v>892.71428571428578</v>
      </c>
    </row>
    <row r="502" spans="1:27" s="320" customFormat="1" x14ac:dyDescent="0.25">
      <c r="A502" s="220" t="s">
        <v>680</v>
      </c>
      <c r="B502" s="221" t="s">
        <v>550</v>
      </c>
      <c r="C502" s="223" t="s">
        <v>1570</v>
      </c>
      <c r="D502" s="220" t="s">
        <v>546</v>
      </c>
      <c r="E502" s="222">
        <v>24</v>
      </c>
      <c r="F502" s="192">
        <v>829</v>
      </c>
      <c r="G502" s="24">
        <v>0.2</v>
      </c>
      <c r="H502" s="24">
        <v>0.05</v>
      </c>
      <c r="I502" s="24">
        <v>0.05</v>
      </c>
      <c r="J502" s="24">
        <v>0</v>
      </c>
      <c r="K502" s="224">
        <f t="shared" si="62"/>
        <v>0.27800000000000014</v>
      </c>
      <c r="L502" s="225">
        <f t="shared" si="63"/>
        <v>27556.786703601116</v>
      </c>
      <c r="M502" s="225">
        <f t="shared" si="64"/>
        <v>1148.1994459833797</v>
      </c>
      <c r="N502" s="226">
        <f t="shared" si="65"/>
        <v>1366.3573407202218</v>
      </c>
      <c r="O502" s="34">
        <v>0.3</v>
      </c>
      <c r="P502" s="226">
        <f t="shared" si="66"/>
        <v>1776.2645429362885</v>
      </c>
      <c r="Q502" s="107" t="s">
        <v>1486</v>
      </c>
      <c r="R502" s="34">
        <v>0.3</v>
      </c>
      <c r="S502" s="226">
        <f t="shared" si="67"/>
        <v>1409.3000000000002</v>
      </c>
      <c r="T502" s="156" t="s">
        <v>1486</v>
      </c>
      <c r="U502" s="2" t="s">
        <v>50</v>
      </c>
      <c r="V502" s="2" t="s">
        <v>47</v>
      </c>
      <c r="W502" s="2" t="s">
        <v>2900</v>
      </c>
      <c r="X502" s="2" t="s">
        <v>2903</v>
      </c>
      <c r="Y502" s="488" t="s">
        <v>1486</v>
      </c>
      <c r="Z502" s="293">
        <f t="shared" si="60"/>
        <v>319.19944598337975</v>
      </c>
      <c r="AA502" s="293">
        <f t="shared" si="61"/>
        <v>355.28571428571445</v>
      </c>
    </row>
    <row r="503" spans="1:27" s="320" customFormat="1" x14ac:dyDescent="0.25">
      <c r="A503" s="220" t="s">
        <v>681</v>
      </c>
      <c r="B503" s="221" t="s">
        <v>552</v>
      </c>
      <c r="C503" s="223" t="s">
        <v>1570</v>
      </c>
      <c r="D503" s="220" t="s">
        <v>546</v>
      </c>
      <c r="E503" s="222">
        <v>12</v>
      </c>
      <c r="F503" s="192">
        <v>1658</v>
      </c>
      <c r="G503" s="24">
        <v>0.2</v>
      </c>
      <c r="H503" s="24">
        <v>0.05</v>
      </c>
      <c r="I503" s="24">
        <v>0.05</v>
      </c>
      <c r="J503" s="24">
        <v>0</v>
      </c>
      <c r="K503" s="224">
        <f t="shared" si="62"/>
        <v>0.27800000000000014</v>
      </c>
      <c r="L503" s="225">
        <f t="shared" si="63"/>
        <v>27556.786703601116</v>
      </c>
      <c r="M503" s="225">
        <f t="shared" si="64"/>
        <v>2296.3988919667595</v>
      </c>
      <c r="N503" s="226">
        <f t="shared" si="65"/>
        <v>2732.7146814404437</v>
      </c>
      <c r="O503" s="34">
        <v>0.3</v>
      </c>
      <c r="P503" s="226">
        <f t="shared" si="66"/>
        <v>3552.5290858725771</v>
      </c>
      <c r="Q503" s="107" t="s">
        <v>1486</v>
      </c>
      <c r="R503" s="34">
        <v>0.3</v>
      </c>
      <c r="S503" s="226">
        <f t="shared" si="67"/>
        <v>2818.6000000000004</v>
      </c>
      <c r="T503" s="156" t="s">
        <v>1486</v>
      </c>
      <c r="U503" s="2" t="s">
        <v>50</v>
      </c>
      <c r="V503" s="2" t="s">
        <v>47</v>
      </c>
      <c r="W503" s="2" t="s">
        <v>2900</v>
      </c>
      <c r="X503" s="2" t="s">
        <v>2903</v>
      </c>
      <c r="Y503" s="488" t="s">
        <v>1486</v>
      </c>
      <c r="Z503" s="293">
        <f t="shared" si="60"/>
        <v>638.39889196675949</v>
      </c>
      <c r="AA503" s="293">
        <f t="shared" si="61"/>
        <v>710.5714285714289</v>
      </c>
    </row>
    <row r="504" spans="1:27" s="320" customFormat="1" x14ac:dyDescent="0.25">
      <c r="A504" s="220" t="s">
        <v>683</v>
      </c>
      <c r="B504" s="221" t="s">
        <v>554</v>
      </c>
      <c r="C504" s="223" t="s">
        <v>1570</v>
      </c>
      <c r="D504" s="220" t="s">
        <v>546</v>
      </c>
      <c r="E504" s="222">
        <v>12</v>
      </c>
      <c r="F504" s="192">
        <v>1542</v>
      </c>
      <c r="G504" s="24">
        <v>0.2</v>
      </c>
      <c r="H504" s="24">
        <v>0.05</v>
      </c>
      <c r="I504" s="24">
        <v>0.05</v>
      </c>
      <c r="J504" s="24">
        <v>0</v>
      </c>
      <c r="K504" s="224">
        <f t="shared" si="62"/>
        <v>0.27800000000000014</v>
      </c>
      <c r="L504" s="225">
        <f t="shared" si="63"/>
        <v>25628.808864265931</v>
      </c>
      <c r="M504" s="225">
        <f t="shared" si="64"/>
        <v>2135.7340720221609</v>
      </c>
      <c r="N504" s="226">
        <f t="shared" si="65"/>
        <v>2541.5235457063714</v>
      </c>
      <c r="O504" s="34">
        <v>0.3</v>
      </c>
      <c r="P504" s="226">
        <f t="shared" si="66"/>
        <v>3303.9806094182827</v>
      </c>
      <c r="Q504" s="107" t="s">
        <v>1486</v>
      </c>
      <c r="R504" s="34">
        <v>0.3</v>
      </c>
      <c r="S504" s="226">
        <f t="shared" si="67"/>
        <v>2621.4</v>
      </c>
      <c r="T504" s="156" t="s">
        <v>1486</v>
      </c>
      <c r="U504" s="2" t="s">
        <v>50</v>
      </c>
      <c r="V504" s="2" t="s">
        <v>47</v>
      </c>
      <c r="W504" s="2" t="s">
        <v>2900</v>
      </c>
      <c r="X504" s="2" t="s">
        <v>2903</v>
      </c>
      <c r="Y504" s="488" t="s">
        <v>1486</v>
      </c>
      <c r="Z504" s="293">
        <f t="shared" si="60"/>
        <v>593.73407202216094</v>
      </c>
      <c r="AA504" s="293">
        <f t="shared" si="61"/>
        <v>660.85714285714312</v>
      </c>
    </row>
    <row r="505" spans="1:27" s="320" customFormat="1" x14ac:dyDescent="0.25">
      <c r="A505" s="220" t="s">
        <v>685</v>
      </c>
      <c r="B505" s="221" t="s">
        <v>556</v>
      </c>
      <c r="C505" s="223" t="s">
        <v>1570</v>
      </c>
      <c r="D505" s="220" t="s">
        <v>539</v>
      </c>
      <c r="E505" s="222">
        <v>24</v>
      </c>
      <c r="F505" s="192">
        <v>688</v>
      </c>
      <c r="G505" s="24">
        <v>0.2</v>
      </c>
      <c r="H505" s="24">
        <v>0.05</v>
      </c>
      <c r="I505" s="24">
        <v>0.05</v>
      </c>
      <c r="J505" s="24">
        <v>0</v>
      </c>
      <c r="K505" s="224">
        <f t="shared" si="62"/>
        <v>0.27800000000000002</v>
      </c>
      <c r="L505" s="225">
        <f t="shared" si="63"/>
        <v>22869.806094182826</v>
      </c>
      <c r="M505" s="225">
        <f t="shared" si="64"/>
        <v>952.9085872576178</v>
      </c>
      <c r="N505" s="226">
        <f t="shared" si="65"/>
        <v>1133.9612188365652</v>
      </c>
      <c r="O505" s="34">
        <v>0.3</v>
      </c>
      <c r="P505" s="226">
        <f t="shared" si="66"/>
        <v>1474.1495844875349</v>
      </c>
      <c r="Q505" s="107" t="s">
        <v>1486</v>
      </c>
      <c r="R505" s="34">
        <v>0.3</v>
      </c>
      <c r="S505" s="226">
        <f t="shared" si="67"/>
        <v>1169.5999999999999</v>
      </c>
      <c r="T505" s="156" t="s">
        <v>1486</v>
      </c>
      <c r="U505" s="2" t="s">
        <v>50</v>
      </c>
      <c r="V505" s="2" t="s">
        <v>47</v>
      </c>
      <c r="W505" s="2" t="s">
        <v>2900</v>
      </c>
      <c r="X505" s="2" t="s">
        <v>2901</v>
      </c>
      <c r="Y505" s="488" t="s">
        <v>1486</v>
      </c>
      <c r="Z505" s="293">
        <f t="shared" si="60"/>
        <v>264.9085872576178</v>
      </c>
      <c r="AA505" s="293">
        <f t="shared" si="61"/>
        <v>294.85714285714278</v>
      </c>
    </row>
    <row r="506" spans="1:27" s="320" customFormat="1" x14ac:dyDescent="0.25">
      <c r="A506" s="220" t="s">
        <v>687</v>
      </c>
      <c r="B506" s="221" t="s">
        <v>558</v>
      </c>
      <c r="C506" s="223" t="s">
        <v>1570</v>
      </c>
      <c r="D506" s="220" t="s">
        <v>539</v>
      </c>
      <c r="E506" s="222">
        <v>24</v>
      </c>
      <c r="F506" s="192">
        <v>750</v>
      </c>
      <c r="G506" s="24">
        <v>0.2</v>
      </c>
      <c r="H506" s="24">
        <v>0.05</v>
      </c>
      <c r="I506" s="24">
        <v>0.05</v>
      </c>
      <c r="J506" s="24">
        <v>0</v>
      </c>
      <c r="K506" s="224">
        <f t="shared" si="62"/>
        <v>0.27800000000000014</v>
      </c>
      <c r="L506" s="225">
        <f t="shared" si="63"/>
        <v>24930.747922437677</v>
      </c>
      <c r="M506" s="225">
        <f t="shared" si="64"/>
        <v>1038.7811634349032</v>
      </c>
      <c r="N506" s="226">
        <f t="shared" si="65"/>
        <v>1236.1495844875346</v>
      </c>
      <c r="O506" s="34">
        <v>0.3</v>
      </c>
      <c r="P506" s="226">
        <f t="shared" si="66"/>
        <v>1606.9944598337952</v>
      </c>
      <c r="Q506" s="107" t="s">
        <v>1486</v>
      </c>
      <c r="R506" s="34">
        <v>0.3</v>
      </c>
      <c r="S506" s="226">
        <f t="shared" si="67"/>
        <v>1275</v>
      </c>
      <c r="T506" s="156" t="s">
        <v>1486</v>
      </c>
      <c r="U506" s="2" t="s">
        <v>50</v>
      </c>
      <c r="V506" s="2" t="s">
        <v>47</v>
      </c>
      <c r="W506" s="2" t="s">
        <v>2900</v>
      </c>
      <c r="X506" s="2" t="s">
        <v>2901</v>
      </c>
      <c r="Y506" s="488" t="s">
        <v>1486</v>
      </c>
      <c r="Z506" s="293">
        <f t="shared" si="60"/>
        <v>288.78116343490319</v>
      </c>
      <c r="AA506" s="293">
        <f t="shared" si="61"/>
        <v>321.42857142857156</v>
      </c>
    </row>
    <row r="507" spans="1:27" s="320" customFormat="1" x14ac:dyDescent="0.25">
      <c r="A507" s="220" t="s">
        <v>688</v>
      </c>
      <c r="B507" s="221" t="s">
        <v>560</v>
      </c>
      <c r="C507" s="223" t="s">
        <v>1570</v>
      </c>
      <c r="D507" s="220" t="s">
        <v>539</v>
      </c>
      <c r="E507" s="222">
        <v>24</v>
      </c>
      <c r="F507" s="192">
        <v>1083</v>
      </c>
      <c r="G507" s="24">
        <v>0.2</v>
      </c>
      <c r="H507" s="24">
        <v>0.05</v>
      </c>
      <c r="I507" s="24">
        <v>0.05</v>
      </c>
      <c r="J507" s="24">
        <v>0</v>
      </c>
      <c r="K507" s="224">
        <f t="shared" si="62"/>
        <v>0.27800000000000002</v>
      </c>
      <c r="L507" s="225">
        <f t="shared" si="63"/>
        <v>36000</v>
      </c>
      <c r="M507" s="225">
        <f t="shared" si="64"/>
        <v>1500</v>
      </c>
      <c r="N507" s="226">
        <f t="shared" si="65"/>
        <v>1785</v>
      </c>
      <c r="O507" s="34">
        <v>0.3</v>
      </c>
      <c r="P507" s="226">
        <f t="shared" si="66"/>
        <v>2320.5</v>
      </c>
      <c r="Q507" s="107" t="s">
        <v>1486</v>
      </c>
      <c r="R507" s="34">
        <v>0.3</v>
      </c>
      <c r="S507" s="226">
        <f t="shared" si="67"/>
        <v>1841.1000000000001</v>
      </c>
      <c r="T507" s="156" t="s">
        <v>1486</v>
      </c>
      <c r="U507" s="2" t="s">
        <v>50</v>
      </c>
      <c r="V507" s="2" t="s">
        <v>47</v>
      </c>
      <c r="W507" s="2" t="s">
        <v>2900</v>
      </c>
      <c r="X507" s="2" t="s">
        <v>2901</v>
      </c>
      <c r="Y507" s="488" t="s">
        <v>1486</v>
      </c>
      <c r="Z507" s="293">
        <f t="shared" si="60"/>
        <v>417</v>
      </c>
      <c r="AA507" s="293">
        <f t="shared" si="61"/>
        <v>464.14285714285734</v>
      </c>
    </row>
    <row r="508" spans="1:27" s="320" customFormat="1" x14ac:dyDescent="0.25">
      <c r="A508" s="220" t="s">
        <v>689</v>
      </c>
      <c r="B508" s="221" t="s">
        <v>562</v>
      </c>
      <c r="C508" s="223" t="s">
        <v>1570</v>
      </c>
      <c r="D508" s="220" t="s">
        <v>539</v>
      </c>
      <c r="E508" s="222">
        <v>24</v>
      </c>
      <c r="F508" s="192">
        <v>854</v>
      </c>
      <c r="G508" s="24">
        <v>0.2</v>
      </c>
      <c r="H508" s="24">
        <v>0.05</v>
      </c>
      <c r="I508" s="24">
        <v>0.05</v>
      </c>
      <c r="J508" s="24">
        <v>0</v>
      </c>
      <c r="K508" s="224">
        <f t="shared" si="62"/>
        <v>0.27800000000000002</v>
      </c>
      <c r="L508" s="225">
        <f t="shared" si="63"/>
        <v>28387.811634349033</v>
      </c>
      <c r="M508" s="225">
        <f t="shared" si="64"/>
        <v>1182.825484764543</v>
      </c>
      <c r="N508" s="226">
        <f t="shared" si="65"/>
        <v>1407.5623268698062</v>
      </c>
      <c r="O508" s="34">
        <v>0.3</v>
      </c>
      <c r="P508" s="226">
        <f t="shared" si="66"/>
        <v>1829.8310249307481</v>
      </c>
      <c r="Q508" s="107" t="s">
        <v>1486</v>
      </c>
      <c r="R508" s="34">
        <v>0.3</v>
      </c>
      <c r="S508" s="226">
        <f t="shared" si="67"/>
        <v>1451.8</v>
      </c>
      <c r="T508" s="156" t="s">
        <v>1486</v>
      </c>
      <c r="U508" s="2" t="s">
        <v>50</v>
      </c>
      <c r="V508" s="2" t="s">
        <v>47</v>
      </c>
      <c r="W508" s="2" t="s">
        <v>2900</v>
      </c>
      <c r="X508" s="2" t="s">
        <v>2901</v>
      </c>
      <c r="Y508" s="488" t="s">
        <v>1486</v>
      </c>
      <c r="Z508" s="293">
        <f t="shared" si="60"/>
        <v>328.82548476454303</v>
      </c>
      <c r="AA508" s="293">
        <f t="shared" si="61"/>
        <v>366</v>
      </c>
    </row>
    <row r="509" spans="1:27" s="320" customFormat="1" x14ac:dyDescent="0.25">
      <c r="A509" s="220" t="s">
        <v>690</v>
      </c>
      <c r="B509" s="221" t="s">
        <v>564</v>
      </c>
      <c r="C509" s="223" t="s">
        <v>1570</v>
      </c>
      <c r="D509" s="220" t="s">
        <v>539</v>
      </c>
      <c r="E509" s="222">
        <v>6</v>
      </c>
      <c r="F509" s="192">
        <v>0</v>
      </c>
      <c r="G509" s="24">
        <v>0.2</v>
      </c>
      <c r="H509" s="24">
        <v>0.05</v>
      </c>
      <c r="I509" s="24">
        <v>0.05</v>
      </c>
      <c r="J509" s="24">
        <v>0</v>
      </c>
      <c r="K509" s="224">
        <f t="shared" si="62"/>
        <v>0</v>
      </c>
      <c r="L509" s="225">
        <f t="shared" si="63"/>
        <v>0</v>
      </c>
      <c r="M509" s="225">
        <f t="shared" si="64"/>
        <v>0</v>
      </c>
      <c r="N509" s="226">
        <f t="shared" si="65"/>
        <v>0</v>
      </c>
      <c r="O509" s="34">
        <v>0.3</v>
      </c>
      <c r="P509" s="226">
        <f t="shared" si="66"/>
        <v>0</v>
      </c>
      <c r="Q509" s="107" t="s">
        <v>1486</v>
      </c>
      <c r="R509" s="34">
        <v>0.3</v>
      </c>
      <c r="S509" s="226">
        <f t="shared" si="67"/>
        <v>0</v>
      </c>
      <c r="T509" s="156" t="s">
        <v>1486</v>
      </c>
      <c r="U509" s="2" t="s">
        <v>50</v>
      </c>
      <c r="V509" s="2" t="s">
        <v>47</v>
      </c>
      <c r="W509" s="2" t="s">
        <v>2900</v>
      </c>
      <c r="X509" s="2" t="s">
        <v>2901</v>
      </c>
      <c r="Y509" s="488" t="s">
        <v>1486</v>
      </c>
      <c r="Z509" s="293">
        <f t="shared" si="60"/>
        <v>0</v>
      </c>
      <c r="AA509" s="293">
        <f t="shared" si="61"/>
        <v>0</v>
      </c>
    </row>
    <row r="510" spans="1:27" s="320" customFormat="1" x14ac:dyDescent="0.25">
      <c r="A510" s="220" t="s">
        <v>691</v>
      </c>
      <c r="B510" s="221" t="s">
        <v>566</v>
      </c>
      <c r="C510" s="223" t="s">
        <v>1570</v>
      </c>
      <c r="D510" s="220" t="s">
        <v>539</v>
      </c>
      <c r="E510" s="222">
        <v>6</v>
      </c>
      <c r="F510" s="192">
        <v>3167</v>
      </c>
      <c r="G510" s="24">
        <v>0.2</v>
      </c>
      <c r="H510" s="24">
        <v>0.05</v>
      </c>
      <c r="I510" s="24">
        <v>0.05</v>
      </c>
      <c r="J510" s="24">
        <v>0</v>
      </c>
      <c r="K510" s="224">
        <f t="shared" si="62"/>
        <v>0.27800000000000002</v>
      </c>
      <c r="L510" s="225">
        <f t="shared" si="63"/>
        <v>26318.559556786706</v>
      </c>
      <c r="M510" s="225">
        <f t="shared" si="64"/>
        <v>4386.426592797784</v>
      </c>
      <c r="N510" s="226">
        <f t="shared" si="65"/>
        <v>5219.8476454293623</v>
      </c>
      <c r="O510" s="34">
        <v>0.3</v>
      </c>
      <c r="P510" s="226">
        <f t="shared" si="66"/>
        <v>6785.8019390581712</v>
      </c>
      <c r="Q510" s="107" t="s">
        <v>1486</v>
      </c>
      <c r="R510" s="34">
        <v>0.3</v>
      </c>
      <c r="S510" s="226">
        <f t="shared" si="67"/>
        <v>5383.9000000000005</v>
      </c>
      <c r="T510" s="156" t="s">
        <v>1486</v>
      </c>
      <c r="U510" s="2" t="s">
        <v>50</v>
      </c>
      <c r="V510" s="2" t="s">
        <v>47</v>
      </c>
      <c r="W510" s="2" t="s">
        <v>2900</v>
      </c>
      <c r="X510" s="2" t="s">
        <v>2901</v>
      </c>
      <c r="Y510" s="488" t="s">
        <v>1486</v>
      </c>
      <c r="Z510" s="293">
        <f t="shared" si="60"/>
        <v>1219.426592797784</v>
      </c>
      <c r="AA510" s="293">
        <f t="shared" si="61"/>
        <v>1357.2857142857147</v>
      </c>
    </row>
    <row r="511" spans="1:27" s="320" customFormat="1" x14ac:dyDescent="0.25">
      <c r="A511" s="220" t="s">
        <v>732</v>
      </c>
      <c r="B511" s="221" t="s">
        <v>568</v>
      </c>
      <c r="C511" s="223" t="s">
        <v>1570</v>
      </c>
      <c r="D511" s="220" t="s">
        <v>546</v>
      </c>
      <c r="E511" s="222">
        <v>6</v>
      </c>
      <c r="F511" s="192">
        <v>3667</v>
      </c>
      <c r="G511" s="24">
        <v>0.2</v>
      </c>
      <c r="H511" s="24">
        <v>0.05</v>
      </c>
      <c r="I511" s="24">
        <v>0.05</v>
      </c>
      <c r="J511" s="24">
        <v>0</v>
      </c>
      <c r="K511" s="224">
        <f t="shared" si="62"/>
        <v>0.27800000000000002</v>
      </c>
      <c r="L511" s="225">
        <f t="shared" si="63"/>
        <v>30473.684210526313</v>
      </c>
      <c r="M511" s="225">
        <f t="shared" si="64"/>
        <v>5078.9473684210525</v>
      </c>
      <c r="N511" s="226">
        <f t="shared" si="65"/>
        <v>6043.9473684210525</v>
      </c>
      <c r="O511" s="34">
        <v>0.3</v>
      </c>
      <c r="P511" s="226">
        <f t="shared" si="66"/>
        <v>7857.1315789473683</v>
      </c>
      <c r="Q511" s="107" t="s">
        <v>1486</v>
      </c>
      <c r="R511" s="34">
        <v>0.3</v>
      </c>
      <c r="S511" s="226">
        <f t="shared" si="67"/>
        <v>6233.9000000000005</v>
      </c>
      <c r="T511" s="156" t="s">
        <v>1486</v>
      </c>
      <c r="U511" s="2" t="s">
        <v>50</v>
      </c>
      <c r="V511" s="2" t="s">
        <v>47</v>
      </c>
      <c r="W511" s="2" t="s">
        <v>2900</v>
      </c>
      <c r="X511" s="2" t="s">
        <v>2901</v>
      </c>
      <c r="Y511" s="488" t="s">
        <v>1486</v>
      </c>
      <c r="Z511" s="293">
        <f t="shared" si="60"/>
        <v>1411.9473684210525</v>
      </c>
      <c r="AA511" s="293">
        <f t="shared" si="61"/>
        <v>1571.5714285714294</v>
      </c>
    </row>
    <row r="512" spans="1:27" s="320" customFormat="1" x14ac:dyDescent="0.25">
      <c r="A512" s="220" t="s">
        <v>735</v>
      </c>
      <c r="B512" s="221" t="s">
        <v>570</v>
      </c>
      <c r="C512" s="223" t="s">
        <v>1570</v>
      </c>
      <c r="D512" s="220" t="s">
        <v>546</v>
      </c>
      <c r="E512" s="222">
        <v>24</v>
      </c>
      <c r="F512" s="192">
        <v>750</v>
      </c>
      <c r="G512" s="24">
        <v>0.2</v>
      </c>
      <c r="H512" s="24">
        <v>0.05</v>
      </c>
      <c r="I512" s="24">
        <v>0.05</v>
      </c>
      <c r="J512" s="24">
        <v>0</v>
      </c>
      <c r="K512" s="224">
        <f t="shared" si="62"/>
        <v>0.27800000000000014</v>
      </c>
      <c r="L512" s="225">
        <f t="shared" si="63"/>
        <v>24930.747922437677</v>
      </c>
      <c r="M512" s="225">
        <f t="shared" si="64"/>
        <v>1038.7811634349032</v>
      </c>
      <c r="N512" s="226">
        <f t="shared" si="65"/>
        <v>1236.1495844875346</v>
      </c>
      <c r="O512" s="34">
        <v>0.3</v>
      </c>
      <c r="P512" s="226">
        <f t="shared" si="66"/>
        <v>1606.9944598337952</v>
      </c>
      <c r="Q512" s="107" t="s">
        <v>1486</v>
      </c>
      <c r="R512" s="34">
        <v>0.3</v>
      </c>
      <c r="S512" s="226">
        <f t="shared" si="67"/>
        <v>1275</v>
      </c>
      <c r="T512" s="156" t="s">
        <v>1486</v>
      </c>
      <c r="U512" s="2" t="s">
        <v>50</v>
      </c>
      <c r="V512" s="2" t="s">
        <v>47</v>
      </c>
      <c r="W512" s="2" t="s">
        <v>2900</v>
      </c>
      <c r="X512" s="2" t="s">
        <v>2901</v>
      </c>
      <c r="Y512" s="488" t="s">
        <v>1486</v>
      </c>
      <c r="Z512" s="293">
        <f t="shared" ref="Z512:Z575" si="68">+M512-F512</f>
        <v>288.78116343490319</v>
      </c>
      <c r="AA512" s="293">
        <f t="shared" ref="AA512:AA575" si="69">+(S512/1.19)-F512</f>
        <v>321.42857142857156</v>
      </c>
    </row>
    <row r="513" spans="1:27" s="320" customFormat="1" x14ac:dyDescent="0.25">
      <c r="A513" s="220" t="s">
        <v>736</v>
      </c>
      <c r="B513" s="221" t="s">
        <v>2406</v>
      </c>
      <c r="C513" s="223" t="s">
        <v>1739</v>
      </c>
      <c r="D513" s="220" t="s">
        <v>661</v>
      </c>
      <c r="E513" s="222">
        <v>6</v>
      </c>
      <c r="F513" s="192">
        <v>2690</v>
      </c>
      <c r="G513" s="24">
        <v>0.2</v>
      </c>
      <c r="H513" s="24">
        <v>0.05</v>
      </c>
      <c r="I513" s="24">
        <v>0.05</v>
      </c>
      <c r="J513" s="24">
        <v>0</v>
      </c>
      <c r="K513" s="224">
        <f t="shared" si="62"/>
        <v>0.27800000000000014</v>
      </c>
      <c r="L513" s="225">
        <f t="shared" si="63"/>
        <v>22354.570637119119</v>
      </c>
      <c r="M513" s="225">
        <f t="shared" si="64"/>
        <v>3725.7617728531864</v>
      </c>
      <c r="N513" s="226">
        <f t="shared" si="65"/>
        <v>4433.6565096952918</v>
      </c>
      <c r="O513" s="34">
        <v>0.3</v>
      </c>
      <c r="P513" s="226">
        <f t="shared" si="66"/>
        <v>5763.7534626038796</v>
      </c>
      <c r="Q513" s="107" t="s">
        <v>1486</v>
      </c>
      <c r="R513" s="34">
        <v>0.33062490151250262</v>
      </c>
      <c r="S513" s="226">
        <f t="shared" si="67"/>
        <v>4782.2215185971554</v>
      </c>
      <c r="T513" s="156" t="s">
        <v>1486</v>
      </c>
      <c r="U513" s="2" t="s">
        <v>50</v>
      </c>
      <c r="V513" s="2" t="s">
        <v>47</v>
      </c>
      <c r="W513" s="2" t="s">
        <v>2900</v>
      </c>
      <c r="X513" s="2" t="s">
        <v>2903</v>
      </c>
      <c r="Y513" s="488" t="s">
        <v>1486</v>
      </c>
      <c r="Z513" s="293">
        <f t="shared" si="68"/>
        <v>1035.7617728531864</v>
      </c>
      <c r="AA513" s="293">
        <f t="shared" si="69"/>
        <v>1328.6735450396268</v>
      </c>
    </row>
    <row r="514" spans="1:27" s="320" customFormat="1" x14ac:dyDescent="0.25">
      <c r="A514" s="220" t="s">
        <v>737</v>
      </c>
      <c r="B514" s="221" t="s">
        <v>2416</v>
      </c>
      <c r="C514" s="223" t="s">
        <v>1739</v>
      </c>
      <c r="D514" s="220" t="s">
        <v>661</v>
      </c>
      <c r="E514" s="222">
        <v>12</v>
      </c>
      <c r="F514" s="192">
        <v>1000</v>
      </c>
      <c r="G514" s="24">
        <v>0.2</v>
      </c>
      <c r="H514" s="24">
        <v>0.05</v>
      </c>
      <c r="I514" s="24">
        <v>0.05</v>
      </c>
      <c r="J514" s="24">
        <v>0</v>
      </c>
      <c r="K514" s="224">
        <f t="shared" si="62"/>
        <v>0.27800000000000014</v>
      </c>
      <c r="L514" s="225">
        <f t="shared" si="63"/>
        <v>16620.498614958451</v>
      </c>
      <c r="M514" s="225">
        <f t="shared" si="64"/>
        <v>1385.0415512465377</v>
      </c>
      <c r="N514" s="226">
        <f t="shared" si="65"/>
        <v>1648.1994459833797</v>
      </c>
      <c r="O514" s="34">
        <v>0.3</v>
      </c>
      <c r="P514" s="226">
        <f t="shared" si="66"/>
        <v>2142.6592797783937</v>
      </c>
      <c r="Q514" s="107" t="s">
        <v>1486</v>
      </c>
      <c r="R514" s="34">
        <v>0.43475000724772411</v>
      </c>
      <c r="S514" s="226">
        <f t="shared" si="67"/>
        <v>2105.2631848887513</v>
      </c>
      <c r="T514" s="156" t="s">
        <v>1486</v>
      </c>
      <c r="U514" s="2" t="s">
        <v>50</v>
      </c>
      <c r="V514" s="2" t="s">
        <v>47</v>
      </c>
      <c r="W514" s="2" t="s">
        <v>2900</v>
      </c>
      <c r="X514" s="2" t="s">
        <v>2903</v>
      </c>
      <c r="Y514" s="488" t="s">
        <v>1486</v>
      </c>
      <c r="Z514" s="293">
        <f t="shared" si="68"/>
        <v>385.04155124653767</v>
      </c>
      <c r="AA514" s="293">
        <f t="shared" si="69"/>
        <v>769.12872679727002</v>
      </c>
    </row>
    <row r="515" spans="1:27" s="320" customFormat="1" x14ac:dyDescent="0.25">
      <c r="A515" s="220" t="s">
        <v>738</v>
      </c>
      <c r="B515" s="221" t="s">
        <v>664</v>
      </c>
      <c r="C515" s="223" t="s">
        <v>1739</v>
      </c>
      <c r="D515" s="220" t="s">
        <v>661</v>
      </c>
      <c r="E515" s="222">
        <v>24</v>
      </c>
      <c r="F515" s="192">
        <v>0</v>
      </c>
      <c r="G515" s="24">
        <v>0.2</v>
      </c>
      <c r="H515" s="24">
        <v>0.05</v>
      </c>
      <c r="I515" s="24">
        <v>0.05</v>
      </c>
      <c r="J515" s="24">
        <v>0</v>
      </c>
      <c r="K515" s="224">
        <f t="shared" ref="K515:K578" si="70">IF(F515=0,0,1-(F515/M515))</f>
        <v>0</v>
      </c>
      <c r="L515" s="225">
        <f t="shared" ref="L515:L578" si="71">+M515*E515</f>
        <v>0</v>
      </c>
      <c r="M515" s="225">
        <f t="shared" ref="M515:M578" si="72">+F515/(1-G515)/(1-H515)/(1-I515)/(1-J515)</f>
        <v>0</v>
      </c>
      <c r="N515" s="226">
        <f t="shared" ref="N515:N578" si="73">+M515*1.19</f>
        <v>0</v>
      </c>
      <c r="O515" s="34">
        <v>0.3</v>
      </c>
      <c r="P515" s="226">
        <f t="shared" ref="P515:P578" si="74">+N515*(1+O515)</f>
        <v>0</v>
      </c>
      <c r="Q515" s="107" t="s">
        <v>1486</v>
      </c>
      <c r="R515" s="34">
        <v>0.3</v>
      </c>
      <c r="S515" s="226">
        <f t="shared" si="67"/>
        <v>0</v>
      </c>
      <c r="T515" s="156" t="s">
        <v>1486</v>
      </c>
      <c r="U515" s="2" t="s">
        <v>109</v>
      </c>
      <c r="V515" s="2" t="s">
        <v>47</v>
      </c>
      <c r="W515" s="2" t="s">
        <v>2900</v>
      </c>
      <c r="X515" s="2"/>
      <c r="Y515" s="488" t="s">
        <v>1486</v>
      </c>
      <c r="Z515" s="293">
        <f t="shared" si="68"/>
        <v>0</v>
      </c>
      <c r="AA515" s="293">
        <f t="shared" si="69"/>
        <v>0</v>
      </c>
    </row>
    <row r="516" spans="1:27" s="320" customFormat="1" x14ac:dyDescent="0.25">
      <c r="A516" s="220" t="s">
        <v>739</v>
      </c>
      <c r="B516" s="221" t="s">
        <v>3667</v>
      </c>
      <c r="C516" s="223" t="s">
        <v>1739</v>
      </c>
      <c r="D516" s="220" t="s">
        <v>661</v>
      </c>
      <c r="E516" s="222">
        <v>12</v>
      </c>
      <c r="F516" s="192">
        <v>540</v>
      </c>
      <c r="G516" s="24">
        <v>0.2</v>
      </c>
      <c r="H516" s="24">
        <v>0.05</v>
      </c>
      <c r="I516" s="24">
        <v>0.05</v>
      </c>
      <c r="J516" s="24">
        <v>0</v>
      </c>
      <c r="K516" s="224">
        <f t="shared" si="70"/>
        <v>0.27800000000000002</v>
      </c>
      <c r="L516" s="225">
        <f t="shared" si="71"/>
        <v>8975.0692520775629</v>
      </c>
      <c r="M516" s="225">
        <f t="shared" si="72"/>
        <v>747.92243767313028</v>
      </c>
      <c r="N516" s="226">
        <f t="shared" si="73"/>
        <v>890.02770083102496</v>
      </c>
      <c r="O516" s="34">
        <v>0.3</v>
      </c>
      <c r="P516" s="226">
        <f t="shared" si="74"/>
        <v>1157.0360110803324</v>
      </c>
      <c r="Q516" s="107" t="s">
        <v>1486</v>
      </c>
      <c r="R516" s="34">
        <v>0.3521110155645184</v>
      </c>
      <c r="S516" s="226">
        <f t="shared" si="67"/>
        <v>991.83658842403383</v>
      </c>
      <c r="T516" s="156" t="s">
        <v>1486</v>
      </c>
      <c r="U516" s="2" t="s">
        <v>50</v>
      </c>
      <c r="V516" s="2" t="s">
        <v>47</v>
      </c>
      <c r="W516" s="2" t="s">
        <v>2900</v>
      </c>
      <c r="X516" s="2" t="s">
        <v>2903</v>
      </c>
      <c r="Y516" s="488" t="s">
        <v>1486</v>
      </c>
      <c r="Z516" s="293">
        <f t="shared" si="68"/>
        <v>207.92243767313028</v>
      </c>
      <c r="AA516" s="293">
        <f t="shared" si="69"/>
        <v>293.47612472607887</v>
      </c>
    </row>
    <row r="517" spans="1:27" s="320" customFormat="1" x14ac:dyDescent="0.25">
      <c r="A517" s="220" t="s">
        <v>740</v>
      </c>
      <c r="B517" s="221" t="s">
        <v>3551</v>
      </c>
      <c r="C517" s="223" t="s">
        <v>1739</v>
      </c>
      <c r="D517" s="220" t="s">
        <v>661</v>
      </c>
      <c r="E517" s="222">
        <v>24</v>
      </c>
      <c r="F517" s="192">
        <v>495</v>
      </c>
      <c r="G517" s="24">
        <v>0.2</v>
      </c>
      <c r="H517" s="24">
        <v>0.05</v>
      </c>
      <c r="I517" s="24">
        <v>0.05</v>
      </c>
      <c r="J517" s="24">
        <v>0</v>
      </c>
      <c r="K517" s="224">
        <f t="shared" si="70"/>
        <v>0.27800000000000014</v>
      </c>
      <c r="L517" s="225">
        <f t="shared" si="71"/>
        <v>16454.293628808868</v>
      </c>
      <c r="M517" s="225">
        <f t="shared" si="72"/>
        <v>685.59556786703615</v>
      </c>
      <c r="N517" s="226">
        <f t="shared" si="73"/>
        <v>815.85872576177303</v>
      </c>
      <c r="O517" s="34">
        <v>0.3</v>
      </c>
      <c r="P517" s="226">
        <f t="shared" si="74"/>
        <v>1060.6163434903049</v>
      </c>
      <c r="Q517" s="107" t="s">
        <v>1486</v>
      </c>
      <c r="R517" s="34">
        <v>0.41094970811151899</v>
      </c>
      <c r="S517" s="226">
        <f t="shared" si="67"/>
        <v>999.99950447612866</v>
      </c>
      <c r="T517" s="156" t="s">
        <v>1486</v>
      </c>
      <c r="U517" s="2" t="s">
        <v>50</v>
      </c>
      <c r="V517" s="2" t="s">
        <v>47</v>
      </c>
      <c r="W517" s="2" t="s">
        <v>2900</v>
      </c>
      <c r="X517" s="2" t="s">
        <v>2903</v>
      </c>
      <c r="Y517" s="488" t="s">
        <v>1486</v>
      </c>
      <c r="Z517" s="293">
        <f t="shared" si="68"/>
        <v>190.59556786703615</v>
      </c>
      <c r="AA517" s="293">
        <f t="shared" si="69"/>
        <v>345.33571804716701</v>
      </c>
    </row>
    <row r="518" spans="1:27" s="320" customFormat="1" x14ac:dyDescent="0.25">
      <c r="A518" s="220" t="s">
        <v>741</v>
      </c>
      <c r="B518" s="221" t="s">
        <v>3553</v>
      </c>
      <c r="C518" s="223" t="s">
        <v>1739</v>
      </c>
      <c r="D518" s="220" t="s">
        <v>661</v>
      </c>
      <c r="E518" s="222">
        <v>12</v>
      </c>
      <c r="F518" s="192">
        <v>0</v>
      </c>
      <c r="G518" s="24">
        <v>0.2</v>
      </c>
      <c r="H518" s="24">
        <v>0.05</v>
      </c>
      <c r="I518" s="24">
        <v>0.05</v>
      </c>
      <c r="J518" s="24">
        <v>0</v>
      </c>
      <c r="K518" s="224">
        <f t="shared" si="70"/>
        <v>0</v>
      </c>
      <c r="L518" s="225">
        <f t="shared" si="71"/>
        <v>0</v>
      </c>
      <c r="M518" s="225">
        <f t="shared" si="72"/>
        <v>0</v>
      </c>
      <c r="N518" s="226">
        <f t="shared" si="73"/>
        <v>0</v>
      </c>
      <c r="O518" s="34">
        <v>0.3</v>
      </c>
      <c r="P518" s="226">
        <f t="shared" si="74"/>
        <v>0</v>
      </c>
      <c r="Q518" s="107" t="s">
        <v>1486</v>
      </c>
      <c r="R518" s="34">
        <v>0.3</v>
      </c>
      <c r="S518" s="226">
        <f t="shared" si="67"/>
        <v>0</v>
      </c>
      <c r="T518" s="156" t="s">
        <v>1486</v>
      </c>
      <c r="U518" s="2" t="s">
        <v>109</v>
      </c>
      <c r="V518" s="2" t="s">
        <v>47</v>
      </c>
      <c r="W518" s="2" t="s">
        <v>2900</v>
      </c>
      <c r="X518" s="2" t="s">
        <v>1467</v>
      </c>
      <c r="Y518" s="488" t="s">
        <v>1486</v>
      </c>
      <c r="Z518" s="293">
        <f t="shared" si="68"/>
        <v>0</v>
      </c>
      <c r="AA518" s="293">
        <f t="shared" si="69"/>
        <v>0</v>
      </c>
    </row>
    <row r="519" spans="1:27" s="320" customFormat="1" x14ac:dyDescent="0.25">
      <c r="A519" s="220" t="s">
        <v>742</v>
      </c>
      <c r="B519" s="221" t="s">
        <v>3552</v>
      </c>
      <c r="C519" s="223" t="s">
        <v>1739</v>
      </c>
      <c r="D519" s="220" t="s">
        <v>661</v>
      </c>
      <c r="E519" s="222">
        <v>6</v>
      </c>
      <c r="F519" s="192">
        <v>2420</v>
      </c>
      <c r="G519" s="24">
        <v>0.2</v>
      </c>
      <c r="H519" s="24">
        <v>0.05</v>
      </c>
      <c r="I519" s="24">
        <v>0.05</v>
      </c>
      <c r="J519" s="24">
        <v>0</v>
      </c>
      <c r="K519" s="224">
        <f t="shared" si="70"/>
        <v>0.27800000000000014</v>
      </c>
      <c r="L519" s="225">
        <f t="shared" si="71"/>
        <v>20110.803324099725</v>
      </c>
      <c r="M519" s="225">
        <f t="shared" si="72"/>
        <v>3351.8005540166209</v>
      </c>
      <c r="N519" s="226">
        <f t="shared" si="73"/>
        <v>3988.6426592797789</v>
      </c>
      <c r="O519" s="34">
        <v>0.3</v>
      </c>
      <c r="P519" s="226">
        <f t="shared" si="74"/>
        <v>5185.2354570637126</v>
      </c>
      <c r="Q519" s="107" t="s">
        <v>1486</v>
      </c>
      <c r="R519" s="34">
        <v>0.34401248786868172</v>
      </c>
      <c r="S519" s="226">
        <f t="shared" si="67"/>
        <v>4390.0225945513266</v>
      </c>
      <c r="T519" s="156" t="s">
        <v>1486</v>
      </c>
      <c r="U519" s="2" t="s">
        <v>50</v>
      </c>
      <c r="V519" s="2" t="s">
        <v>47</v>
      </c>
      <c r="W519" s="2" t="s">
        <v>2900</v>
      </c>
      <c r="X519" s="2" t="s">
        <v>2903</v>
      </c>
      <c r="Y519" s="488" t="s">
        <v>1486</v>
      </c>
      <c r="Z519" s="293">
        <f t="shared" si="68"/>
        <v>931.80055401662094</v>
      </c>
      <c r="AA519" s="293">
        <f t="shared" si="69"/>
        <v>1269.0946172700224</v>
      </c>
    </row>
    <row r="520" spans="1:27" s="320" customFormat="1" x14ac:dyDescent="0.25">
      <c r="A520" s="220" t="s">
        <v>743</v>
      </c>
      <c r="B520" s="221" t="s">
        <v>3556</v>
      </c>
      <c r="C520" s="223" t="s">
        <v>1739</v>
      </c>
      <c r="D520" s="220" t="s">
        <v>661</v>
      </c>
      <c r="E520" s="222">
        <v>6</v>
      </c>
      <c r="F520" s="192">
        <v>2151</v>
      </c>
      <c r="G520" s="24">
        <v>0.2</v>
      </c>
      <c r="H520" s="24">
        <v>0.05</v>
      </c>
      <c r="I520" s="24">
        <v>0.05</v>
      </c>
      <c r="J520" s="24">
        <v>0</v>
      </c>
      <c r="K520" s="224">
        <f t="shared" si="70"/>
        <v>0.27800000000000014</v>
      </c>
      <c r="L520" s="225">
        <f t="shared" si="71"/>
        <v>17875.346260387814</v>
      </c>
      <c r="M520" s="225">
        <f t="shared" si="72"/>
        <v>2979.2243767313025</v>
      </c>
      <c r="N520" s="226">
        <f t="shared" si="73"/>
        <v>3545.27700831025</v>
      </c>
      <c r="O520" s="34">
        <v>0.3</v>
      </c>
      <c r="P520" s="226">
        <f t="shared" si="74"/>
        <v>4608.8601108033254</v>
      </c>
      <c r="Q520" s="107" t="s">
        <v>1486</v>
      </c>
      <c r="R520" s="34">
        <v>0.36007750006159506</v>
      </c>
      <c r="S520" s="226">
        <f t="shared" si="67"/>
        <v>4000.000000385015</v>
      </c>
      <c r="T520" s="156" t="s">
        <v>1486</v>
      </c>
      <c r="U520" s="2" t="s">
        <v>50</v>
      </c>
      <c r="V520" s="2" t="s">
        <v>47</v>
      </c>
      <c r="W520" s="2" t="s">
        <v>2900</v>
      </c>
      <c r="X520" s="2" t="s">
        <v>2903</v>
      </c>
      <c r="Y520" s="488" t="s">
        <v>1486</v>
      </c>
      <c r="Z520" s="293">
        <f t="shared" si="68"/>
        <v>828.22437673130253</v>
      </c>
      <c r="AA520" s="293">
        <f t="shared" si="69"/>
        <v>1210.3445381386682</v>
      </c>
    </row>
    <row r="521" spans="1:27" s="320" customFormat="1" x14ac:dyDescent="0.25">
      <c r="A521" s="220" t="s">
        <v>1540</v>
      </c>
      <c r="B521" s="221" t="s">
        <v>671</v>
      </c>
      <c r="C521" s="223" t="s">
        <v>1739</v>
      </c>
      <c r="D521" s="220" t="s">
        <v>661</v>
      </c>
      <c r="E521" s="222">
        <v>24</v>
      </c>
      <c r="F521" s="192">
        <v>0</v>
      </c>
      <c r="G521" s="24">
        <v>0.2</v>
      </c>
      <c r="H521" s="24">
        <v>0.05</v>
      </c>
      <c r="I521" s="24">
        <v>0.05</v>
      </c>
      <c r="J521" s="24">
        <v>0</v>
      </c>
      <c r="K521" s="224">
        <f t="shared" si="70"/>
        <v>0</v>
      </c>
      <c r="L521" s="225">
        <f t="shared" si="71"/>
        <v>0</v>
      </c>
      <c r="M521" s="225">
        <f t="shared" si="72"/>
        <v>0</v>
      </c>
      <c r="N521" s="226">
        <f t="shared" si="73"/>
        <v>0</v>
      </c>
      <c r="O521" s="34">
        <v>0.3</v>
      </c>
      <c r="P521" s="226">
        <f t="shared" si="74"/>
        <v>0</v>
      </c>
      <c r="Q521" s="107" t="s">
        <v>1486</v>
      </c>
      <c r="R521" s="34">
        <v>0.3</v>
      </c>
      <c r="S521" s="226">
        <f t="shared" si="67"/>
        <v>0</v>
      </c>
      <c r="T521" s="156" t="s">
        <v>1486</v>
      </c>
      <c r="U521" s="2" t="s">
        <v>109</v>
      </c>
      <c r="V521" s="2" t="s">
        <v>47</v>
      </c>
      <c r="W521" s="2" t="s">
        <v>2900</v>
      </c>
      <c r="X521" s="2"/>
      <c r="Y521" s="488" t="s">
        <v>1486</v>
      </c>
      <c r="Z521" s="293">
        <f t="shared" si="68"/>
        <v>0</v>
      </c>
      <c r="AA521" s="293">
        <f t="shared" si="69"/>
        <v>0</v>
      </c>
    </row>
    <row r="522" spans="1:27" s="320" customFormat="1" x14ac:dyDescent="0.25">
      <c r="A522" s="220" t="s">
        <v>1541</v>
      </c>
      <c r="B522" s="221" t="s">
        <v>3554</v>
      </c>
      <c r="C522" s="223" t="s">
        <v>1739</v>
      </c>
      <c r="D522" s="220" t="s">
        <v>661</v>
      </c>
      <c r="E522" s="222">
        <v>6</v>
      </c>
      <c r="F522" s="192">
        <v>3050</v>
      </c>
      <c r="G522" s="24">
        <v>0.2</v>
      </c>
      <c r="H522" s="24">
        <v>0.05</v>
      </c>
      <c r="I522" s="24">
        <v>0.05</v>
      </c>
      <c r="J522" s="24">
        <v>0</v>
      </c>
      <c r="K522" s="224">
        <f t="shared" si="70"/>
        <v>0.27800000000000002</v>
      </c>
      <c r="L522" s="225">
        <f t="shared" si="71"/>
        <v>25346.260387811635</v>
      </c>
      <c r="M522" s="225">
        <f t="shared" si="72"/>
        <v>4224.3767313019389</v>
      </c>
      <c r="N522" s="226">
        <f t="shared" si="73"/>
        <v>5027.0083102493072</v>
      </c>
      <c r="O522" s="34">
        <v>0.3</v>
      </c>
      <c r="P522" s="226">
        <f t="shared" si="74"/>
        <v>6535.1108033240998</v>
      </c>
      <c r="Q522" s="107" t="s">
        <v>1486</v>
      </c>
      <c r="R522" s="34">
        <v>0.34009090405909442</v>
      </c>
      <c r="S522" s="226">
        <f t="shared" si="67"/>
        <v>5499.9999580624353</v>
      </c>
      <c r="T522" s="156" t="s">
        <v>1486</v>
      </c>
      <c r="U522" s="2" t="s">
        <v>50</v>
      </c>
      <c r="V522" s="2" t="s">
        <v>47</v>
      </c>
      <c r="W522" s="2" t="s">
        <v>2900</v>
      </c>
      <c r="X522" s="2" t="s">
        <v>2903</v>
      </c>
      <c r="Y522" s="488" t="s">
        <v>1486</v>
      </c>
      <c r="Z522" s="293">
        <f t="shared" si="68"/>
        <v>1174.3767313019389</v>
      </c>
      <c r="AA522" s="293">
        <f t="shared" si="69"/>
        <v>1571.8487042541474</v>
      </c>
    </row>
    <row r="523" spans="1:27" s="320" customFormat="1" x14ac:dyDescent="0.25">
      <c r="A523" s="220" t="s">
        <v>1542</v>
      </c>
      <c r="B523" s="221" t="s">
        <v>674</v>
      </c>
      <c r="C523" s="223" t="s">
        <v>1739</v>
      </c>
      <c r="D523" s="220" t="s">
        <v>661</v>
      </c>
      <c r="E523" s="222">
        <v>24</v>
      </c>
      <c r="F523" s="192">
        <v>0</v>
      </c>
      <c r="G523" s="24">
        <v>0.2</v>
      </c>
      <c r="H523" s="24">
        <v>0.05</v>
      </c>
      <c r="I523" s="24">
        <v>0.05</v>
      </c>
      <c r="J523" s="24">
        <v>0</v>
      </c>
      <c r="K523" s="224">
        <f t="shared" si="70"/>
        <v>0</v>
      </c>
      <c r="L523" s="225">
        <f t="shared" si="71"/>
        <v>0</v>
      </c>
      <c r="M523" s="225">
        <f t="shared" si="72"/>
        <v>0</v>
      </c>
      <c r="N523" s="226">
        <f t="shared" si="73"/>
        <v>0</v>
      </c>
      <c r="O523" s="34">
        <v>0.3</v>
      </c>
      <c r="P523" s="226">
        <f t="shared" si="74"/>
        <v>0</v>
      </c>
      <c r="Q523" s="107" t="s">
        <v>1486</v>
      </c>
      <c r="R523" s="34">
        <v>0.3</v>
      </c>
      <c r="S523" s="226">
        <f t="shared" si="67"/>
        <v>0</v>
      </c>
      <c r="T523" s="156" t="s">
        <v>1486</v>
      </c>
      <c r="U523" s="2" t="s">
        <v>109</v>
      </c>
      <c r="V523" s="2" t="s">
        <v>47</v>
      </c>
      <c r="W523" s="2" t="s">
        <v>2900</v>
      </c>
      <c r="X523" s="2"/>
      <c r="Y523" s="488" t="s">
        <v>1486</v>
      </c>
      <c r="Z523" s="293">
        <f t="shared" si="68"/>
        <v>0</v>
      </c>
      <c r="AA523" s="293">
        <f t="shared" si="69"/>
        <v>0</v>
      </c>
    </row>
    <row r="524" spans="1:27" s="320" customFormat="1" x14ac:dyDescent="0.25">
      <c r="A524" s="220" t="s">
        <v>1634</v>
      </c>
      <c r="B524" s="221" t="s">
        <v>3555</v>
      </c>
      <c r="C524" s="223" t="s">
        <v>1739</v>
      </c>
      <c r="D524" s="220" t="s">
        <v>661</v>
      </c>
      <c r="E524" s="222">
        <v>12</v>
      </c>
      <c r="F524" s="192">
        <v>891</v>
      </c>
      <c r="G524" s="24">
        <v>0.2</v>
      </c>
      <c r="H524" s="24">
        <v>0.05</v>
      </c>
      <c r="I524" s="24">
        <v>0.05</v>
      </c>
      <c r="J524" s="24">
        <v>0</v>
      </c>
      <c r="K524" s="224">
        <f t="shared" si="70"/>
        <v>0.27800000000000014</v>
      </c>
      <c r="L524" s="225">
        <f t="shared" si="71"/>
        <v>14808.864265927979</v>
      </c>
      <c r="M524" s="225">
        <f t="shared" si="72"/>
        <v>1234.072022160665</v>
      </c>
      <c r="N524" s="226">
        <f t="shared" si="73"/>
        <v>1468.5457063711913</v>
      </c>
      <c r="O524" s="34">
        <v>0.3</v>
      </c>
      <c r="P524" s="226">
        <f t="shared" si="74"/>
        <v>1909.1094182825486</v>
      </c>
      <c r="Q524" s="107" t="s">
        <v>1486</v>
      </c>
      <c r="R524" s="34">
        <v>0.41</v>
      </c>
      <c r="S524" s="226">
        <f t="shared" si="67"/>
        <v>1797.101694915254</v>
      </c>
      <c r="T524" s="156" t="s">
        <v>1486</v>
      </c>
      <c r="U524" s="2" t="s">
        <v>50</v>
      </c>
      <c r="V524" s="2" t="s">
        <v>47</v>
      </c>
      <c r="W524" s="2" t="s">
        <v>2900</v>
      </c>
      <c r="X524" s="2" t="s">
        <v>2903</v>
      </c>
      <c r="Y524" s="488" t="s">
        <v>1486</v>
      </c>
      <c r="Z524" s="293">
        <f t="shared" si="68"/>
        <v>343.07202216066503</v>
      </c>
      <c r="AA524" s="293">
        <f t="shared" si="69"/>
        <v>619.16949152542361</v>
      </c>
    </row>
    <row r="525" spans="1:27" s="320" customFormat="1" x14ac:dyDescent="0.25">
      <c r="A525" s="220" t="s">
        <v>1635</v>
      </c>
      <c r="B525" s="221" t="s">
        <v>3557</v>
      </c>
      <c r="C525" s="223" t="s">
        <v>1739</v>
      </c>
      <c r="D525" s="220" t="s">
        <v>661</v>
      </c>
      <c r="E525" s="222">
        <v>12</v>
      </c>
      <c r="F525" s="192">
        <v>441</v>
      </c>
      <c r="G525" s="24">
        <v>0.2</v>
      </c>
      <c r="H525" s="24">
        <v>0.05</v>
      </c>
      <c r="I525" s="24">
        <v>0.05</v>
      </c>
      <c r="J525" s="24">
        <v>0</v>
      </c>
      <c r="K525" s="224">
        <f t="shared" si="70"/>
        <v>0.27800000000000014</v>
      </c>
      <c r="L525" s="225">
        <f t="shared" si="71"/>
        <v>7329.6398891966774</v>
      </c>
      <c r="M525" s="225">
        <f t="shared" si="72"/>
        <v>610.80332409972311</v>
      </c>
      <c r="N525" s="226">
        <f t="shared" si="73"/>
        <v>726.85595567867051</v>
      </c>
      <c r="O525" s="34">
        <v>0.3</v>
      </c>
      <c r="P525" s="226">
        <f t="shared" si="74"/>
        <v>944.91274238227174</v>
      </c>
      <c r="Q525" s="107" t="s">
        <v>1486</v>
      </c>
      <c r="R525" s="34">
        <v>0.34</v>
      </c>
      <c r="S525" s="226">
        <f t="shared" si="67"/>
        <v>795.13636363636363</v>
      </c>
      <c r="T525" s="156" t="s">
        <v>1486</v>
      </c>
      <c r="U525" s="2" t="s">
        <v>50</v>
      </c>
      <c r="V525" s="2" t="s">
        <v>47</v>
      </c>
      <c r="W525" s="2" t="s">
        <v>2900</v>
      </c>
      <c r="X525" s="2" t="s">
        <v>2903</v>
      </c>
      <c r="Y525" s="488" t="s">
        <v>1486</v>
      </c>
      <c r="Z525" s="293">
        <f t="shared" si="68"/>
        <v>169.80332409972311</v>
      </c>
      <c r="AA525" s="293">
        <f t="shared" si="69"/>
        <v>227.18181818181824</v>
      </c>
    </row>
    <row r="526" spans="1:27" s="320" customFormat="1" x14ac:dyDescent="0.25">
      <c r="A526" s="220" t="s">
        <v>1636</v>
      </c>
      <c r="B526" s="221" t="s">
        <v>678</v>
      </c>
      <c r="C526" s="223" t="s">
        <v>1739</v>
      </c>
      <c r="D526" s="220" t="s">
        <v>661</v>
      </c>
      <c r="E526" s="222">
        <v>2</v>
      </c>
      <c r="F526" s="192">
        <v>0</v>
      </c>
      <c r="G526" s="24">
        <v>0.2</v>
      </c>
      <c r="H526" s="24">
        <v>0.05</v>
      </c>
      <c r="I526" s="24">
        <v>0.05</v>
      </c>
      <c r="J526" s="24">
        <v>0</v>
      </c>
      <c r="K526" s="224">
        <f t="shared" si="70"/>
        <v>0</v>
      </c>
      <c r="L526" s="225">
        <f t="shared" si="71"/>
        <v>0</v>
      </c>
      <c r="M526" s="225">
        <f t="shared" si="72"/>
        <v>0</v>
      </c>
      <c r="N526" s="226">
        <f t="shared" si="73"/>
        <v>0</v>
      </c>
      <c r="O526" s="34">
        <v>0.3</v>
      </c>
      <c r="P526" s="226">
        <f t="shared" si="74"/>
        <v>0</v>
      </c>
      <c r="Q526" s="107" t="s">
        <v>1486</v>
      </c>
      <c r="R526" s="34">
        <v>0.3</v>
      </c>
      <c r="S526" s="226">
        <f t="shared" si="67"/>
        <v>0</v>
      </c>
      <c r="T526" s="156" t="s">
        <v>1486</v>
      </c>
      <c r="U526" s="2" t="s">
        <v>109</v>
      </c>
      <c r="V526" s="2" t="s">
        <v>47</v>
      </c>
      <c r="W526" s="2" t="s">
        <v>2900</v>
      </c>
      <c r="X526" s="2"/>
      <c r="Y526" s="488" t="s">
        <v>1486</v>
      </c>
      <c r="Z526" s="293">
        <f t="shared" si="68"/>
        <v>0</v>
      </c>
      <c r="AA526" s="293">
        <f t="shared" si="69"/>
        <v>0</v>
      </c>
    </row>
    <row r="527" spans="1:27" s="320" customFormat="1" x14ac:dyDescent="0.25">
      <c r="A527" s="220" t="s">
        <v>1637</v>
      </c>
      <c r="B527" s="221" t="s">
        <v>678</v>
      </c>
      <c r="C527" s="223" t="s">
        <v>1739</v>
      </c>
      <c r="D527" s="220" t="s">
        <v>661</v>
      </c>
      <c r="E527" s="222">
        <v>6</v>
      </c>
      <c r="F527" s="192">
        <v>0</v>
      </c>
      <c r="G527" s="24">
        <v>0.2</v>
      </c>
      <c r="H527" s="24">
        <v>0.05</v>
      </c>
      <c r="I527" s="24">
        <v>0.05</v>
      </c>
      <c r="J527" s="24">
        <v>0</v>
      </c>
      <c r="K527" s="224">
        <f t="shared" si="70"/>
        <v>0</v>
      </c>
      <c r="L527" s="225">
        <f t="shared" si="71"/>
        <v>0</v>
      </c>
      <c r="M527" s="225">
        <f t="shared" si="72"/>
        <v>0</v>
      </c>
      <c r="N527" s="226">
        <f t="shared" si="73"/>
        <v>0</v>
      </c>
      <c r="O527" s="34">
        <v>0.3</v>
      </c>
      <c r="P527" s="226">
        <f t="shared" si="74"/>
        <v>0</v>
      </c>
      <c r="Q527" s="107" t="s">
        <v>1486</v>
      </c>
      <c r="R527" s="34">
        <v>0.3</v>
      </c>
      <c r="S527" s="226">
        <f t="shared" si="67"/>
        <v>0</v>
      </c>
      <c r="T527" s="156" t="s">
        <v>1486</v>
      </c>
      <c r="U527" s="2" t="s">
        <v>109</v>
      </c>
      <c r="V527" s="2" t="s">
        <v>47</v>
      </c>
      <c r="W527" s="2" t="s">
        <v>2900</v>
      </c>
      <c r="X527" s="2"/>
      <c r="Y527" s="488" t="s">
        <v>1486</v>
      </c>
      <c r="Z527" s="293">
        <f t="shared" si="68"/>
        <v>0</v>
      </c>
      <c r="AA527" s="293">
        <f t="shared" si="69"/>
        <v>0</v>
      </c>
    </row>
    <row r="528" spans="1:27" s="320" customFormat="1" x14ac:dyDescent="0.25">
      <c r="A528" s="220" t="s">
        <v>1648</v>
      </c>
      <c r="B528" s="221" t="s">
        <v>678</v>
      </c>
      <c r="C528" s="223" t="s">
        <v>1739</v>
      </c>
      <c r="D528" s="220" t="s">
        <v>661</v>
      </c>
      <c r="E528" s="222">
        <v>12</v>
      </c>
      <c r="F528" s="192">
        <v>0</v>
      </c>
      <c r="G528" s="24">
        <v>0.2</v>
      </c>
      <c r="H528" s="24">
        <v>0.05</v>
      </c>
      <c r="I528" s="24">
        <v>0.05</v>
      </c>
      <c r="J528" s="24">
        <v>0</v>
      </c>
      <c r="K528" s="224">
        <f t="shared" si="70"/>
        <v>0</v>
      </c>
      <c r="L528" s="225">
        <f t="shared" si="71"/>
        <v>0</v>
      </c>
      <c r="M528" s="225">
        <f t="shared" si="72"/>
        <v>0</v>
      </c>
      <c r="N528" s="226">
        <f t="shared" si="73"/>
        <v>0</v>
      </c>
      <c r="O528" s="34">
        <v>0.3</v>
      </c>
      <c r="P528" s="226">
        <f t="shared" si="74"/>
        <v>0</v>
      </c>
      <c r="Q528" s="107" t="s">
        <v>1486</v>
      </c>
      <c r="R528" s="34">
        <v>0.3</v>
      </c>
      <c r="S528" s="226">
        <f t="shared" si="67"/>
        <v>0</v>
      </c>
      <c r="T528" s="156" t="s">
        <v>1486</v>
      </c>
      <c r="U528" s="2" t="s">
        <v>109</v>
      </c>
      <c r="V528" s="2" t="s">
        <v>47</v>
      </c>
      <c r="W528" s="2" t="s">
        <v>2900</v>
      </c>
      <c r="X528" s="2"/>
      <c r="Y528" s="488" t="s">
        <v>1486</v>
      </c>
      <c r="Z528" s="293">
        <f t="shared" si="68"/>
        <v>0</v>
      </c>
      <c r="AA528" s="293">
        <f t="shared" si="69"/>
        <v>0</v>
      </c>
    </row>
    <row r="529" spans="1:27" s="320" customFormat="1" x14ac:dyDescent="0.25">
      <c r="A529" s="220" t="s">
        <v>1649</v>
      </c>
      <c r="B529" s="221" t="s">
        <v>682</v>
      </c>
      <c r="C529" s="223" t="s">
        <v>1739</v>
      </c>
      <c r="D529" s="220" t="s">
        <v>661</v>
      </c>
      <c r="E529" s="222">
        <v>6</v>
      </c>
      <c r="F529" s="192">
        <v>0</v>
      </c>
      <c r="G529" s="24">
        <v>0.2</v>
      </c>
      <c r="H529" s="24">
        <v>0.05</v>
      </c>
      <c r="I529" s="24">
        <v>0.05</v>
      </c>
      <c r="J529" s="24">
        <v>0</v>
      </c>
      <c r="K529" s="224">
        <f t="shared" si="70"/>
        <v>0</v>
      </c>
      <c r="L529" s="225">
        <f t="shared" si="71"/>
        <v>0</v>
      </c>
      <c r="M529" s="225">
        <f t="shared" si="72"/>
        <v>0</v>
      </c>
      <c r="N529" s="226">
        <f t="shared" si="73"/>
        <v>0</v>
      </c>
      <c r="O529" s="34">
        <v>0.3</v>
      </c>
      <c r="P529" s="226">
        <f t="shared" si="74"/>
        <v>0</v>
      </c>
      <c r="Q529" s="107" t="s">
        <v>1486</v>
      </c>
      <c r="R529" s="34">
        <v>0.3</v>
      </c>
      <c r="S529" s="226">
        <f t="shared" si="67"/>
        <v>0</v>
      </c>
      <c r="T529" s="156" t="s">
        <v>1486</v>
      </c>
      <c r="U529" s="2" t="s">
        <v>109</v>
      </c>
      <c r="V529" s="2" t="s">
        <v>47</v>
      </c>
      <c r="W529" s="2" t="s">
        <v>2900</v>
      </c>
      <c r="X529" s="2"/>
      <c r="Y529" s="488" t="s">
        <v>1486</v>
      </c>
      <c r="Z529" s="293">
        <f t="shared" si="68"/>
        <v>0</v>
      </c>
      <c r="AA529" s="293">
        <f t="shared" si="69"/>
        <v>0</v>
      </c>
    </row>
    <row r="530" spans="1:27" s="320" customFormat="1" x14ac:dyDescent="0.25">
      <c r="A530" s="220" t="s">
        <v>1650</v>
      </c>
      <c r="B530" s="221" t="s">
        <v>684</v>
      </c>
      <c r="C530" s="223" t="s">
        <v>1739</v>
      </c>
      <c r="D530" s="220" t="s">
        <v>661</v>
      </c>
      <c r="E530" s="222">
        <v>6</v>
      </c>
      <c r="F530" s="192">
        <v>0</v>
      </c>
      <c r="G530" s="24">
        <v>0.2</v>
      </c>
      <c r="H530" s="24">
        <v>0.05</v>
      </c>
      <c r="I530" s="24">
        <v>0.05</v>
      </c>
      <c r="J530" s="24">
        <v>0</v>
      </c>
      <c r="K530" s="224">
        <f t="shared" si="70"/>
        <v>0</v>
      </c>
      <c r="L530" s="225">
        <f t="shared" si="71"/>
        <v>0</v>
      </c>
      <c r="M530" s="225">
        <f t="shared" si="72"/>
        <v>0</v>
      </c>
      <c r="N530" s="226">
        <f t="shared" si="73"/>
        <v>0</v>
      </c>
      <c r="O530" s="34">
        <v>0.3</v>
      </c>
      <c r="P530" s="226">
        <f t="shared" si="74"/>
        <v>0</v>
      </c>
      <c r="Q530" s="107" t="s">
        <v>1486</v>
      </c>
      <c r="R530" s="34">
        <v>0.3</v>
      </c>
      <c r="S530" s="226">
        <f t="shared" si="67"/>
        <v>0</v>
      </c>
      <c r="T530" s="156" t="s">
        <v>1486</v>
      </c>
      <c r="U530" s="2" t="s">
        <v>109</v>
      </c>
      <c r="V530" s="2" t="s">
        <v>47</v>
      </c>
      <c r="W530" s="2" t="s">
        <v>2900</v>
      </c>
      <c r="X530" s="2"/>
      <c r="Y530" s="488" t="s">
        <v>1486</v>
      </c>
      <c r="Z530" s="293">
        <f t="shared" si="68"/>
        <v>0</v>
      </c>
      <c r="AA530" s="293">
        <f t="shared" si="69"/>
        <v>0</v>
      </c>
    </row>
    <row r="531" spans="1:27" s="320" customFormat="1" x14ac:dyDescent="0.25">
      <c r="A531" s="220" t="s">
        <v>1651</v>
      </c>
      <c r="B531" s="221" t="s">
        <v>686</v>
      </c>
      <c r="C531" s="223" t="s">
        <v>1739</v>
      </c>
      <c r="D531" s="220" t="s">
        <v>661</v>
      </c>
      <c r="E531" s="222">
        <v>3</v>
      </c>
      <c r="F531" s="192">
        <v>0</v>
      </c>
      <c r="G531" s="24">
        <v>0.2</v>
      </c>
      <c r="H531" s="24">
        <v>0.05</v>
      </c>
      <c r="I531" s="24">
        <v>0.05</v>
      </c>
      <c r="J531" s="24">
        <v>0</v>
      </c>
      <c r="K531" s="224">
        <f t="shared" si="70"/>
        <v>0</v>
      </c>
      <c r="L531" s="225">
        <f t="shared" si="71"/>
        <v>0</v>
      </c>
      <c r="M531" s="225">
        <f t="shared" si="72"/>
        <v>0</v>
      </c>
      <c r="N531" s="226">
        <f t="shared" si="73"/>
        <v>0</v>
      </c>
      <c r="O531" s="34">
        <v>0.3</v>
      </c>
      <c r="P531" s="226">
        <f t="shared" si="74"/>
        <v>0</v>
      </c>
      <c r="Q531" s="107" t="s">
        <v>1486</v>
      </c>
      <c r="R531" s="34">
        <v>0.3</v>
      </c>
      <c r="S531" s="226">
        <f t="shared" si="67"/>
        <v>0</v>
      </c>
      <c r="T531" s="156" t="s">
        <v>1486</v>
      </c>
      <c r="U531" s="2" t="s">
        <v>109</v>
      </c>
      <c r="V531" s="2" t="s">
        <v>47</v>
      </c>
      <c r="W531" s="2" t="s">
        <v>2900</v>
      </c>
      <c r="X531" s="2"/>
      <c r="Y531" s="488" t="s">
        <v>1486</v>
      </c>
      <c r="Z531" s="293">
        <f t="shared" si="68"/>
        <v>0</v>
      </c>
      <c r="AA531" s="293">
        <f t="shared" si="69"/>
        <v>0</v>
      </c>
    </row>
    <row r="532" spans="1:27" s="320" customFormat="1" x14ac:dyDescent="0.25">
      <c r="A532" s="220" t="s">
        <v>1682</v>
      </c>
      <c r="B532" s="221" t="s">
        <v>5866</v>
      </c>
      <c r="C532" s="223" t="s">
        <v>1739</v>
      </c>
      <c r="D532" s="220" t="s">
        <v>661</v>
      </c>
      <c r="E532" s="222">
        <v>24</v>
      </c>
      <c r="F532" s="192">
        <v>540</v>
      </c>
      <c r="G532" s="24">
        <v>0.2</v>
      </c>
      <c r="H532" s="24">
        <v>0.05</v>
      </c>
      <c r="I532" s="24">
        <v>0.05</v>
      </c>
      <c r="J532" s="24">
        <v>0</v>
      </c>
      <c r="K532" s="224">
        <f t="shared" si="70"/>
        <v>0.27800000000000002</v>
      </c>
      <c r="L532" s="225">
        <f t="shared" si="71"/>
        <v>17950.138504155126</v>
      </c>
      <c r="M532" s="225">
        <f t="shared" si="72"/>
        <v>747.92243767313028</v>
      </c>
      <c r="N532" s="226">
        <f t="shared" si="73"/>
        <v>890.02770083102496</v>
      </c>
      <c r="O532" s="34">
        <v>0.3</v>
      </c>
      <c r="P532" s="226">
        <f t="shared" si="74"/>
        <v>1157.0360110803324</v>
      </c>
      <c r="Q532" s="107" t="s">
        <v>1486</v>
      </c>
      <c r="R532" s="34">
        <v>0.3</v>
      </c>
      <c r="S532" s="226">
        <f t="shared" si="67"/>
        <v>918</v>
      </c>
      <c r="T532" s="156" t="s">
        <v>1486</v>
      </c>
      <c r="U532" s="2" t="s">
        <v>50</v>
      </c>
      <c r="V532" s="2" t="s">
        <v>47</v>
      </c>
      <c r="W532" s="2" t="s">
        <v>2900</v>
      </c>
      <c r="X532" s="2" t="s">
        <v>2903</v>
      </c>
      <c r="Y532" s="488" t="s">
        <v>1486</v>
      </c>
      <c r="Z532" s="293">
        <f t="shared" si="68"/>
        <v>207.92243767313028</v>
      </c>
      <c r="AA532" s="293">
        <f t="shared" si="69"/>
        <v>231.42857142857144</v>
      </c>
    </row>
    <row r="533" spans="1:27" s="320" customFormat="1" x14ac:dyDescent="0.25">
      <c r="A533" s="220" t="s">
        <v>1683</v>
      </c>
      <c r="B533" s="221" t="s">
        <v>5867</v>
      </c>
      <c r="C533" s="223" t="s">
        <v>1739</v>
      </c>
      <c r="D533" s="220" t="s">
        <v>661</v>
      </c>
      <c r="E533" s="222">
        <v>24</v>
      </c>
      <c r="F533" s="192">
        <v>540</v>
      </c>
      <c r="G533" s="24">
        <v>0.2</v>
      </c>
      <c r="H533" s="24">
        <v>0.05</v>
      </c>
      <c r="I533" s="24">
        <v>0.05</v>
      </c>
      <c r="J533" s="24">
        <v>0</v>
      </c>
      <c r="K533" s="224">
        <f t="shared" si="70"/>
        <v>0.27800000000000002</v>
      </c>
      <c r="L533" s="225">
        <f t="shared" si="71"/>
        <v>17950.138504155126</v>
      </c>
      <c r="M533" s="225">
        <f t="shared" si="72"/>
        <v>747.92243767313028</v>
      </c>
      <c r="N533" s="226">
        <f t="shared" si="73"/>
        <v>890.02770083102496</v>
      </c>
      <c r="O533" s="34">
        <v>0.3</v>
      </c>
      <c r="P533" s="226">
        <f t="shared" si="74"/>
        <v>1157.0360110803324</v>
      </c>
      <c r="Q533" s="107" t="s">
        <v>1486</v>
      </c>
      <c r="R533" s="34">
        <v>0.3</v>
      </c>
      <c r="S533" s="226">
        <f t="shared" si="67"/>
        <v>918</v>
      </c>
      <c r="T533" s="156" t="s">
        <v>1486</v>
      </c>
      <c r="U533" s="2" t="s">
        <v>50</v>
      </c>
      <c r="V533" s="2" t="s">
        <v>47</v>
      </c>
      <c r="W533" s="2" t="s">
        <v>2900</v>
      </c>
      <c r="X533" s="2" t="s">
        <v>2903</v>
      </c>
      <c r="Y533" s="488" t="s">
        <v>1486</v>
      </c>
      <c r="Z533" s="293">
        <f t="shared" si="68"/>
        <v>207.92243767313028</v>
      </c>
      <c r="AA533" s="293">
        <f t="shared" si="69"/>
        <v>231.42857142857144</v>
      </c>
    </row>
    <row r="534" spans="1:27" s="320" customFormat="1" x14ac:dyDescent="0.25">
      <c r="A534" s="220" t="s">
        <v>1684</v>
      </c>
      <c r="B534" s="221" t="s">
        <v>2302</v>
      </c>
      <c r="C534" s="223" t="s">
        <v>1739</v>
      </c>
      <c r="D534" s="220" t="s">
        <v>661</v>
      </c>
      <c r="E534" s="222">
        <v>24</v>
      </c>
      <c r="F534" s="192">
        <v>540</v>
      </c>
      <c r="G534" s="24">
        <v>0.2</v>
      </c>
      <c r="H534" s="24">
        <v>0.05</v>
      </c>
      <c r="I534" s="24">
        <v>0.05</v>
      </c>
      <c r="J534" s="24">
        <v>0</v>
      </c>
      <c r="K534" s="224">
        <f t="shared" si="70"/>
        <v>0.27800000000000002</v>
      </c>
      <c r="L534" s="225">
        <f t="shared" si="71"/>
        <v>17950.138504155126</v>
      </c>
      <c r="M534" s="225">
        <f t="shared" si="72"/>
        <v>747.92243767313028</v>
      </c>
      <c r="N534" s="226">
        <f t="shared" si="73"/>
        <v>890.02770083102496</v>
      </c>
      <c r="O534" s="34">
        <v>0.3</v>
      </c>
      <c r="P534" s="226">
        <f t="shared" si="74"/>
        <v>1157.0360110803324</v>
      </c>
      <c r="Q534" s="107" t="s">
        <v>1486</v>
      </c>
      <c r="R534" s="34">
        <v>0.34</v>
      </c>
      <c r="S534" s="226">
        <f t="shared" si="67"/>
        <v>973.63636363636363</v>
      </c>
      <c r="T534" s="156" t="s">
        <v>1486</v>
      </c>
      <c r="U534" s="2" t="s">
        <v>50</v>
      </c>
      <c r="V534" s="2" t="s">
        <v>47</v>
      </c>
      <c r="W534" s="2" t="s">
        <v>2900</v>
      </c>
      <c r="X534" s="2" t="s">
        <v>2903</v>
      </c>
      <c r="Y534" s="488" t="s">
        <v>1486</v>
      </c>
      <c r="Z534" s="293">
        <f t="shared" si="68"/>
        <v>207.92243767313028</v>
      </c>
      <c r="AA534" s="293">
        <f t="shared" si="69"/>
        <v>278.18181818181824</v>
      </c>
    </row>
    <row r="535" spans="1:27" s="320" customFormat="1" x14ac:dyDescent="0.25">
      <c r="A535" s="220" t="s">
        <v>1685</v>
      </c>
      <c r="B535" s="221" t="s">
        <v>2666</v>
      </c>
      <c r="C535" s="223" t="s">
        <v>1739</v>
      </c>
      <c r="D535" s="220" t="s">
        <v>661</v>
      </c>
      <c r="E535" s="222">
        <v>24</v>
      </c>
      <c r="F535" s="192">
        <v>540</v>
      </c>
      <c r="G535" s="24">
        <v>0.2</v>
      </c>
      <c r="H535" s="24">
        <v>0.05</v>
      </c>
      <c r="I535" s="24">
        <v>0.05</v>
      </c>
      <c r="J535" s="24">
        <v>0</v>
      </c>
      <c r="K535" s="224">
        <f t="shared" si="70"/>
        <v>0.27800000000000002</v>
      </c>
      <c r="L535" s="225">
        <f t="shared" si="71"/>
        <v>17950.138504155126</v>
      </c>
      <c r="M535" s="225">
        <f t="shared" si="72"/>
        <v>747.92243767313028</v>
      </c>
      <c r="N535" s="226">
        <f t="shared" si="73"/>
        <v>890.02770083102496</v>
      </c>
      <c r="O535" s="34">
        <v>0.3</v>
      </c>
      <c r="P535" s="226">
        <f t="shared" si="74"/>
        <v>1157.0360110803324</v>
      </c>
      <c r="Q535" s="107" t="s">
        <v>1486</v>
      </c>
      <c r="R535" s="34">
        <v>0.35</v>
      </c>
      <c r="S535" s="226">
        <f t="shared" si="67"/>
        <v>988.61538461538453</v>
      </c>
      <c r="T535" s="156" t="s">
        <v>1486</v>
      </c>
      <c r="U535" s="2" t="s">
        <v>50</v>
      </c>
      <c r="V535" s="2" t="s">
        <v>47</v>
      </c>
      <c r="W535" s="2" t="s">
        <v>2900</v>
      </c>
      <c r="X535" s="2" t="s">
        <v>2903</v>
      </c>
      <c r="Y535" s="488" t="s">
        <v>1486</v>
      </c>
      <c r="Z535" s="293">
        <f t="shared" si="68"/>
        <v>207.92243767313028</v>
      </c>
      <c r="AA535" s="293">
        <f t="shared" si="69"/>
        <v>290.76923076923072</v>
      </c>
    </row>
    <row r="536" spans="1:27" s="320" customFormat="1" x14ac:dyDescent="0.25">
      <c r="A536" s="220" t="s">
        <v>1686</v>
      </c>
      <c r="B536" s="221" t="s">
        <v>2300</v>
      </c>
      <c r="C536" s="223" t="s">
        <v>1739</v>
      </c>
      <c r="D536" s="220" t="s">
        <v>661</v>
      </c>
      <c r="E536" s="222">
        <v>24</v>
      </c>
      <c r="F536" s="192">
        <v>500</v>
      </c>
      <c r="G536" s="24">
        <v>0.2</v>
      </c>
      <c r="H536" s="24">
        <v>0.05</v>
      </c>
      <c r="I536" s="24">
        <v>0.05</v>
      </c>
      <c r="J536" s="24">
        <v>0</v>
      </c>
      <c r="K536" s="224">
        <f t="shared" si="70"/>
        <v>0.27800000000000014</v>
      </c>
      <c r="L536" s="225">
        <f t="shared" si="71"/>
        <v>16620.498614958451</v>
      </c>
      <c r="M536" s="225">
        <f t="shared" si="72"/>
        <v>692.52077562326883</v>
      </c>
      <c r="N536" s="226">
        <f t="shared" si="73"/>
        <v>824.09972299168987</v>
      </c>
      <c r="O536" s="34">
        <v>0.3</v>
      </c>
      <c r="P536" s="226">
        <f t="shared" si="74"/>
        <v>1071.3296398891969</v>
      </c>
      <c r="Q536" s="107" t="s">
        <v>1486</v>
      </c>
      <c r="R536" s="34">
        <v>0.3</v>
      </c>
      <c r="S536" s="226">
        <f t="shared" si="67"/>
        <v>850</v>
      </c>
      <c r="T536" s="156" t="s">
        <v>1486</v>
      </c>
      <c r="U536" s="2" t="s">
        <v>50</v>
      </c>
      <c r="V536" s="2" t="s">
        <v>47</v>
      </c>
      <c r="W536" s="2" t="s">
        <v>2900</v>
      </c>
      <c r="X536" s="2" t="s">
        <v>2903</v>
      </c>
      <c r="Y536" s="488" t="s">
        <v>1486</v>
      </c>
      <c r="Z536" s="293">
        <f t="shared" si="68"/>
        <v>192.52077562326883</v>
      </c>
      <c r="AA536" s="293">
        <f t="shared" si="69"/>
        <v>214.28571428571433</v>
      </c>
    </row>
    <row r="537" spans="1:27" s="320" customFormat="1" x14ac:dyDescent="0.25">
      <c r="A537" s="220" t="s">
        <v>1691</v>
      </c>
      <c r="B537" s="221" t="s">
        <v>1742</v>
      </c>
      <c r="C537" s="223" t="s">
        <v>1739</v>
      </c>
      <c r="D537" s="220" t="s">
        <v>733</v>
      </c>
      <c r="E537" s="222">
        <v>6</v>
      </c>
      <c r="F537" s="192">
        <v>0</v>
      </c>
      <c r="G537" s="24">
        <v>0.2</v>
      </c>
      <c r="H537" s="24">
        <v>0.05</v>
      </c>
      <c r="I537" s="24">
        <v>0.05</v>
      </c>
      <c r="J537" s="24">
        <v>0</v>
      </c>
      <c r="K537" s="224">
        <f t="shared" si="70"/>
        <v>0</v>
      </c>
      <c r="L537" s="225">
        <f t="shared" si="71"/>
        <v>0</v>
      </c>
      <c r="M537" s="225">
        <f t="shared" si="72"/>
        <v>0</v>
      </c>
      <c r="N537" s="226">
        <f t="shared" si="73"/>
        <v>0</v>
      </c>
      <c r="O537" s="34">
        <v>0.3</v>
      </c>
      <c r="P537" s="226">
        <f t="shared" si="74"/>
        <v>0</v>
      </c>
      <c r="Q537" s="107" t="s">
        <v>1486</v>
      </c>
      <c r="R537" s="34">
        <v>0.3</v>
      </c>
      <c r="S537" s="226">
        <f t="shared" si="67"/>
        <v>0</v>
      </c>
      <c r="T537" s="156" t="s">
        <v>1486</v>
      </c>
      <c r="U537" s="2" t="s">
        <v>109</v>
      </c>
      <c r="V537" s="2" t="s">
        <v>47</v>
      </c>
      <c r="W537" s="2" t="s">
        <v>5863</v>
      </c>
      <c r="X537" s="2" t="s">
        <v>5881</v>
      </c>
      <c r="Y537" s="488" t="s">
        <v>1486</v>
      </c>
      <c r="Z537" s="293">
        <f t="shared" si="68"/>
        <v>0</v>
      </c>
      <c r="AA537" s="293">
        <f t="shared" si="69"/>
        <v>0</v>
      </c>
    </row>
    <row r="538" spans="1:27" s="320" customFormat="1" x14ac:dyDescent="0.25">
      <c r="A538" s="220" t="s">
        <v>1702</v>
      </c>
      <c r="B538" s="221" t="s">
        <v>1743</v>
      </c>
      <c r="C538" s="223" t="s">
        <v>1739</v>
      </c>
      <c r="D538" s="220" t="s">
        <v>733</v>
      </c>
      <c r="E538" s="222">
        <v>6</v>
      </c>
      <c r="F538" s="192">
        <v>0</v>
      </c>
      <c r="G538" s="24">
        <v>0.2</v>
      </c>
      <c r="H538" s="24">
        <v>0.05</v>
      </c>
      <c r="I538" s="24">
        <v>0.05</v>
      </c>
      <c r="J538" s="24">
        <v>0</v>
      </c>
      <c r="K538" s="224">
        <f t="shared" si="70"/>
        <v>0</v>
      </c>
      <c r="L538" s="225">
        <f t="shared" si="71"/>
        <v>0</v>
      </c>
      <c r="M538" s="225">
        <f t="shared" si="72"/>
        <v>0</v>
      </c>
      <c r="N538" s="226">
        <f t="shared" si="73"/>
        <v>0</v>
      </c>
      <c r="O538" s="34">
        <v>0.3</v>
      </c>
      <c r="P538" s="226">
        <f t="shared" si="74"/>
        <v>0</v>
      </c>
      <c r="Q538" s="107" t="s">
        <v>1486</v>
      </c>
      <c r="R538" s="34">
        <v>0.3</v>
      </c>
      <c r="S538" s="226">
        <f t="shared" si="67"/>
        <v>0</v>
      </c>
      <c r="T538" s="156" t="s">
        <v>1486</v>
      </c>
      <c r="U538" s="2" t="s">
        <v>109</v>
      </c>
      <c r="V538" s="2" t="s">
        <v>47</v>
      </c>
      <c r="W538" s="2" t="s">
        <v>5863</v>
      </c>
      <c r="X538" s="2" t="s">
        <v>5881</v>
      </c>
      <c r="Y538" s="488" t="s">
        <v>1486</v>
      </c>
      <c r="Z538" s="293">
        <f t="shared" si="68"/>
        <v>0</v>
      </c>
      <c r="AA538" s="293">
        <f t="shared" si="69"/>
        <v>0</v>
      </c>
    </row>
    <row r="539" spans="1:27" s="320" customFormat="1" x14ac:dyDescent="0.25">
      <c r="A539" s="220" t="s">
        <v>1703</v>
      </c>
      <c r="B539" s="221" t="s">
        <v>1738</v>
      </c>
      <c r="C539" s="223" t="s">
        <v>1739</v>
      </c>
      <c r="D539" s="220" t="s">
        <v>733</v>
      </c>
      <c r="E539" s="222">
        <v>6</v>
      </c>
      <c r="F539" s="192">
        <v>10700</v>
      </c>
      <c r="G539" s="24">
        <v>0.2</v>
      </c>
      <c r="H539" s="24">
        <v>0.05</v>
      </c>
      <c r="I539" s="24">
        <v>0.05</v>
      </c>
      <c r="J539" s="24">
        <v>0</v>
      </c>
      <c r="K539" s="224">
        <f t="shared" si="70"/>
        <v>0.27800000000000014</v>
      </c>
      <c r="L539" s="225">
        <f t="shared" si="71"/>
        <v>88919.667590027704</v>
      </c>
      <c r="M539" s="225">
        <f t="shared" si="72"/>
        <v>14819.944598337952</v>
      </c>
      <c r="N539" s="226">
        <f t="shared" si="73"/>
        <v>17635.734072022162</v>
      </c>
      <c r="O539" s="34">
        <v>0.3</v>
      </c>
      <c r="P539" s="226">
        <f t="shared" si="74"/>
        <v>22926.454293628813</v>
      </c>
      <c r="Q539" s="107" t="s">
        <v>1486</v>
      </c>
      <c r="R539" s="34">
        <v>0.36334999896326381</v>
      </c>
      <c r="S539" s="226">
        <f t="shared" si="67"/>
        <v>19999.999967431515</v>
      </c>
      <c r="T539" s="156" t="s">
        <v>1486</v>
      </c>
      <c r="U539" s="2" t="s">
        <v>109</v>
      </c>
      <c r="V539" s="2" t="s">
        <v>47</v>
      </c>
      <c r="W539" s="2" t="s">
        <v>5863</v>
      </c>
      <c r="X539" s="2" t="s">
        <v>5881</v>
      </c>
      <c r="Y539" s="488" t="s">
        <v>1486</v>
      </c>
      <c r="Z539" s="293">
        <f t="shared" si="68"/>
        <v>4119.9445983379519</v>
      </c>
      <c r="AA539" s="293">
        <f t="shared" si="69"/>
        <v>6106.7226617071574</v>
      </c>
    </row>
    <row r="540" spans="1:27" s="320" customFormat="1" x14ac:dyDescent="0.25">
      <c r="A540" s="220" t="s">
        <v>1704</v>
      </c>
      <c r="B540" s="221" t="s">
        <v>2718</v>
      </c>
      <c r="C540" s="223" t="s">
        <v>1739</v>
      </c>
      <c r="D540" s="220" t="s">
        <v>733</v>
      </c>
      <c r="E540" s="222">
        <v>12</v>
      </c>
      <c r="F540" s="192">
        <v>5952</v>
      </c>
      <c r="G540" s="24">
        <v>0.2</v>
      </c>
      <c r="H540" s="24">
        <v>0.05</v>
      </c>
      <c r="I540" s="24">
        <v>0.05</v>
      </c>
      <c r="J540" s="24">
        <v>0</v>
      </c>
      <c r="K540" s="224">
        <f t="shared" si="70"/>
        <v>0.27800000000000014</v>
      </c>
      <c r="L540" s="225">
        <f t="shared" si="71"/>
        <v>98925.207756232703</v>
      </c>
      <c r="M540" s="225">
        <f t="shared" si="72"/>
        <v>8243.7673130193925</v>
      </c>
      <c r="N540" s="226">
        <f t="shared" si="73"/>
        <v>9810.0831024930758</v>
      </c>
      <c r="O540" s="34">
        <v>0.3</v>
      </c>
      <c r="P540" s="226">
        <f t="shared" si="74"/>
        <v>12753.108033240998</v>
      </c>
      <c r="Q540" s="107" t="s">
        <v>1486</v>
      </c>
      <c r="R540" s="34">
        <v>0.25443365438670407</v>
      </c>
      <c r="S540" s="226">
        <f t="shared" si="67"/>
        <v>9499.9996199851121</v>
      </c>
      <c r="T540" s="156" t="s">
        <v>1486</v>
      </c>
      <c r="U540" s="2" t="s">
        <v>109</v>
      </c>
      <c r="V540" s="2" t="s">
        <v>47</v>
      </c>
      <c r="W540" s="2" t="s">
        <v>5863</v>
      </c>
      <c r="X540" s="2" t="s">
        <v>5881</v>
      </c>
      <c r="Y540" s="488" t="s">
        <v>1486</v>
      </c>
      <c r="Z540" s="293">
        <f t="shared" si="68"/>
        <v>2291.7673130193925</v>
      </c>
      <c r="AA540" s="293">
        <f t="shared" si="69"/>
        <v>2031.192957970683</v>
      </c>
    </row>
    <row r="541" spans="1:27" s="320" customFormat="1" x14ac:dyDescent="0.25">
      <c r="A541" s="220" t="s">
        <v>1705</v>
      </c>
      <c r="B541" s="221" t="s">
        <v>1744</v>
      </c>
      <c r="C541" s="223" t="s">
        <v>1739</v>
      </c>
      <c r="D541" s="220" t="s">
        <v>733</v>
      </c>
      <c r="E541" s="222">
        <v>20</v>
      </c>
      <c r="F541" s="192">
        <v>0</v>
      </c>
      <c r="G541" s="24">
        <v>0.2</v>
      </c>
      <c r="H541" s="24">
        <v>0.05</v>
      </c>
      <c r="I541" s="24">
        <v>0.05</v>
      </c>
      <c r="J541" s="24">
        <v>0</v>
      </c>
      <c r="K541" s="224">
        <f t="shared" si="70"/>
        <v>0</v>
      </c>
      <c r="L541" s="225">
        <f t="shared" si="71"/>
        <v>0</v>
      </c>
      <c r="M541" s="225">
        <f t="shared" si="72"/>
        <v>0</v>
      </c>
      <c r="N541" s="226">
        <f t="shared" si="73"/>
        <v>0</v>
      </c>
      <c r="O541" s="34">
        <v>0.3</v>
      </c>
      <c r="P541" s="226">
        <f t="shared" si="74"/>
        <v>0</v>
      </c>
      <c r="Q541" s="107" t="s">
        <v>1486</v>
      </c>
      <c r="R541" s="34">
        <v>0.3</v>
      </c>
      <c r="S541" s="226">
        <f t="shared" ref="S541:S604" si="75">+(F541/(1-R541))*1.19</f>
        <v>0</v>
      </c>
      <c r="T541" s="156" t="s">
        <v>1486</v>
      </c>
      <c r="U541" s="2" t="s">
        <v>109</v>
      </c>
      <c r="V541" s="2" t="s">
        <v>47</v>
      </c>
      <c r="W541" s="2" t="s">
        <v>5863</v>
      </c>
      <c r="X541" s="2" t="s">
        <v>5881</v>
      </c>
      <c r="Y541" s="488" t="s">
        <v>1486</v>
      </c>
      <c r="Z541" s="293">
        <f t="shared" si="68"/>
        <v>0</v>
      </c>
      <c r="AA541" s="293">
        <f t="shared" si="69"/>
        <v>0</v>
      </c>
    </row>
    <row r="542" spans="1:27" s="320" customFormat="1" x14ac:dyDescent="0.25">
      <c r="A542" s="220" t="s">
        <v>1706</v>
      </c>
      <c r="B542" s="221" t="s">
        <v>1745</v>
      </c>
      <c r="C542" s="223" t="s">
        <v>1739</v>
      </c>
      <c r="D542" s="220" t="s">
        <v>733</v>
      </c>
      <c r="E542" s="222">
        <v>20</v>
      </c>
      <c r="F542" s="192">
        <v>0</v>
      </c>
      <c r="G542" s="24">
        <v>0.2</v>
      </c>
      <c r="H542" s="24">
        <v>0.05</v>
      </c>
      <c r="I542" s="24">
        <v>0.05</v>
      </c>
      <c r="J542" s="24">
        <v>0</v>
      </c>
      <c r="K542" s="224">
        <f t="shared" si="70"/>
        <v>0</v>
      </c>
      <c r="L542" s="225">
        <f t="shared" si="71"/>
        <v>0</v>
      </c>
      <c r="M542" s="225">
        <f t="shared" si="72"/>
        <v>0</v>
      </c>
      <c r="N542" s="226">
        <f t="shared" si="73"/>
        <v>0</v>
      </c>
      <c r="O542" s="34">
        <v>0.3</v>
      </c>
      <c r="P542" s="226">
        <f t="shared" si="74"/>
        <v>0</v>
      </c>
      <c r="Q542" s="107" t="s">
        <v>1486</v>
      </c>
      <c r="R542" s="34">
        <v>0.3</v>
      </c>
      <c r="S542" s="226">
        <f t="shared" si="75"/>
        <v>0</v>
      </c>
      <c r="T542" s="156" t="s">
        <v>1486</v>
      </c>
      <c r="U542" s="2" t="s">
        <v>109</v>
      </c>
      <c r="V542" s="2" t="s">
        <v>47</v>
      </c>
      <c r="W542" s="2" t="s">
        <v>5863</v>
      </c>
      <c r="X542" s="2" t="s">
        <v>5881</v>
      </c>
      <c r="Y542" s="488" t="s">
        <v>1486</v>
      </c>
      <c r="Z542" s="293">
        <f t="shared" si="68"/>
        <v>0</v>
      </c>
      <c r="AA542" s="293">
        <f t="shared" si="69"/>
        <v>0</v>
      </c>
    </row>
    <row r="543" spans="1:27" s="320" customFormat="1" x14ac:dyDescent="0.25">
      <c r="A543" s="220" t="s">
        <v>1707</v>
      </c>
      <c r="B543" s="221" t="s">
        <v>2520</v>
      </c>
      <c r="C543" s="223" t="s">
        <v>1739</v>
      </c>
      <c r="D543" s="220" t="s">
        <v>733</v>
      </c>
      <c r="E543" s="222">
        <v>20</v>
      </c>
      <c r="F543" s="192">
        <v>0</v>
      </c>
      <c r="G543" s="24">
        <v>0.2</v>
      </c>
      <c r="H543" s="24">
        <v>0.05</v>
      </c>
      <c r="I543" s="24">
        <v>0.05</v>
      </c>
      <c r="J543" s="24">
        <v>0</v>
      </c>
      <c r="K543" s="224">
        <f t="shared" si="70"/>
        <v>0</v>
      </c>
      <c r="L543" s="225">
        <f t="shared" si="71"/>
        <v>0</v>
      </c>
      <c r="M543" s="225">
        <f t="shared" si="72"/>
        <v>0</v>
      </c>
      <c r="N543" s="226">
        <f t="shared" si="73"/>
        <v>0</v>
      </c>
      <c r="O543" s="34">
        <v>0.3</v>
      </c>
      <c r="P543" s="226">
        <f t="shared" si="74"/>
        <v>0</v>
      </c>
      <c r="Q543" s="107" t="s">
        <v>1486</v>
      </c>
      <c r="R543" s="34">
        <v>0.3</v>
      </c>
      <c r="S543" s="226">
        <f t="shared" si="75"/>
        <v>0</v>
      </c>
      <c r="T543" s="156" t="s">
        <v>1486</v>
      </c>
      <c r="U543" s="2" t="s">
        <v>109</v>
      </c>
      <c r="V543" s="2" t="s">
        <v>47</v>
      </c>
      <c r="W543" s="2" t="s">
        <v>5863</v>
      </c>
      <c r="X543" s="2" t="s">
        <v>5881</v>
      </c>
      <c r="Y543" s="488" t="s">
        <v>1486</v>
      </c>
      <c r="Z543" s="293">
        <f t="shared" si="68"/>
        <v>0</v>
      </c>
      <c r="AA543" s="293">
        <f t="shared" si="69"/>
        <v>0</v>
      </c>
    </row>
    <row r="544" spans="1:27" s="320" customFormat="1" x14ac:dyDescent="0.25">
      <c r="A544" s="220" t="s">
        <v>1708</v>
      </c>
      <c r="B544" s="221" t="s">
        <v>1746</v>
      </c>
      <c r="C544" s="223" t="s">
        <v>1739</v>
      </c>
      <c r="D544" s="220" t="s">
        <v>733</v>
      </c>
      <c r="E544" s="222">
        <v>16</v>
      </c>
      <c r="F544" s="192">
        <v>0</v>
      </c>
      <c r="G544" s="24">
        <v>0.2</v>
      </c>
      <c r="H544" s="24">
        <v>0.05</v>
      </c>
      <c r="I544" s="24">
        <v>0.05</v>
      </c>
      <c r="J544" s="24">
        <v>0</v>
      </c>
      <c r="K544" s="224">
        <f t="shared" si="70"/>
        <v>0</v>
      </c>
      <c r="L544" s="225">
        <f t="shared" si="71"/>
        <v>0</v>
      </c>
      <c r="M544" s="225">
        <f t="shared" si="72"/>
        <v>0</v>
      </c>
      <c r="N544" s="226">
        <f t="shared" si="73"/>
        <v>0</v>
      </c>
      <c r="O544" s="34">
        <v>0.3</v>
      </c>
      <c r="P544" s="226">
        <f t="shared" si="74"/>
        <v>0</v>
      </c>
      <c r="Q544" s="107" t="s">
        <v>1486</v>
      </c>
      <c r="R544" s="34">
        <v>0.3</v>
      </c>
      <c r="S544" s="226">
        <f t="shared" si="75"/>
        <v>0</v>
      </c>
      <c r="T544" s="156" t="s">
        <v>1486</v>
      </c>
      <c r="U544" s="2" t="s">
        <v>109</v>
      </c>
      <c r="V544" s="2" t="s">
        <v>47</v>
      </c>
      <c r="W544" s="2" t="s">
        <v>5863</v>
      </c>
      <c r="X544" s="2" t="s">
        <v>5881</v>
      </c>
      <c r="Y544" s="488" t="s">
        <v>1486</v>
      </c>
      <c r="Z544" s="293">
        <f t="shared" si="68"/>
        <v>0</v>
      </c>
      <c r="AA544" s="293">
        <f t="shared" si="69"/>
        <v>0</v>
      </c>
    </row>
    <row r="545" spans="1:27" s="320" customFormat="1" x14ac:dyDescent="0.25">
      <c r="A545" s="220" t="s">
        <v>1709</v>
      </c>
      <c r="B545" s="221" t="s">
        <v>1747</v>
      </c>
      <c r="C545" s="223" t="s">
        <v>1739</v>
      </c>
      <c r="D545" s="220" t="s">
        <v>733</v>
      </c>
      <c r="E545" s="222">
        <v>16</v>
      </c>
      <c r="F545" s="192">
        <v>0</v>
      </c>
      <c r="G545" s="24">
        <v>0.2</v>
      </c>
      <c r="H545" s="24">
        <v>0.05</v>
      </c>
      <c r="I545" s="24">
        <v>0.05</v>
      </c>
      <c r="J545" s="24">
        <v>0</v>
      </c>
      <c r="K545" s="224">
        <f t="shared" si="70"/>
        <v>0</v>
      </c>
      <c r="L545" s="225">
        <f t="shared" si="71"/>
        <v>0</v>
      </c>
      <c r="M545" s="225">
        <f t="shared" si="72"/>
        <v>0</v>
      </c>
      <c r="N545" s="226">
        <f t="shared" si="73"/>
        <v>0</v>
      </c>
      <c r="O545" s="34">
        <v>0.3</v>
      </c>
      <c r="P545" s="226">
        <f t="shared" si="74"/>
        <v>0</v>
      </c>
      <c r="Q545" s="107" t="s">
        <v>1486</v>
      </c>
      <c r="R545" s="34">
        <v>0.3</v>
      </c>
      <c r="S545" s="226">
        <f t="shared" si="75"/>
        <v>0</v>
      </c>
      <c r="T545" s="156" t="s">
        <v>1486</v>
      </c>
      <c r="U545" s="2" t="s">
        <v>109</v>
      </c>
      <c r="V545" s="2" t="s">
        <v>47</v>
      </c>
      <c r="W545" s="2" t="s">
        <v>5863</v>
      </c>
      <c r="X545" s="2" t="s">
        <v>5881</v>
      </c>
      <c r="Y545" s="488" t="s">
        <v>1486</v>
      </c>
      <c r="Z545" s="293">
        <f t="shared" si="68"/>
        <v>0</v>
      </c>
      <c r="AA545" s="293">
        <f t="shared" si="69"/>
        <v>0</v>
      </c>
    </row>
    <row r="546" spans="1:27" s="320" customFormat="1" x14ac:dyDescent="0.25">
      <c r="A546" s="220" t="s">
        <v>1710</v>
      </c>
      <c r="B546" s="221" t="s">
        <v>2521</v>
      </c>
      <c r="C546" s="223" t="s">
        <v>1739</v>
      </c>
      <c r="D546" s="220" t="s">
        <v>733</v>
      </c>
      <c r="E546" s="222">
        <v>16</v>
      </c>
      <c r="F546" s="192">
        <v>0</v>
      </c>
      <c r="G546" s="24">
        <v>0.2</v>
      </c>
      <c r="H546" s="24">
        <v>0.05</v>
      </c>
      <c r="I546" s="24">
        <v>0.05</v>
      </c>
      <c r="J546" s="24">
        <v>0</v>
      </c>
      <c r="K546" s="224">
        <f t="shared" si="70"/>
        <v>0</v>
      </c>
      <c r="L546" s="225">
        <f t="shared" si="71"/>
        <v>0</v>
      </c>
      <c r="M546" s="225">
        <f t="shared" si="72"/>
        <v>0</v>
      </c>
      <c r="N546" s="226">
        <f t="shared" si="73"/>
        <v>0</v>
      </c>
      <c r="O546" s="34">
        <v>0.3</v>
      </c>
      <c r="P546" s="226">
        <f t="shared" si="74"/>
        <v>0</v>
      </c>
      <c r="Q546" s="107" t="s">
        <v>1486</v>
      </c>
      <c r="R546" s="34">
        <v>0.3</v>
      </c>
      <c r="S546" s="226">
        <f t="shared" si="75"/>
        <v>0</v>
      </c>
      <c r="T546" s="156" t="s">
        <v>1486</v>
      </c>
      <c r="U546" s="2" t="s">
        <v>109</v>
      </c>
      <c r="V546" s="2" t="s">
        <v>47</v>
      </c>
      <c r="W546" s="2" t="s">
        <v>5863</v>
      </c>
      <c r="X546" s="2" t="s">
        <v>5881</v>
      </c>
      <c r="Y546" s="488" t="s">
        <v>1486</v>
      </c>
      <c r="Z546" s="293">
        <f t="shared" si="68"/>
        <v>0</v>
      </c>
      <c r="AA546" s="293">
        <f t="shared" si="69"/>
        <v>0</v>
      </c>
    </row>
    <row r="547" spans="1:27" s="320" customFormat="1" x14ac:dyDescent="0.25">
      <c r="A547" s="220" t="s">
        <v>1711</v>
      </c>
      <c r="B547" s="221" t="s">
        <v>2361</v>
      </c>
      <c r="C547" s="223" t="s">
        <v>1524</v>
      </c>
      <c r="D547" s="220" t="s">
        <v>1539</v>
      </c>
      <c r="E547" s="222">
        <v>12</v>
      </c>
      <c r="F547" s="192">
        <v>5042</v>
      </c>
      <c r="G547" s="24">
        <v>0.2</v>
      </c>
      <c r="H547" s="24">
        <v>0.05</v>
      </c>
      <c r="I547" s="24">
        <v>0.05</v>
      </c>
      <c r="J547" s="24">
        <v>0</v>
      </c>
      <c r="K547" s="224">
        <f t="shared" si="70"/>
        <v>0.27800000000000002</v>
      </c>
      <c r="L547" s="225">
        <f t="shared" si="71"/>
        <v>83800.554016620503</v>
      </c>
      <c r="M547" s="225">
        <f t="shared" si="72"/>
        <v>6983.3795013850422</v>
      </c>
      <c r="N547" s="226">
        <f t="shared" si="73"/>
        <v>8310.2216066481997</v>
      </c>
      <c r="O547" s="34">
        <v>0.3</v>
      </c>
      <c r="P547" s="226">
        <f t="shared" si="74"/>
        <v>10803.288088642659</v>
      </c>
      <c r="Q547" s="107" t="s">
        <v>1486</v>
      </c>
      <c r="R547" s="34">
        <v>0.2</v>
      </c>
      <c r="S547" s="226">
        <f t="shared" si="75"/>
        <v>7499.9749999999995</v>
      </c>
      <c r="T547" s="156" t="s">
        <v>1486</v>
      </c>
      <c r="U547" s="2">
        <v>1</v>
      </c>
      <c r="V547" s="2" t="s">
        <v>47</v>
      </c>
      <c r="W547" s="2" t="s">
        <v>5883</v>
      </c>
      <c r="X547" s="2" t="s">
        <v>5965</v>
      </c>
      <c r="Y547" s="488" t="s">
        <v>1486</v>
      </c>
      <c r="Z547" s="293">
        <f t="shared" si="68"/>
        <v>1941.3795013850422</v>
      </c>
      <c r="AA547" s="293">
        <f t="shared" si="69"/>
        <v>1260.5</v>
      </c>
    </row>
    <row r="548" spans="1:27" s="320" customFormat="1" x14ac:dyDescent="0.25">
      <c r="A548" s="220" t="s">
        <v>1712</v>
      </c>
      <c r="B548" s="221" t="s">
        <v>2362</v>
      </c>
      <c r="C548" s="223" t="s">
        <v>1524</v>
      </c>
      <c r="D548" s="220" t="s">
        <v>1539</v>
      </c>
      <c r="E548" s="222">
        <v>12</v>
      </c>
      <c r="F548" s="192">
        <v>5043</v>
      </c>
      <c r="G548" s="24">
        <v>0.2</v>
      </c>
      <c r="H548" s="24">
        <v>0.05</v>
      </c>
      <c r="I548" s="24">
        <v>0.05</v>
      </c>
      <c r="J548" s="24">
        <v>0</v>
      </c>
      <c r="K548" s="224">
        <f t="shared" si="70"/>
        <v>0.27800000000000014</v>
      </c>
      <c r="L548" s="225">
        <f t="shared" si="71"/>
        <v>83817.174515235471</v>
      </c>
      <c r="M548" s="225">
        <f t="shared" si="72"/>
        <v>6984.7645429362892</v>
      </c>
      <c r="N548" s="226">
        <f t="shared" si="73"/>
        <v>8311.8698060941842</v>
      </c>
      <c r="O548" s="34">
        <v>0.3</v>
      </c>
      <c r="P548" s="226">
        <f t="shared" si="74"/>
        <v>10805.430747922441</v>
      </c>
      <c r="Q548" s="107" t="s">
        <v>1486</v>
      </c>
      <c r="R548" s="34">
        <v>0.1998440008285087</v>
      </c>
      <c r="S548" s="226">
        <f t="shared" si="75"/>
        <v>7500.0000077657551</v>
      </c>
      <c r="T548" s="156" t="s">
        <v>1486</v>
      </c>
      <c r="U548" s="2">
        <v>2</v>
      </c>
      <c r="V548" s="2" t="s">
        <v>47</v>
      </c>
      <c r="W548" s="2" t="s">
        <v>5883</v>
      </c>
      <c r="X548" s="2" t="s">
        <v>5965</v>
      </c>
      <c r="Y548" s="488" t="s">
        <v>1486</v>
      </c>
      <c r="Z548" s="293">
        <f t="shared" si="68"/>
        <v>1941.7645429362892</v>
      </c>
      <c r="AA548" s="293">
        <f t="shared" si="69"/>
        <v>1259.5210149292061</v>
      </c>
    </row>
    <row r="549" spans="1:27" s="320" customFormat="1" x14ac:dyDescent="0.25">
      <c r="A549" s="220" t="s">
        <v>1719</v>
      </c>
      <c r="B549" s="221" t="s">
        <v>2365</v>
      </c>
      <c r="C549" s="223" t="s">
        <v>1524</v>
      </c>
      <c r="D549" s="220" t="s">
        <v>1539</v>
      </c>
      <c r="E549" s="222">
        <v>12</v>
      </c>
      <c r="F549" s="192">
        <v>5042</v>
      </c>
      <c r="G549" s="24">
        <v>0.2</v>
      </c>
      <c r="H549" s="24">
        <v>0.05</v>
      </c>
      <c r="I549" s="24">
        <v>0.05</v>
      </c>
      <c r="J549" s="24">
        <v>0</v>
      </c>
      <c r="K549" s="224">
        <f t="shared" si="70"/>
        <v>0.27800000000000002</v>
      </c>
      <c r="L549" s="225">
        <f t="shared" si="71"/>
        <v>83800.554016620503</v>
      </c>
      <c r="M549" s="225">
        <f t="shared" si="72"/>
        <v>6983.3795013850422</v>
      </c>
      <c r="N549" s="226">
        <f t="shared" si="73"/>
        <v>8310.2216066481997</v>
      </c>
      <c r="O549" s="34">
        <v>0.3</v>
      </c>
      <c r="P549" s="226">
        <f t="shared" si="74"/>
        <v>10803.288088642659</v>
      </c>
      <c r="Q549" s="107" t="s">
        <v>1486</v>
      </c>
      <c r="R549" s="34">
        <v>0.2</v>
      </c>
      <c r="S549" s="226">
        <f t="shared" si="75"/>
        <v>7499.9749999999995</v>
      </c>
      <c r="T549" s="156" t="s">
        <v>1486</v>
      </c>
      <c r="U549" s="2">
        <v>3</v>
      </c>
      <c r="V549" s="2" t="s">
        <v>47</v>
      </c>
      <c r="W549" s="2" t="s">
        <v>5883</v>
      </c>
      <c r="X549" s="2" t="s">
        <v>5965</v>
      </c>
      <c r="Y549" s="488" t="s">
        <v>1486</v>
      </c>
      <c r="Z549" s="293">
        <f t="shared" si="68"/>
        <v>1941.3795013850422</v>
      </c>
      <c r="AA549" s="293">
        <f t="shared" si="69"/>
        <v>1260.5</v>
      </c>
    </row>
    <row r="550" spans="1:27" s="320" customFormat="1" x14ac:dyDescent="0.25">
      <c r="A550" s="220" t="s">
        <v>1720</v>
      </c>
      <c r="B550" s="221" t="s">
        <v>1628</v>
      </c>
      <c r="C550" s="223" t="s">
        <v>1626</v>
      </c>
      <c r="D550" s="220" t="s">
        <v>1629</v>
      </c>
      <c r="E550" s="222"/>
      <c r="F550" s="192">
        <v>850</v>
      </c>
      <c r="G550" s="24">
        <v>0.2</v>
      </c>
      <c r="H550" s="24">
        <v>0.05</v>
      </c>
      <c r="I550" s="24">
        <v>0.05</v>
      </c>
      <c r="J550" s="24">
        <v>0</v>
      </c>
      <c r="K550" s="224">
        <f t="shared" si="70"/>
        <v>0.27800000000000002</v>
      </c>
      <c r="L550" s="225">
        <f t="shared" si="71"/>
        <v>0</v>
      </c>
      <c r="M550" s="225">
        <f t="shared" si="72"/>
        <v>1177.2853185595568</v>
      </c>
      <c r="N550" s="226">
        <f t="shared" si="73"/>
        <v>1400.9695290858726</v>
      </c>
      <c r="O550" s="34">
        <v>0.3</v>
      </c>
      <c r="P550" s="226">
        <f t="shared" si="74"/>
        <v>1821.2603878116345</v>
      </c>
      <c r="Q550" s="107" t="s">
        <v>1486</v>
      </c>
      <c r="R550" s="34">
        <v>0.3</v>
      </c>
      <c r="S550" s="226">
        <f t="shared" si="75"/>
        <v>1445.0000000000002</v>
      </c>
      <c r="T550" s="156" t="s">
        <v>1486</v>
      </c>
      <c r="U550" s="2" t="s">
        <v>50</v>
      </c>
      <c r="V550" s="2" t="s">
        <v>47</v>
      </c>
      <c r="W550" s="2" t="s">
        <v>5963</v>
      </c>
      <c r="X550" s="2"/>
      <c r="Y550" s="488" t="s">
        <v>1486</v>
      </c>
      <c r="Z550" s="293">
        <f t="shared" si="68"/>
        <v>327.2853185595568</v>
      </c>
      <c r="AA550" s="293">
        <f t="shared" si="69"/>
        <v>364.28571428571445</v>
      </c>
    </row>
    <row r="551" spans="1:27" s="320" customFormat="1" x14ac:dyDescent="0.25">
      <c r="A551" s="220" t="s">
        <v>1721</v>
      </c>
      <c r="B551" s="221" t="s">
        <v>1630</v>
      </c>
      <c r="C551" s="223" t="s">
        <v>1626</v>
      </c>
      <c r="D551" s="220" t="s">
        <v>1629</v>
      </c>
      <c r="E551" s="222"/>
      <c r="F551" s="192">
        <v>850</v>
      </c>
      <c r="G551" s="24">
        <v>0.2</v>
      </c>
      <c r="H551" s="24">
        <v>0.05</v>
      </c>
      <c r="I551" s="24">
        <v>0.05</v>
      </c>
      <c r="J551" s="24">
        <v>0</v>
      </c>
      <c r="K551" s="224">
        <f t="shared" si="70"/>
        <v>0.27800000000000002</v>
      </c>
      <c r="L551" s="225">
        <f t="shared" si="71"/>
        <v>0</v>
      </c>
      <c r="M551" s="225">
        <f t="shared" si="72"/>
        <v>1177.2853185595568</v>
      </c>
      <c r="N551" s="226">
        <f t="shared" si="73"/>
        <v>1400.9695290858726</v>
      </c>
      <c r="O551" s="34">
        <v>0.3</v>
      </c>
      <c r="P551" s="226">
        <f t="shared" si="74"/>
        <v>1821.2603878116345</v>
      </c>
      <c r="Q551" s="107" t="s">
        <v>1486</v>
      </c>
      <c r="R551" s="34">
        <v>0.3</v>
      </c>
      <c r="S551" s="226">
        <f t="shared" si="75"/>
        <v>1445.0000000000002</v>
      </c>
      <c r="T551" s="156" t="s">
        <v>1486</v>
      </c>
      <c r="U551" s="2" t="s">
        <v>50</v>
      </c>
      <c r="V551" s="2" t="s">
        <v>47</v>
      </c>
      <c r="W551" s="2" t="s">
        <v>5963</v>
      </c>
      <c r="X551" s="2"/>
      <c r="Y551" s="488" t="s">
        <v>1486</v>
      </c>
      <c r="Z551" s="293">
        <f t="shared" si="68"/>
        <v>327.2853185595568</v>
      </c>
      <c r="AA551" s="293">
        <f t="shared" si="69"/>
        <v>364.28571428571445</v>
      </c>
    </row>
    <row r="552" spans="1:27" s="320" customFormat="1" x14ac:dyDescent="0.25">
      <c r="A552" s="220" t="s">
        <v>1723</v>
      </c>
      <c r="B552" s="221" t="s">
        <v>1631</v>
      </c>
      <c r="C552" s="223" t="s">
        <v>1626</v>
      </c>
      <c r="D552" s="220" t="s">
        <v>112</v>
      </c>
      <c r="E552" s="222">
        <v>24</v>
      </c>
      <c r="F552" s="192">
        <v>545</v>
      </c>
      <c r="G552" s="24">
        <v>0.2</v>
      </c>
      <c r="H552" s="24">
        <v>0.05</v>
      </c>
      <c r="I552" s="24">
        <v>0.05</v>
      </c>
      <c r="J552" s="24">
        <v>0</v>
      </c>
      <c r="K552" s="224">
        <f t="shared" si="70"/>
        <v>0.27800000000000002</v>
      </c>
      <c r="L552" s="225">
        <f t="shared" si="71"/>
        <v>18116.343490304709</v>
      </c>
      <c r="M552" s="225">
        <f t="shared" si="72"/>
        <v>754.84764542936296</v>
      </c>
      <c r="N552" s="226">
        <f t="shared" si="73"/>
        <v>898.26869806094192</v>
      </c>
      <c r="O552" s="34">
        <v>0.3</v>
      </c>
      <c r="P552" s="226">
        <f t="shared" si="74"/>
        <v>1167.7493074792246</v>
      </c>
      <c r="Q552" s="107" t="s">
        <v>1486</v>
      </c>
      <c r="R552" s="34">
        <v>0.3</v>
      </c>
      <c r="S552" s="226">
        <f t="shared" si="75"/>
        <v>926.50000000000011</v>
      </c>
      <c r="T552" s="156" t="s">
        <v>1486</v>
      </c>
      <c r="U552" s="2" t="s">
        <v>50</v>
      </c>
      <c r="V552" s="2" t="s">
        <v>47</v>
      </c>
      <c r="W552" s="2" t="s">
        <v>5964</v>
      </c>
      <c r="X552" s="2" t="s">
        <v>1467</v>
      </c>
      <c r="Y552" s="488" t="s">
        <v>1486</v>
      </c>
      <c r="Z552" s="293">
        <f t="shared" si="68"/>
        <v>209.84764542936296</v>
      </c>
      <c r="AA552" s="293">
        <f t="shared" si="69"/>
        <v>233.57142857142867</v>
      </c>
    </row>
    <row r="553" spans="1:27" s="320" customFormat="1" x14ac:dyDescent="0.25">
      <c r="A553" s="220" t="s">
        <v>1724</v>
      </c>
      <c r="B553" s="221" t="s">
        <v>1633</v>
      </c>
      <c r="C553" s="223" t="s">
        <v>1626</v>
      </c>
      <c r="D553" s="220" t="s">
        <v>112</v>
      </c>
      <c r="E553" s="222">
        <v>24</v>
      </c>
      <c r="F553" s="192">
        <v>730</v>
      </c>
      <c r="G553" s="24">
        <v>0.2</v>
      </c>
      <c r="H553" s="24">
        <v>0.05</v>
      </c>
      <c r="I553" s="24">
        <v>0.05</v>
      </c>
      <c r="J553" s="24">
        <v>0</v>
      </c>
      <c r="K553" s="224">
        <f t="shared" si="70"/>
        <v>0.27800000000000014</v>
      </c>
      <c r="L553" s="225">
        <f t="shared" si="71"/>
        <v>24265.927977839339</v>
      </c>
      <c r="M553" s="225">
        <f t="shared" si="72"/>
        <v>1011.0803324099725</v>
      </c>
      <c r="N553" s="226">
        <f t="shared" si="73"/>
        <v>1203.1855955678673</v>
      </c>
      <c r="O553" s="34">
        <v>0.3</v>
      </c>
      <c r="P553" s="226">
        <f t="shared" si="74"/>
        <v>1564.1412742382274</v>
      </c>
      <c r="Q553" s="107" t="s">
        <v>1486</v>
      </c>
      <c r="R553" s="34">
        <v>0.3</v>
      </c>
      <c r="S553" s="226">
        <f t="shared" si="75"/>
        <v>1241</v>
      </c>
      <c r="T553" s="156" t="s">
        <v>1486</v>
      </c>
      <c r="U553" s="2" t="s">
        <v>50</v>
      </c>
      <c r="V553" s="2" t="s">
        <v>47</v>
      </c>
      <c r="W553" s="2" t="s">
        <v>5964</v>
      </c>
      <c r="X553" s="2" t="s">
        <v>1467</v>
      </c>
      <c r="Y553" s="488" t="s">
        <v>1486</v>
      </c>
      <c r="Z553" s="293">
        <f t="shared" si="68"/>
        <v>281.08033240997247</v>
      </c>
      <c r="AA553" s="293">
        <f t="shared" si="69"/>
        <v>312.85714285714289</v>
      </c>
    </row>
    <row r="554" spans="1:27" s="320" customFormat="1" x14ac:dyDescent="0.25">
      <c r="A554" s="220" t="s">
        <v>1734</v>
      </c>
      <c r="B554" s="221" t="s">
        <v>1673</v>
      </c>
      <c r="C554" s="223" t="s">
        <v>1561</v>
      </c>
      <c r="D554" s="220" t="s">
        <v>1674</v>
      </c>
      <c r="E554" s="222">
        <v>2</v>
      </c>
      <c r="F554" s="192">
        <v>259</v>
      </c>
      <c r="G554" s="24">
        <v>0.2</v>
      </c>
      <c r="H554" s="24">
        <v>0.05</v>
      </c>
      <c r="I554" s="24">
        <v>0.05</v>
      </c>
      <c r="J554" s="24">
        <v>0</v>
      </c>
      <c r="K554" s="224">
        <f t="shared" si="70"/>
        <v>0.27800000000000002</v>
      </c>
      <c r="L554" s="225">
        <f t="shared" si="71"/>
        <v>717.45152354570644</v>
      </c>
      <c r="M554" s="225">
        <f t="shared" si="72"/>
        <v>358.72576177285322</v>
      </c>
      <c r="N554" s="226">
        <f t="shared" si="73"/>
        <v>426.8836565096953</v>
      </c>
      <c r="O554" s="34">
        <v>0.3</v>
      </c>
      <c r="P554" s="226">
        <f t="shared" si="74"/>
        <v>554.94875346260392</v>
      </c>
      <c r="Q554" s="107" t="s">
        <v>1486</v>
      </c>
      <c r="R554" s="34">
        <v>0.3</v>
      </c>
      <c r="S554" s="226">
        <f t="shared" si="75"/>
        <v>440.29999999999995</v>
      </c>
      <c r="T554" s="156" t="s">
        <v>1486</v>
      </c>
      <c r="U554" s="2" t="s">
        <v>109</v>
      </c>
      <c r="V554" s="2" t="s">
        <v>47</v>
      </c>
      <c r="W554" s="2" t="s">
        <v>5964</v>
      </c>
      <c r="X554" s="2"/>
      <c r="Y554" s="488" t="s">
        <v>1486</v>
      </c>
      <c r="Z554" s="293">
        <f t="shared" si="68"/>
        <v>99.725761772853218</v>
      </c>
      <c r="AA554" s="293">
        <f t="shared" si="69"/>
        <v>111</v>
      </c>
    </row>
    <row r="555" spans="1:27" s="320" customFormat="1" x14ac:dyDescent="0.25">
      <c r="A555" s="220" t="s">
        <v>1735</v>
      </c>
      <c r="B555" s="221" t="s">
        <v>1675</v>
      </c>
      <c r="C555" s="223" t="s">
        <v>1561</v>
      </c>
      <c r="D555" s="220" t="s">
        <v>1674</v>
      </c>
      <c r="E555" s="222">
        <v>24</v>
      </c>
      <c r="F555" s="192">
        <v>384</v>
      </c>
      <c r="G555" s="24">
        <v>0.2</v>
      </c>
      <c r="H555" s="24">
        <v>0.05</v>
      </c>
      <c r="I555" s="24">
        <v>0.05</v>
      </c>
      <c r="J555" s="24">
        <v>0</v>
      </c>
      <c r="K555" s="224">
        <f t="shared" si="70"/>
        <v>0.27800000000000002</v>
      </c>
      <c r="L555" s="225">
        <f t="shared" si="71"/>
        <v>12764.54293628809</v>
      </c>
      <c r="M555" s="225">
        <f t="shared" si="72"/>
        <v>531.8559556786704</v>
      </c>
      <c r="N555" s="226">
        <f t="shared" si="73"/>
        <v>632.9085872576178</v>
      </c>
      <c r="O555" s="34">
        <v>0.3</v>
      </c>
      <c r="P555" s="226">
        <f t="shared" si="74"/>
        <v>822.78116343490319</v>
      </c>
      <c r="Q555" s="107" t="s">
        <v>1486</v>
      </c>
      <c r="R555" s="34">
        <v>0.3</v>
      </c>
      <c r="S555" s="226">
        <f t="shared" si="75"/>
        <v>652.79999999999995</v>
      </c>
      <c r="T555" s="156" t="s">
        <v>1486</v>
      </c>
      <c r="U555" s="2" t="s">
        <v>109</v>
      </c>
      <c r="V555" s="2" t="s">
        <v>47</v>
      </c>
      <c r="W555" s="2" t="s">
        <v>5964</v>
      </c>
      <c r="X555" s="2"/>
      <c r="Y555" s="488" t="s">
        <v>1486</v>
      </c>
      <c r="Z555" s="293">
        <f t="shared" si="68"/>
        <v>147.8559556786704</v>
      </c>
      <c r="AA555" s="293">
        <f t="shared" si="69"/>
        <v>164.57142857142856</v>
      </c>
    </row>
    <row r="556" spans="1:27" s="320" customFormat="1" x14ac:dyDescent="0.25">
      <c r="A556" s="220" t="s">
        <v>1786</v>
      </c>
      <c r="B556" s="221" t="s">
        <v>1676</v>
      </c>
      <c r="C556" s="223" t="s">
        <v>1561</v>
      </c>
      <c r="D556" s="220" t="s">
        <v>1677</v>
      </c>
      <c r="E556" s="222"/>
      <c r="F556" s="192">
        <v>582</v>
      </c>
      <c r="G556" s="24">
        <v>0.2</v>
      </c>
      <c r="H556" s="24">
        <v>0.05</v>
      </c>
      <c r="I556" s="24">
        <v>0.05</v>
      </c>
      <c r="J556" s="24">
        <v>0</v>
      </c>
      <c r="K556" s="224">
        <f t="shared" si="70"/>
        <v>0.27800000000000002</v>
      </c>
      <c r="L556" s="225">
        <f t="shared" si="71"/>
        <v>0</v>
      </c>
      <c r="M556" s="225">
        <f t="shared" si="72"/>
        <v>806.09418282548484</v>
      </c>
      <c r="N556" s="226">
        <f t="shared" si="73"/>
        <v>959.25207756232692</v>
      </c>
      <c r="O556" s="34">
        <v>0.3</v>
      </c>
      <c r="P556" s="226">
        <f t="shared" si="74"/>
        <v>1247.027700831025</v>
      </c>
      <c r="Q556" s="107" t="s">
        <v>1486</v>
      </c>
      <c r="R556" s="34">
        <v>0.3</v>
      </c>
      <c r="S556" s="226">
        <f t="shared" si="75"/>
        <v>989.4</v>
      </c>
      <c r="T556" s="156" t="s">
        <v>1486</v>
      </c>
      <c r="U556" s="2" t="s">
        <v>109</v>
      </c>
      <c r="V556" s="2" t="s">
        <v>47</v>
      </c>
      <c r="W556" s="2" t="s">
        <v>5964</v>
      </c>
      <c r="X556" s="2"/>
      <c r="Y556" s="488" t="s">
        <v>1486</v>
      </c>
      <c r="Z556" s="293">
        <f t="shared" si="68"/>
        <v>224.09418282548484</v>
      </c>
      <c r="AA556" s="293">
        <f t="shared" si="69"/>
        <v>249.42857142857144</v>
      </c>
    </row>
    <row r="557" spans="1:27" s="320" customFormat="1" x14ac:dyDescent="0.25">
      <c r="A557" s="220" t="s">
        <v>1787</v>
      </c>
      <c r="B557" s="221" t="s">
        <v>1678</v>
      </c>
      <c r="C557" s="223" t="s">
        <v>1561</v>
      </c>
      <c r="D557" s="220" t="s">
        <v>1679</v>
      </c>
      <c r="E557" s="222"/>
      <c r="F557" s="192">
        <v>2067</v>
      </c>
      <c r="G557" s="24">
        <v>0.2</v>
      </c>
      <c r="H557" s="24">
        <v>0.05</v>
      </c>
      <c r="I557" s="24">
        <v>0.05</v>
      </c>
      <c r="J557" s="24">
        <v>0</v>
      </c>
      <c r="K557" s="224">
        <f t="shared" si="70"/>
        <v>0.27800000000000002</v>
      </c>
      <c r="L557" s="225">
        <f t="shared" si="71"/>
        <v>0</v>
      </c>
      <c r="M557" s="225">
        <f t="shared" si="72"/>
        <v>2862.880886426593</v>
      </c>
      <c r="N557" s="226">
        <f t="shared" si="73"/>
        <v>3406.8282548476454</v>
      </c>
      <c r="O557" s="34">
        <v>0.3</v>
      </c>
      <c r="P557" s="226">
        <f t="shared" si="74"/>
        <v>4428.8767313019389</v>
      </c>
      <c r="Q557" s="107" t="s">
        <v>1486</v>
      </c>
      <c r="R557" s="34">
        <v>0.3</v>
      </c>
      <c r="S557" s="226">
        <f t="shared" si="75"/>
        <v>3513.9</v>
      </c>
      <c r="T557" s="156" t="s">
        <v>1486</v>
      </c>
      <c r="U557" s="2" t="s">
        <v>50</v>
      </c>
      <c r="V557" s="2" t="s">
        <v>47</v>
      </c>
      <c r="W557" s="2" t="s">
        <v>5964</v>
      </c>
      <c r="X557" s="2"/>
      <c r="Y557" s="488" t="s">
        <v>1486</v>
      </c>
      <c r="Z557" s="293">
        <f t="shared" si="68"/>
        <v>795.88088642659295</v>
      </c>
      <c r="AA557" s="293">
        <f t="shared" si="69"/>
        <v>885.85714285714312</v>
      </c>
    </row>
    <row r="558" spans="1:27" s="320" customFormat="1" x14ac:dyDescent="0.25">
      <c r="A558" s="220" t="s">
        <v>1788</v>
      </c>
      <c r="B558" s="221" t="s">
        <v>1680</v>
      </c>
      <c r="C558" s="223" t="s">
        <v>1561</v>
      </c>
      <c r="D558" s="220" t="s">
        <v>1681</v>
      </c>
      <c r="E558" s="222"/>
      <c r="F558" s="192">
        <v>336</v>
      </c>
      <c r="G558" s="24">
        <v>0.2</v>
      </c>
      <c r="H558" s="24">
        <v>0.05</v>
      </c>
      <c r="I558" s="24">
        <v>0.05</v>
      </c>
      <c r="J558" s="24">
        <v>0</v>
      </c>
      <c r="K558" s="224">
        <f t="shared" si="70"/>
        <v>0.27800000000000002</v>
      </c>
      <c r="L558" s="225">
        <f t="shared" si="71"/>
        <v>0</v>
      </c>
      <c r="M558" s="225">
        <f t="shared" si="72"/>
        <v>465.3739612188366</v>
      </c>
      <c r="N558" s="226">
        <f t="shared" si="73"/>
        <v>553.79501385041556</v>
      </c>
      <c r="O558" s="34">
        <v>0.3</v>
      </c>
      <c r="P558" s="226">
        <f t="shared" si="74"/>
        <v>719.93351800554024</v>
      </c>
      <c r="Q558" s="107" t="s">
        <v>1486</v>
      </c>
      <c r="R558" s="34">
        <v>0.3</v>
      </c>
      <c r="S558" s="226">
        <f t="shared" si="75"/>
        <v>571.20000000000005</v>
      </c>
      <c r="T558" s="156" t="s">
        <v>1486</v>
      </c>
      <c r="U558" s="2" t="s">
        <v>109</v>
      </c>
      <c r="V558" s="2" t="s">
        <v>47</v>
      </c>
      <c r="W558" s="2" t="s">
        <v>5883</v>
      </c>
      <c r="X558" s="2"/>
      <c r="Y558" s="488" t="s">
        <v>1486</v>
      </c>
      <c r="Z558" s="293">
        <f t="shared" si="68"/>
        <v>129.3739612188366</v>
      </c>
      <c r="AA558" s="293">
        <f t="shared" si="69"/>
        <v>144.00000000000006</v>
      </c>
    </row>
    <row r="559" spans="1:27" s="320" customFormat="1" x14ac:dyDescent="0.25">
      <c r="A559" s="220" t="s">
        <v>1789</v>
      </c>
      <c r="B559" s="221" t="s">
        <v>5986</v>
      </c>
      <c r="C559" s="223" t="s">
        <v>1626</v>
      </c>
      <c r="D559" s="220" t="s">
        <v>1690</v>
      </c>
      <c r="E559" s="222">
        <v>12</v>
      </c>
      <c r="F559" s="192">
        <v>816</v>
      </c>
      <c r="G559" s="24">
        <v>0.2</v>
      </c>
      <c r="H559" s="24">
        <v>0.05</v>
      </c>
      <c r="I559" s="24">
        <v>0.05</v>
      </c>
      <c r="J559" s="24">
        <v>0</v>
      </c>
      <c r="K559" s="224">
        <f t="shared" si="70"/>
        <v>0.27800000000000014</v>
      </c>
      <c r="L559" s="225">
        <f t="shared" si="71"/>
        <v>13562.326869806097</v>
      </c>
      <c r="M559" s="225">
        <f t="shared" si="72"/>
        <v>1130.1939058171747</v>
      </c>
      <c r="N559" s="226">
        <f t="shared" si="73"/>
        <v>1344.9307479224378</v>
      </c>
      <c r="O559" s="34">
        <v>0.3</v>
      </c>
      <c r="P559" s="226">
        <f t="shared" si="74"/>
        <v>1748.4099722991693</v>
      </c>
      <c r="Q559" s="107" t="s">
        <v>1486</v>
      </c>
      <c r="R559" s="34">
        <v>0.3</v>
      </c>
      <c r="S559" s="226">
        <f t="shared" si="75"/>
        <v>1387.2</v>
      </c>
      <c r="T559" s="156" t="s">
        <v>1486</v>
      </c>
      <c r="U559" s="2">
        <v>1</v>
      </c>
      <c r="V559" s="2" t="s">
        <v>47</v>
      </c>
      <c r="W559" s="2" t="s">
        <v>5883</v>
      </c>
      <c r="X559" s="2" t="s">
        <v>262</v>
      </c>
      <c r="Y559" s="488" t="s">
        <v>1486</v>
      </c>
      <c r="Z559" s="293">
        <f t="shared" si="68"/>
        <v>314.19390581717471</v>
      </c>
      <c r="AA559" s="293">
        <f t="shared" si="69"/>
        <v>349.71428571428578</v>
      </c>
    </row>
    <row r="560" spans="1:27" s="320" customFormat="1" x14ac:dyDescent="0.25">
      <c r="A560" s="220" t="s">
        <v>1790</v>
      </c>
      <c r="B560" s="221" t="s">
        <v>1692</v>
      </c>
      <c r="C560" s="223" t="s">
        <v>1546</v>
      </c>
      <c r="D560" s="220" t="s">
        <v>1693</v>
      </c>
      <c r="E560" s="222"/>
      <c r="F560" s="192">
        <v>360</v>
      </c>
      <c r="G560" s="24">
        <v>0.2</v>
      </c>
      <c r="H560" s="24">
        <v>0.05</v>
      </c>
      <c r="I560" s="24">
        <v>0.05</v>
      </c>
      <c r="J560" s="24">
        <v>0</v>
      </c>
      <c r="K560" s="224">
        <f t="shared" si="70"/>
        <v>0.27800000000000014</v>
      </c>
      <c r="L560" s="225">
        <f t="shared" si="71"/>
        <v>0</v>
      </c>
      <c r="M560" s="225">
        <f t="shared" si="72"/>
        <v>498.61495844875355</v>
      </c>
      <c r="N560" s="226">
        <f t="shared" si="73"/>
        <v>593.35180055401668</v>
      </c>
      <c r="O560" s="34">
        <v>0.3</v>
      </c>
      <c r="P560" s="226">
        <f t="shared" si="74"/>
        <v>771.35734072022171</v>
      </c>
      <c r="Q560" s="107" t="s">
        <v>1486</v>
      </c>
      <c r="R560" s="34">
        <v>0.3</v>
      </c>
      <c r="S560" s="226">
        <f t="shared" si="75"/>
        <v>612</v>
      </c>
      <c r="T560" s="156" t="s">
        <v>1486</v>
      </c>
      <c r="U560" s="2"/>
      <c r="V560" s="2" t="s">
        <v>47</v>
      </c>
      <c r="W560" s="2"/>
      <c r="X560" s="2"/>
      <c r="Y560" s="488" t="s">
        <v>1486</v>
      </c>
      <c r="Z560" s="293">
        <f t="shared" si="68"/>
        <v>138.61495844875355</v>
      </c>
      <c r="AA560" s="293">
        <f t="shared" si="69"/>
        <v>154.28571428571433</v>
      </c>
    </row>
    <row r="561" spans="1:27" s="320" customFormat="1" x14ac:dyDescent="0.25">
      <c r="A561" s="220" t="s">
        <v>1791</v>
      </c>
      <c r="B561" s="221" t="s">
        <v>1694</v>
      </c>
      <c r="C561" s="223" t="s">
        <v>1546</v>
      </c>
      <c r="D561" s="220" t="s">
        <v>3682</v>
      </c>
      <c r="E561" s="222">
        <v>10</v>
      </c>
      <c r="F561" s="192">
        <v>789</v>
      </c>
      <c r="G561" s="24">
        <v>0.2</v>
      </c>
      <c r="H561" s="24">
        <v>0.05</v>
      </c>
      <c r="I561" s="24">
        <v>0.05</v>
      </c>
      <c r="J561" s="24">
        <v>0</v>
      </c>
      <c r="K561" s="224">
        <f t="shared" si="70"/>
        <v>0.27800000000000002</v>
      </c>
      <c r="L561" s="225">
        <f t="shared" si="71"/>
        <v>10927.977839335181</v>
      </c>
      <c r="M561" s="225">
        <f t="shared" si="72"/>
        <v>1092.7977839335181</v>
      </c>
      <c r="N561" s="226">
        <f t="shared" si="73"/>
        <v>1300.4293628808864</v>
      </c>
      <c r="O561" s="34">
        <v>0.3</v>
      </c>
      <c r="P561" s="226">
        <f t="shared" si="74"/>
        <v>1690.5581717451523</v>
      </c>
      <c r="Q561" s="107" t="s">
        <v>1486</v>
      </c>
      <c r="R561" s="34">
        <v>0.3</v>
      </c>
      <c r="S561" s="226">
        <f t="shared" si="75"/>
        <v>1341.3</v>
      </c>
      <c r="T561" s="156" t="s">
        <v>1486</v>
      </c>
      <c r="U561" s="2">
        <v>8</v>
      </c>
      <c r="V561" s="2" t="s">
        <v>47</v>
      </c>
      <c r="W561" s="2" t="s">
        <v>5883</v>
      </c>
      <c r="X561" s="2" t="s">
        <v>101</v>
      </c>
      <c r="Y561" s="488" t="s">
        <v>1486</v>
      </c>
      <c r="Z561" s="293">
        <f t="shared" si="68"/>
        <v>303.79778393351808</v>
      </c>
      <c r="AA561" s="293">
        <f t="shared" si="69"/>
        <v>338.14285714285711</v>
      </c>
    </row>
    <row r="562" spans="1:27" s="320" customFormat="1" x14ac:dyDescent="0.25">
      <c r="A562" s="220" t="s">
        <v>1792</v>
      </c>
      <c r="B562" s="221" t="s">
        <v>1695</v>
      </c>
      <c r="C562" s="223" t="s">
        <v>1546</v>
      </c>
      <c r="D562" s="220" t="s">
        <v>3404</v>
      </c>
      <c r="E562" s="222"/>
      <c r="F562" s="192">
        <v>292</v>
      </c>
      <c r="G562" s="24">
        <v>0.2</v>
      </c>
      <c r="H562" s="24">
        <v>0.05</v>
      </c>
      <c r="I562" s="24">
        <v>0.05</v>
      </c>
      <c r="J562" s="24">
        <v>0</v>
      </c>
      <c r="K562" s="224">
        <f t="shared" si="70"/>
        <v>0.27800000000000002</v>
      </c>
      <c r="L562" s="225">
        <f t="shared" si="71"/>
        <v>0</v>
      </c>
      <c r="M562" s="225">
        <f t="shared" si="72"/>
        <v>404.43213296398892</v>
      </c>
      <c r="N562" s="226">
        <f t="shared" si="73"/>
        <v>481.27423822714678</v>
      </c>
      <c r="O562" s="34">
        <v>0.3</v>
      </c>
      <c r="P562" s="226">
        <f t="shared" si="74"/>
        <v>625.65650969529088</v>
      </c>
      <c r="Q562" s="107" t="s">
        <v>1486</v>
      </c>
      <c r="R562" s="34">
        <v>0.30503995657185751</v>
      </c>
      <c r="S562" s="226">
        <f t="shared" si="75"/>
        <v>499.99996875493571</v>
      </c>
      <c r="T562" s="156" t="s">
        <v>1486</v>
      </c>
      <c r="U562" s="2"/>
      <c r="V562" s="2" t="s">
        <v>47</v>
      </c>
      <c r="W562" s="2"/>
      <c r="X562" s="2"/>
      <c r="Y562" s="488" t="s">
        <v>1486</v>
      </c>
      <c r="Z562" s="293">
        <f t="shared" si="68"/>
        <v>112.43213296398892</v>
      </c>
      <c r="AA562" s="293">
        <f t="shared" si="69"/>
        <v>128.16804097053421</v>
      </c>
    </row>
    <row r="563" spans="1:27" s="320" customFormat="1" x14ac:dyDescent="0.25">
      <c r="A563" s="220" t="s">
        <v>1793</v>
      </c>
      <c r="B563" s="221" t="s">
        <v>1696</v>
      </c>
      <c r="C563" s="223" t="s">
        <v>3480</v>
      </c>
      <c r="D563" s="220" t="s">
        <v>3481</v>
      </c>
      <c r="E563" s="222"/>
      <c r="F563" s="192">
        <v>352</v>
      </c>
      <c r="G563" s="24">
        <v>0.2</v>
      </c>
      <c r="H563" s="24">
        <v>0.05</v>
      </c>
      <c r="I563" s="24">
        <v>0.05</v>
      </c>
      <c r="J563" s="24">
        <v>0</v>
      </c>
      <c r="K563" s="224">
        <f t="shared" si="70"/>
        <v>0.27800000000000002</v>
      </c>
      <c r="L563" s="225">
        <f t="shared" si="71"/>
        <v>0</v>
      </c>
      <c r="M563" s="225">
        <f t="shared" si="72"/>
        <v>487.5346260387812</v>
      </c>
      <c r="N563" s="226">
        <f t="shared" si="73"/>
        <v>580.16620498614964</v>
      </c>
      <c r="O563" s="34">
        <v>0.3</v>
      </c>
      <c r="P563" s="226">
        <f t="shared" si="74"/>
        <v>754.21606648199452</v>
      </c>
      <c r="Q563" s="107" t="s">
        <v>1486</v>
      </c>
      <c r="R563" s="34">
        <v>0.38714999280894957</v>
      </c>
      <c r="S563" s="226">
        <f t="shared" si="75"/>
        <v>683.49513761108255</v>
      </c>
      <c r="T563" s="156" t="s">
        <v>1486</v>
      </c>
      <c r="U563" s="2"/>
      <c r="V563" s="2" t="s">
        <v>47</v>
      </c>
      <c r="W563" s="2"/>
      <c r="X563" s="2"/>
      <c r="Y563" s="488" t="s">
        <v>1486</v>
      </c>
      <c r="Z563" s="293">
        <f t="shared" si="68"/>
        <v>135.5346260387812</v>
      </c>
      <c r="AA563" s="293">
        <f t="shared" si="69"/>
        <v>222.36566185805259</v>
      </c>
    </row>
    <row r="564" spans="1:27" s="320" customFormat="1" x14ac:dyDescent="0.25">
      <c r="A564" s="220" t="s">
        <v>1794</v>
      </c>
      <c r="B564" s="221" t="s">
        <v>1697</v>
      </c>
      <c r="C564" s="223" t="s">
        <v>1546</v>
      </c>
      <c r="D564" s="220" t="s">
        <v>1880</v>
      </c>
      <c r="E564" s="222">
        <v>10</v>
      </c>
      <c r="F564" s="192">
        <v>352</v>
      </c>
      <c r="G564" s="24">
        <v>0.2</v>
      </c>
      <c r="H564" s="24">
        <v>0.05</v>
      </c>
      <c r="I564" s="24">
        <v>0.05</v>
      </c>
      <c r="J564" s="24">
        <v>0</v>
      </c>
      <c r="K564" s="224">
        <f t="shared" si="70"/>
        <v>0.27800000000000002</v>
      </c>
      <c r="L564" s="225">
        <f t="shared" si="71"/>
        <v>4875.3462603878124</v>
      </c>
      <c r="M564" s="225">
        <f t="shared" si="72"/>
        <v>487.5346260387812</v>
      </c>
      <c r="N564" s="226">
        <f t="shared" si="73"/>
        <v>580.16620498614964</v>
      </c>
      <c r="O564" s="34">
        <v>0.3</v>
      </c>
      <c r="P564" s="226">
        <f t="shared" si="74"/>
        <v>754.21606648199452</v>
      </c>
      <c r="Q564" s="107" t="s">
        <v>1486</v>
      </c>
      <c r="R564" s="34">
        <v>0.27301808734211319</v>
      </c>
      <c r="S564" s="226">
        <f t="shared" si="75"/>
        <v>576.19040131074394</v>
      </c>
      <c r="T564" s="156" t="s">
        <v>1486</v>
      </c>
      <c r="U564" s="2"/>
      <c r="V564" s="2" t="s">
        <v>47</v>
      </c>
      <c r="W564" s="2"/>
      <c r="X564" s="2"/>
      <c r="Y564" s="488" t="s">
        <v>1486</v>
      </c>
      <c r="Z564" s="293">
        <f t="shared" si="68"/>
        <v>135.5346260387812</v>
      </c>
      <c r="AA564" s="293">
        <f t="shared" si="69"/>
        <v>132.19361454684366</v>
      </c>
    </row>
    <row r="565" spans="1:27" s="320" customFormat="1" x14ac:dyDescent="0.25">
      <c r="A565" s="220" t="s">
        <v>1795</v>
      </c>
      <c r="B565" s="221" t="s">
        <v>2137</v>
      </c>
      <c r="C565" s="223" t="s">
        <v>1546</v>
      </c>
      <c r="D565" s="220" t="s">
        <v>2138</v>
      </c>
      <c r="E565" s="222">
        <v>12</v>
      </c>
      <c r="F565" s="192">
        <v>621</v>
      </c>
      <c r="G565" s="24">
        <v>0.2</v>
      </c>
      <c r="H565" s="24">
        <v>0.05</v>
      </c>
      <c r="I565" s="24">
        <v>0.05</v>
      </c>
      <c r="J565" s="24">
        <v>0</v>
      </c>
      <c r="K565" s="224">
        <f t="shared" si="70"/>
        <v>0.27800000000000014</v>
      </c>
      <c r="L565" s="225">
        <f t="shared" si="71"/>
        <v>10321.329639889198</v>
      </c>
      <c r="M565" s="225">
        <f t="shared" si="72"/>
        <v>860.11080332409983</v>
      </c>
      <c r="N565" s="226">
        <f t="shared" si="73"/>
        <v>1023.5318559556788</v>
      </c>
      <c r="O565" s="34">
        <v>0.3</v>
      </c>
      <c r="P565" s="226">
        <f t="shared" si="74"/>
        <v>1330.5914127423825</v>
      </c>
      <c r="Q565" s="107" t="s">
        <v>1486</v>
      </c>
      <c r="R565" s="34">
        <v>0.27529013322704732</v>
      </c>
      <c r="S565" s="226">
        <f t="shared" si="75"/>
        <v>1019.704620954914</v>
      </c>
      <c r="T565" s="156" t="s">
        <v>1486</v>
      </c>
      <c r="U565" s="2"/>
      <c r="V565" s="2" t="s">
        <v>47</v>
      </c>
      <c r="W565" s="2"/>
      <c r="X565" s="2"/>
      <c r="Y565" s="488" t="s">
        <v>1486</v>
      </c>
      <c r="Z565" s="293">
        <f t="shared" si="68"/>
        <v>239.11080332409983</v>
      </c>
      <c r="AA565" s="293">
        <f t="shared" si="69"/>
        <v>235.89463945791101</v>
      </c>
    </row>
    <row r="566" spans="1:27" s="320" customFormat="1" x14ac:dyDescent="0.25">
      <c r="A566" s="220" t="s">
        <v>1796</v>
      </c>
      <c r="B566" s="221" t="s">
        <v>1698</v>
      </c>
      <c r="C566" s="223" t="s">
        <v>1546</v>
      </c>
      <c r="D566" s="220" t="s">
        <v>1693</v>
      </c>
      <c r="E566" s="222"/>
      <c r="F566" s="192">
        <v>555</v>
      </c>
      <c r="G566" s="24">
        <v>0.2</v>
      </c>
      <c r="H566" s="24">
        <v>0.05</v>
      </c>
      <c r="I566" s="24">
        <v>0.05</v>
      </c>
      <c r="J566" s="24">
        <v>0</v>
      </c>
      <c r="K566" s="224">
        <f t="shared" si="70"/>
        <v>0.27800000000000002</v>
      </c>
      <c r="L566" s="225">
        <f t="shared" si="71"/>
        <v>0</v>
      </c>
      <c r="M566" s="225">
        <f t="shared" si="72"/>
        <v>768.69806094182832</v>
      </c>
      <c r="N566" s="226">
        <f t="shared" si="73"/>
        <v>914.7506925207756</v>
      </c>
      <c r="O566" s="34">
        <v>0.3</v>
      </c>
      <c r="P566" s="226">
        <f t="shared" si="74"/>
        <v>1189.1759002770084</v>
      </c>
      <c r="Q566" s="107" t="s">
        <v>1486</v>
      </c>
      <c r="R566" s="34">
        <v>0.3</v>
      </c>
      <c r="S566" s="226">
        <f t="shared" si="75"/>
        <v>943.5</v>
      </c>
      <c r="T566" s="156" t="s">
        <v>1486</v>
      </c>
      <c r="U566" s="2"/>
      <c r="V566" s="2" t="s">
        <v>47</v>
      </c>
      <c r="W566" s="2"/>
      <c r="X566" s="2"/>
      <c r="Y566" s="488" t="s">
        <v>1486</v>
      </c>
      <c r="Z566" s="293">
        <f t="shared" si="68"/>
        <v>213.69806094182832</v>
      </c>
      <c r="AA566" s="293">
        <f t="shared" si="69"/>
        <v>237.85714285714289</v>
      </c>
    </row>
    <row r="567" spans="1:27" s="320" customFormat="1" x14ac:dyDescent="0.25">
      <c r="A567" s="220" t="s">
        <v>1797</v>
      </c>
      <c r="B567" s="221" t="s">
        <v>1699</v>
      </c>
      <c r="C567" s="223" t="s">
        <v>1546</v>
      </c>
      <c r="D567" s="220" t="s">
        <v>1693</v>
      </c>
      <c r="E567" s="222"/>
      <c r="F567" s="192">
        <v>411</v>
      </c>
      <c r="G567" s="24">
        <v>0.2</v>
      </c>
      <c r="H567" s="24">
        <v>0.05</v>
      </c>
      <c r="I567" s="24">
        <v>0.05</v>
      </c>
      <c r="J567" s="24">
        <v>0</v>
      </c>
      <c r="K567" s="224">
        <f t="shared" si="70"/>
        <v>0.27800000000000002</v>
      </c>
      <c r="L567" s="225">
        <f t="shared" si="71"/>
        <v>0</v>
      </c>
      <c r="M567" s="225">
        <f t="shared" si="72"/>
        <v>569.25207756232692</v>
      </c>
      <c r="N567" s="226">
        <f t="shared" si="73"/>
        <v>677.409972299169</v>
      </c>
      <c r="O567" s="34">
        <v>0.3</v>
      </c>
      <c r="P567" s="226">
        <f t="shared" si="74"/>
        <v>880.63296398891976</v>
      </c>
      <c r="Q567" s="107" t="s">
        <v>1486</v>
      </c>
      <c r="R567" s="34">
        <v>0.3</v>
      </c>
      <c r="S567" s="226">
        <f t="shared" si="75"/>
        <v>698.7</v>
      </c>
      <c r="T567" s="156" t="s">
        <v>1486</v>
      </c>
      <c r="U567" s="2"/>
      <c r="V567" s="2" t="s">
        <v>47</v>
      </c>
      <c r="W567" s="2"/>
      <c r="X567" s="2"/>
      <c r="Y567" s="488" t="s">
        <v>1486</v>
      </c>
      <c r="Z567" s="293">
        <f t="shared" si="68"/>
        <v>158.25207756232692</v>
      </c>
      <c r="AA567" s="293">
        <f t="shared" si="69"/>
        <v>176.14285714285722</v>
      </c>
    </row>
    <row r="568" spans="1:27" s="320" customFormat="1" x14ac:dyDescent="0.25">
      <c r="A568" s="220" t="s">
        <v>1798</v>
      </c>
      <c r="B568" s="221" t="s">
        <v>1700</v>
      </c>
      <c r="C568" s="223" t="s">
        <v>1546</v>
      </c>
      <c r="D568" s="220" t="s">
        <v>1693</v>
      </c>
      <c r="E568" s="222"/>
      <c r="F568" s="192">
        <v>4900</v>
      </c>
      <c r="G568" s="24">
        <v>0.2</v>
      </c>
      <c r="H568" s="24">
        <v>0.05</v>
      </c>
      <c r="I568" s="24">
        <v>0.05</v>
      </c>
      <c r="J568" s="24">
        <v>0</v>
      </c>
      <c r="K568" s="224">
        <f t="shared" si="70"/>
        <v>0.27800000000000002</v>
      </c>
      <c r="L568" s="225">
        <f t="shared" si="71"/>
        <v>0</v>
      </c>
      <c r="M568" s="225">
        <f t="shared" si="72"/>
        <v>6786.7036011080336</v>
      </c>
      <c r="N568" s="226">
        <f t="shared" si="73"/>
        <v>8076.1772853185594</v>
      </c>
      <c r="O568" s="34">
        <v>0.3</v>
      </c>
      <c r="P568" s="226">
        <f t="shared" si="74"/>
        <v>10499.030470914127</v>
      </c>
      <c r="Q568" s="107" t="s">
        <v>1486</v>
      </c>
      <c r="R568" s="34">
        <v>0.3</v>
      </c>
      <c r="S568" s="226">
        <f t="shared" si="75"/>
        <v>8330</v>
      </c>
      <c r="T568" s="156" t="s">
        <v>1486</v>
      </c>
      <c r="U568" s="2"/>
      <c r="V568" s="2" t="s">
        <v>47</v>
      </c>
      <c r="W568" s="2"/>
      <c r="X568" s="2"/>
      <c r="Y568" s="488" t="s">
        <v>1486</v>
      </c>
      <c r="Z568" s="293">
        <f t="shared" si="68"/>
        <v>1886.7036011080336</v>
      </c>
      <c r="AA568" s="293">
        <f t="shared" si="69"/>
        <v>2100</v>
      </c>
    </row>
    <row r="569" spans="1:27" s="320" customFormat="1" x14ac:dyDescent="0.25">
      <c r="A569" s="220" t="s">
        <v>1799</v>
      </c>
      <c r="B569" s="221" t="s">
        <v>4327</v>
      </c>
      <c r="C569" s="223" t="s">
        <v>1546</v>
      </c>
      <c r="D569" s="220" t="s">
        <v>4328</v>
      </c>
      <c r="E569" s="222">
        <v>12</v>
      </c>
      <c r="F569" s="192">
        <v>470</v>
      </c>
      <c r="G569" s="24">
        <v>0.2</v>
      </c>
      <c r="H569" s="24">
        <v>0.05</v>
      </c>
      <c r="I569" s="24">
        <v>0.05</v>
      </c>
      <c r="J569" s="24">
        <v>0</v>
      </c>
      <c r="K569" s="224">
        <f t="shared" si="70"/>
        <v>0.27800000000000002</v>
      </c>
      <c r="L569" s="225">
        <f t="shared" si="71"/>
        <v>7811.6343490304716</v>
      </c>
      <c r="M569" s="225">
        <f t="shared" si="72"/>
        <v>650.96952908587264</v>
      </c>
      <c r="N569" s="226">
        <f t="shared" si="73"/>
        <v>774.65373961218836</v>
      </c>
      <c r="O569" s="34">
        <v>0.3</v>
      </c>
      <c r="P569" s="226">
        <f t="shared" si="74"/>
        <v>1007.0498614958449</v>
      </c>
      <c r="Q569" s="107" t="s">
        <v>1486</v>
      </c>
      <c r="R569" s="34">
        <v>0.3</v>
      </c>
      <c r="S569" s="226">
        <f t="shared" si="75"/>
        <v>799</v>
      </c>
      <c r="T569" s="156" t="s">
        <v>1486</v>
      </c>
      <c r="U569" s="2"/>
      <c r="V569" s="2" t="s">
        <v>47</v>
      </c>
      <c r="W569" s="2" t="s">
        <v>1467</v>
      </c>
      <c r="X569" s="2" t="s">
        <v>1467</v>
      </c>
      <c r="Y569" s="488" t="s">
        <v>1486</v>
      </c>
      <c r="Z569" s="293">
        <f t="shared" si="68"/>
        <v>180.96952908587264</v>
      </c>
      <c r="AA569" s="293">
        <f t="shared" si="69"/>
        <v>201.42857142857144</v>
      </c>
    </row>
    <row r="570" spans="1:27" s="320" customFormat="1" x14ac:dyDescent="0.25">
      <c r="A570" s="220" t="s">
        <v>1800</v>
      </c>
      <c r="B570" s="221" t="s">
        <v>1701</v>
      </c>
      <c r="C570" s="223" t="s">
        <v>1546</v>
      </c>
      <c r="D570" s="220" t="s">
        <v>1693</v>
      </c>
      <c r="E570" s="222"/>
      <c r="F570" s="192">
        <v>470</v>
      </c>
      <c r="G570" s="24">
        <v>0.2</v>
      </c>
      <c r="H570" s="24">
        <v>0.05</v>
      </c>
      <c r="I570" s="24">
        <v>0.05</v>
      </c>
      <c r="J570" s="24">
        <v>0</v>
      </c>
      <c r="K570" s="224">
        <f t="shared" si="70"/>
        <v>0.27800000000000002</v>
      </c>
      <c r="L570" s="225">
        <f t="shared" si="71"/>
        <v>0</v>
      </c>
      <c r="M570" s="225">
        <f t="shared" si="72"/>
        <v>650.96952908587264</v>
      </c>
      <c r="N570" s="226">
        <f t="shared" si="73"/>
        <v>774.65373961218836</v>
      </c>
      <c r="O570" s="34">
        <v>0.3</v>
      </c>
      <c r="P570" s="226">
        <f t="shared" si="74"/>
        <v>1007.0498614958449</v>
      </c>
      <c r="Q570" s="107" t="s">
        <v>1486</v>
      </c>
      <c r="R570" s="34">
        <v>0.3</v>
      </c>
      <c r="S570" s="226">
        <f t="shared" si="75"/>
        <v>799</v>
      </c>
      <c r="T570" s="156" t="s">
        <v>1486</v>
      </c>
      <c r="U570" s="2"/>
      <c r="V570" s="2" t="s">
        <v>47</v>
      </c>
      <c r="W570" s="2"/>
      <c r="X570" s="2"/>
      <c r="Y570" s="488" t="s">
        <v>1486</v>
      </c>
      <c r="Z570" s="293">
        <f t="shared" si="68"/>
        <v>180.96952908587264</v>
      </c>
      <c r="AA570" s="293">
        <f t="shared" si="69"/>
        <v>201.42857142857144</v>
      </c>
    </row>
    <row r="571" spans="1:27" s="320" customFormat="1" x14ac:dyDescent="0.25">
      <c r="A571" s="220" t="s">
        <v>1801</v>
      </c>
      <c r="B571" s="221" t="s">
        <v>2410</v>
      </c>
      <c r="C571" s="223" t="s">
        <v>1561</v>
      </c>
      <c r="D571" s="220" t="s">
        <v>1674</v>
      </c>
      <c r="E571" s="222">
        <v>24</v>
      </c>
      <c r="F571" s="192">
        <v>427</v>
      </c>
      <c r="G571" s="24">
        <v>0.2</v>
      </c>
      <c r="H571" s="24">
        <v>0.05</v>
      </c>
      <c r="I571" s="24">
        <v>0.05</v>
      </c>
      <c r="J571" s="24">
        <v>0</v>
      </c>
      <c r="K571" s="224">
        <f t="shared" si="70"/>
        <v>0.27800000000000002</v>
      </c>
      <c r="L571" s="225">
        <f t="shared" si="71"/>
        <v>14193.905817174516</v>
      </c>
      <c r="M571" s="225">
        <f t="shared" si="72"/>
        <v>591.41274238227152</v>
      </c>
      <c r="N571" s="226">
        <f t="shared" si="73"/>
        <v>703.78116343490308</v>
      </c>
      <c r="O571" s="34">
        <v>0.3</v>
      </c>
      <c r="P571" s="226">
        <f t="shared" si="74"/>
        <v>914.91551246537404</v>
      </c>
      <c r="Q571" s="107" t="s">
        <v>1486</v>
      </c>
      <c r="R571" s="34">
        <v>0.3</v>
      </c>
      <c r="S571" s="226">
        <f t="shared" si="75"/>
        <v>725.9</v>
      </c>
      <c r="T571" s="156" t="s">
        <v>1486</v>
      </c>
      <c r="U571" s="2" t="s">
        <v>109</v>
      </c>
      <c r="V571" s="2" t="s">
        <v>47</v>
      </c>
      <c r="W571" s="2" t="s">
        <v>5964</v>
      </c>
      <c r="X571" s="2"/>
      <c r="Y571" s="488" t="s">
        <v>1486</v>
      </c>
      <c r="Z571" s="293">
        <f t="shared" si="68"/>
        <v>164.41274238227152</v>
      </c>
      <c r="AA571" s="293">
        <f t="shared" si="69"/>
        <v>183</v>
      </c>
    </row>
    <row r="572" spans="1:27" s="320" customFormat="1" x14ac:dyDescent="0.25">
      <c r="A572" s="220" t="s">
        <v>1802</v>
      </c>
      <c r="B572" s="221" t="s">
        <v>1715</v>
      </c>
      <c r="C572" s="223" t="s">
        <v>1561</v>
      </c>
      <c r="D572" s="220" t="s">
        <v>1716</v>
      </c>
      <c r="E572" s="222">
        <v>24</v>
      </c>
      <c r="F572" s="192">
        <v>192</v>
      </c>
      <c r="G572" s="24">
        <v>0.2</v>
      </c>
      <c r="H572" s="24">
        <v>0.05</v>
      </c>
      <c r="I572" s="24">
        <v>0.05</v>
      </c>
      <c r="J572" s="24">
        <v>0</v>
      </c>
      <c r="K572" s="224">
        <f t="shared" si="70"/>
        <v>0.27800000000000002</v>
      </c>
      <c r="L572" s="225">
        <f t="shared" si="71"/>
        <v>6382.2714681440448</v>
      </c>
      <c r="M572" s="225">
        <f t="shared" si="72"/>
        <v>265.9279778393352</v>
      </c>
      <c r="N572" s="226">
        <f t="shared" si="73"/>
        <v>316.4542936288089</v>
      </c>
      <c r="O572" s="34">
        <v>0.3</v>
      </c>
      <c r="P572" s="226">
        <f t="shared" si="74"/>
        <v>411.3905817174516</v>
      </c>
      <c r="Q572" s="107" t="s">
        <v>1486</v>
      </c>
      <c r="R572" s="34">
        <v>0.4081004289577651</v>
      </c>
      <c r="S572" s="226">
        <f t="shared" si="75"/>
        <v>386.0114302797777</v>
      </c>
      <c r="T572" s="156" t="s">
        <v>1486</v>
      </c>
      <c r="U572" s="2" t="s">
        <v>109</v>
      </c>
      <c r="V572" s="2" t="s">
        <v>47</v>
      </c>
      <c r="W572" s="2" t="s">
        <v>5964</v>
      </c>
      <c r="X572" s="2"/>
      <c r="Y572" s="488" t="s">
        <v>1486</v>
      </c>
      <c r="Z572" s="293">
        <f t="shared" si="68"/>
        <v>73.927977839335199</v>
      </c>
      <c r="AA572" s="293">
        <f t="shared" si="69"/>
        <v>132.37935317628381</v>
      </c>
    </row>
    <row r="573" spans="1:27" s="320" customFormat="1" x14ac:dyDescent="0.25">
      <c r="A573" s="220" t="s">
        <v>1803</v>
      </c>
      <c r="B573" s="221" t="s">
        <v>1717</v>
      </c>
      <c r="C573" s="223" t="s">
        <v>1561</v>
      </c>
      <c r="D573" s="220" t="s">
        <v>1718</v>
      </c>
      <c r="E573" s="222"/>
      <c r="F573" s="192">
        <v>192</v>
      </c>
      <c r="G573" s="24">
        <v>0.2</v>
      </c>
      <c r="H573" s="24">
        <v>0.05</v>
      </c>
      <c r="I573" s="24">
        <v>0.05</v>
      </c>
      <c r="J573" s="24">
        <v>0</v>
      </c>
      <c r="K573" s="224">
        <f t="shared" si="70"/>
        <v>0.27800000000000002</v>
      </c>
      <c r="L573" s="225">
        <f t="shared" si="71"/>
        <v>0</v>
      </c>
      <c r="M573" s="225">
        <f t="shared" si="72"/>
        <v>265.9279778393352</v>
      </c>
      <c r="N573" s="226">
        <f t="shared" si="73"/>
        <v>316.4542936288089</v>
      </c>
      <c r="O573" s="34">
        <v>0.3</v>
      </c>
      <c r="P573" s="226">
        <f t="shared" si="74"/>
        <v>411.3905817174516</v>
      </c>
      <c r="Q573" s="107" t="s">
        <v>1486</v>
      </c>
      <c r="R573" s="34">
        <v>0.3</v>
      </c>
      <c r="S573" s="226">
        <f t="shared" si="75"/>
        <v>326.39999999999998</v>
      </c>
      <c r="T573" s="156" t="s">
        <v>1486</v>
      </c>
      <c r="U573" s="2" t="s">
        <v>109</v>
      </c>
      <c r="V573" s="2" t="s">
        <v>47</v>
      </c>
      <c r="W573" s="2" t="s">
        <v>5964</v>
      </c>
      <c r="X573" s="2"/>
      <c r="Y573" s="488" t="s">
        <v>1486</v>
      </c>
      <c r="Z573" s="293">
        <f t="shared" si="68"/>
        <v>73.927977839335199</v>
      </c>
      <c r="AA573" s="293">
        <f t="shared" si="69"/>
        <v>82.285714285714278</v>
      </c>
    </row>
    <row r="574" spans="1:27" s="320" customFormat="1" x14ac:dyDescent="0.25">
      <c r="A574" s="220" t="s">
        <v>1804</v>
      </c>
      <c r="B574" s="221" t="s">
        <v>1722</v>
      </c>
      <c r="C574" s="223" t="s">
        <v>1563</v>
      </c>
      <c r="D574" s="220" t="s">
        <v>1504</v>
      </c>
      <c r="E574" s="222">
        <v>1</v>
      </c>
      <c r="F574" s="192">
        <v>11770</v>
      </c>
      <c r="G574" s="24">
        <v>0.2</v>
      </c>
      <c r="H574" s="24">
        <v>0.05</v>
      </c>
      <c r="I574" s="24">
        <v>0.05</v>
      </c>
      <c r="J574" s="24">
        <v>0</v>
      </c>
      <c r="K574" s="224">
        <f t="shared" si="70"/>
        <v>0.27800000000000014</v>
      </c>
      <c r="L574" s="225">
        <f t="shared" si="71"/>
        <v>16301.939058171747</v>
      </c>
      <c r="M574" s="225">
        <f t="shared" si="72"/>
        <v>16301.939058171747</v>
      </c>
      <c r="N574" s="226">
        <f t="shared" si="73"/>
        <v>19399.307479224379</v>
      </c>
      <c r="O574" s="34">
        <v>0.3</v>
      </c>
      <c r="P574" s="226">
        <f t="shared" si="74"/>
        <v>25219.099722991694</v>
      </c>
      <c r="Q574" s="107" t="s">
        <v>1486</v>
      </c>
      <c r="R574" s="34">
        <v>0.3</v>
      </c>
      <c r="S574" s="226">
        <f t="shared" si="75"/>
        <v>20009</v>
      </c>
      <c r="T574" s="156" t="s">
        <v>1486</v>
      </c>
      <c r="U574" s="2">
        <v>10</v>
      </c>
      <c r="V574" s="2" t="s">
        <v>47</v>
      </c>
      <c r="W574" s="2" t="s">
        <v>5883</v>
      </c>
      <c r="X574" s="2" t="s">
        <v>48</v>
      </c>
      <c r="Y574" s="488" t="s">
        <v>1486</v>
      </c>
      <c r="Z574" s="293">
        <f t="shared" si="68"/>
        <v>4531.9390581717471</v>
      </c>
      <c r="AA574" s="293">
        <f t="shared" si="69"/>
        <v>5044.2857142857138</v>
      </c>
    </row>
    <row r="575" spans="1:27" s="320" customFormat="1" x14ac:dyDescent="0.25">
      <c r="A575" s="220" t="s">
        <v>1805</v>
      </c>
      <c r="B575" s="221" t="s">
        <v>1725</v>
      </c>
      <c r="C575" s="223" t="s">
        <v>1626</v>
      </c>
      <c r="D575" s="220" t="s">
        <v>1690</v>
      </c>
      <c r="E575" s="222">
        <v>12</v>
      </c>
      <c r="F575" s="192">
        <v>447</v>
      </c>
      <c r="G575" s="24">
        <v>0.2</v>
      </c>
      <c r="H575" s="24">
        <v>0.05</v>
      </c>
      <c r="I575" s="24">
        <v>0.05</v>
      </c>
      <c r="J575" s="24">
        <v>0</v>
      </c>
      <c r="K575" s="224">
        <f t="shared" si="70"/>
        <v>0.27800000000000002</v>
      </c>
      <c r="L575" s="225">
        <f t="shared" si="71"/>
        <v>7429.3628808864269</v>
      </c>
      <c r="M575" s="225">
        <f t="shared" si="72"/>
        <v>619.11357340720224</v>
      </c>
      <c r="N575" s="226">
        <f t="shared" si="73"/>
        <v>736.74515235457068</v>
      </c>
      <c r="O575" s="34">
        <v>0.3</v>
      </c>
      <c r="P575" s="226">
        <f t="shared" si="74"/>
        <v>957.76869806094192</v>
      </c>
      <c r="Q575" s="107" t="s">
        <v>1486</v>
      </c>
      <c r="R575" s="34">
        <v>0.3</v>
      </c>
      <c r="S575" s="226">
        <f t="shared" si="75"/>
        <v>759.9</v>
      </c>
      <c r="T575" s="156" t="s">
        <v>1486</v>
      </c>
      <c r="U575" s="2">
        <v>2</v>
      </c>
      <c r="V575" s="2" t="s">
        <v>47</v>
      </c>
      <c r="W575" s="2" t="s">
        <v>5883</v>
      </c>
      <c r="X575" s="2" t="s">
        <v>262</v>
      </c>
      <c r="Y575" s="488" t="s">
        <v>1486</v>
      </c>
      <c r="Z575" s="293">
        <f t="shared" si="68"/>
        <v>172.11357340720224</v>
      </c>
      <c r="AA575" s="293">
        <f t="shared" si="69"/>
        <v>191.57142857142856</v>
      </c>
    </row>
    <row r="576" spans="1:27" s="320" customFormat="1" x14ac:dyDescent="0.25">
      <c r="A576" s="220" t="s">
        <v>1806</v>
      </c>
      <c r="B576" s="221" t="s">
        <v>6001</v>
      </c>
      <c r="C576" s="223" t="s">
        <v>1626</v>
      </c>
      <c r="D576" s="220" t="s">
        <v>1690</v>
      </c>
      <c r="E576" s="222">
        <v>12</v>
      </c>
      <c r="F576" s="192">
        <v>816</v>
      </c>
      <c r="G576" s="24">
        <v>0.2</v>
      </c>
      <c r="H576" s="24">
        <v>0.05</v>
      </c>
      <c r="I576" s="24">
        <v>0.05</v>
      </c>
      <c r="J576" s="24">
        <v>0</v>
      </c>
      <c r="K576" s="224">
        <f t="shared" si="70"/>
        <v>0.27800000000000014</v>
      </c>
      <c r="L576" s="225">
        <f t="shared" si="71"/>
        <v>13562.326869806097</v>
      </c>
      <c r="M576" s="225">
        <f t="shared" si="72"/>
        <v>1130.1939058171747</v>
      </c>
      <c r="N576" s="226">
        <f t="shared" si="73"/>
        <v>1344.9307479224378</v>
      </c>
      <c r="O576" s="34">
        <v>0.3</v>
      </c>
      <c r="P576" s="226">
        <f t="shared" si="74"/>
        <v>1748.4099722991693</v>
      </c>
      <c r="Q576" s="107" t="s">
        <v>1486</v>
      </c>
      <c r="R576" s="34">
        <v>0.3</v>
      </c>
      <c r="S576" s="226">
        <f t="shared" si="75"/>
        <v>1387.2</v>
      </c>
      <c r="T576" s="156" t="s">
        <v>1486</v>
      </c>
      <c r="U576" s="2">
        <v>3</v>
      </c>
      <c r="V576" s="2" t="s">
        <v>47</v>
      </c>
      <c r="W576" s="2" t="s">
        <v>5883</v>
      </c>
      <c r="X576" s="2" t="s">
        <v>262</v>
      </c>
      <c r="Y576" s="488" t="s">
        <v>1486</v>
      </c>
      <c r="Z576" s="293">
        <f t="shared" ref="Z576:Z639" si="76">+M576-F576</f>
        <v>314.19390581717471</v>
      </c>
      <c r="AA576" s="293">
        <f t="shared" ref="AA576:AA639" si="77">+(S576/1.19)-F576</f>
        <v>349.71428571428578</v>
      </c>
    </row>
    <row r="577" spans="1:27" s="320" customFormat="1" x14ac:dyDescent="0.25">
      <c r="A577" s="220" t="s">
        <v>1807</v>
      </c>
      <c r="B577" s="221" t="s">
        <v>1893</v>
      </c>
      <c r="C577" s="223" t="s">
        <v>1577</v>
      </c>
      <c r="D577" s="220" t="s">
        <v>1726</v>
      </c>
      <c r="E577" s="222">
        <v>48</v>
      </c>
      <c r="F577" s="192">
        <v>412</v>
      </c>
      <c r="G577" s="24">
        <v>0.2</v>
      </c>
      <c r="H577" s="24">
        <v>0.05</v>
      </c>
      <c r="I577" s="24">
        <v>0.05</v>
      </c>
      <c r="J577" s="24">
        <v>0</v>
      </c>
      <c r="K577" s="224">
        <f t="shared" si="70"/>
        <v>0.27800000000000014</v>
      </c>
      <c r="L577" s="225">
        <f t="shared" si="71"/>
        <v>27390.581717451525</v>
      </c>
      <c r="M577" s="225">
        <f t="shared" si="72"/>
        <v>570.63711911357348</v>
      </c>
      <c r="N577" s="226">
        <f t="shared" si="73"/>
        <v>679.05817174515244</v>
      </c>
      <c r="O577" s="34">
        <v>0.3</v>
      </c>
      <c r="P577" s="226">
        <f t="shared" si="74"/>
        <v>882.77562326869815</v>
      </c>
      <c r="Q577" s="107" t="s">
        <v>1486</v>
      </c>
      <c r="R577" s="34">
        <v>0.3</v>
      </c>
      <c r="S577" s="226">
        <f t="shared" si="75"/>
        <v>700.4</v>
      </c>
      <c r="T577" s="156" t="s">
        <v>1486</v>
      </c>
      <c r="U577" s="2"/>
      <c r="V577" s="2" t="s">
        <v>47</v>
      </c>
      <c r="W577" s="2"/>
      <c r="X577" s="2"/>
      <c r="Y577" s="488" t="s">
        <v>1486</v>
      </c>
      <c r="Z577" s="293">
        <f t="shared" si="76"/>
        <v>158.63711911357348</v>
      </c>
      <c r="AA577" s="293">
        <f t="shared" si="77"/>
        <v>176.57142857142856</v>
      </c>
    </row>
    <row r="578" spans="1:27" s="320" customFormat="1" x14ac:dyDescent="0.25">
      <c r="A578" s="220" t="s">
        <v>1808</v>
      </c>
      <c r="B578" s="221" t="s">
        <v>1727</v>
      </c>
      <c r="C578" s="223" t="s">
        <v>1576</v>
      </c>
      <c r="D578" s="220" t="s">
        <v>1728</v>
      </c>
      <c r="E578" s="222"/>
      <c r="F578" s="192">
        <v>6681</v>
      </c>
      <c r="G578" s="24">
        <v>0.2</v>
      </c>
      <c r="H578" s="24">
        <v>0.05</v>
      </c>
      <c r="I578" s="24">
        <v>0.05</v>
      </c>
      <c r="J578" s="24">
        <v>0</v>
      </c>
      <c r="K578" s="224">
        <f t="shared" si="70"/>
        <v>0.27800000000000025</v>
      </c>
      <c r="L578" s="225">
        <f t="shared" si="71"/>
        <v>0</v>
      </c>
      <c r="M578" s="225">
        <f t="shared" si="72"/>
        <v>9253.4626038781189</v>
      </c>
      <c r="N578" s="226">
        <f t="shared" si="73"/>
        <v>11011.620498614961</v>
      </c>
      <c r="O578" s="34">
        <v>0.3</v>
      </c>
      <c r="P578" s="226">
        <f t="shared" si="74"/>
        <v>14315.106648199449</v>
      </c>
      <c r="Q578" s="107" t="s">
        <v>1486</v>
      </c>
      <c r="R578" s="34">
        <v>0.3</v>
      </c>
      <c r="S578" s="226">
        <f t="shared" si="75"/>
        <v>11357.7</v>
      </c>
      <c r="T578" s="156" t="s">
        <v>1486</v>
      </c>
      <c r="U578" s="2"/>
      <c r="V578" s="2" t="s">
        <v>47</v>
      </c>
      <c r="W578" s="2"/>
      <c r="X578" s="2"/>
      <c r="Y578" s="488" t="s">
        <v>1486</v>
      </c>
      <c r="Z578" s="293">
        <f t="shared" si="76"/>
        <v>2572.4626038781189</v>
      </c>
      <c r="AA578" s="293">
        <f t="shared" si="77"/>
        <v>2863.2857142857156</v>
      </c>
    </row>
    <row r="579" spans="1:27" s="320" customFormat="1" x14ac:dyDescent="0.25">
      <c r="A579" s="220" t="s">
        <v>1809</v>
      </c>
      <c r="B579" s="221" t="s">
        <v>1729</v>
      </c>
      <c r="C579" s="223" t="s">
        <v>1576</v>
      </c>
      <c r="D579" s="220" t="s">
        <v>1730</v>
      </c>
      <c r="E579" s="222"/>
      <c r="F579" s="192">
        <v>776</v>
      </c>
      <c r="G579" s="24">
        <v>0.2</v>
      </c>
      <c r="H579" s="24">
        <v>0.05</v>
      </c>
      <c r="I579" s="24">
        <v>0.05</v>
      </c>
      <c r="J579" s="24">
        <v>0</v>
      </c>
      <c r="K579" s="224">
        <f t="shared" ref="K579:K642" si="78">IF(F579=0,0,1-(F579/M579))</f>
        <v>0.27800000000000002</v>
      </c>
      <c r="L579" s="225">
        <f t="shared" ref="L579:L642" si="79">+M579*E579</f>
        <v>0</v>
      </c>
      <c r="M579" s="225">
        <f t="shared" ref="M579:M642" si="80">+F579/(1-G579)/(1-H579)/(1-I579)/(1-J579)</f>
        <v>1074.792243767313</v>
      </c>
      <c r="N579" s="226">
        <f t="shared" ref="N579:N642" si="81">+M579*1.19</f>
        <v>1279.0027700831024</v>
      </c>
      <c r="O579" s="34">
        <v>0.3</v>
      </c>
      <c r="P579" s="226">
        <f t="shared" ref="P579:P642" si="82">+N579*(1+O579)</f>
        <v>1662.7036011080331</v>
      </c>
      <c r="Q579" s="107" t="s">
        <v>1486</v>
      </c>
      <c r="R579" s="34">
        <v>0.3</v>
      </c>
      <c r="S579" s="226">
        <f t="shared" si="75"/>
        <v>1319.2</v>
      </c>
      <c r="T579" s="156" t="s">
        <v>1486</v>
      </c>
      <c r="U579" s="2"/>
      <c r="V579" s="2" t="s">
        <v>47</v>
      </c>
      <c r="W579" s="2"/>
      <c r="X579" s="2"/>
      <c r="Y579" s="488" t="s">
        <v>1486</v>
      </c>
      <c r="Z579" s="293">
        <f t="shared" si="76"/>
        <v>298.79224376731304</v>
      </c>
      <c r="AA579" s="293">
        <f t="shared" si="77"/>
        <v>332.57142857142867</v>
      </c>
    </row>
    <row r="580" spans="1:27" s="320" customFormat="1" x14ac:dyDescent="0.25">
      <c r="A580" s="220" t="s">
        <v>1810</v>
      </c>
      <c r="B580" s="221" t="s">
        <v>5868</v>
      </c>
      <c r="C580" s="223" t="s">
        <v>1576</v>
      </c>
      <c r="D580" s="220" t="s">
        <v>1731</v>
      </c>
      <c r="E580" s="222"/>
      <c r="F580" s="192">
        <v>1957</v>
      </c>
      <c r="G580" s="24">
        <v>0.2</v>
      </c>
      <c r="H580" s="24">
        <v>0.05</v>
      </c>
      <c r="I580" s="24">
        <v>0.05</v>
      </c>
      <c r="J580" s="24">
        <v>0</v>
      </c>
      <c r="K580" s="224">
        <f t="shared" si="78"/>
        <v>0.27800000000000002</v>
      </c>
      <c r="L580" s="225">
        <f t="shared" si="79"/>
        <v>0</v>
      </c>
      <c r="M580" s="225">
        <f t="shared" si="80"/>
        <v>2710.5263157894738</v>
      </c>
      <c r="N580" s="226">
        <f t="shared" si="81"/>
        <v>3225.5263157894738</v>
      </c>
      <c r="O580" s="34">
        <v>0.3</v>
      </c>
      <c r="P580" s="226">
        <f t="shared" si="82"/>
        <v>4193.1842105263158</v>
      </c>
      <c r="Q580" s="107" t="s">
        <v>1486</v>
      </c>
      <c r="R580" s="34">
        <v>0.3</v>
      </c>
      <c r="S580" s="226">
        <f t="shared" si="75"/>
        <v>3326.9</v>
      </c>
      <c r="T580" s="156" t="s">
        <v>1486</v>
      </c>
      <c r="U580" s="2"/>
      <c r="V580" s="2" t="s">
        <v>47</v>
      </c>
      <c r="W580" s="2"/>
      <c r="X580" s="2"/>
      <c r="Y580" s="488" t="s">
        <v>1486</v>
      </c>
      <c r="Z580" s="293">
        <f t="shared" si="76"/>
        <v>753.52631578947376</v>
      </c>
      <c r="AA580" s="293">
        <f t="shared" si="77"/>
        <v>838.71428571428578</v>
      </c>
    </row>
    <row r="581" spans="1:27" s="320" customFormat="1" x14ac:dyDescent="0.25">
      <c r="A581" s="220" t="s">
        <v>1811</v>
      </c>
      <c r="B581" s="221" t="s">
        <v>1732</v>
      </c>
      <c r="C581" s="223" t="s">
        <v>1576</v>
      </c>
      <c r="D581" s="220" t="s">
        <v>1733</v>
      </c>
      <c r="E581" s="222">
        <v>1</v>
      </c>
      <c r="F581" s="192">
        <v>3550</v>
      </c>
      <c r="G581" s="24">
        <v>0.2</v>
      </c>
      <c r="H581" s="24">
        <v>0.05</v>
      </c>
      <c r="I581" s="24">
        <v>0.05</v>
      </c>
      <c r="J581" s="24">
        <v>0</v>
      </c>
      <c r="K581" s="224">
        <f t="shared" si="78"/>
        <v>0.27800000000000002</v>
      </c>
      <c r="L581" s="225">
        <f t="shared" si="79"/>
        <v>4916.8975069252083</v>
      </c>
      <c r="M581" s="225">
        <f t="shared" si="80"/>
        <v>4916.8975069252083</v>
      </c>
      <c r="N581" s="226">
        <f t="shared" si="81"/>
        <v>5851.1080332409974</v>
      </c>
      <c r="O581" s="34">
        <v>0.3</v>
      </c>
      <c r="P581" s="226">
        <f t="shared" si="82"/>
        <v>7606.4404432132969</v>
      </c>
      <c r="Q581" s="107" t="s">
        <v>1486</v>
      </c>
      <c r="R581" s="34">
        <v>0.3</v>
      </c>
      <c r="S581" s="226">
        <f t="shared" si="75"/>
        <v>6035</v>
      </c>
      <c r="T581" s="156" t="s">
        <v>1486</v>
      </c>
      <c r="U581" s="2" t="s">
        <v>50</v>
      </c>
      <c r="V581" s="2" t="s">
        <v>47</v>
      </c>
      <c r="W581" s="2" t="s">
        <v>5882</v>
      </c>
      <c r="X581" s="2" t="s">
        <v>1486</v>
      </c>
      <c r="Y581" s="488" t="s">
        <v>1486</v>
      </c>
      <c r="Z581" s="293">
        <f t="shared" si="76"/>
        <v>1366.8975069252083</v>
      </c>
      <c r="AA581" s="293">
        <f t="shared" si="77"/>
        <v>1521.4285714285716</v>
      </c>
    </row>
    <row r="582" spans="1:27" s="320" customFormat="1" x14ac:dyDescent="0.25">
      <c r="A582" s="220" t="s">
        <v>4195</v>
      </c>
      <c r="B582" s="221" t="s">
        <v>4196</v>
      </c>
      <c r="C582" s="223" t="s">
        <v>1562</v>
      </c>
      <c r="D582" s="220" t="s">
        <v>3616</v>
      </c>
      <c r="E582" s="222">
        <v>140</v>
      </c>
      <c r="F582" s="192">
        <v>40</v>
      </c>
      <c r="G582" s="24">
        <v>0.2</v>
      </c>
      <c r="H582" s="24">
        <v>0.05</v>
      </c>
      <c r="I582" s="24">
        <v>0.05</v>
      </c>
      <c r="J582" s="24">
        <v>0</v>
      </c>
      <c r="K582" s="224">
        <f t="shared" si="78"/>
        <v>0.27800000000000002</v>
      </c>
      <c r="L582" s="225">
        <f t="shared" si="79"/>
        <v>7756.2326869806102</v>
      </c>
      <c r="M582" s="225">
        <f t="shared" si="80"/>
        <v>55.4016620498615</v>
      </c>
      <c r="N582" s="226">
        <f t="shared" si="81"/>
        <v>65.927977839335185</v>
      </c>
      <c r="O582" s="34">
        <v>0.3</v>
      </c>
      <c r="P582" s="226">
        <f t="shared" si="82"/>
        <v>85.706371191135744</v>
      </c>
      <c r="Q582" s="107" t="s">
        <v>1486</v>
      </c>
      <c r="R582" s="34">
        <v>0.35</v>
      </c>
      <c r="S582" s="226">
        <f t="shared" si="75"/>
        <v>73.230769230769226</v>
      </c>
      <c r="T582" s="156" t="s">
        <v>1486</v>
      </c>
      <c r="U582" s="2"/>
      <c r="V582" s="2" t="s">
        <v>47</v>
      </c>
      <c r="W582" s="2" t="s">
        <v>1467</v>
      </c>
      <c r="X582" s="2" t="s">
        <v>1467</v>
      </c>
      <c r="Y582" s="488" t="s">
        <v>1486</v>
      </c>
      <c r="Z582" s="293">
        <f t="shared" si="76"/>
        <v>15.4016620498615</v>
      </c>
      <c r="AA582" s="293">
        <f t="shared" si="77"/>
        <v>21.53846153846154</v>
      </c>
    </row>
    <row r="583" spans="1:27" s="320" customFormat="1" x14ac:dyDescent="0.25">
      <c r="A583" s="220" t="s">
        <v>4197</v>
      </c>
      <c r="B583" s="221" t="s">
        <v>4188</v>
      </c>
      <c r="C583" s="223" t="s">
        <v>1562</v>
      </c>
      <c r="D583" s="220" t="s">
        <v>3616</v>
      </c>
      <c r="E583" s="222">
        <v>140</v>
      </c>
      <c r="F583" s="192">
        <v>36</v>
      </c>
      <c r="G583" s="24">
        <v>0.2</v>
      </c>
      <c r="H583" s="24">
        <v>0.05</v>
      </c>
      <c r="I583" s="24">
        <v>0.05</v>
      </c>
      <c r="J583" s="24">
        <v>0</v>
      </c>
      <c r="K583" s="224">
        <f t="shared" si="78"/>
        <v>0.27800000000000002</v>
      </c>
      <c r="L583" s="225">
        <f t="shared" si="79"/>
        <v>6980.6094182825491</v>
      </c>
      <c r="M583" s="225">
        <f t="shared" si="80"/>
        <v>49.86149584487535</v>
      </c>
      <c r="N583" s="226">
        <f t="shared" si="81"/>
        <v>59.335180055401665</v>
      </c>
      <c r="O583" s="34">
        <v>0.3</v>
      </c>
      <c r="P583" s="226">
        <f t="shared" si="82"/>
        <v>77.13573407202216</v>
      </c>
      <c r="Q583" s="107" t="s">
        <v>1486</v>
      </c>
      <c r="R583" s="34">
        <v>0.35</v>
      </c>
      <c r="S583" s="226">
        <f t="shared" si="75"/>
        <v>65.907692307692301</v>
      </c>
      <c r="T583" s="156" t="s">
        <v>1486</v>
      </c>
      <c r="U583" s="2"/>
      <c r="V583" s="2" t="s">
        <v>47</v>
      </c>
      <c r="W583" s="2" t="s">
        <v>1467</v>
      </c>
      <c r="X583" s="2" t="s">
        <v>1467</v>
      </c>
      <c r="Y583" s="488" t="s">
        <v>1486</v>
      </c>
      <c r="Z583" s="293">
        <f t="shared" si="76"/>
        <v>13.86149584487535</v>
      </c>
      <c r="AA583" s="293">
        <f t="shared" si="77"/>
        <v>19.38461538461538</v>
      </c>
    </row>
    <row r="584" spans="1:27" s="320" customFormat="1" x14ac:dyDescent="0.25">
      <c r="A584" s="220" t="s">
        <v>4201</v>
      </c>
      <c r="B584" s="221" t="s">
        <v>4202</v>
      </c>
      <c r="C584" s="223" t="s">
        <v>1561</v>
      </c>
      <c r="D584" s="220" t="s">
        <v>2786</v>
      </c>
      <c r="E584" s="222">
        <v>12</v>
      </c>
      <c r="F584" s="192">
        <v>5200</v>
      </c>
      <c r="G584" s="24">
        <v>0.2</v>
      </c>
      <c r="H584" s="24">
        <v>0.05</v>
      </c>
      <c r="I584" s="24">
        <v>0.05</v>
      </c>
      <c r="J584" s="24">
        <v>0</v>
      </c>
      <c r="K584" s="224">
        <f t="shared" si="78"/>
        <v>0.27800000000000002</v>
      </c>
      <c r="L584" s="225">
        <f t="shared" si="79"/>
        <v>86426.592797783931</v>
      </c>
      <c r="M584" s="225">
        <f t="shared" si="80"/>
        <v>7202.2160664819949</v>
      </c>
      <c r="N584" s="226">
        <f t="shared" si="81"/>
        <v>8570.6371191135731</v>
      </c>
      <c r="O584" s="34">
        <v>0.3</v>
      </c>
      <c r="P584" s="226">
        <f t="shared" si="82"/>
        <v>11141.828254847645</v>
      </c>
      <c r="Q584" s="107" t="s">
        <v>1486</v>
      </c>
      <c r="R584" s="34">
        <v>0.35</v>
      </c>
      <c r="S584" s="226">
        <f t="shared" si="75"/>
        <v>9520</v>
      </c>
      <c r="T584" s="156" t="s">
        <v>1486</v>
      </c>
      <c r="U584" s="2" t="s">
        <v>50</v>
      </c>
      <c r="V584" s="2" t="s">
        <v>47</v>
      </c>
      <c r="W584" s="2" t="s">
        <v>5886</v>
      </c>
      <c r="X584" s="2" t="s">
        <v>1467</v>
      </c>
      <c r="Y584" s="488" t="s">
        <v>1486</v>
      </c>
      <c r="Z584" s="293">
        <f t="shared" si="76"/>
        <v>2002.2160664819949</v>
      </c>
      <c r="AA584" s="293">
        <f t="shared" si="77"/>
        <v>2800</v>
      </c>
    </row>
    <row r="585" spans="1:27" s="320" customFormat="1" x14ac:dyDescent="0.25">
      <c r="A585" s="220" t="s">
        <v>4218</v>
      </c>
      <c r="B585" s="221" t="s">
        <v>4219</v>
      </c>
      <c r="C585" s="223" t="s">
        <v>3934</v>
      </c>
      <c r="D585" s="220" t="s">
        <v>3950</v>
      </c>
      <c r="E585" s="222">
        <v>1</v>
      </c>
      <c r="F585" s="192">
        <v>6000</v>
      </c>
      <c r="G585" s="24">
        <v>0.2</v>
      </c>
      <c r="H585" s="24">
        <v>0.05</v>
      </c>
      <c r="I585" s="24">
        <v>0.05</v>
      </c>
      <c r="J585" s="24">
        <v>0</v>
      </c>
      <c r="K585" s="224">
        <f t="shared" si="78"/>
        <v>0.27800000000000014</v>
      </c>
      <c r="L585" s="225">
        <f t="shared" si="79"/>
        <v>8310.2493074792255</v>
      </c>
      <c r="M585" s="225">
        <f t="shared" si="80"/>
        <v>8310.2493074792255</v>
      </c>
      <c r="N585" s="226">
        <f t="shared" si="81"/>
        <v>9889.1966759002771</v>
      </c>
      <c r="O585" s="34">
        <v>0.3</v>
      </c>
      <c r="P585" s="226">
        <f t="shared" si="82"/>
        <v>12855.955678670362</v>
      </c>
      <c r="Q585" s="107" t="s">
        <v>1486</v>
      </c>
      <c r="R585" s="34">
        <v>0.35</v>
      </c>
      <c r="S585" s="226">
        <f t="shared" si="75"/>
        <v>10984.615384615383</v>
      </c>
      <c r="T585" s="156" t="s">
        <v>1486</v>
      </c>
      <c r="U585" s="2" t="s">
        <v>50</v>
      </c>
      <c r="V585" s="2" t="s">
        <v>47</v>
      </c>
      <c r="W585" s="2" t="s">
        <v>3965</v>
      </c>
      <c r="X585" s="2" t="s">
        <v>1467</v>
      </c>
      <c r="Y585" s="488" t="s">
        <v>1486</v>
      </c>
      <c r="Z585" s="293">
        <f t="shared" si="76"/>
        <v>2310.2493074792255</v>
      </c>
      <c r="AA585" s="293">
        <f t="shared" si="77"/>
        <v>3230.7692307692305</v>
      </c>
    </row>
    <row r="586" spans="1:27" s="320" customFormat="1" x14ac:dyDescent="0.25">
      <c r="A586" s="220" t="s">
        <v>4226</v>
      </c>
      <c r="B586" s="221" t="s">
        <v>4227</v>
      </c>
      <c r="C586" s="223" t="s">
        <v>4221</v>
      </c>
      <c r="D586" s="220" t="s">
        <v>1504</v>
      </c>
      <c r="E586" s="222">
        <v>1</v>
      </c>
      <c r="F586" s="192">
        <v>19800</v>
      </c>
      <c r="G586" s="24">
        <v>0.2</v>
      </c>
      <c r="H586" s="24">
        <v>0.05</v>
      </c>
      <c r="I586" s="24">
        <v>0.05</v>
      </c>
      <c r="J586" s="24">
        <v>0</v>
      </c>
      <c r="K586" s="224">
        <f t="shared" si="78"/>
        <v>0.27800000000000002</v>
      </c>
      <c r="L586" s="225">
        <f t="shared" si="79"/>
        <v>27423.822714681442</v>
      </c>
      <c r="M586" s="225">
        <f t="shared" si="80"/>
        <v>27423.822714681442</v>
      </c>
      <c r="N586" s="226">
        <f t="shared" si="81"/>
        <v>32634.349030470916</v>
      </c>
      <c r="O586" s="34">
        <v>0.3</v>
      </c>
      <c r="P586" s="226">
        <f t="shared" si="82"/>
        <v>42424.653739612193</v>
      </c>
      <c r="Q586" s="107" t="s">
        <v>1486</v>
      </c>
      <c r="R586" s="34">
        <v>0.35</v>
      </c>
      <c r="S586" s="226">
        <f t="shared" si="75"/>
        <v>36249.230769230766</v>
      </c>
      <c r="T586" s="156" t="s">
        <v>1486</v>
      </c>
      <c r="U586" s="2"/>
      <c r="V586" s="2" t="s">
        <v>47</v>
      </c>
      <c r="W586" s="2" t="s">
        <v>1467</v>
      </c>
      <c r="X586" s="2" t="s">
        <v>1467</v>
      </c>
      <c r="Y586" s="488" t="s">
        <v>1486</v>
      </c>
      <c r="Z586" s="293">
        <f t="shared" si="76"/>
        <v>7623.8227146814424</v>
      </c>
      <c r="AA586" s="293">
        <f t="shared" si="77"/>
        <v>10661.538461538461</v>
      </c>
    </row>
    <row r="587" spans="1:27" s="320" customFormat="1" x14ac:dyDescent="0.25">
      <c r="A587" s="220" t="s">
        <v>4230</v>
      </c>
      <c r="B587" s="221" t="s">
        <v>4231</v>
      </c>
      <c r="C587" s="223" t="s">
        <v>4221</v>
      </c>
      <c r="D587" s="220" t="s">
        <v>1504</v>
      </c>
      <c r="E587" s="222">
        <v>1</v>
      </c>
      <c r="F587" s="192">
        <v>6250</v>
      </c>
      <c r="G587" s="24">
        <v>0.2</v>
      </c>
      <c r="H587" s="24">
        <v>0.05</v>
      </c>
      <c r="I587" s="24">
        <v>0.05</v>
      </c>
      <c r="J587" s="24">
        <v>0</v>
      </c>
      <c r="K587" s="224">
        <f t="shared" si="78"/>
        <v>0.27800000000000014</v>
      </c>
      <c r="L587" s="225">
        <f t="shared" si="79"/>
        <v>8656.5096952908607</v>
      </c>
      <c r="M587" s="225">
        <f t="shared" si="80"/>
        <v>8656.5096952908607</v>
      </c>
      <c r="N587" s="226">
        <f t="shared" si="81"/>
        <v>10301.246537396124</v>
      </c>
      <c r="O587" s="34">
        <v>0.3</v>
      </c>
      <c r="P587" s="226">
        <f t="shared" si="82"/>
        <v>13391.620498614962</v>
      </c>
      <c r="Q587" s="107" t="s">
        <v>1486</v>
      </c>
      <c r="R587" s="34">
        <v>0.35</v>
      </c>
      <c r="S587" s="226">
        <f t="shared" si="75"/>
        <v>11442.307692307691</v>
      </c>
      <c r="T587" s="156" t="s">
        <v>1486</v>
      </c>
      <c r="U587" s="2"/>
      <c r="V587" s="2" t="s">
        <v>47</v>
      </c>
      <c r="W587" s="2" t="s">
        <v>1467</v>
      </c>
      <c r="X587" s="2" t="s">
        <v>1467</v>
      </c>
      <c r="Y587" s="488" t="s">
        <v>1486</v>
      </c>
      <c r="Z587" s="293">
        <f t="shared" si="76"/>
        <v>2406.5096952908607</v>
      </c>
      <c r="AA587" s="293">
        <f t="shared" si="77"/>
        <v>3365.3846153846152</v>
      </c>
    </row>
    <row r="588" spans="1:27" s="320" customFormat="1" x14ac:dyDescent="0.25">
      <c r="A588" s="220" t="s">
        <v>4232</v>
      </c>
      <c r="B588" s="221" t="s">
        <v>4233</v>
      </c>
      <c r="C588" s="223" t="s">
        <v>4221</v>
      </c>
      <c r="D588" s="220" t="s">
        <v>1504</v>
      </c>
      <c r="E588" s="222">
        <v>1</v>
      </c>
      <c r="F588" s="192">
        <v>4500</v>
      </c>
      <c r="G588" s="24">
        <v>0.2</v>
      </c>
      <c r="H588" s="24">
        <v>0.05</v>
      </c>
      <c r="I588" s="24">
        <v>0.05</v>
      </c>
      <c r="J588" s="24">
        <v>0</v>
      </c>
      <c r="K588" s="224">
        <f t="shared" si="78"/>
        <v>0.27800000000000014</v>
      </c>
      <c r="L588" s="225">
        <f t="shared" si="79"/>
        <v>6232.6869806094192</v>
      </c>
      <c r="M588" s="225">
        <f t="shared" si="80"/>
        <v>6232.6869806094192</v>
      </c>
      <c r="N588" s="226">
        <f t="shared" si="81"/>
        <v>7416.8975069252083</v>
      </c>
      <c r="O588" s="34">
        <v>0.3</v>
      </c>
      <c r="P588" s="226">
        <f t="shared" si="82"/>
        <v>9641.9667590027711</v>
      </c>
      <c r="Q588" s="107" t="s">
        <v>1486</v>
      </c>
      <c r="R588" s="34">
        <v>0.35</v>
      </c>
      <c r="S588" s="226">
        <f t="shared" si="75"/>
        <v>8238.4615384615372</v>
      </c>
      <c r="T588" s="156" t="s">
        <v>1486</v>
      </c>
      <c r="U588" s="2"/>
      <c r="V588" s="2" t="s">
        <v>47</v>
      </c>
      <c r="W588" s="2" t="s">
        <v>1467</v>
      </c>
      <c r="X588" s="2" t="s">
        <v>1467</v>
      </c>
      <c r="Y588" s="488" t="s">
        <v>1486</v>
      </c>
      <c r="Z588" s="293">
        <f t="shared" si="76"/>
        <v>1732.6869806094192</v>
      </c>
      <c r="AA588" s="293">
        <f t="shared" si="77"/>
        <v>2423.076923076922</v>
      </c>
    </row>
    <row r="589" spans="1:27" s="320" customFormat="1" x14ac:dyDescent="0.25">
      <c r="A589" s="220" t="s">
        <v>4235</v>
      </c>
      <c r="B589" s="221" t="s">
        <v>4236</v>
      </c>
      <c r="C589" s="223" t="s">
        <v>4221</v>
      </c>
      <c r="D589" s="220" t="s">
        <v>1504</v>
      </c>
      <c r="E589" s="222">
        <v>1</v>
      </c>
      <c r="F589" s="192">
        <v>7500</v>
      </c>
      <c r="G589" s="24">
        <v>0.2</v>
      </c>
      <c r="H589" s="24">
        <v>0.05</v>
      </c>
      <c r="I589" s="24">
        <v>0.05</v>
      </c>
      <c r="J589" s="24">
        <v>0</v>
      </c>
      <c r="K589" s="224">
        <f t="shared" si="78"/>
        <v>0.27800000000000014</v>
      </c>
      <c r="L589" s="225">
        <f t="shared" si="79"/>
        <v>10387.811634349033</v>
      </c>
      <c r="M589" s="225">
        <f t="shared" si="80"/>
        <v>10387.811634349033</v>
      </c>
      <c r="N589" s="226">
        <f t="shared" si="81"/>
        <v>12361.495844875348</v>
      </c>
      <c r="O589" s="34">
        <v>0.3</v>
      </c>
      <c r="P589" s="226">
        <f t="shared" si="82"/>
        <v>16069.944598337952</v>
      </c>
      <c r="Q589" s="107" t="s">
        <v>1486</v>
      </c>
      <c r="R589" s="34">
        <v>0.35</v>
      </c>
      <c r="S589" s="226">
        <f t="shared" si="75"/>
        <v>13730.769230769229</v>
      </c>
      <c r="T589" s="156" t="s">
        <v>1486</v>
      </c>
      <c r="U589" s="2"/>
      <c r="V589" s="2" t="s">
        <v>47</v>
      </c>
      <c r="W589" s="2" t="s">
        <v>1467</v>
      </c>
      <c r="X589" s="2" t="s">
        <v>1467</v>
      </c>
      <c r="Y589" s="488" t="s">
        <v>1486</v>
      </c>
      <c r="Z589" s="293">
        <f t="shared" si="76"/>
        <v>2887.8116343490328</v>
      </c>
      <c r="AA589" s="293">
        <f t="shared" si="77"/>
        <v>4038.4615384615372</v>
      </c>
    </row>
    <row r="590" spans="1:27" s="320" customFormat="1" x14ac:dyDescent="0.25">
      <c r="A590" s="220" t="s">
        <v>4238</v>
      </c>
      <c r="B590" s="221" t="s">
        <v>4239</v>
      </c>
      <c r="C590" s="223" t="s">
        <v>2950</v>
      </c>
      <c r="D590" s="220" t="s">
        <v>4240</v>
      </c>
      <c r="E590" s="222">
        <v>1</v>
      </c>
      <c r="F590" s="192">
        <v>2293</v>
      </c>
      <c r="G590" s="24">
        <v>0.2</v>
      </c>
      <c r="H590" s="24">
        <v>0.05</v>
      </c>
      <c r="I590" s="24">
        <v>0.05</v>
      </c>
      <c r="J590" s="24">
        <v>0</v>
      </c>
      <c r="K590" s="224">
        <f t="shared" si="78"/>
        <v>0.27800000000000014</v>
      </c>
      <c r="L590" s="225">
        <f t="shared" si="79"/>
        <v>3175.9002770083107</v>
      </c>
      <c r="M590" s="225">
        <f t="shared" si="80"/>
        <v>3175.9002770083107</v>
      </c>
      <c r="N590" s="226">
        <f t="shared" si="81"/>
        <v>3779.3213296398894</v>
      </c>
      <c r="O590" s="34">
        <v>0.3</v>
      </c>
      <c r="P590" s="226">
        <f t="shared" si="82"/>
        <v>4913.1177285318563</v>
      </c>
      <c r="Q590" s="107" t="s">
        <v>1486</v>
      </c>
      <c r="R590" s="34">
        <v>0.35</v>
      </c>
      <c r="S590" s="226">
        <f t="shared" si="75"/>
        <v>4197.9538461538459</v>
      </c>
      <c r="T590" s="156" t="s">
        <v>1486</v>
      </c>
      <c r="U590" s="2"/>
      <c r="V590" s="2" t="s">
        <v>47</v>
      </c>
      <c r="W590" s="2" t="s">
        <v>1467</v>
      </c>
      <c r="X590" s="2" t="s">
        <v>1467</v>
      </c>
      <c r="Y590" s="488" t="s">
        <v>1486</v>
      </c>
      <c r="Z590" s="293">
        <f t="shared" si="76"/>
        <v>882.9002770083107</v>
      </c>
      <c r="AA590" s="293">
        <f t="shared" si="77"/>
        <v>1234.6923076923076</v>
      </c>
    </row>
    <row r="591" spans="1:27" s="320" customFormat="1" x14ac:dyDescent="0.25">
      <c r="A591" s="220" t="s">
        <v>4245</v>
      </c>
      <c r="B591" s="221" t="s">
        <v>4246</v>
      </c>
      <c r="C591" s="223" t="s">
        <v>1739</v>
      </c>
      <c r="D591" s="220" t="s">
        <v>1879</v>
      </c>
      <c r="E591" s="222">
        <v>1</v>
      </c>
      <c r="F591" s="192">
        <v>248</v>
      </c>
      <c r="G591" s="24">
        <v>0.2</v>
      </c>
      <c r="H591" s="24">
        <v>0.05</v>
      </c>
      <c r="I591" s="24">
        <v>0.05</v>
      </c>
      <c r="J591" s="24">
        <v>0</v>
      </c>
      <c r="K591" s="224">
        <f t="shared" si="78"/>
        <v>0.27800000000000002</v>
      </c>
      <c r="L591" s="225">
        <f t="shared" si="79"/>
        <v>343.4903047091413</v>
      </c>
      <c r="M591" s="225">
        <f t="shared" si="80"/>
        <v>343.4903047091413</v>
      </c>
      <c r="N591" s="226">
        <f t="shared" si="81"/>
        <v>408.75346260387812</v>
      </c>
      <c r="O591" s="34">
        <v>0.3</v>
      </c>
      <c r="P591" s="226">
        <f t="shared" si="82"/>
        <v>531.37950138504152</v>
      </c>
      <c r="Q591" s="107" t="s">
        <v>1486</v>
      </c>
      <c r="R591" s="34">
        <v>0.4</v>
      </c>
      <c r="S591" s="226">
        <f t="shared" si="75"/>
        <v>491.86666666666667</v>
      </c>
      <c r="T591" s="156" t="s">
        <v>1486</v>
      </c>
      <c r="U591" s="2" t="s">
        <v>109</v>
      </c>
      <c r="V591" s="2" t="s">
        <v>47</v>
      </c>
      <c r="W591" s="2" t="s">
        <v>2900</v>
      </c>
      <c r="X591" s="2" t="s">
        <v>1467</v>
      </c>
      <c r="Y591" s="488" t="s">
        <v>1486</v>
      </c>
      <c r="Z591" s="293">
        <f t="shared" si="76"/>
        <v>95.490304709141299</v>
      </c>
      <c r="AA591" s="293">
        <f t="shared" si="77"/>
        <v>165.33333333333337</v>
      </c>
    </row>
    <row r="592" spans="1:27" s="320" customFormat="1" x14ac:dyDescent="0.25">
      <c r="A592" s="220" t="s">
        <v>4259</v>
      </c>
      <c r="B592" s="221" t="s">
        <v>4260</v>
      </c>
      <c r="C592" s="223" t="s">
        <v>1546</v>
      </c>
      <c r="D592" s="220" t="s">
        <v>4261</v>
      </c>
      <c r="E592" s="222">
        <v>48</v>
      </c>
      <c r="F592" s="192">
        <v>706</v>
      </c>
      <c r="G592" s="24">
        <v>0.2</v>
      </c>
      <c r="H592" s="24">
        <v>0.05</v>
      </c>
      <c r="I592" s="24">
        <v>0.05</v>
      </c>
      <c r="J592" s="24">
        <v>0</v>
      </c>
      <c r="K592" s="224">
        <f t="shared" si="78"/>
        <v>0.27800000000000014</v>
      </c>
      <c r="L592" s="225">
        <f t="shared" si="79"/>
        <v>46936.288088642665</v>
      </c>
      <c r="M592" s="225">
        <f t="shared" si="80"/>
        <v>977.83933518005551</v>
      </c>
      <c r="N592" s="226">
        <f t="shared" si="81"/>
        <v>1163.6288088642659</v>
      </c>
      <c r="O592" s="34">
        <v>0.3</v>
      </c>
      <c r="P592" s="226">
        <f t="shared" si="82"/>
        <v>1512.7174515235458</v>
      </c>
      <c r="Q592" s="107" t="s">
        <v>1486</v>
      </c>
      <c r="R592" s="34">
        <v>0.35</v>
      </c>
      <c r="S592" s="226">
        <f t="shared" si="75"/>
        <v>1292.5230769230768</v>
      </c>
      <c r="T592" s="156" t="s">
        <v>1486</v>
      </c>
      <c r="U592" s="2"/>
      <c r="V592" s="2" t="s">
        <v>47</v>
      </c>
      <c r="W592" s="2" t="s">
        <v>1467</v>
      </c>
      <c r="X592" s="2" t="s">
        <v>1467</v>
      </c>
      <c r="Y592" s="488" t="s">
        <v>1486</v>
      </c>
      <c r="Z592" s="293">
        <f t="shared" si="76"/>
        <v>271.83933518005551</v>
      </c>
      <c r="AA592" s="293">
        <f t="shared" si="77"/>
        <v>380.15384615384619</v>
      </c>
    </row>
    <row r="593" spans="1:27" s="320" customFormat="1" x14ac:dyDescent="0.25">
      <c r="A593" s="220" t="s">
        <v>4265</v>
      </c>
      <c r="B593" s="221" t="s">
        <v>4270</v>
      </c>
      <c r="C593" s="223" t="s">
        <v>1546</v>
      </c>
      <c r="D593" s="220" t="s">
        <v>4266</v>
      </c>
      <c r="E593" s="222">
        <v>12</v>
      </c>
      <c r="F593" s="192">
        <v>756</v>
      </c>
      <c r="G593" s="24">
        <v>0.2</v>
      </c>
      <c r="H593" s="24">
        <v>0.05</v>
      </c>
      <c r="I593" s="24">
        <v>0.05</v>
      </c>
      <c r="J593" s="24">
        <v>0</v>
      </c>
      <c r="K593" s="224">
        <f t="shared" si="78"/>
        <v>0.27800000000000002</v>
      </c>
      <c r="L593" s="225">
        <f t="shared" si="79"/>
        <v>12565.096952908589</v>
      </c>
      <c r="M593" s="225">
        <f t="shared" si="80"/>
        <v>1047.0914127423823</v>
      </c>
      <c r="N593" s="226">
        <f t="shared" si="81"/>
        <v>1246.0387811634348</v>
      </c>
      <c r="O593" s="34">
        <v>0.3</v>
      </c>
      <c r="P593" s="226">
        <f t="shared" si="82"/>
        <v>1619.8504155124654</v>
      </c>
      <c r="Q593" s="107" t="s">
        <v>1486</v>
      </c>
      <c r="R593" s="34">
        <v>0.25</v>
      </c>
      <c r="S593" s="226">
        <f t="shared" si="75"/>
        <v>1199.52</v>
      </c>
      <c r="T593" s="156" t="s">
        <v>1486</v>
      </c>
      <c r="U593" s="2"/>
      <c r="V593" s="2" t="s">
        <v>47</v>
      </c>
      <c r="W593" s="2" t="s">
        <v>1467</v>
      </c>
      <c r="X593" s="2" t="s">
        <v>1467</v>
      </c>
      <c r="Y593" s="488" t="s">
        <v>1486</v>
      </c>
      <c r="Z593" s="293">
        <f t="shared" si="76"/>
        <v>291.09141274238232</v>
      </c>
      <c r="AA593" s="293">
        <f t="shared" si="77"/>
        <v>252</v>
      </c>
    </row>
    <row r="594" spans="1:27" s="320" customFormat="1" x14ac:dyDescent="0.25">
      <c r="A594" s="220" t="s">
        <v>4267</v>
      </c>
      <c r="B594" s="221" t="s">
        <v>4268</v>
      </c>
      <c r="C594" s="223" t="s">
        <v>1546</v>
      </c>
      <c r="D594" s="220" t="s">
        <v>4269</v>
      </c>
      <c r="E594" s="222">
        <v>10</v>
      </c>
      <c r="F594" s="192">
        <v>664</v>
      </c>
      <c r="G594" s="24">
        <v>0.2</v>
      </c>
      <c r="H594" s="24">
        <v>0.05</v>
      </c>
      <c r="I594" s="24">
        <v>0.05</v>
      </c>
      <c r="J594" s="24">
        <v>0</v>
      </c>
      <c r="K594" s="224">
        <f t="shared" si="78"/>
        <v>0.27800000000000014</v>
      </c>
      <c r="L594" s="225">
        <f t="shared" si="79"/>
        <v>9196.6759002770086</v>
      </c>
      <c r="M594" s="225">
        <f t="shared" si="80"/>
        <v>919.66759002770095</v>
      </c>
      <c r="N594" s="226">
        <f t="shared" si="81"/>
        <v>1094.4044321329641</v>
      </c>
      <c r="O594" s="34">
        <v>0.3</v>
      </c>
      <c r="P594" s="226">
        <f t="shared" si="82"/>
        <v>1422.7257617728533</v>
      </c>
      <c r="Q594" s="107" t="s">
        <v>1486</v>
      </c>
      <c r="R594" s="34">
        <v>0.25</v>
      </c>
      <c r="S594" s="226">
        <f t="shared" si="75"/>
        <v>1053.5466666666666</v>
      </c>
      <c r="T594" s="156" t="s">
        <v>1486</v>
      </c>
      <c r="U594" s="2"/>
      <c r="V594" s="2" t="s">
        <v>47</v>
      </c>
      <c r="W594" s="2" t="s">
        <v>1467</v>
      </c>
      <c r="X594" s="2" t="s">
        <v>1467</v>
      </c>
      <c r="Y594" s="488" t="s">
        <v>1486</v>
      </c>
      <c r="Z594" s="293">
        <f t="shared" si="76"/>
        <v>255.66759002770095</v>
      </c>
      <c r="AA594" s="293">
        <f t="shared" si="77"/>
        <v>221.33333333333337</v>
      </c>
    </row>
    <row r="595" spans="1:27" s="320" customFormat="1" x14ac:dyDescent="0.25">
      <c r="A595" s="220" t="s">
        <v>4274</v>
      </c>
      <c r="B595" s="221" t="s">
        <v>4275</v>
      </c>
      <c r="C595" s="223" t="s">
        <v>1626</v>
      </c>
      <c r="D595" s="220" t="s">
        <v>332</v>
      </c>
      <c r="E595" s="222">
        <v>24</v>
      </c>
      <c r="F595" s="192">
        <v>828</v>
      </c>
      <c r="G595" s="24">
        <v>0.2</v>
      </c>
      <c r="H595" s="24">
        <v>0.05</v>
      </c>
      <c r="I595" s="24">
        <v>0.05</v>
      </c>
      <c r="J595" s="24">
        <v>0</v>
      </c>
      <c r="K595" s="224">
        <f t="shared" si="78"/>
        <v>0.27800000000000014</v>
      </c>
      <c r="L595" s="225">
        <f t="shared" si="79"/>
        <v>27523.545706371195</v>
      </c>
      <c r="M595" s="225">
        <f t="shared" si="80"/>
        <v>1146.8144044321332</v>
      </c>
      <c r="N595" s="226">
        <f t="shared" si="81"/>
        <v>1364.7091412742384</v>
      </c>
      <c r="O595" s="34">
        <v>0.3</v>
      </c>
      <c r="P595" s="226">
        <f t="shared" si="82"/>
        <v>1774.1218836565099</v>
      </c>
      <c r="Q595" s="107" t="s">
        <v>1486</v>
      </c>
      <c r="R595" s="34">
        <v>0.35</v>
      </c>
      <c r="S595" s="226">
        <f t="shared" si="75"/>
        <v>1515.876923076923</v>
      </c>
      <c r="T595" s="156" t="s">
        <v>1486</v>
      </c>
      <c r="U595" s="2" t="s">
        <v>109</v>
      </c>
      <c r="V595" s="2" t="s">
        <v>47</v>
      </c>
      <c r="W595" s="2" t="s">
        <v>5883</v>
      </c>
      <c r="X595" s="2" t="s">
        <v>1467</v>
      </c>
      <c r="Y595" s="488" t="s">
        <v>1486</v>
      </c>
      <c r="Z595" s="293">
        <f t="shared" si="76"/>
        <v>318.81440443213319</v>
      </c>
      <c r="AA595" s="293">
        <f t="shared" si="77"/>
        <v>445.84615384615381</v>
      </c>
    </row>
    <row r="596" spans="1:27" s="320" customFormat="1" x14ac:dyDescent="0.25">
      <c r="A596" s="220" t="s">
        <v>4302</v>
      </c>
      <c r="B596" s="221" t="s">
        <v>4303</v>
      </c>
      <c r="C596" s="223" t="s">
        <v>3934</v>
      </c>
      <c r="D596" s="220" t="s">
        <v>1646</v>
      </c>
      <c r="E596" s="222">
        <v>1</v>
      </c>
      <c r="F596" s="192">
        <v>1348</v>
      </c>
      <c r="G596" s="24">
        <v>0.2</v>
      </c>
      <c r="H596" s="24">
        <v>0.05</v>
      </c>
      <c r="I596" s="24">
        <v>0.05</v>
      </c>
      <c r="J596" s="24">
        <v>0</v>
      </c>
      <c r="K596" s="224">
        <f t="shared" si="78"/>
        <v>0.27800000000000014</v>
      </c>
      <c r="L596" s="225">
        <f t="shared" si="79"/>
        <v>1867.0360110803326</v>
      </c>
      <c r="M596" s="225">
        <f t="shared" si="80"/>
        <v>1867.0360110803326</v>
      </c>
      <c r="N596" s="226">
        <f t="shared" si="81"/>
        <v>2221.7728531855955</v>
      </c>
      <c r="O596" s="34">
        <v>0.3</v>
      </c>
      <c r="P596" s="226">
        <f t="shared" si="82"/>
        <v>2888.3047091412741</v>
      </c>
      <c r="Q596" s="107" t="s">
        <v>1486</v>
      </c>
      <c r="R596" s="34">
        <v>0.35</v>
      </c>
      <c r="S596" s="226">
        <f t="shared" si="75"/>
        <v>2467.876923076923</v>
      </c>
      <c r="T596" s="156" t="s">
        <v>1486</v>
      </c>
      <c r="U596" s="2" t="s">
        <v>50</v>
      </c>
      <c r="V596" s="2" t="s">
        <v>47</v>
      </c>
      <c r="W596" s="2" t="s">
        <v>3965</v>
      </c>
      <c r="X596" s="2" t="s">
        <v>1467</v>
      </c>
      <c r="Y596" s="488" t="s">
        <v>1486</v>
      </c>
      <c r="Z596" s="293">
        <f t="shared" si="76"/>
        <v>519.03601108033263</v>
      </c>
      <c r="AA596" s="293">
        <f t="shared" si="77"/>
        <v>725.84615384615381</v>
      </c>
    </row>
    <row r="597" spans="1:27" s="320" customFormat="1" x14ac:dyDescent="0.25">
      <c r="A597" s="220" t="s">
        <v>4304</v>
      </c>
      <c r="B597" s="221" t="s">
        <v>5567</v>
      </c>
      <c r="C597" s="223" t="s">
        <v>3934</v>
      </c>
      <c r="D597" s="220" t="s">
        <v>1646</v>
      </c>
      <c r="E597" s="222">
        <v>1</v>
      </c>
      <c r="F597" s="192">
        <v>1410</v>
      </c>
      <c r="G597" s="24">
        <v>0.2</v>
      </c>
      <c r="H597" s="24">
        <v>0.05</v>
      </c>
      <c r="I597" s="24">
        <v>0.05</v>
      </c>
      <c r="J597" s="24">
        <v>0</v>
      </c>
      <c r="K597" s="224">
        <f t="shared" si="78"/>
        <v>0.27800000000000002</v>
      </c>
      <c r="L597" s="225">
        <f t="shared" si="79"/>
        <v>1952.9085872576179</v>
      </c>
      <c r="M597" s="225">
        <f t="shared" si="80"/>
        <v>1952.9085872576179</v>
      </c>
      <c r="N597" s="226">
        <f t="shared" si="81"/>
        <v>2323.9612188365654</v>
      </c>
      <c r="O597" s="34">
        <v>0.3</v>
      </c>
      <c r="P597" s="226">
        <f t="shared" si="82"/>
        <v>3021.1495844875353</v>
      </c>
      <c r="Q597" s="107" t="s">
        <v>1486</v>
      </c>
      <c r="R597" s="34">
        <v>0.35</v>
      </c>
      <c r="S597" s="226">
        <f t="shared" si="75"/>
        <v>2581.3846153846152</v>
      </c>
      <c r="T597" s="156" t="s">
        <v>1486</v>
      </c>
      <c r="U597" s="2" t="s">
        <v>50</v>
      </c>
      <c r="V597" s="2" t="s">
        <v>47</v>
      </c>
      <c r="W597" s="2" t="s">
        <v>3965</v>
      </c>
      <c r="X597" s="2" t="s">
        <v>1467</v>
      </c>
      <c r="Y597" s="488" t="s">
        <v>1486</v>
      </c>
      <c r="Z597" s="293">
        <f t="shared" si="76"/>
        <v>542.90858725761791</v>
      </c>
      <c r="AA597" s="293">
        <f t="shared" si="77"/>
        <v>759.23076923076906</v>
      </c>
    </row>
    <row r="598" spans="1:27" s="320" customFormat="1" x14ac:dyDescent="0.25">
      <c r="A598" s="220" t="s">
        <v>4305</v>
      </c>
      <c r="B598" s="221" t="s">
        <v>4307</v>
      </c>
      <c r="C598" s="223" t="s">
        <v>1739</v>
      </c>
      <c r="D598" s="220" t="s">
        <v>4309</v>
      </c>
      <c r="E598" s="222">
        <v>12</v>
      </c>
      <c r="F598" s="192">
        <v>1470</v>
      </c>
      <c r="G598" s="24">
        <v>0.2</v>
      </c>
      <c r="H598" s="24">
        <v>0.05</v>
      </c>
      <c r="I598" s="24">
        <v>0.05</v>
      </c>
      <c r="J598" s="24">
        <v>0</v>
      </c>
      <c r="K598" s="224">
        <f t="shared" si="78"/>
        <v>0.27800000000000014</v>
      </c>
      <c r="L598" s="225">
        <f t="shared" si="79"/>
        <v>24432.132963988923</v>
      </c>
      <c r="M598" s="225">
        <f t="shared" si="80"/>
        <v>2036.0110803324103</v>
      </c>
      <c r="N598" s="226">
        <f t="shared" si="81"/>
        <v>2422.853185595568</v>
      </c>
      <c r="O598" s="34">
        <v>0.3</v>
      </c>
      <c r="P598" s="226">
        <f t="shared" si="82"/>
        <v>3149.7091412742384</v>
      </c>
      <c r="Q598" s="107" t="s">
        <v>1486</v>
      </c>
      <c r="R598" s="34">
        <v>0.30027999576895881</v>
      </c>
      <c r="S598" s="226">
        <f t="shared" si="75"/>
        <v>2499.9999848830917</v>
      </c>
      <c r="T598" s="156" t="s">
        <v>1486</v>
      </c>
      <c r="U598" s="2" t="s">
        <v>109</v>
      </c>
      <c r="V598" s="2" t="s">
        <v>47</v>
      </c>
      <c r="W598" s="2" t="s">
        <v>2900</v>
      </c>
      <c r="X598" s="2" t="s">
        <v>1467</v>
      </c>
      <c r="Y598" s="488" t="s">
        <v>1486</v>
      </c>
      <c r="Z598" s="293">
        <f t="shared" si="76"/>
        <v>566.0110803324103</v>
      </c>
      <c r="AA598" s="293">
        <f t="shared" si="77"/>
        <v>630.84032343116951</v>
      </c>
    </row>
    <row r="599" spans="1:27" s="320" customFormat="1" x14ac:dyDescent="0.25">
      <c r="A599" s="220" t="s">
        <v>4306</v>
      </c>
      <c r="B599" s="221" t="s">
        <v>4318</v>
      </c>
      <c r="C599" s="223" t="s">
        <v>1561</v>
      </c>
      <c r="D599" s="220" t="s">
        <v>4319</v>
      </c>
      <c r="E599" s="222">
        <v>24</v>
      </c>
      <c r="F599" s="192">
        <v>576</v>
      </c>
      <c r="G599" s="24">
        <v>0.2</v>
      </c>
      <c r="H599" s="24">
        <v>0.05</v>
      </c>
      <c r="I599" s="24">
        <v>0.05</v>
      </c>
      <c r="J599" s="24">
        <v>0</v>
      </c>
      <c r="K599" s="224">
        <f t="shared" si="78"/>
        <v>0.27800000000000002</v>
      </c>
      <c r="L599" s="225">
        <f t="shared" si="79"/>
        <v>19146.814404432134</v>
      </c>
      <c r="M599" s="225">
        <f t="shared" si="80"/>
        <v>797.7839335180056</v>
      </c>
      <c r="N599" s="226">
        <f t="shared" si="81"/>
        <v>949.36288088642664</v>
      </c>
      <c r="O599" s="34">
        <v>0.3</v>
      </c>
      <c r="P599" s="226">
        <f t="shared" si="82"/>
        <v>1234.1717451523546</v>
      </c>
      <c r="Q599" s="107" t="s">
        <v>1486</v>
      </c>
      <c r="R599" s="34">
        <v>0.3</v>
      </c>
      <c r="S599" s="226">
        <f t="shared" si="75"/>
        <v>979.2</v>
      </c>
      <c r="T599" s="156" t="s">
        <v>1486</v>
      </c>
      <c r="U599" s="2" t="s">
        <v>50</v>
      </c>
      <c r="V599" s="2" t="s">
        <v>47</v>
      </c>
      <c r="W599" s="2" t="s">
        <v>5964</v>
      </c>
      <c r="X599" s="2" t="s">
        <v>1467</v>
      </c>
      <c r="Y599" s="488" t="s">
        <v>1486</v>
      </c>
      <c r="Z599" s="293">
        <f t="shared" si="76"/>
        <v>221.7839335180056</v>
      </c>
      <c r="AA599" s="293">
        <f t="shared" si="77"/>
        <v>246.85714285714289</v>
      </c>
    </row>
    <row r="600" spans="1:27" s="320" customFormat="1" x14ac:dyDescent="0.25">
      <c r="A600" s="220" t="s">
        <v>4308</v>
      </c>
      <c r="B600" s="221" t="s">
        <v>4321</v>
      </c>
      <c r="C600" s="223" t="s">
        <v>1561</v>
      </c>
      <c r="D600" s="220" t="s">
        <v>4319</v>
      </c>
      <c r="E600" s="222">
        <v>24</v>
      </c>
      <c r="F600" s="192">
        <v>576</v>
      </c>
      <c r="G600" s="24">
        <v>0.2</v>
      </c>
      <c r="H600" s="24">
        <v>0.05</v>
      </c>
      <c r="I600" s="24">
        <v>0.05</v>
      </c>
      <c r="J600" s="24">
        <v>0</v>
      </c>
      <c r="K600" s="224">
        <f t="shared" si="78"/>
        <v>0.27800000000000002</v>
      </c>
      <c r="L600" s="225">
        <f t="shared" si="79"/>
        <v>19146.814404432134</v>
      </c>
      <c r="M600" s="225">
        <f t="shared" si="80"/>
        <v>797.7839335180056</v>
      </c>
      <c r="N600" s="226">
        <f t="shared" si="81"/>
        <v>949.36288088642664</v>
      </c>
      <c r="O600" s="34">
        <v>0.3</v>
      </c>
      <c r="P600" s="226">
        <f t="shared" si="82"/>
        <v>1234.1717451523546</v>
      </c>
      <c r="Q600" s="107" t="s">
        <v>1486</v>
      </c>
      <c r="R600" s="34">
        <v>0.3</v>
      </c>
      <c r="S600" s="226">
        <f t="shared" si="75"/>
        <v>979.2</v>
      </c>
      <c r="T600" s="156" t="s">
        <v>1486</v>
      </c>
      <c r="U600" s="2" t="s">
        <v>50</v>
      </c>
      <c r="V600" s="2" t="s">
        <v>47</v>
      </c>
      <c r="W600" s="2" t="s">
        <v>5964</v>
      </c>
      <c r="X600" s="2" t="s">
        <v>1467</v>
      </c>
      <c r="Y600" s="488" t="s">
        <v>1486</v>
      </c>
      <c r="Z600" s="293">
        <f t="shared" si="76"/>
        <v>221.7839335180056</v>
      </c>
      <c r="AA600" s="293">
        <f t="shared" si="77"/>
        <v>246.85714285714289</v>
      </c>
    </row>
    <row r="601" spans="1:27" s="320" customFormat="1" x14ac:dyDescent="0.25">
      <c r="A601" s="220" t="s">
        <v>4317</v>
      </c>
      <c r="B601" s="221" t="s">
        <v>4494</v>
      </c>
      <c r="C601" s="223" t="s">
        <v>4334</v>
      </c>
      <c r="D601" s="220" t="s">
        <v>4336</v>
      </c>
      <c r="E601" s="222">
        <v>24</v>
      </c>
      <c r="F601" s="192">
        <v>200</v>
      </c>
      <c r="G601" s="24">
        <v>0.2</v>
      </c>
      <c r="H601" s="24">
        <v>0.05</v>
      </c>
      <c r="I601" s="24">
        <v>0.05</v>
      </c>
      <c r="J601" s="24">
        <v>0</v>
      </c>
      <c r="K601" s="224">
        <f t="shared" si="78"/>
        <v>0.27800000000000002</v>
      </c>
      <c r="L601" s="225">
        <f t="shared" si="79"/>
        <v>6648.1994459833804</v>
      </c>
      <c r="M601" s="225">
        <f t="shared" si="80"/>
        <v>277.0083102493075</v>
      </c>
      <c r="N601" s="226">
        <f t="shared" si="81"/>
        <v>329.63988919667588</v>
      </c>
      <c r="O601" s="34">
        <v>0.3</v>
      </c>
      <c r="P601" s="226">
        <f t="shared" si="82"/>
        <v>428.53185595567868</v>
      </c>
      <c r="Q601" s="107" t="s">
        <v>1486</v>
      </c>
      <c r="R601" s="34">
        <v>0.3</v>
      </c>
      <c r="S601" s="226">
        <f t="shared" si="75"/>
        <v>340</v>
      </c>
      <c r="T601" s="156" t="s">
        <v>1486</v>
      </c>
      <c r="U601" s="2"/>
      <c r="V601" s="2" t="s">
        <v>47</v>
      </c>
      <c r="W601" s="2" t="s">
        <v>1467</v>
      </c>
      <c r="X601" s="2" t="s">
        <v>1467</v>
      </c>
      <c r="Y601" s="488" t="s">
        <v>1486</v>
      </c>
      <c r="Z601" s="293">
        <f t="shared" si="76"/>
        <v>77.008310249307499</v>
      </c>
      <c r="AA601" s="293">
        <f t="shared" si="77"/>
        <v>85.714285714285722</v>
      </c>
    </row>
    <row r="602" spans="1:27" s="320" customFormat="1" x14ac:dyDescent="0.25">
      <c r="A602" s="220" t="s">
        <v>4320</v>
      </c>
      <c r="B602" s="221" t="s">
        <v>4843</v>
      </c>
      <c r="C602" s="223" t="s">
        <v>1626</v>
      </c>
      <c r="D602" s="220" t="s">
        <v>119</v>
      </c>
      <c r="E602" s="222">
        <v>12</v>
      </c>
      <c r="F602" s="192">
        <v>1635</v>
      </c>
      <c r="G602" s="24">
        <v>0.2</v>
      </c>
      <c r="H602" s="24">
        <v>0.05</v>
      </c>
      <c r="I602" s="24">
        <v>0.05</v>
      </c>
      <c r="J602" s="24">
        <v>0</v>
      </c>
      <c r="K602" s="224">
        <f t="shared" si="78"/>
        <v>0.27800000000000002</v>
      </c>
      <c r="L602" s="225">
        <f t="shared" si="79"/>
        <v>27174.515235457064</v>
      </c>
      <c r="M602" s="225">
        <f t="shared" si="80"/>
        <v>2264.5429362880886</v>
      </c>
      <c r="N602" s="226">
        <f t="shared" si="81"/>
        <v>2694.8060941828253</v>
      </c>
      <c r="O602" s="34">
        <v>0.3</v>
      </c>
      <c r="P602" s="226">
        <f t="shared" si="82"/>
        <v>3503.247922437673</v>
      </c>
      <c r="Q602" s="107" t="s">
        <v>1486</v>
      </c>
      <c r="R602" s="34">
        <v>0.27981200769270548</v>
      </c>
      <c r="S602" s="226">
        <f t="shared" si="75"/>
        <v>2701.5862813355789</v>
      </c>
      <c r="T602" s="156" t="s">
        <v>1486</v>
      </c>
      <c r="U602" s="2" t="s">
        <v>109</v>
      </c>
      <c r="V602" s="2" t="s">
        <v>47</v>
      </c>
      <c r="W602" s="2" t="s">
        <v>5883</v>
      </c>
      <c r="X602" s="2" t="s">
        <v>1467</v>
      </c>
      <c r="Y602" s="488" t="s">
        <v>1486</v>
      </c>
      <c r="Z602" s="293">
        <f t="shared" si="76"/>
        <v>629.54293628808864</v>
      </c>
      <c r="AA602" s="293">
        <f t="shared" si="77"/>
        <v>635.24057255090656</v>
      </c>
    </row>
    <row r="603" spans="1:27" s="320" customFormat="1" x14ac:dyDescent="0.25">
      <c r="A603" s="220" t="s">
        <v>4335</v>
      </c>
      <c r="B603" s="221" t="s">
        <v>1813</v>
      </c>
      <c r="C603" s="223" t="s">
        <v>1576</v>
      </c>
      <c r="D603" s="220" t="s">
        <v>1814</v>
      </c>
      <c r="E603" s="222"/>
      <c r="F603" s="192">
        <v>2853</v>
      </c>
      <c r="G603" s="24">
        <v>0.2</v>
      </c>
      <c r="H603" s="24">
        <v>0.05</v>
      </c>
      <c r="I603" s="24">
        <v>0.05</v>
      </c>
      <c r="J603" s="24">
        <v>0</v>
      </c>
      <c r="K603" s="224">
        <f t="shared" si="78"/>
        <v>0.27800000000000014</v>
      </c>
      <c r="L603" s="225">
        <f t="shared" si="79"/>
        <v>0</v>
      </c>
      <c r="M603" s="225">
        <f t="shared" si="80"/>
        <v>3951.5235457063718</v>
      </c>
      <c r="N603" s="226">
        <f t="shared" si="81"/>
        <v>4702.3130193905827</v>
      </c>
      <c r="O603" s="34">
        <v>0.3</v>
      </c>
      <c r="P603" s="226">
        <f t="shared" si="82"/>
        <v>6113.0069252077574</v>
      </c>
      <c r="Q603" s="107" t="s">
        <v>1486</v>
      </c>
      <c r="R603" s="34">
        <v>0.3</v>
      </c>
      <c r="S603" s="226">
        <f t="shared" si="75"/>
        <v>4850.0999999999995</v>
      </c>
      <c r="T603" s="156" t="s">
        <v>1486</v>
      </c>
      <c r="U603" s="2"/>
      <c r="V603" s="2" t="s">
        <v>47</v>
      </c>
      <c r="W603" s="2"/>
      <c r="X603" s="2"/>
      <c r="Y603" s="488" t="s">
        <v>1486</v>
      </c>
      <c r="Z603" s="293">
        <f t="shared" si="76"/>
        <v>1098.5235457063718</v>
      </c>
      <c r="AA603" s="293">
        <f t="shared" si="77"/>
        <v>1222.7142857142853</v>
      </c>
    </row>
    <row r="604" spans="1:27" s="320" customFormat="1" x14ac:dyDescent="0.25">
      <c r="A604" s="220" t="s">
        <v>4337</v>
      </c>
      <c r="B604" s="221" t="s">
        <v>1816</v>
      </c>
      <c r="C604" s="223" t="s">
        <v>1576</v>
      </c>
      <c r="D604" s="220" t="s">
        <v>1817</v>
      </c>
      <c r="E604" s="222"/>
      <c r="F604" s="192">
        <v>979</v>
      </c>
      <c r="G604" s="24">
        <v>0.2</v>
      </c>
      <c r="H604" s="24">
        <v>0.05</v>
      </c>
      <c r="I604" s="24">
        <v>0.05</v>
      </c>
      <c r="J604" s="24">
        <v>0</v>
      </c>
      <c r="K604" s="224">
        <f t="shared" si="78"/>
        <v>0.27800000000000002</v>
      </c>
      <c r="L604" s="225">
        <f t="shared" si="79"/>
        <v>0</v>
      </c>
      <c r="M604" s="225">
        <f t="shared" si="80"/>
        <v>1355.9556786703602</v>
      </c>
      <c r="N604" s="226">
        <f t="shared" si="81"/>
        <v>1613.5872576177285</v>
      </c>
      <c r="O604" s="34">
        <v>0.3</v>
      </c>
      <c r="P604" s="226">
        <f t="shared" si="82"/>
        <v>2097.6634349030469</v>
      </c>
      <c r="Q604" s="107" t="s">
        <v>1486</v>
      </c>
      <c r="R604" s="34">
        <v>0.3</v>
      </c>
      <c r="S604" s="226">
        <f t="shared" si="75"/>
        <v>1664.3</v>
      </c>
      <c r="T604" s="156" t="s">
        <v>1486</v>
      </c>
      <c r="U604" s="2"/>
      <c r="V604" s="2" t="s">
        <v>47</v>
      </c>
      <c r="W604" s="2"/>
      <c r="X604" s="2"/>
      <c r="Y604" s="488" t="s">
        <v>1486</v>
      </c>
      <c r="Z604" s="293">
        <f t="shared" si="76"/>
        <v>376.95567867036016</v>
      </c>
      <c r="AA604" s="293">
        <f t="shared" si="77"/>
        <v>419.57142857142867</v>
      </c>
    </row>
    <row r="605" spans="1:27" s="320" customFormat="1" x14ac:dyDescent="0.25">
      <c r="A605" s="220" t="s">
        <v>4350</v>
      </c>
      <c r="B605" s="221" t="s">
        <v>4351</v>
      </c>
      <c r="C605" s="223" t="s">
        <v>1576</v>
      </c>
      <c r="D605" s="220" t="s">
        <v>2680</v>
      </c>
      <c r="E605" s="222">
        <v>1</v>
      </c>
      <c r="F605" s="192">
        <v>502</v>
      </c>
      <c r="G605" s="24">
        <v>0.2</v>
      </c>
      <c r="H605" s="24">
        <v>0.05</v>
      </c>
      <c r="I605" s="24">
        <v>0.05</v>
      </c>
      <c r="J605" s="24">
        <v>0</v>
      </c>
      <c r="K605" s="224">
        <f t="shared" si="78"/>
        <v>0.27800000000000002</v>
      </c>
      <c r="L605" s="225">
        <f t="shared" si="79"/>
        <v>695.29085872576184</v>
      </c>
      <c r="M605" s="225">
        <f t="shared" si="80"/>
        <v>695.29085872576184</v>
      </c>
      <c r="N605" s="226">
        <f t="shared" si="81"/>
        <v>827.39612188365652</v>
      </c>
      <c r="O605" s="34">
        <v>0.3</v>
      </c>
      <c r="P605" s="226">
        <f t="shared" si="82"/>
        <v>1075.6149584487534</v>
      </c>
      <c r="Q605" s="107" t="s">
        <v>1486</v>
      </c>
      <c r="R605" s="34">
        <v>0.35</v>
      </c>
      <c r="S605" s="226">
        <f t="shared" ref="S605:S668" si="83">+(F605/(1-R605))*1.19</f>
        <v>919.04615384615374</v>
      </c>
      <c r="T605" s="156" t="s">
        <v>1486</v>
      </c>
      <c r="U605" s="2"/>
      <c r="V605" s="2" t="s">
        <v>47</v>
      </c>
      <c r="W605" s="2" t="s">
        <v>1467</v>
      </c>
      <c r="X605" s="2" t="s">
        <v>1467</v>
      </c>
      <c r="Y605" s="488" t="s">
        <v>1486</v>
      </c>
      <c r="Z605" s="293">
        <f t="shared" si="76"/>
        <v>193.29085872576184</v>
      </c>
      <c r="AA605" s="293">
        <f t="shared" si="77"/>
        <v>270.30769230769226</v>
      </c>
    </row>
    <row r="606" spans="1:27" s="320" customFormat="1" x14ac:dyDescent="0.25">
      <c r="A606" s="220" t="s">
        <v>4414</v>
      </c>
      <c r="B606" s="221" t="s">
        <v>4415</v>
      </c>
      <c r="C606" s="223" t="s">
        <v>4410</v>
      </c>
      <c r="D606" s="220" t="s">
        <v>1504</v>
      </c>
      <c r="E606" s="222">
        <v>12</v>
      </c>
      <c r="F606" s="192">
        <v>509</v>
      </c>
      <c r="G606" s="24">
        <v>0.3</v>
      </c>
      <c r="H606" s="24">
        <v>0.05</v>
      </c>
      <c r="I606" s="24">
        <v>0.05</v>
      </c>
      <c r="J606" s="24">
        <v>0</v>
      </c>
      <c r="K606" s="224">
        <f t="shared" si="78"/>
        <v>0.36825000000000019</v>
      </c>
      <c r="L606" s="225">
        <f t="shared" si="79"/>
        <v>9668.3814800158325</v>
      </c>
      <c r="M606" s="225">
        <f t="shared" si="80"/>
        <v>805.69845666798597</v>
      </c>
      <c r="N606" s="226">
        <f t="shared" si="81"/>
        <v>958.78116343490331</v>
      </c>
      <c r="O606" s="34">
        <v>0.3</v>
      </c>
      <c r="P606" s="226">
        <f t="shared" si="82"/>
        <v>1246.4155124653744</v>
      </c>
      <c r="Q606" s="107" t="s">
        <v>1486</v>
      </c>
      <c r="R606" s="34">
        <v>0.4</v>
      </c>
      <c r="S606" s="226">
        <f t="shared" si="83"/>
        <v>1009.5166666666667</v>
      </c>
      <c r="T606" s="156" t="s">
        <v>1486</v>
      </c>
      <c r="U606" s="2"/>
      <c r="V606" s="2" t="s">
        <v>47</v>
      </c>
      <c r="W606" s="2" t="s">
        <v>1467</v>
      </c>
      <c r="X606" s="2" t="s">
        <v>1467</v>
      </c>
      <c r="Y606" s="488" t="s">
        <v>1486</v>
      </c>
      <c r="Z606" s="293">
        <f t="shared" si="76"/>
        <v>296.69845666798597</v>
      </c>
      <c r="AA606" s="293">
        <f t="shared" si="77"/>
        <v>339.33333333333337</v>
      </c>
    </row>
    <row r="607" spans="1:27" s="320" customFormat="1" x14ac:dyDescent="0.25">
      <c r="A607" s="220" t="s">
        <v>4416</v>
      </c>
      <c r="B607" s="221" t="s">
        <v>4417</v>
      </c>
      <c r="C607" s="223" t="s">
        <v>4410</v>
      </c>
      <c r="D607" s="220" t="s">
        <v>1504</v>
      </c>
      <c r="E607" s="222">
        <v>24</v>
      </c>
      <c r="F607" s="192">
        <v>212</v>
      </c>
      <c r="G607" s="24">
        <v>0.3</v>
      </c>
      <c r="H607" s="24">
        <v>0.05</v>
      </c>
      <c r="I607" s="24">
        <v>0.05</v>
      </c>
      <c r="J607" s="24">
        <v>0</v>
      </c>
      <c r="K607" s="224">
        <f t="shared" si="78"/>
        <v>0.36825000000000019</v>
      </c>
      <c r="L607" s="225">
        <f t="shared" si="79"/>
        <v>8053.8187574198673</v>
      </c>
      <c r="M607" s="225">
        <f t="shared" si="80"/>
        <v>335.57578155916116</v>
      </c>
      <c r="N607" s="226">
        <f t="shared" si="81"/>
        <v>399.33518005540174</v>
      </c>
      <c r="O607" s="34">
        <v>0.3</v>
      </c>
      <c r="P607" s="226">
        <f t="shared" si="82"/>
        <v>519.13573407202227</v>
      </c>
      <c r="Q607" s="107" t="s">
        <v>1486</v>
      </c>
      <c r="R607" s="34">
        <v>0.4</v>
      </c>
      <c r="S607" s="226">
        <f t="shared" si="83"/>
        <v>420.4666666666667</v>
      </c>
      <c r="T607" s="156" t="s">
        <v>1486</v>
      </c>
      <c r="U607" s="2"/>
      <c r="V607" s="2" t="s">
        <v>47</v>
      </c>
      <c r="W607" s="2" t="s">
        <v>1467</v>
      </c>
      <c r="X607" s="2" t="s">
        <v>1467</v>
      </c>
      <c r="Y607" s="488" t="s">
        <v>1486</v>
      </c>
      <c r="Z607" s="293">
        <f t="shared" si="76"/>
        <v>123.57578155916116</v>
      </c>
      <c r="AA607" s="293">
        <f t="shared" si="77"/>
        <v>141.33333333333337</v>
      </c>
    </row>
    <row r="608" spans="1:27" s="320" customFormat="1" x14ac:dyDescent="0.25">
      <c r="A608" s="220" t="s">
        <v>4418</v>
      </c>
      <c r="B608" s="221" t="s">
        <v>4419</v>
      </c>
      <c r="C608" s="223" t="s">
        <v>4410</v>
      </c>
      <c r="D608" s="220" t="s">
        <v>1504</v>
      </c>
      <c r="E608" s="222">
        <v>6</v>
      </c>
      <c r="F608" s="192">
        <v>830</v>
      </c>
      <c r="G608" s="24">
        <v>0.3</v>
      </c>
      <c r="H608" s="24">
        <v>0.05</v>
      </c>
      <c r="I608" s="24">
        <v>0.05</v>
      </c>
      <c r="J608" s="24">
        <v>0</v>
      </c>
      <c r="K608" s="224">
        <f t="shared" si="78"/>
        <v>0.36825000000000008</v>
      </c>
      <c r="L608" s="225">
        <f t="shared" si="79"/>
        <v>7882.8650573802943</v>
      </c>
      <c r="M608" s="225">
        <f t="shared" si="80"/>
        <v>1313.8108428967157</v>
      </c>
      <c r="N608" s="226">
        <f t="shared" si="81"/>
        <v>1563.4349030470917</v>
      </c>
      <c r="O608" s="34">
        <v>0.3</v>
      </c>
      <c r="P608" s="226">
        <f t="shared" si="82"/>
        <v>2032.4653739612193</v>
      </c>
      <c r="Q608" s="107" t="s">
        <v>1486</v>
      </c>
      <c r="R608" s="34">
        <v>0.4</v>
      </c>
      <c r="S608" s="226">
        <f t="shared" si="83"/>
        <v>1646.1666666666667</v>
      </c>
      <c r="T608" s="156" t="s">
        <v>1486</v>
      </c>
      <c r="U608" s="2"/>
      <c r="V608" s="2" t="s">
        <v>47</v>
      </c>
      <c r="W608" s="2" t="s">
        <v>1467</v>
      </c>
      <c r="X608" s="2" t="s">
        <v>1467</v>
      </c>
      <c r="Y608" s="488" t="s">
        <v>1486</v>
      </c>
      <c r="Z608" s="293">
        <f t="shared" si="76"/>
        <v>483.81084289671571</v>
      </c>
      <c r="AA608" s="293">
        <f t="shared" si="77"/>
        <v>553.33333333333348</v>
      </c>
    </row>
    <row r="609" spans="1:27" s="320" customFormat="1" x14ac:dyDescent="0.25">
      <c r="A609" s="220" t="s">
        <v>4420</v>
      </c>
      <c r="B609" s="221" t="s">
        <v>4421</v>
      </c>
      <c r="C609" s="223" t="s">
        <v>4410</v>
      </c>
      <c r="D609" s="220" t="s">
        <v>1504</v>
      </c>
      <c r="E609" s="222">
        <v>22</v>
      </c>
      <c r="F609" s="192">
        <v>264</v>
      </c>
      <c r="G609" s="24">
        <v>0.3</v>
      </c>
      <c r="H609" s="24">
        <v>0.05</v>
      </c>
      <c r="I609" s="24">
        <v>0.05</v>
      </c>
      <c r="J609" s="24">
        <v>0</v>
      </c>
      <c r="K609" s="224">
        <f t="shared" si="78"/>
        <v>0.36825000000000008</v>
      </c>
      <c r="L609" s="225">
        <f t="shared" si="79"/>
        <v>9193.5100910170186</v>
      </c>
      <c r="M609" s="225">
        <f t="shared" si="80"/>
        <v>417.88682231895535</v>
      </c>
      <c r="N609" s="226">
        <f t="shared" si="81"/>
        <v>497.28531855955686</v>
      </c>
      <c r="O609" s="34">
        <v>0.3</v>
      </c>
      <c r="P609" s="226">
        <f t="shared" si="82"/>
        <v>646.47091412742395</v>
      </c>
      <c r="Q609" s="107" t="s">
        <v>1486</v>
      </c>
      <c r="R609" s="34">
        <v>0.3</v>
      </c>
      <c r="S609" s="226">
        <f t="shared" si="83"/>
        <v>448.8</v>
      </c>
      <c r="T609" s="156" t="s">
        <v>1486</v>
      </c>
      <c r="U609" s="2"/>
      <c r="V609" s="2" t="s">
        <v>47</v>
      </c>
      <c r="W609" s="2" t="s">
        <v>1467</v>
      </c>
      <c r="X609" s="2" t="s">
        <v>1467</v>
      </c>
      <c r="Y609" s="488" t="s">
        <v>1486</v>
      </c>
      <c r="Z609" s="293">
        <f t="shared" si="76"/>
        <v>153.88682231895535</v>
      </c>
      <c r="AA609" s="293">
        <f t="shared" si="77"/>
        <v>113.14285714285717</v>
      </c>
    </row>
    <row r="610" spans="1:27" s="320" customFormat="1" x14ac:dyDescent="0.25">
      <c r="A610" s="220" t="s">
        <v>4422</v>
      </c>
      <c r="B610" s="221" t="s">
        <v>4423</v>
      </c>
      <c r="C610" s="223" t="s">
        <v>4410</v>
      </c>
      <c r="D610" s="220" t="s">
        <v>1504</v>
      </c>
      <c r="E610" s="222">
        <v>1</v>
      </c>
      <c r="F610" s="192">
        <v>45</v>
      </c>
      <c r="G610" s="24">
        <v>0.2</v>
      </c>
      <c r="H610" s="24">
        <v>0.05</v>
      </c>
      <c r="I610" s="24">
        <v>0.05</v>
      </c>
      <c r="J610" s="24">
        <v>0</v>
      </c>
      <c r="K610" s="224">
        <f t="shared" si="78"/>
        <v>0.27800000000000014</v>
      </c>
      <c r="L610" s="225">
        <f t="shared" si="79"/>
        <v>62.326869806094194</v>
      </c>
      <c r="M610" s="225">
        <f t="shared" si="80"/>
        <v>62.326869806094194</v>
      </c>
      <c r="N610" s="226">
        <f t="shared" si="81"/>
        <v>74.168975069252085</v>
      </c>
      <c r="O610" s="34">
        <v>0.3</v>
      </c>
      <c r="P610" s="226">
        <f t="shared" si="82"/>
        <v>96.419667590027714</v>
      </c>
      <c r="Q610" s="107" t="s">
        <v>1486</v>
      </c>
      <c r="R610" s="34">
        <v>0.4</v>
      </c>
      <c r="S610" s="226">
        <f t="shared" si="83"/>
        <v>89.25</v>
      </c>
      <c r="T610" s="156" t="s">
        <v>1486</v>
      </c>
      <c r="U610" s="2"/>
      <c r="V610" s="2" t="s">
        <v>47</v>
      </c>
      <c r="W610" s="2" t="s">
        <v>1467</v>
      </c>
      <c r="X610" s="2" t="s">
        <v>1467</v>
      </c>
      <c r="Y610" s="488" t="s">
        <v>1486</v>
      </c>
      <c r="Z610" s="293">
        <f t="shared" si="76"/>
        <v>17.326869806094194</v>
      </c>
      <c r="AA610" s="293">
        <f t="shared" si="77"/>
        <v>30</v>
      </c>
    </row>
    <row r="611" spans="1:27" s="320" customFormat="1" x14ac:dyDescent="0.25">
      <c r="A611" s="220" t="s">
        <v>4424</v>
      </c>
      <c r="B611" s="221" t="s">
        <v>4425</v>
      </c>
      <c r="C611" s="223" t="s">
        <v>4410</v>
      </c>
      <c r="D611" s="220" t="s">
        <v>1504</v>
      </c>
      <c r="E611" s="222">
        <v>1</v>
      </c>
      <c r="F611" s="192">
        <v>116</v>
      </c>
      <c r="G611" s="24">
        <v>0.2</v>
      </c>
      <c r="H611" s="24">
        <v>0.05</v>
      </c>
      <c r="I611" s="24">
        <v>0.05</v>
      </c>
      <c r="J611" s="24">
        <v>0</v>
      </c>
      <c r="K611" s="224">
        <f t="shared" si="78"/>
        <v>0.27800000000000014</v>
      </c>
      <c r="L611" s="225">
        <f t="shared" si="79"/>
        <v>160.66481994459838</v>
      </c>
      <c r="M611" s="225">
        <f t="shared" si="80"/>
        <v>160.66481994459838</v>
      </c>
      <c r="N611" s="226">
        <f t="shared" si="81"/>
        <v>191.19113573407205</v>
      </c>
      <c r="O611" s="34">
        <v>0.3</v>
      </c>
      <c r="P611" s="226">
        <f t="shared" si="82"/>
        <v>248.54847645429368</v>
      </c>
      <c r="Q611" s="107" t="s">
        <v>1486</v>
      </c>
      <c r="R611" s="34">
        <v>0.3</v>
      </c>
      <c r="S611" s="226">
        <f t="shared" si="83"/>
        <v>197.2</v>
      </c>
      <c r="T611" s="156" t="s">
        <v>1486</v>
      </c>
      <c r="U611" s="2"/>
      <c r="V611" s="2" t="s">
        <v>47</v>
      </c>
      <c r="W611" s="2" t="s">
        <v>1467</v>
      </c>
      <c r="X611" s="2" t="s">
        <v>1467</v>
      </c>
      <c r="Y611" s="488" t="s">
        <v>1486</v>
      </c>
      <c r="Z611" s="293">
        <f t="shared" si="76"/>
        <v>44.664819944598378</v>
      </c>
      <c r="AA611" s="293">
        <f t="shared" si="77"/>
        <v>49.714285714285722</v>
      </c>
    </row>
    <row r="612" spans="1:27" s="320" customFormat="1" x14ac:dyDescent="0.25">
      <c r="A612" s="220" t="s">
        <v>4459</v>
      </c>
      <c r="B612" s="221" t="s">
        <v>4460</v>
      </c>
      <c r="C612" s="223" t="s">
        <v>1576</v>
      </c>
      <c r="D612" s="220" t="s">
        <v>4461</v>
      </c>
      <c r="E612" s="222">
        <v>1</v>
      </c>
      <c r="F612" s="192">
        <v>6186</v>
      </c>
      <c r="G612" s="24">
        <v>0.25</v>
      </c>
      <c r="H612" s="24">
        <v>0.05</v>
      </c>
      <c r="I612" s="24">
        <v>0.05</v>
      </c>
      <c r="J612" s="24">
        <v>0</v>
      </c>
      <c r="K612" s="224">
        <f t="shared" si="78"/>
        <v>0.32312500000000011</v>
      </c>
      <c r="L612" s="225">
        <f t="shared" si="79"/>
        <v>9139.0581717451532</v>
      </c>
      <c r="M612" s="225">
        <f t="shared" si="80"/>
        <v>9139.0581717451532</v>
      </c>
      <c r="N612" s="226">
        <f t="shared" si="81"/>
        <v>10875.479224376732</v>
      </c>
      <c r="O612" s="34">
        <v>0.3</v>
      </c>
      <c r="P612" s="226">
        <f t="shared" si="82"/>
        <v>14138.122991689752</v>
      </c>
      <c r="Q612" s="107" t="s">
        <v>1486</v>
      </c>
      <c r="R612" s="34">
        <v>0.25</v>
      </c>
      <c r="S612" s="226">
        <f t="shared" si="83"/>
        <v>9815.119999999999</v>
      </c>
      <c r="T612" s="156" t="s">
        <v>1486</v>
      </c>
      <c r="U612" s="2"/>
      <c r="V612" s="2" t="s">
        <v>47</v>
      </c>
      <c r="W612" s="2" t="s">
        <v>1467</v>
      </c>
      <c r="X612" s="2" t="s">
        <v>1467</v>
      </c>
      <c r="Y612" s="488" t="s">
        <v>1486</v>
      </c>
      <c r="Z612" s="293">
        <f t="shared" si="76"/>
        <v>2953.0581717451532</v>
      </c>
      <c r="AA612" s="293">
        <f t="shared" si="77"/>
        <v>2062</v>
      </c>
    </row>
    <row r="613" spans="1:27" s="320" customFormat="1" x14ac:dyDescent="0.25">
      <c r="A613" s="220" t="s">
        <v>4502</v>
      </c>
      <c r="B613" s="221" t="s">
        <v>4503</v>
      </c>
      <c r="C613" s="223" t="s">
        <v>1576</v>
      </c>
      <c r="D613" s="220" t="s">
        <v>4504</v>
      </c>
      <c r="E613" s="222">
        <v>1</v>
      </c>
      <c r="F613" s="192">
        <v>2659</v>
      </c>
      <c r="G613" s="24">
        <v>0.2</v>
      </c>
      <c r="H613" s="24">
        <v>0.05</v>
      </c>
      <c r="I613" s="24">
        <v>0.05</v>
      </c>
      <c r="J613" s="24">
        <v>0</v>
      </c>
      <c r="K613" s="224">
        <f t="shared" si="78"/>
        <v>0.27800000000000002</v>
      </c>
      <c r="L613" s="225">
        <f t="shared" si="79"/>
        <v>3682.825484764543</v>
      </c>
      <c r="M613" s="225">
        <f t="shared" si="80"/>
        <v>3682.825484764543</v>
      </c>
      <c r="N613" s="226">
        <f t="shared" si="81"/>
        <v>4382.5623268698064</v>
      </c>
      <c r="O613" s="34">
        <v>0.3</v>
      </c>
      <c r="P613" s="226">
        <f t="shared" si="82"/>
        <v>5697.3310249307488</v>
      </c>
      <c r="Q613" s="107" t="s">
        <v>1486</v>
      </c>
      <c r="R613" s="34">
        <v>0.3</v>
      </c>
      <c r="S613" s="226">
        <f t="shared" si="83"/>
        <v>4520.3</v>
      </c>
      <c r="T613" s="156" t="s">
        <v>1486</v>
      </c>
      <c r="U613" s="2"/>
      <c r="V613" s="2" t="s">
        <v>47</v>
      </c>
      <c r="W613" s="2" t="s">
        <v>1467</v>
      </c>
      <c r="X613" s="2" t="s">
        <v>1467</v>
      </c>
      <c r="Y613" s="488" t="s">
        <v>1486</v>
      </c>
      <c r="Z613" s="293">
        <f t="shared" si="76"/>
        <v>1023.825484764543</v>
      </c>
      <c r="AA613" s="293">
        <f t="shared" si="77"/>
        <v>1139.5714285714289</v>
      </c>
    </row>
    <row r="614" spans="1:27" s="320" customFormat="1" x14ac:dyDescent="0.25">
      <c r="A614" s="220" t="s">
        <v>4509</v>
      </c>
      <c r="B614" s="221" t="s">
        <v>4510</v>
      </c>
      <c r="C614" s="223" t="s">
        <v>2944</v>
      </c>
      <c r="D614" s="220" t="s">
        <v>4511</v>
      </c>
      <c r="E614" s="222">
        <v>1</v>
      </c>
      <c r="F614" s="192">
        <v>2200</v>
      </c>
      <c r="G614" s="24">
        <v>0.3</v>
      </c>
      <c r="H614" s="24">
        <v>0.05</v>
      </c>
      <c r="I614" s="24">
        <v>0.05</v>
      </c>
      <c r="J614" s="24">
        <v>0</v>
      </c>
      <c r="K614" s="224">
        <f t="shared" si="78"/>
        <v>0.36825000000000019</v>
      </c>
      <c r="L614" s="225">
        <f t="shared" si="79"/>
        <v>3482.3901859912949</v>
      </c>
      <c r="M614" s="225">
        <f t="shared" si="80"/>
        <v>3482.3901859912949</v>
      </c>
      <c r="N614" s="226">
        <f t="shared" si="81"/>
        <v>4144.0443213296403</v>
      </c>
      <c r="O614" s="34">
        <v>0.3</v>
      </c>
      <c r="P614" s="226">
        <f t="shared" si="82"/>
        <v>5387.2576177285328</v>
      </c>
      <c r="Q614" s="107" t="s">
        <v>1486</v>
      </c>
      <c r="R614" s="34">
        <v>0.4</v>
      </c>
      <c r="S614" s="226">
        <f t="shared" si="83"/>
        <v>4363.3333333333339</v>
      </c>
      <c r="T614" s="156" t="s">
        <v>1486</v>
      </c>
      <c r="U614" s="2"/>
      <c r="V614" s="2" t="s">
        <v>47</v>
      </c>
      <c r="W614" s="2" t="s">
        <v>1467</v>
      </c>
      <c r="X614" s="2" t="s">
        <v>1467</v>
      </c>
      <c r="Y614" s="488" t="s">
        <v>1486</v>
      </c>
      <c r="Z614" s="293">
        <f t="shared" si="76"/>
        <v>1282.3901859912949</v>
      </c>
      <c r="AA614" s="293">
        <f t="shared" si="77"/>
        <v>1466.6666666666674</v>
      </c>
    </row>
    <row r="615" spans="1:27" s="320" customFormat="1" x14ac:dyDescent="0.25">
      <c r="A615" s="220" t="s">
        <v>4512</v>
      </c>
      <c r="B615" s="221" t="s">
        <v>4513</v>
      </c>
      <c r="C615" s="223" t="s">
        <v>2944</v>
      </c>
      <c r="D615" s="220" t="s">
        <v>4511</v>
      </c>
      <c r="E615" s="222">
        <v>1</v>
      </c>
      <c r="F615" s="192">
        <v>2200</v>
      </c>
      <c r="G615" s="24">
        <v>0.3</v>
      </c>
      <c r="H615" s="24">
        <v>0.05</v>
      </c>
      <c r="I615" s="24">
        <v>0.05</v>
      </c>
      <c r="J615" s="24">
        <v>0</v>
      </c>
      <c r="K615" s="224">
        <f t="shared" si="78"/>
        <v>0.36825000000000019</v>
      </c>
      <c r="L615" s="225">
        <f t="shared" si="79"/>
        <v>3482.3901859912949</v>
      </c>
      <c r="M615" s="225">
        <f t="shared" si="80"/>
        <v>3482.3901859912949</v>
      </c>
      <c r="N615" s="226">
        <f t="shared" si="81"/>
        <v>4144.0443213296403</v>
      </c>
      <c r="O615" s="34">
        <v>0.3</v>
      </c>
      <c r="P615" s="226">
        <f t="shared" si="82"/>
        <v>5387.2576177285328</v>
      </c>
      <c r="Q615" s="107" t="s">
        <v>1486</v>
      </c>
      <c r="R615" s="34">
        <v>0.4</v>
      </c>
      <c r="S615" s="226">
        <f t="shared" si="83"/>
        <v>4363.3333333333339</v>
      </c>
      <c r="T615" s="156" t="s">
        <v>1486</v>
      </c>
      <c r="U615" s="2"/>
      <c r="V615" s="2" t="s">
        <v>47</v>
      </c>
      <c r="W615" s="2" t="s">
        <v>1467</v>
      </c>
      <c r="X615" s="2" t="s">
        <v>1467</v>
      </c>
      <c r="Y615" s="488" t="s">
        <v>1486</v>
      </c>
      <c r="Z615" s="293">
        <f t="shared" si="76"/>
        <v>1282.3901859912949</v>
      </c>
      <c r="AA615" s="293">
        <f t="shared" si="77"/>
        <v>1466.6666666666674</v>
      </c>
    </row>
    <row r="616" spans="1:27" s="320" customFormat="1" x14ac:dyDescent="0.25">
      <c r="A616" s="220" t="s">
        <v>4529</v>
      </c>
      <c r="B616" s="221" t="s">
        <v>4530</v>
      </c>
      <c r="C616" s="223" t="s">
        <v>3934</v>
      </c>
      <c r="D616" s="220" t="s">
        <v>1646</v>
      </c>
      <c r="E616" s="222">
        <v>1</v>
      </c>
      <c r="F616" s="192">
        <v>1660</v>
      </c>
      <c r="G616" s="24">
        <v>0.2</v>
      </c>
      <c r="H616" s="24">
        <v>0.05</v>
      </c>
      <c r="I616" s="24">
        <v>0.05</v>
      </c>
      <c r="J616" s="24">
        <v>0</v>
      </c>
      <c r="K616" s="224">
        <f t="shared" si="78"/>
        <v>0.27800000000000002</v>
      </c>
      <c r="L616" s="225">
        <f t="shared" si="79"/>
        <v>2299.1689750692522</v>
      </c>
      <c r="M616" s="225">
        <f t="shared" si="80"/>
        <v>2299.1689750692522</v>
      </c>
      <c r="N616" s="226">
        <f t="shared" si="81"/>
        <v>2736.0110803324101</v>
      </c>
      <c r="O616" s="34">
        <v>0.3</v>
      </c>
      <c r="P616" s="226">
        <f t="shared" si="82"/>
        <v>3556.8144044321334</v>
      </c>
      <c r="Q616" s="107" t="s">
        <v>1486</v>
      </c>
      <c r="R616" s="34">
        <v>0.4</v>
      </c>
      <c r="S616" s="226">
        <f t="shared" si="83"/>
        <v>3292.3333333333335</v>
      </c>
      <c r="T616" s="156" t="s">
        <v>1486</v>
      </c>
      <c r="U616" s="2" t="s">
        <v>50</v>
      </c>
      <c r="V616" s="2" t="s">
        <v>47</v>
      </c>
      <c r="W616" s="2" t="s">
        <v>5882</v>
      </c>
      <c r="X616" s="2" t="s">
        <v>1467</v>
      </c>
      <c r="Y616" s="488" t="s">
        <v>1486</v>
      </c>
      <c r="Z616" s="293">
        <f t="shared" si="76"/>
        <v>639.16897506925216</v>
      </c>
      <c r="AA616" s="293">
        <f t="shared" si="77"/>
        <v>1106.666666666667</v>
      </c>
    </row>
    <row r="617" spans="1:27" s="320" customFormat="1" x14ac:dyDescent="0.25">
      <c r="A617" s="220" t="s">
        <v>4531</v>
      </c>
      <c r="B617" s="221" t="s">
        <v>4532</v>
      </c>
      <c r="C617" s="223" t="s">
        <v>3934</v>
      </c>
      <c r="D617" s="220" t="s">
        <v>1646</v>
      </c>
      <c r="E617" s="222">
        <v>1</v>
      </c>
      <c r="F617" s="192">
        <v>1912</v>
      </c>
      <c r="G617" s="24">
        <v>0.2</v>
      </c>
      <c r="H617" s="24">
        <v>0.05</v>
      </c>
      <c r="I617" s="24">
        <v>0.05</v>
      </c>
      <c r="J617" s="24">
        <v>0</v>
      </c>
      <c r="K617" s="224">
        <f t="shared" si="78"/>
        <v>0.27800000000000014</v>
      </c>
      <c r="L617" s="225">
        <f t="shared" si="79"/>
        <v>2648.19944598338</v>
      </c>
      <c r="M617" s="225">
        <f t="shared" si="80"/>
        <v>2648.19944598338</v>
      </c>
      <c r="N617" s="226">
        <f t="shared" si="81"/>
        <v>3151.3573407202221</v>
      </c>
      <c r="O617" s="34">
        <v>0.3</v>
      </c>
      <c r="P617" s="226">
        <f t="shared" si="82"/>
        <v>4096.7645429362892</v>
      </c>
      <c r="Q617" s="107" t="s">
        <v>1486</v>
      </c>
      <c r="R617" s="34">
        <v>0.4</v>
      </c>
      <c r="S617" s="226">
        <f t="shared" si="83"/>
        <v>3792.1333333333337</v>
      </c>
      <c r="T617" s="156" t="s">
        <v>1486</v>
      </c>
      <c r="U617" s="2" t="s">
        <v>50</v>
      </c>
      <c r="V617" s="2" t="s">
        <v>47</v>
      </c>
      <c r="W617" s="2" t="s">
        <v>3965</v>
      </c>
      <c r="X617" s="2" t="s">
        <v>1467</v>
      </c>
      <c r="Y617" s="488" t="s">
        <v>1486</v>
      </c>
      <c r="Z617" s="293">
        <f t="shared" si="76"/>
        <v>736.19944598337997</v>
      </c>
      <c r="AA617" s="293">
        <f t="shared" si="77"/>
        <v>1274.666666666667</v>
      </c>
    </row>
    <row r="618" spans="1:27" s="320" customFormat="1" x14ac:dyDescent="0.25">
      <c r="A618" s="220" t="s">
        <v>4533</v>
      </c>
      <c r="B618" s="221" t="s">
        <v>4534</v>
      </c>
      <c r="C618" s="223" t="s">
        <v>3934</v>
      </c>
      <c r="D618" s="220" t="s">
        <v>1646</v>
      </c>
      <c r="E618" s="222">
        <v>1</v>
      </c>
      <c r="F618" s="192">
        <v>1424</v>
      </c>
      <c r="G618" s="24">
        <v>0.2</v>
      </c>
      <c r="H618" s="24">
        <v>0.05</v>
      </c>
      <c r="I618" s="24">
        <v>0.05</v>
      </c>
      <c r="J618" s="24">
        <v>0</v>
      </c>
      <c r="K618" s="224">
        <f t="shared" si="78"/>
        <v>0.27800000000000014</v>
      </c>
      <c r="L618" s="225">
        <f t="shared" si="79"/>
        <v>1972.2991689750695</v>
      </c>
      <c r="M618" s="225">
        <f t="shared" si="80"/>
        <v>1972.2991689750695</v>
      </c>
      <c r="N618" s="226">
        <f t="shared" si="81"/>
        <v>2347.0360110803326</v>
      </c>
      <c r="O618" s="34">
        <v>0.3</v>
      </c>
      <c r="P618" s="226">
        <f t="shared" si="82"/>
        <v>3051.1468144044325</v>
      </c>
      <c r="Q618" s="107" t="s">
        <v>1486</v>
      </c>
      <c r="R618" s="34">
        <v>0.4</v>
      </c>
      <c r="S618" s="226">
        <f t="shared" si="83"/>
        <v>2824.2666666666669</v>
      </c>
      <c r="T618" s="156" t="s">
        <v>1486</v>
      </c>
      <c r="U618" s="2" t="s">
        <v>50</v>
      </c>
      <c r="V618" s="2" t="s">
        <v>47</v>
      </c>
      <c r="W618" s="2" t="s">
        <v>3965</v>
      </c>
      <c r="X618" s="2" t="s">
        <v>1467</v>
      </c>
      <c r="Y618" s="488" t="s">
        <v>1486</v>
      </c>
      <c r="Z618" s="293">
        <f t="shared" si="76"/>
        <v>548.29916897506951</v>
      </c>
      <c r="AA618" s="293">
        <f t="shared" si="77"/>
        <v>949.33333333333348</v>
      </c>
    </row>
    <row r="619" spans="1:27" s="320" customFormat="1" x14ac:dyDescent="0.25">
      <c r="A619" s="220" t="s">
        <v>4535</v>
      </c>
      <c r="B619" s="221" t="s">
        <v>4536</v>
      </c>
      <c r="C619" s="223" t="s">
        <v>3934</v>
      </c>
      <c r="D619" s="220" t="s">
        <v>1646</v>
      </c>
      <c r="E619" s="222">
        <v>1</v>
      </c>
      <c r="F619" s="192">
        <v>1424</v>
      </c>
      <c r="G619" s="24">
        <v>0.2</v>
      </c>
      <c r="H619" s="24">
        <v>0.05</v>
      </c>
      <c r="I619" s="24">
        <v>0.05</v>
      </c>
      <c r="J619" s="24">
        <v>0</v>
      </c>
      <c r="K619" s="224">
        <f t="shared" si="78"/>
        <v>0.27800000000000014</v>
      </c>
      <c r="L619" s="225">
        <f t="shared" si="79"/>
        <v>1972.2991689750695</v>
      </c>
      <c r="M619" s="225">
        <f t="shared" si="80"/>
        <v>1972.2991689750695</v>
      </c>
      <c r="N619" s="226">
        <f t="shared" si="81"/>
        <v>2347.0360110803326</v>
      </c>
      <c r="O619" s="34">
        <v>0.3</v>
      </c>
      <c r="P619" s="226">
        <f t="shared" si="82"/>
        <v>3051.1468144044325</v>
      </c>
      <c r="Q619" s="107" t="s">
        <v>1486</v>
      </c>
      <c r="R619" s="34">
        <v>0.4</v>
      </c>
      <c r="S619" s="226">
        <f t="shared" si="83"/>
        <v>2824.2666666666669</v>
      </c>
      <c r="T619" s="156" t="s">
        <v>1486</v>
      </c>
      <c r="U619" s="2" t="s">
        <v>50</v>
      </c>
      <c r="V619" s="2" t="s">
        <v>47</v>
      </c>
      <c r="W619" s="2" t="s">
        <v>3965</v>
      </c>
      <c r="X619" s="2" t="s">
        <v>1467</v>
      </c>
      <c r="Y619" s="488" t="s">
        <v>1486</v>
      </c>
      <c r="Z619" s="293">
        <f t="shared" si="76"/>
        <v>548.29916897506951</v>
      </c>
      <c r="AA619" s="293">
        <f t="shared" si="77"/>
        <v>949.33333333333348</v>
      </c>
    </row>
    <row r="620" spans="1:27" s="320" customFormat="1" x14ac:dyDescent="0.25">
      <c r="A620" s="220" t="s">
        <v>4537</v>
      </c>
      <c r="B620" s="221" t="s">
        <v>4538</v>
      </c>
      <c r="C620" s="223" t="s">
        <v>3934</v>
      </c>
      <c r="D620" s="220" t="s">
        <v>1646</v>
      </c>
      <c r="E620" s="222">
        <v>1</v>
      </c>
      <c r="F620" s="192">
        <v>894</v>
      </c>
      <c r="G620" s="24">
        <v>0.2</v>
      </c>
      <c r="H620" s="24">
        <v>0.05</v>
      </c>
      <c r="I620" s="24">
        <v>0.05</v>
      </c>
      <c r="J620" s="24">
        <v>0</v>
      </c>
      <c r="K620" s="224">
        <f t="shared" si="78"/>
        <v>0.27800000000000002</v>
      </c>
      <c r="L620" s="225">
        <f t="shared" si="79"/>
        <v>1238.2271468144045</v>
      </c>
      <c r="M620" s="225">
        <f t="shared" si="80"/>
        <v>1238.2271468144045</v>
      </c>
      <c r="N620" s="226">
        <f t="shared" si="81"/>
        <v>1473.4903047091414</v>
      </c>
      <c r="O620" s="34">
        <v>0.3</v>
      </c>
      <c r="P620" s="226">
        <f t="shared" si="82"/>
        <v>1915.5373961218838</v>
      </c>
      <c r="Q620" s="107" t="s">
        <v>1486</v>
      </c>
      <c r="R620" s="34">
        <v>0.4</v>
      </c>
      <c r="S620" s="226">
        <f t="shared" si="83"/>
        <v>1773.1</v>
      </c>
      <c r="T620" s="156" t="s">
        <v>1486</v>
      </c>
      <c r="U620" s="2" t="s">
        <v>50</v>
      </c>
      <c r="V620" s="2" t="s">
        <v>47</v>
      </c>
      <c r="W620" s="2" t="s">
        <v>3965</v>
      </c>
      <c r="X620" s="2" t="s">
        <v>1467</v>
      </c>
      <c r="Y620" s="488" t="s">
        <v>1486</v>
      </c>
      <c r="Z620" s="293">
        <f t="shared" si="76"/>
        <v>344.22714681440448</v>
      </c>
      <c r="AA620" s="293">
        <f t="shared" si="77"/>
        <v>596</v>
      </c>
    </row>
    <row r="621" spans="1:27" s="320" customFormat="1" x14ac:dyDescent="0.25">
      <c r="A621" s="220" t="s">
        <v>4539</v>
      </c>
      <c r="B621" s="221" t="s">
        <v>4540</v>
      </c>
      <c r="C621" s="223" t="s">
        <v>3934</v>
      </c>
      <c r="D621" s="220" t="s">
        <v>1646</v>
      </c>
      <c r="E621" s="222">
        <v>1</v>
      </c>
      <c r="F621" s="192"/>
      <c r="G621" s="24">
        <v>0.2</v>
      </c>
      <c r="H621" s="24">
        <v>0.05</v>
      </c>
      <c r="I621" s="24">
        <v>0.05</v>
      </c>
      <c r="J621" s="24">
        <v>0</v>
      </c>
      <c r="K621" s="224">
        <f t="shared" si="78"/>
        <v>0</v>
      </c>
      <c r="L621" s="225">
        <f t="shared" si="79"/>
        <v>0</v>
      </c>
      <c r="M621" s="225">
        <f t="shared" si="80"/>
        <v>0</v>
      </c>
      <c r="N621" s="226">
        <f t="shared" si="81"/>
        <v>0</v>
      </c>
      <c r="O621" s="34">
        <v>0.3</v>
      </c>
      <c r="P621" s="226">
        <f t="shared" si="82"/>
        <v>0</v>
      </c>
      <c r="Q621" s="107" t="s">
        <v>1486</v>
      </c>
      <c r="R621" s="34">
        <v>0.4</v>
      </c>
      <c r="S621" s="226">
        <f t="shared" si="83"/>
        <v>0</v>
      </c>
      <c r="T621" s="156" t="s">
        <v>1486</v>
      </c>
      <c r="U621" s="2" t="s">
        <v>109</v>
      </c>
      <c r="V621" s="2" t="s">
        <v>47</v>
      </c>
      <c r="W621" s="2" t="s">
        <v>3965</v>
      </c>
      <c r="X621" s="2" t="s">
        <v>1467</v>
      </c>
      <c r="Y621" s="488" t="s">
        <v>1486</v>
      </c>
      <c r="Z621" s="293">
        <f t="shared" si="76"/>
        <v>0</v>
      </c>
      <c r="AA621" s="293">
        <f t="shared" si="77"/>
        <v>0</v>
      </c>
    </row>
    <row r="622" spans="1:27" s="320" customFormat="1" x14ac:dyDescent="0.25">
      <c r="A622" s="220" t="s">
        <v>4566</v>
      </c>
      <c r="B622" s="221" t="s">
        <v>4567</v>
      </c>
      <c r="C622" s="223" t="s">
        <v>3726</v>
      </c>
      <c r="D622" s="220" t="s">
        <v>3713</v>
      </c>
      <c r="E622" s="222">
        <v>6</v>
      </c>
      <c r="F622" s="192">
        <v>2101</v>
      </c>
      <c r="G622" s="24">
        <v>0.2</v>
      </c>
      <c r="H622" s="24">
        <v>0.05</v>
      </c>
      <c r="I622" s="24">
        <v>0.05</v>
      </c>
      <c r="J622" s="24">
        <v>0</v>
      </c>
      <c r="K622" s="224">
        <f t="shared" si="78"/>
        <v>0.27800000000000002</v>
      </c>
      <c r="L622" s="225">
        <f t="shared" si="79"/>
        <v>17459.833795013852</v>
      </c>
      <c r="M622" s="225">
        <f t="shared" si="80"/>
        <v>2909.972299168975</v>
      </c>
      <c r="N622" s="226">
        <f t="shared" si="81"/>
        <v>3462.86703601108</v>
      </c>
      <c r="O622" s="34">
        <v>0.3</v>
      </c>
      <c r="P622" s="226">
        <f t="shared" si="82"/>
        <v>4501.7271468144045</v>
      </c>
      <c r="Q622" s="107" t="s">
        <v>1486</v>
      </c>
      <c r="R622" s="34">
        <v>0.35</v>
      </c>
      <c r="S622" s="226">
        <f t="shared" si="83"/>
        <v>3846.4461538461537</v>
      </c>
      <c r="T622" s="156" t="s">
        <v>1486</v>
      </c>
      <c r="U622" s="2"/>
      <c r="V622" s="2" t="s">
        <v>47</v>
      </c>
      <c r="W622" s="2" t="s">
        <v>1467</v>
      </c>
      <c r="X622" s="2" t="s">
        <v>1467</v>
      </c>
      <c r="Y622" s="488" t="s">
        <v>1486</v>
      </c>
      <c r="Z622" s="293">
        <f t="shared" si="76"/>
        <v>808.97229916897504</v>
      </c>
      <c r="AA622" s="293">
        <f t="shared" si="77"/>
        <v>1131.3076923076924</v>
      </c>
    </row>
    <row r="623" spans="1:27" s="320" customFormat="1" x14ac:dyDescent="0.25">
      <c r="A623" s="220" t="s">
        <v>4634</v>
      </c>
      <c r="B623" s="221" t="s">
        <v>4635</v>
      </c>
      <c r="C623" s="223" t="s">
        <v>4767</v>
      </c>
      <c r="D623" s="220" t="s">
        <v>4636</v>
      </c>
      <c r="E623" s="222">
        <v>1</v>
      </c>
      <c r="F623" s="192">
        <v>1470</v>
      </c>
      <c r="G623" s="24">
        <v>0.2</v>
      </c>
      <c r="H623" s="24">
        <v>0.05</v>
      </c>
      <c r="I623" s="24">
        <v>0.05</v>
      </c>
      <c r="J623" s="24">
        <v>0</v>
      </c>
      <c r="K623" s="224">
        <f t="shared" si="78"/>
        <v>0.27800000000000014</v>
      </c>
      <c r="L623" s="225">
        <f t="shared" si="79"/>
        <v>2036.0110803324103</v>
      </c>
      <c r="M623" s="225">
        <f t="shared" si="80"/>
        <v>2036.0110803324103</v>
      </c>
      <c r="N623" s="226">
        <f t="shared" si="81"/>
        <v>2422.853185595568</v>
      </c>
      <c r="O623" s="34">
        <v>0.3</v>
      </c>
      <c r="P623" s="226">
        <f t="shared" si="82"/>
        <v>3149.7091412742384</v>
      </c>
      <c r="Q623" s="107" t="s">
        <v>1486</v>
      </c>
      <c r="R623" s="34">
        <v>0.3</v>
      </c>
      <c r="S623" s="226">
        <f t="shared" si="83"/>
        <v>2499</v>
      </c>
      <c r="T623" s="156" t="s">
        <v>1486</v>
      </c>
      <c r="U623" s="2"/>
      <c r="V623" s="2" t="s">
        <v>47</v>
      </c>
      <c r="W623" s="2" t="s">
        <v>1467</v>
      </c>
      <c r="X623" s="2" t="s">
        <v>1467</v>
      </c>
      <c r="Y623" s="488" t="s">
        <v>1486</v>
      </c>
      <c r="Z623" s="293">
        <f t="shared" si="76"/>
        <v>566.0110803324103</v>
      </c>
      <c r="AA623" s="293">
        <f t="shared" si="77"/>
        <v>630</v>
      </c>
    </row>
    <row r="624" spans="1:27" s="320" customFormat="1" x14ac:dyDescent="0.25">
      <c r="A624" s="220" t="s">
        <v>4637</v>
      </c>
      <c r="B624" s="221" t="s">
        <v>4638</v>
      </c>
      <c r="C624" s="223" t="s">
        <v>4767</v>
      </c>
      <c r="D624" s="220" t="s">
        <v>4636</v>
      </c>
      <c r="E624" s="222">
        <v>1</v>
      </c>
      <c r="F624" s="192">
        <v>1500</v>
      </c>
      <c r="G624" s="24">
        <v>0.2</v>
      </c>
      <c r="H624" s="24">
        <v>0.05</v>
      </c>
      <c r="I624" s="24">
        <v>0.05</v>
      </c>
      <c r="J624" s="24">
        <v>0</v>
      </c>
      <c r="K624" s="224">
        <f t="shared" si="78"/>
        <v>0.27800000000000014</v>
      </c>
      <c r="L624" s="225">
        <f t="shared" si="79"/>
        <v>2077.5623268698064</v>
      </c>
      <c r="M624" s="225">
        <f t="shared" si="80"/>
        <v>2077.5623268698064</v>
      </c>
      <c r="N624" s="226">
        <f t="shared" si="81"/>
        <v>2472.2991689750693</v>
      </c>
      <c r="O624" s="34">
        <v>0.3</v>
      </c>
      <c r="P624" s="226">
        <f t="shared" si="82"/>
        <v>3213.9889196675904</v>
      </c>
      <c r="Q624" s="107" t="s">
        <v>1486</v>
      </c>
      <c r="R624" s="34">
        <v>0.3</v>
      </c>
      <c r="S624" s="226">
        <f t="shared" si="83"/>
        <v>2550</v>
      </c>
      <c r="T624" s="156" t="s">
        <v>1486</v>
      </c>
      <c r="U624" s="2"/>
      <c r="V624" s="2" t="s">
        <v>47</v>
      </c>
      <c r="W624" s="2" t="s">
        <v>1467</v>
      </c>
      <c r="X624" s="2" t="s">
        <v>1467</v>
      </c>
      <c r="Y624" s="488" t="s">
        <v>1486</v>
      </c>
      <c r="Z624" s="293">
        <f t="shared" si="76"/>
        <v>577.56232686980638</v>
      </c>
      <c r="AA624" s="293">
        <f t="shared" si="77"/>
        <v>642.85714285714312</v>
      </c>
    </row>
    <row r="625" spans="1:27" s="320" customFormat="1" x14ac:dyDescent="0.25">
      <c r="A625" s="220" t="s">
        <v>4639</v>
      </c>
      <c r="B625" s="221" t="s">
        <v>4640</v>
      </c>
      <c r="C625" s="223" t="s">
        <v>4767</v>
      </c>
      <c r="D625" s="220" t="s">
        <v>4636</v>
      </c>
      <c r="E625" s="222">
        <v>1</v>
      </c>
      <c r="F625" s="192">
        <v>1220</v>
      </c>
      <c r="G625" s="24">
        <v>0.2</v>
      </c>
      <c r="H625" s="24">
        <v>0.05</v>
      </c>
      <c r="I625" s="24">
        <v>0.05</v>
      </c>
      <c r="J625" s="24">
        <v>0</v>
      </c>
      <c r="K625" s="224">
        <f t="shared" si="78"/>
        <v>0.27800000000000014</v>
      </c>
      <c r="L625" s="225">
        <f t="shared" si="79"/>
        <v>1689.7506925207758</v>
      </c>
      <c r="M625" s="225">
        <f t="shared" si="80"/>
        <v>1689.7506925207758</v>
      </c>
      <c r="N625" s="226">
        <f t="shared" si="81"/>
        <v>2010.8033240997231</v>
      </c>
      <c r="O625" s="34">
        <v>0.3</v>
      </c>
      <c r="P625" s="226">
        <f t="shared" si="82"/>
        <v>2614.0443213296403</v>
      </c>
      <c r="Q625" s="107" t="s">
        <v>1486</v>
      </c>
      <c r="R625" s="34">
        <v>0.3</v>
      </c>
      <c r="S625" s="226">
        <f t="shared" si="83"/>
        <v>2074</v>
      </c>
      <c r="T625" s="156" t="s">
        <v>1486</v>
      </c>
      <c r="U625" s="2"/>
      <c r="V625" s="2" t="s">
        <v>47</v>
      </c>
      <c r="W625" s="2" t="s">
        <v>1467</v>
      </c>
      <c r="X625" s="2" t="s">
        <v>1467</v>
      </c>
      <c r="Y625" s="488" t="s">
        <v>1486</v>
      </c>
      <c r="Z625" s="293">
        <f t="shared" si="76"/>
        <v>469.75069252077583</v>
      </c>
      <c r="AA625" s="293">
        <f t="shared" si="77"/>
        <v>522.85714285714289</v>
      </c>
    </row>
    <row r="626" spans="1:27" s="320" customFormat="1" x14ac:dyDescent="0.25">
      <c r="A626" s="220" t="s">
        <v>4641</v>
      </c>
      <c r="B626" s="221" t="s">
        <v>4642</v>
      </c>
      <c r="C626" s="223" t="s">
        <v>4767</v>
      </c>
      <c r="D626" s="220" t="s">
        <v>4636</v>
      </c>
      <c r="E626" s="222">
        <v>1</v>
      </c>
      <c r="F626" s="192">
        <v>844</v>
      </c>
      <c r="G626" s="24">
        <v>0.2</v>
      </c>
      <c r="H626" s="24">
        <v>0.05</v>
      </c>
      <c r="I626" s="24">
        <v>0.05</v>
      </c>
      <c r="J626" s="24">
        <v>0</v>
      </c>
      <c r="K626" s="224">
        <f t="shared" si="78"/>
        <v>0.27800000000000002</v>
      </c>
      <c r="L626" s="225">
        <f t="shared" si="79"/>
        <v>1168.9750692520777</v>
      </c>
      <c r="M626" s="225">
        <f t="shared" si="80"/>
        <v>1168.9750692520777</v>
      </c>
      <c r="N626" s="226">
        <f t="shared" si="81"/>
        <v>1391.0803324099725</v>
      </c>
      <c r="O626" s="34">
        <v>0.3</v>
      </c>
      <c r="P626" s="226">
        <f t="shared" si="82"/>
        <v>1808.4044321329643</v>
      </c>
      <c r="Q626" s="107" t="s">
        <v>1486</v>
      </c>
      <c r="R626" s="34">
        <v>0.3</v>
      </c>
      <c r="S626" s="226">
        <f t="shared" si="83"/>
        <v>1434.8</v>
      </c>
      <c r="T626" s="156" t="s">
        <v>1486</v>
      </c>
      <c r="U626" s="2"/>
      <c r="V626" s="2" t="s">
        <v>47</v>
      </c>
      <c r="W626" s="2" t="s">
        <v>1467</v>
      </c>
      <c r="X626" s="2" t="s">
        <v>1467</v>
      </c>
      <c r="Y626" s="488" t="s">
        <v>1486</v>
      </c>
      <c r="Z626" s="293">
        <f t="shared" si="76"/>
        <v>324.97506925207767</v>
      </c>
      <c r="AA626" s="293">
        <f t="shared" si="77"/>
        <v>361.71428571428578</v>
      </c>
    </row>
    <row r="627" spans="1:27" s="320" customFormat="1" x14ac:dyDescent="0.25">
      <c r="A627" s="220" t="s">
        <v>4643</v>
      </c>
      <c r="B627" s="221" t="s">
        <v>4644</v>
      </c>
      <c r="C627" s="223" t="s">
        <v>4767</v>
      </c>
      <c r="D627" s="220" t="s">
        <v>4636</v>
      </c>
      <c r="E627" s="222">
        <v>1</v>
      </c>
      <c r="F627" s="192">
        <v>1185</v>
      </c>
      <c r="G627" s="24">
        <v>0.2</v>
      </c>
      <c r="H627" s="24">
        <v>0.05</v>
      </c>
      <c r="I627" s="24">
        <v>0.05</v>
      </c>
      <c r="J627" s="24">
        <v>0</v>
      </c>
      <c r="K627" s="224">
        <f t="shared" si="78"/>
        <v>0.27800000000000002</v>
      </c>
      <c r="L627" s="225">
        <f t="shared" si="79"/>
        <v>1641.274238227147</v>
      </c>
      <c r="M627" s="225">
        <f t="shared" si="80"/>
        <v>1641.274238227147</v>
      </c>
      <c r="N627" s="226">
        <f t="shared" si="81"/>
        <v>1953.1163434903049</v>
      </c>
      <c r="O627" s="34">
        <v>0.3</v>
      </c>
      <c r="P627" s="226">
        <f t="shared" si="82"/>
        <v>2539.0512465373963</v>
      </c>
      <c r="Q627" s="107" t="s">
        <v>1486</v>
      </c>
      <c r="R627" s="34">
        <v>0.3</v>
      </c>
      <c r="S627" s="226">
        <f t="shared" si="83"/>
        <v>2014.5</v>
      </c>
      <c r="T627" s="156" t="s">
        <v>1486</v>
      </c>
      <c r="U627" s="2"/>
      <c r="V627" s="2" t="s">
        <v>47</v>
      </c>
      <c r="W627" s="2" t="s">
        <v>1467</v>
      </c>
      <c r="X627" s="2" t="s">
        <v>1467</v>
      </c>
      <c r="Y627" s="488" t="s">
        <v>1486</v>
      </c>
      <c r="Z627" s="293">
        <f t="shared" si="76"/>
        <v>456.27423822714695</v>
      </c>
      <c r="AA627" s="293">
        <f t="shared" si="77"/>
        <v>507.85714285714289</v>
      </c>
    </row>
    <row r="628" spans="1:27" s="320" customFormat="1" x14ac:dyDescent="0.25">
      <c r="A628" s="220" t="s">
        <v>4645</v>
      </c>
      <c r="B628" s="221" t="s">
        <v>4646</v>
      </c>
      <c r="C628" s="223" t="s">
        <v>4767</v>
      </c>
      <c r="D628" s="220" t="s">
        <v>4636</v>
      </c>
      <c r="E628" s="222">
        <v>1</v>
      </c>
      <c r="F628" s="192">
        <v>729</v>
      </c>
      <c r="G628" s="24">
        <v>0.2</v>
      </c>
      <c r="H628" s="24">
        <v>0.05</v>
      </c>
      <c r="I628" s="24">
        <v>0.05</v>
      </c>
      <c r="J628" s="24">
        <v>0</v>
      </c>
      <c r="K628" s="224">
        <f t="shared" si="78"/>
        <v>0.27800000000000002</v>
      </c>
      <c r="L628" s="225">
        <f t="shared" si="79"/>
        <v>1009.6952908587258</v>
      </c>
      <c r="M628" s="225">
        <f t="shared" si="80"/>
        <v>1009.6952908587258</v>
      </c>
      <c r="N628" s="226">
        <f t="shared" si="81"/>
        <v>1201.5373961218836</v>
      </c>
      <c r="O628" s="34">
        <v>0.3</v>
      </c>
      <c r="P628" s="226">
        <f t="shared" si="82"/>
        <v>1561.9986149584488</v>
      </c>
      <c r="Q628" s="107" t="s">
        <v>1486</v>
      </c>
      <c r="R628" s="34">
        <v>0.3</v>
      </c>
      <c r="S628" s="226">
        <f t="shared" si="83"/>
        <v>1239.3000000000002</v>
      </c>
      <c r="T628" s="156" t="s">
        <v>1486</v>
      </c>
      <c r="U628" s="2"/>
      <c r="V628" s="2" t="s">
        <v>47</v>
      </c>
      <c r="W628" s="2" t="s">
        <v>1467</v>
      </c>
      <c r="X628" s="2" t="s">
        <v>1467</v>
      </c>
      <c r="Y628" s="488" t="s">
        <v>1486</v>
      </c>
      <c r="Z628" s="293">
        <f t="shared" si="76"/>
        <v>280.6952908587258</v>
      </c>
      <c r="AA628" s="293">
        <f t="shared" si="77"/>
        <v>312.42857142857156</v>
      </c>
    </row>
    <row r="629" spans="1:27" s="320" customFormat="1" x14ac:dyDescent="0.25">
      <c r="A629" s="220" t="s">
        <v>4647</v>
      </c>
      <c r="B629" s="221" t="s">
        <v>4648</v>
      </c>
      <c r="C629" s="223" t="s">
        <v>4767</v>
      </c>
      <c r="D629" s="220" t="s">
        <v>4636</v>
      </c>
      <c r="E629" s="222">
        <v>1</v>
      </c>
      <c r="F629" s="192">
        <v>729</v>
      </c>
      <c r="G629" s="24">
        <v>0.2</v>
      </c>
      <c r="H629" s="24">
        <v>0.05</v>
      </c>
      <c r="I629" s="24">
        <v>0.05</v>
      </c>
      <c r="J629" s="24">
        <v>0</v>
      </c>
      <c r="K629" s="224">
        <f t="shared" si="78"/>
        <v>0.27800000000000002</v>
      </c>
      <c r="L629" s="225">
        <f t="shared" si="79"/>
        <v>1009.6952908587258</v>
      </c>
      <c r="M629" s="225">
        <f t="shared" si="80"/>
        <v>1009.6952908587258</v>
      </c>
      <c r="N629" s="226">
        <f t="shared" si="81"/>
        <v>1201.5373961218836</v>
      </c>
      <c r="O629" s="34">
        <v>0.3</v>
      </c>
      <c r="P629" s="226">
        <f t="shared" si="82"/>
        <v>1561.9986149584488</v>
      </c>
      <c r="Q629" s="107" t="s">
        <v>1486</v>
      </c>
      <c r="R629" s="34">
        <v>0.3</v>
      </c>
      <c r="S629" s="226">
        <f t="shared" si="83"/>
        <v>1239.3000000000002</v>
      </c>
      <c r="T629" s="156" t="s">
        <v>1486</v>
      </c>
      <c r="U629" s="2"/>
      <c r="V629" s="2" t="s">
        <v>47</v>
      </c>
      <c r="W629" s="2" t="s">
        <v>1467</v>
      </c>
      <c r="X629" s="2" t="s">
        <v>1467</v>
      </c>
      <c r="Y629" s="488" t="s">
        <v>1486</v>
      </c>
      <c r="Z629" s="293">
        <f t="shared" si="76"/>
        <v>280.6952908587258</v>
      </c>
      <c r="AA629" s="293">
        <f t="shared" si="77"/>
        <v>312.42857142857156</v>
      </c>
    </row>
    <row r="630" spans="1:27" s="320" customFormat="1" x14ac:dyDescent="0.25">
      <c r="A630" s="220" t="s">
        <v>4649</v>
      </c>
      <c r="B630" s="221" t="s">
        <v>4650</v>
      </c>
      <c r="C630" s="223" t="s">
        <v>4767</v>
      </c>
      <c r="D630" s="220" t="s">
        <v>4636</v>
      </c>
      <c r="E630" s="222">
        <v>1</v>
      </c>
      <c r="F630" s="192">
        <v>935</v>
      </c>
      <c r="G630" s="24">
        <v>0.2</v>
      </c>
      <c r="H630" s="24">
        <v>0.05</v>
      </c>
      <c r="I630" s="24">
        <v>0.05</v>
      </c>
      <c r="J630" s="24">
        <v>0</v>
      </c>
      <c r="K630" s="224">
        <f t="shared" si="78"/>
        <v>0.27800000000000002</v>
      </c>
      <c r="L630" s="225">
        <f t="shared" si="79"/>
        <v>1295.0138504155125</v>
      </c>
      <c r="M630" s="225">
        <f t="shared" si="80"/>
        <v>1295.0138504155125</v>
      </c>
      <c r="N630" s="226">
        <f t="shared" si="81"/>
        <v>1541.0664819944598</v>
      </c>
      <c r="O630" s="34">
        <v>0.3</v>
      </c>
      <c r="P630" s="226">
        <f t="shared" si="82"/>
        <v>2003.3864265927978</v>
      </c>
      <c r="Q630" s="107" t="s">
        <v>1486</v>
      </c>
      <c r="R630" s="34">
        <v>0.3</v>
      </c>
      <c r="S630" s="226">
        <f t="shared" si="83"/>
        <v>1589.5</v>
      </c>
      <c r="T630" s="156" t="s">
        <v>1486</v>
      </c>
      <c r="U630" s="2"/>
      <c r="V630" s="2" t="s">
        <v>47</v>
      </c>
      <c r="W630" s="2" t="s">
        <v>1467</v>
      </c>
      <c r="X630" s="2" t="s">
        <v>1467</v>
      </c>
      <c r="Y630" s="488" t="s">
        <v>1486</v>
      </c>
      <c r="Z630" s="293">
        <f t="shared" si="76"/>
        <v>360.01385041551248</v>
      </c>
      <c r="AA630" s="293">
        <f t="shared" si="77"/>
        <v>400.71428571428578</v>
      </c>
    </row>
    <row r="631" spans="1:27" s="320" customFormat="1" x14ac:dyDescent="0.25">
      <c r="A631" s="220" t="s">
        <v>4651</v>
      </c>
      <c r="B631" s="221" t="s">
        <v>4652</v>
      </c>
      <c r="C631" s="223" t="s">
        <v>4767</v>
      </c>
      <c r="D631" s="220" t="s">
        <v>4636</v>
      </c>
      <c r="E631" s="222">
        <v>1</v>
      </c>
      <c r="F631" s="192">
        <v>630</v>
      </c>
      <c r="G631" s="24">
        <v>0.2</v>
      </c>
      <c r="H631" s="24">
        <v>0.05</v>
      </c>
      <c r="I631" s="24">
        <v>0.05</v>
      </c>
      <c r="J631" s="24">
        <v>0</v>
      </c>
      <c r="K631" s="224">
        <f t="shared" si="78"/>
        <v>0.27800000000000002</v>
      </c>
      <c r="L631" s="225">
        <f t="shared" si="79"/>
        <v>872.57617728531864</v>
      </c>
      <c r="M631" s="225">
        <f t="shared" si="80"/>
        <v>872.57617728531864</v>
      </c>
      <c r="N631" s="226">
        <f t="shared" si="81"/>
        <v>1038.365650969529</v>
      </c>
      <c r="O631" s="34">
        <v>0.3</v>
      </c>
      <c r="P631" s="226">
        <f t="shared" si="82"/>
        <v>1349.8753462603879</v>
      </c>
      <c r="Q631" s="107" t="s">
        <v>1486</v>
      </c>
      <c r="R631" s="34">
        <v>0.3</v>
      </c>
      <c r="S631" s="226">
        <f t="shared" si="83"/>
        <v>1071</v>
      </c>
      <c r="T631" s="156" t="s">
        <v>1486</v>
      </c>
      <c r="U631" s="2"/>
      <c r="V631" s="2" t="s">
        <v>47</v>
      </c>
      <c r="W631" s="2" t="s">
        <v>1467</v>
      </c>
      <c r="X631" s="2" t="s">
        <v>1467</v>
      </c>
      <c r="Y631" s="488" t="s">
        <v>1486</v>
      </c>
      <c r="Z631" s="293">
        <f t="shared" si="76"/>
        <v>242.57617728531864</v>
      </c>
      <c r="AA631" s="293">
        <f t="shared" si="77"/>
        <v>270</v>
      </c>
    </row>
    <row r="632" spans="1:27" s="320" customFormat="1" x14ac:dyDescent="0.25">
      <c r="A632" s="220" t="s">
        <v>4654</v>
      </c>
      <c r="B632" s="221" t="s">
        <v>5306</v>
      </c>
      <c r="C632" s="223" t="s">
        <v>4767</v>
      </c>
      <c r="D632" s="220" t="s">
        <v>4636</v>
      </c>
      <c r="E632" s="222">
        <v>1</v>
      </c>
      <c r="F632" s="192">
        <v>625</v>
      </c>
      <c r="G632" s="24">
        <v>0.2</v>
      </c>
      <c r="H632" s="24">
        <v>0.05</v>
      </c>
      <c r="I632" s="24">
        <v>0.05</v>
      </c>
      <c r="J632" s="24">
        <v>0</v>
      </c>
      <c r="K632" s="224">
        <f t="shared" si="78"/>
        <v>0.27800000000000002</v>
      </c>
      <c r="L632" s="225">
        <f t="shared" si="79"/>
        <v>865.65096952908584</v>
      </c>
      <c r="M632" s="225">
        <f t="shared" si="80"/>
        <v>865.65096952908584</v>
      </c>
      <c r="N632" s="226">
        <f t="shared" si="81"/>
        <v>1030.1246537396121</v>
      </c>
      <c r="O632" s="34">
        <v>0.3</v>
      </c>
      <c r="P632" s="226">
        <f t="shared" si="82"/>
        <v>1339.1620498614957</v>
      </c>
      <c r="Q632" s="107" t="s">
        <v>1486</v>
      </c>
      <c r="R632" s="34">
        <v>0.3</v>
      </c>
      <c r="S632" s="226">
        <f t="shared" si="83"/>
        <v>1062.5</v>
      </c>
      <c r="T632" s="156" t="s">
        <v>1486</v>
      </c>
      <c r="U632" s="2"/>
      <c r="V632" s="2" t="s">
        <v>47</v>
      </c>
      <c r="W632" s="2" t="s">
        <v>1467</v>
      </c>
      <c r="X632" s="2" t="s">
        <v>1467</v>
      </c>
      <c r="Y632" s="488" t="s">
        <v>1486</v>
      </c>
      <c r="Z632" s="293">
        <f t="shared" si="76"/>
        <v>240.65096952908584</v>
      </c>
      <c r="AA632" s="293">
        <f t="shared" si="77"/>
        <v>267.85714285714289</v>
      </c>
    </row>
    <row r="633" spans="1:27" s="320" customFormat="1" x14ac:dyDescent="0.25">
      <c r="A633" s="220" t="s">
        <v>4655</v>
      </c>
      <c r="B633" s="221" t="s">
        <v>4656</v>
      </c>
      <c r="C633" s="223" t="s">
        <v>4767</v>
      </c>
      <c r="D633" s="220" t="s">
        <v>4636</v>
      </c>
      <c r="E633" s="222">
        <v>1</v>
      </c>
      <c r="F633" s="192">
        <v>517</v>
      </c>
      <c r="G633" s="24">
        <v>0.2</v>
      </c>
      <c r="H633" s="24">
        <v>0.05</v>
      </c>
      <c r="I633" s="24">
        <v>0.05</v>
      </c>
      <c r="J633" s="24">
        <v>0</v>
      </c>
      <c r="K633" s="224">
        <f t="shared" si="78"/>
        <v>0.27800000000000002</v>
      </c>
      <c r="L633" s="225">
        <f t="shared" si="79"/>
        <v>716.06648199445988</v>
      </c>
      <c r="M633" s="225">
        <f t="shared" si="80"/>
        <v>716.06648199445988</v>
      </c>
      <c r="N633" s="226">
        <f t="shared" si="81"/>
        <v>852.11911357340716</v>
      </c>
      <c r="O633" s="34">
        <v>0.3</v>
      </c>
      <c r="P633" s="226">
        <f t="shared" si="82"/>
        <v>1107.7548476454294</v>
      </c>
      <c r="Q633" s="107" t="s">
        <v>1486</v>
      </c>
      <c r="R633" s="34">
        <v>0.3</v>
      </c>
      <c r="S633" s="226">
        <f t="shared" si="83"/>
        <v>878.90000000000009</v>
      </c>
      <c r="T633" s="156" t="s">
        <v>1486</v>
      </c>
      <c r="U633" s="2"/>
      <c r="V633" s="2" t="s">
        <v>47</v>
      </c>
      <c r="W633" s="2" t="s">
        <v>1467</v>
      </c>
      <c r="X633" s="2" t="s">
        <v>1467</v>
      </c>
      <c r="Y633" s="488" t="s">
        <v>1486</v>
      </c>
      <c r="Z633" s="293">
        <f t="shared" si="76"/>
        <v>199.06648199445988</v>
      </c>
      <c r="AA633" s="293">
        <f t="shared" si="77"/>
        <v>221.57142857142867</v>
      </c>
    </row>
    <row r="634" spans="1:27" s="320" customFormat="1" x14ac:dyDescent="0.25">
      <c r="A634" s="220" t="s">
        <v>4657</v>
      </c>
      <c r="B634" s="221" t="s">
        <v>4658</v>
      </c>
      <c r="C634" s="223" t="s">
        <v>4767</v>
      </c>
      <c r="D634" s="220" t="s">
        <v>4636</v>
      </c>
      <c r="E634" s="222">
        <v>1</v>
      </c>
      <c r="F634" s="192">
        <v>658</v>
      </c>
      <c r="G634" s="24">
        <v>0.2</v>
      </c>
      <c r="H634" s="24">
        <v>0.05</v>
      </c>
      <c r="I634" s="24">
        <v>0.05</v>
      </c>
      <c r="J634" s="24">
        <v>0</v>
      </c>
      <c r="K634" s="224">
        <f t="shared" si="78"/>
        <v>0.27800000000000002</v>
      </c>
      <c r="L634" s="225">
        <f t="shared" si="79"/>
        <v>911.3573407202216</v>
      </c>
      <c r="M634" s="225">
        <f t="shared" si="80"/>
        <v>911.3573407202216</v>
      </c>
      <c r="N634" s="226">
        <f t="shared" si="81"/>
        <v>1084.5152354570637</v>
      </c>
      <c r="O634" s="34">
        <v>0.3</v>
      </c>
      <c r="P634" s="226">
        <f t="shared" si="82"/>
        <v>1409.8698060941829</v>
      </c>
      <c r="Q634" s="107" t="s">
        <v>1486</v>
      </c>
      <c r="R634" s="34">
        <v>0.3</v>
      </c>
      <c r="S634" s="226">
        <f t="shared" si="83"/>
        <v>1118.6000000000001</v>
      </c>
      <c r="T634" s="156" t="s">
        <v>1486</v>
      </c>
      <c r="U634" s="2"/>
      <c r="V634" s="2" t="s">
        <v>47</v>
      </c>
      <c r="W634" s="2" t="s">
        <v>1467</v>
      </c>
      <c r="X634" s="2" t="s">
        <v>1467</v>
      </c>
      <c r="Y634" s="488" t="s">
        <v>1486</v>
      </c>
      <c r="Z634" s="293">
        <f t="shared" si="76"/>
        <v>253.3573407202216</v>
      </c>
      <c r="AA634" s="293">
        <f t="shared" si="77"/>
        <v>282.00000000000011</v>
      </c>
    </row>
    <row r="635" spans="1:27" s="320" customFormat="1" x14ac:dyDescent="0.25">
      <c r="A635" s="220" t="s">
        <v>4659</v>
      </c>
      <c r="B635" s="221" t="s">
        <v>4660</v>
      </c>
      <c r="C635" s="223" t="s">
        <v>4767</v>
      </c>
      <c r="D635" s="220" t="s">
        <v>4636</v>
      </c>
      <c r="E635" s="222">
        <v>1</v>
      </c>
      <c r="F635" s="192">
        <v>611</v>
      </c>
      <c r="G635" s="24">
        <v>0.2</v>
      </c>
      <c r="H635" s="24">
        <v>0.05</v>
      </c>
      <c r="I635" s="24">
        <v>0.05</v>
      </c>
      <c r="J635" s="24">
        <v>0</v>
      </c>
      <c r="K635" s="224">
        <f t="shared" si="78"/>
        <v>0.27800000000000014</v>
      </c>
      <c r="L635" s="225">
        <f t="shared" si="79"/>
        <v>846.26038781163447</v>
      </c>
      <c r="M635" s="225">
        <f t="shared" si="80"/>
        <v>846.26038781163447</v>
      </c>
      <c r="N635" s="226">
        <f t="shared" si="81"/>
        <v>1007.049861495845</v>
      </c>
      <c r="O635" s="34">
        <v>0.3</v>
      </c>
      <c r="P635" s="226">
        <f t="shared" si="82"/>
        <v>1309.1648199445985</v>
      </c>
      <c r="Q635" s="107" t="s">
        <v>1486</v>
      </c>
      <c r="R635" s="34">
        <v>0.3</v>
      </c>
      <c r="S635" s="226">
        <f t="shared" si="83"/>
        <v>1038.7</v>
      </c>
      <c r="T635" s="156" t="s">
        <v>1486</v>
      </c>
      <c r="U635" s="2"/>
      <c r="V635" s="2" t="s">
        <v>47</v>
      </c>
      <c r="W635" s="2" t="s">
        <v>1467</v>
      </c>
      <c r="X635" s="2" t="s">
        <v>1467</v>
      </c>
      <c r="Y635" s="488" t="s">
        <v>1486</v>
      </c>
      <c r="Z635" s="293">
        <f t="shared" si="76"/>
        <v>235.26038781163447</v>
      </c>
      <c r="AA635" s="293">
        <f t="shared" si="77"/>
        <v>261.85714285714289</v>
      </c>
    </row>
    <row r="636" spans="1:27" s="320" customFormat="1" x14ac:dyDescent="0.25">
      <c r="A636" s="220" t="s">
        <v>4663</v>
      </c>
      <c r="B636" s="221" t="s">
        <v>5307</v>
      </c>
      <c r="C636" s="223" t="s">
        <v>4767</v>
      </c>
      <c r="D636" s="220" t="s">
        <v>4636</v>
      </c>
      <c r="E636" s="222">
        <v>1</v>
      </c>
      <c r="F636" s="192">
        <v>545</v>
      </c>
      <c r="G636" s="24">
        <v>0.2</v>
      </c>
      <c r="H636" s="24">
        <v>0.05</v>
      </c>
      <c r="I636" s="24">
        <v>0.05</v>
      </c>
      <c r="J636" s="24">
        <v>0</v>
      </c>
      <c r="K636" s="224">
        <f t="shared" si="78"/>
        <v>0.27800000000000002</v>
      </c>
      <c r="L636" s="225">
        <f t="shared" si="79"/>
        <v>754.84764542936296</v>
      </c>
      <c r="M636" s="225">
        <f t="shared" si="80"/>
        <v>754.84764542936296</v>
      </c>
      <c r="N636" s="226">
        <f t="shared" si="81"/>
        <v>898.26869806094192</v>
      </c>
      <c r="O636" s="34">
        <v>0.3</v>
      </c>
      <c r="P636" s="226">
        <f t="shared" si="82"/>
        <v>1167.7493074792246</v>
      </c>
      <c r="Q636" s="107" t="s">
        <v>1486</v>
      </c>
      <c r="R636" s="34">
        <v>0.3</v>
      </c>
      <c r="S636" s="226">
        <f t="shared" si="83"/>
        <v>926.50000000000011</v>
      </c>
      <c r="T636" s="156" t="s">
        <v>1486</v>
      </c>
      <c r="U636" s="2"/>
      <c r="V636" s="2" t="s">
        <v>47</v>
      </c>
      <c r="W636" s="2" t="s">
        <v>1467</v>
      </c>
      <c r="X636" s="2" t="s">
        <v>1467</v>
      </c>
      <c r="Y636" s="488" t="s">
        <v>1486</v>
      </c>
      <c r="Z636" s="293">
        <f t="shared" si="76"/>
        <v>209.84764542936296</v>
      </c>
      <c r="AA636" s="293">
        <f t="shared" si="77"/>
        <v>233.57142857142867</v>
      </c>
    </row>
    <row r="637" spans="1:27" s="320" customFormat="1" x14ac:dyDescent="0.25">
      <c r="A637" s="220" t="s">
        <v>4664</v>
      </c>
      <c r="B637" s="221" t="s">
        <v>5016</v>
      </c>
      <c r="C637" s="223" t="s">
        <v>4767</v>
      </c>
      <c r="D637" s="220" t="s">
        <v>2783</v>
      </c>
      <c r="E637" s="222">
        <v>1</v>
      </c>
      <c r="F637" s="192">
        <v>1190</v>
      </c>
      <c r="G637" s="24">
        <v>0.2</v>
      </c>
      <c r="H637" s="24">
        <v>0.05</v>
      </c>
      <c r="I637" s="24">
        <v>0.05</v>
      </c>
      <c r="J637" s="24">
        <v>0</v>
      </c>
      <c r="K637" s="224">
        <f t="shared" si="78"/>
        <v>0.27800000000000014</v>
      </c>
      <c r="L637" s="225">
        <f t="shared" si="79"/>
        <v>1648.1994459833797</v>
      </c>
      <c r="M637" s="225">
        <f t="shared" si="80"/>
        <v>1648.1994459833797</v>
      </c>
      <c r="N637" s="226">
        <f t="shared" si="81"/>
        <v>1961.3573407202218</v>
      </c>
      <c r="O637" s="34">
        <v>0.3</v>
      </c>
      <c r="P637" s="226">
        <f t="shared" si="82"/>
        <v>2549.7645429362883</v>
      </c>
      <c r="Q637" s="107" t="s">
        <v>1486</v>
      </c>
      <c r="R637" s="34">
        <v>0.3</v>
      </c>
      <c r="S637" s="226">
        <f t="shared" si="83"/>
        <v>2023</v>
      </c>
      <c r="T637" s="156" t="s">
        <v>1486</v>
      </c>
      <c r="U637" s="2"/>
      <c r="V637" s="2" t="s">
        <v>47</v>
      </c>
      <c r="W637" s="2" t="s">
        <v>1467</v>
      </c>
      <c r="X637" s="2" t="s">
        <v>1467</v>
      </c>
      <c r="Y637" s="488" t="s">
        <v>1486</v>
      </c>
      <c r="Z637" s="293">
        <f t="shared" si="76"/>
        <v>458.19944598337975</v>
      </c>
      <c r="AA637" s="293">
        <f t="shared" si="77"/>
        <v>510</v>
      </c>
    </row>
    <row r="638" spans="1:27" s="320" customFormat="1" x14ac:dyDescent="0.25">
      <c r="A638" s="220" t="s">
        <v>4665</v>
      </c>
      <c r="B638" s="221" t="s">
        <v>4666</v>
      </c>
      <c r="C638" s="223" t="s">
        <v>4767</v>
      </c>
      <c r="D638" s="220" t="s">
        <v>2783</v>
      </c>
      <c r="E638" s="222">
        <v>1</v>
      </c>
      <c r="F638" s="192">
        <v>1190</v>
      </c>
      <c r="G638" s="24">
        <v>0.2</v>
      </c>
      <c r="H638" s="24">
        <v>0.05</v>
      </c>
      <c r="I638" s="24">
        <v>0.05</v>
      </c>
      <c r="J638" s="24">
        <v>0</v>
      </c>
      <c r="K638" s="224">
        <f t="shared" si="78"/>
        <v>0.27800000000000014</v>
      </c>
      <c r="L638" s="225">
        <f t="shared" si="79"/>
        <v>1648.1994459833797</v>
      </c>
      <c r="M638" s="225">
        <f t="shared" si="80"/>
        <v>1648.1994459833797</v>
      </c>
      <c r="N638" s="226">
        <f t="shared" si="81"/>
        <v>1961.3573407202218</v>
      </c>
      <c r="O638" s="34">
        <v>0.3</v>
      </c>
      <c r="P638" s="226">
        <f t="shared" si="82"/>
        <v>2549.7645429362883</v>
      </c>
      <c r="Q638" s="107" t="s">
        <v>1486</v>
      </c>
      <c r="R638" s="34">
        <v>0.3</v>
      </c>
      <c r="S638" s="226">
        <f t="shared" si="83"/>
        <v>2023</v>
      </c>
      <c r="T638" s="156" t="s">
        <v>1486</v>
      </c>
      <c r="U638" s="2"/>
      <c r="V638" s="2" t="s">
        <v>47</v>
      </c>
      <c r="W638" s="2" t="s">
        <v>1467</v>
      </c>
      <c r="X638" s="2" t="s">
        <v>1467</v>
      </c>
      <c r="Y638" s="488" t="s">
        <v>1486</v>
      </c>
      <c r="Z638" s="293">
        <f t="shared" si="76"/>
        <v>458.19944598337975</v>
      </c>
      <c r="AA638" s="293">
        <f t="shared" si="77"/>
        <v>510</v>
      </c>
    </row>
    <row r="639" spans="1:27" s="320" customFormat="1" x14ac:dyDescent="0.25">
      <c r="A639" s="220" t="s">
        <v>4667</v>
      </c>
      <c r="B639" s="221" t="s">
        <v>5541</v>
      </c>
      <c r="C639" s="223" t="s">
        <v>4767</v>
      </c>
      <c r="D639" s="220" t="s">
        <v>4668</v>
      </c>
      <c r="E639" s="222">
        <v>24</v>
      </c>
      <c r="F639" s="192">
        <v>901</v>
      </c>
      <c r="G639" s="24">
        <v>0.2</v>
      </c>
      <c r="H639" s="24">
        <v>0.05</v>
      </c>
      <c r="I639" s="24">
        <v>0.05</v>
      </c>
      <c r="J639" s="24">
        <v>0</v>
      </c>
      <c r="K639" s="224">
        <f t="shared" si="78"/>
        <v>0.27800000000000014</v>
      </c>
      <c r="L639" s="225">
        <f t="shared" si="79"/>
        <v>29950.138504155129</v>
      </c>
      <c r="M639" s="225">
        <f t="shared" si="80"/>
        <v>1247.9224376731304</v>
      </c>
      <c r="N639" s="226">
        <f t="shared" si="81"/>
        <v>1485.0277008310252</v>
      </c>
      <c r="O639" s="34">
        <v>0.3</v>
      </c>
      <c r="P639" s="226">
        <f t="shared" si="82"/>
        <v>1930.5360110803329</v>
      </c>
      <c r="Q639" s="107" t="s">
        <v>1486</v>
      </c>
      <c r="R639" s="34">
        <v>0.3</v>
      </c>
      <c r="S639" s="226">
        <f t="shared" si="83"/>
        <v>1531.7000000000003</v>
      </c>
      <c r="T639" s="156" t="s">
        <v>1486</v>
      </c>
      <c r="U639" s="2"/>
      <c r="V639" s="2" t="s">
        <v>47</v>
      </c>
      <c r="W639" s="2" t="s">
        <v>1467</v>
      </c>
      <c r="X639" s="2" t="s">
        <v>1467</v>
      </c>
      <c r="Y639" s="488" t="s">
        <v>1486</v>
      </c>
      <c r="Z639" s="293">
        <f t="shared" si="76"/>
        <v>346.92243767313039</v>
      </c>
      <c r="AA639" s="293">
        <f t="shared" si="77"/>
        <v>386.14285714285734</v>
      </c>
    </row>
    <row r="640" spans="1:27" s="320" customFormat="1" x14ac:dyDescent="0.25">
      <c r="A640" s="220" t="s">
        <v>4670</v>
      </c>
      <c r="B640" s="221" t="s">
        <v>4671</v>
      </c>
      <c r="C640" s="223" t="s">
        <v>4767</v>
      </c>
      <c r="D640" s="220" t="s">
        <v>4636</v>
      </c>
      <c r="E640" s="222">
        <v>1</v>
      </c>
      <c r="F640" s="192">
        <v>3277</v>
      </c>
      <c r="G640" s="24">
        <v>0.2</v>
      </c>
      <c r="H640" s="24">
        <v>0.05</v>
      </c>
      <c r="I640" s="24">
        <v>0.05</v>
      </c>
      <c r="J640" s="24">
        <v>0.01</v>
      </c>
      <c r="K640" s="224">
        <f t="shared" si="78"/>
        <v>0.28522000000000003</v>
      </c>
      <c r="L640" s="225">
        <f t="shared" si="79"/>
        <v>4584.6274378130338</v>
      </c>
      <c r="M640" s="225">
        <f t="shared" si="80"/>
        <v>4584.6274378130338</v>
      </c>
      <c r="N640" s="226">
        <f t="shared" si="81"/>
        <v>5455.7066509975102</v>
      </c>
      <c r="O640" s="34">
        <v>0.3</v>
      </c>
      <c r="P640" s="226">
        <f t="shared" si="82"/>
        <v>7092.4186462967637</v>
      </c>
      <c r="Q640" s="107" t="s">
        <v>1486</v>
      </c>
      <c r="R640" s="34">
        <v>0.3</v>
      </c>
      <c r="S640" s="226">
        <f t="shared" si="83"/>
        <v>5570.9</v>
      </c>
      <c r="T640" s="156" t="s">
        <v>1486</v>
      </c>
      <c r="U640" s="2"/>
      <c r="V640" s="2" t="s">
        <v>47</v>
      </c>
      <c r="W640" s="2" t="s">
        <v>1467</v>
      </c>
      <c r="X640" s="2" t="s">
        <v>1467</v>
      </c>
      <c r="Y640" s="488" t="s">
        <v>1486</v>
      </c>
      <c r="Z640" s="293">
        <f t="shared" ref="Z640:Z703" si="84">+M640-F640</f>
        <v>1307.6274378130338</v>
      </c>
      <c r="AA640" s="293">
        <f t="shared" ref="AA640:AA703" si="85">+(S640/1.19)-F640</f>
        <v>1404.4285714285716</v>
      </c>
    </row>
    <row r="641" spans="1:27" s="320" customFormat="1" x14ac:dyDescent="0.25">
      <c r="A641" s="220" t="s">
        <v>4672</v>
      </c>
      <c r="B641" s="221" t="s">
        <v>4673</v>
      </c>
      <c r="C641" s="223" t="s">
        <v>4767</v>
      </c>
      <c r="D641" s="220" t="s">
        <v>4674</v>
      </c>
      <c r="E641" s="222">
        <v>1</v>
      </c>
      <c r="F641" s="192">
        <v>904</v>
      </c>
      <c r="G641" s="24">
        <v>0.2</v>
      </c>
      <c r="H641" s="24">
        <v>0.05</v>
      </c>
      <c r="I641" s="24">
        <v>0.05</v>
      </c>
      <c r="J641" s="24">
        <v>0</v>
      </c>
      <c r="K641" s="224">
        <f t="shared" si="78"/>
        <v>0.27800000000000014</v>
      </c>
      <c r="L641" s="225">
        <f t="shared" si="79"/>
        <v>1252.0775623268701</v>
      </c>
      <c r="M641" s="225">
        <f t="shared" si="80"/>
        <v>1252.0775623268701</v>
      </c>
      <c r="N641" s="226">
        <f t="shared" si="81"/>
        <v>1489.9722991689753</v>
      </c>
      <c r="O641" s="34">
        <v>0.3</v>
      </c>
      <c r="P641" s="226">
        <f t="shared" si="82"/>
        <v>1936.9639889196678</v>
      </c>
      <c r="Q641" s="107" t="s">
        <v>1486</v>
      </c>
      <c r="R641" s="34">
        <v>0.3</v>
      </c>
      <c r="S641" s="226">
        <f t="shared" si="83"/>
        <v>1536.8000000000002</v>
      </c>
      <c r="T641" s="156" t="s">
        <v>1486</v>
      </c>
      <c r="U641" s="2"/>
      <c r="V641" s="2" t="s">
        <v>47</v>
      </c>
      <c r="W641" s="2" t="s">
        <v>1467</v>
      </c>
      <c r="X641" s="2" t="s">
        <v>1467</v>
      </c>
      <c r="Y641" s="488" t="s">
        <v>1486</v>
      </c>
      <c r="Z641" s="293">
        <f t="shared" si="84"/>
        <v>348.07756232687007</v>
      </c>
      <c r="AA641" s="293">
        <f t="shared" si="85"/>
        <v>387.42857142857156</v>
      </c>
    </row>
    <row r="642" spans="1:27" s="320" customFormat="1" x14ac:dyDescent="0.25">
      <c r="A642" s="220" t="s">
        <v>4675</v>
      </c>
      <c r="B642" s="221" t="s">
        <v>4669</v>
      </c>
      <c r="C642" s="223" t="s">
        <v>4767</v>
      </c>
      <c r="D642" s="220" t="s">
        <v>4636</v>
      </c>
      <c r="E642" s="222">
        <v>24</v>
      </c>
      <c r="F642" s="192">
        <v>699</v>
      </c>
      <c r="G642" s="24">
        <v>0.2</v>
      </c>
      <c r="H642" s="24">
        <v>0.05</v>
      </c>
      <c r="I642" s="24">
        <v>0.05</v>
      </c>
      <c r="J642" s="24">
        <v>0</v>
      </c>
      <c r="K642" s="224">
        <f t="shared" si="78"/>
        <v>0.27800000000000002</v>
      </c>
      <c r="L642" s="225">
        <f t="shared" si="79"/>
        <v>23235.457063711914</v>
      </c>
      <c r="M642" s="225">
        <f t="shared" si="80"/>
        <v>968.14404432132972</v>
      </c>
      <c r="N642" s="226">
        <f t="shared" si="81"/>
        <v>1152.0914127423823</v>
      </c>
      <c r="O642" s="34">
        <v>0.3</v>
      </c>
      <c r="P642" s="226">
        <f t="shared" si="82"/>
        <v>1497.718836565097</v>
      </c>
      <c r="Q642" s="107" t="s">
        <v>1486</v>
      </c>
      <c r="R642" s="34">
        <v>0.3</v>
      </c>
      <c r="S642" s="226">
        <f t="shared" si="83"/>
        <v>1188.3</v>
      </c>
      <c r="T642" s="156" t="s">
        <v>1486</v>
      </c>
      <c r="U642" s="2"/>
      <c r="V642" s="2" t="s">
        <v>47</v>
      </c>
      <c r="W642" s="2" t="s">
        <v>1467</v>
      </c>
      <c r="X642" s="2" t="s">
        <v>1467</v>
      </c>
      <c r="Y642" s="488" t="s">
        <v>1486</v>
      </c>
      <c r="Z642" s="293">
        <f t="shared" si="84"/>
        <v>269.14404432132972</v>
      </c>
      <c r="AA642" s="293">
        <f t="shared" si="85"/>
        <v>299.57142857142856</v>
      </c>
    </row>
    <row r="643" spans="1:27" s="320" customFormat="1" x14ac:dyDescent="0.25">
      <c r="A643" s="220" t="s">
        <v>4676</v>
      </c>
      <c r="B643" s="221" t="s">
        <v>4677</v>
      </c>
      <c r="C643" s="223" t="s">
        <v>4767</v>
      </c>
      <c r="D643" s="220" t="s">
        <v>1504</v>
      </c>
      <c r="E643" s="222">
        <v>1</v>
      </c>
      <c r="F643" s="192">
        <v>7700</v>
      </c>
      <c r="G643" s="24">
        <v>0.2</v>
      </c>
      <c r="H643" s="24">
        <v>0.05</v>
      </c>
      <c r="I643" s="24">
        <v>0.05</v>
      </c>
      <c r="J643" s="24">
        <v>0</v>
      </c>
      <c r="K643" s="224">
        <f t="shared" ref="K643:K706" si="86">IF(F643=0,0,1-(F643/M643))</f>
        <v>0.27800000000000002</v>
      </c>
      <c r="L643" s="225">
        <f t="shared" ref="L643:L706" si="87">+M643*E643</f>
        <v>10664.819944598339</v>
      </c>
      <c r="M643" s="225">
        <f t="shared" ref="M643:M706" si="88">+F643/(1-G643)/(1-H643)/(1-I643)/(1-J643)</f>
        <v>10664.819944598339</v>
      </c>
      <c r="N643" s="226">
        <f t="shared" ref="N643:N706" si="89">+M643*1.19</f>
        <v>12691.135734072022</v>
      </c>
      <c r="O643" s="34">
        <v>0.3</v>
      </c>
      <c r="P643" s="226">
        <f t="shared" ref="P643:P706" si="90">+N643*(1+O643)</f>
        <v>16498.476454293628</v>
      </c>
      <c r="Q643" s="107" t="s">
        <v>1486</v>
      </c>
      <c r="R643" s="34">
        <v>0.35</v>
      </c>
      <c r="S643" s="226">
        <f t="shared" si="83"/>
        <v>14096.923076923076</v>
      </c>
      <c r="T643" s="156" t="s">
        <v>1486</v>
      </c>
      <c r="U643" s="2"/>
      <c r="V643" s="2" t="s">
        <v>47</v>
      </c>
      <c r="W643" s="2" t="s">
        <v>1467</v>
      </c>
      <c r="X643" s="2" t="s">
        <v>1467</v>
      </c>
      <c r="Y643" s="488" t="s">
        <v>1486</v>
      </c>
      <c r="Z643" s="293">
        <f t="shared" si="84"/>
        <v>2964.8199445983391</v>
      </c>
      <c r="AA643" s="293">
        <f t="shared" si="85"/>
        <v>4146.1538461538457</v>
      </c>
    </row>
    <row r="644" spans="1:27" s="320" customFormat="1" x14ac:dyDescent="0.25">
      <c r="A644" s="220" t="s">
        <v>4678</v>
      </c>
      <c r="B644" s="221" t="s">
        <v>4679</v>
      </c>
      <c r="C644" s="223" t="s">
        <v>4767</v>
      </c>
      <c r="D644" s="220" t="s">
        <v>1504</v>
      </c>
      <c r="E644" s="222">
        <v>1</v>
      </c>
      <c r="F644" s="192">
        <v>7700</v>
      </c>
      <c r="G644" s="24">
        <v>0.2</v>
      </c>
      <c r="H644" s="24">
        <v>0.05</v>
      </c>
      <c r="I644" s="24">
        <v>0.05</v>
      </c>
      <c r="J644" s="24">
        <v>0</v>
      </c>
      <c r="K644" s="224">
        <f t="shared" si="86"/>
        <v>0.27800000000000002</v>
      </c>
      <c r="L644" s="225">
        <f t="shared" si="87"/>
        <v>10664.819944598339</v>
      </c>
      <c r="M644" s="225">
        <f t="shared" si="88"/>
        <v>10664.819944598339</v>
      </c>
      <c r="N644" s="226">
        <f t="shared" si="89"/>
        <v>12691.135734072022</v>
      </c>
      <c r="O644" s="34">
        <v>0.3</v>
      </c>
      <c r="P644" s="226">
        <f t="shared" si="90"/>
        <v>16498.476454293628</v>
      </c>
      <c r="Q644" s="107" t="s">
        <v>1486</v>
      </c>
      <c r="R644" s="34">
        <v>0.35</v>
      </c>
      <c r="S644" s="226">
        <f t="shared" si="83"/>
        <v>14096.923076923076</v>
      </c>
      <c r="T644" s="156" t="s">
        <v>1486</v>
      </c>
      <c r="U644" s="2"/>
      <c r="V644" s="2" t="s">
        <v>47</v>
      </c>
      <c r="W644" s="2" t="s">
        <v>1467</v>
      </c>
      <c r="X644" s="2" t="s">
        <v>1467</v>
      </c>
      <c r="Y644" s="488" t="s">
        <v>1486</v>
      </c>
      <c r="Z644" s="293">
        <f t="shared" si="84"/>
        <v>2964.8199445983391</v>
      </c>
      <c r="AA644" s="293">
        <f t="shared" si="85"/>
        <v>4146.1538461538457</v>
      </c>
    </row>
    <row r="645" spans="1:27" s="320" customFormat="1" x14ac:dyDescent="0.25">
      <c r="A645" s="220" t="s">
        <v>4694</v>
      </c>
      <c r="B645" s="221" t="s">
        <v>4695</v>
      </c>
      <c r="C645" s="223" t="s">
        <v>4767</v>
      </c>
      <c r="D645" s="220" t="s">
        <v>1504</v>
      </c>
      <c r="E645" s="222">
        <v>23</v>
      </c>
      <c r="F645" s="192">
        <v>248</v>
      </c>
      <c r="G645" s="24">
        <v>0.2</v>
      </c>
      <c r="H645" s="24">
        <v>0.03</v>
      </c>
      <c r="I645" s="24">
        <v>0.05</v>
      </c>
      <c r="J645" s="24">
        <v>0.05</v>
      </c>
      <c r="K645" s="224">
        <f t="shared" si="86"/>
        <v>0.29966000000000015</v>
      </c>
      <c r="L645" s="225">
        <f t="shared" si="87"/>
        <v>8144.6154724847947</v>
      </c>
      <c r="M645" s="225">
        <f t="shared" si="88"/>
        <v>354.11371619499107</v>
      </c>
      <c r="N645" s="226">
        <f t="shared" si="89"/>
        <v>421.39532227203938</v>
      </c>
      <c r="O645" s="34">
        <v>0.3</v>
      </c>
      <c r="P645" s="226">
        <f t="shared" si="90"/>
        <v>547.81391895365118</v>
      </c>
      <c r="Q645" s="107" t="s">
        <v>1486</v>
      </c>
      <c r="R645" s="34">
        <v>0.4</v>
      </c>
      <c r="S645" s="226">
        <f t="shared" si="83"/>
        <v>491.86666666666667</v>
      </c>
      <c r="T645" s="156" t="s">
        <v>1486</v>
      </c>
      <c r="U645" s="2"/>
      <c r="V645" s="2" t="s">
        <v>47</v>
      </c>
      <c r="W645" s="2" t="s">
        <v>1467</v>
      </c>
      <c r="X645" s="2" t="s">
        <v>1467</v>
      </c>
      <c r="Y645" s="488" t="s">
        <v>1486</v>
      </c>
      <c r="Z645" s="293">
        <f t="shared" si="84"/>
        <v>106.11371619499107</v>
      </c>
      <c r="AA645" s="293">
        <f t="shared" si="85"/>
        <v>165.33333333333337</v>
      </c>
    </row>
    <row r="646" spans="1:27" s="320" customFormat="1" x14ac:dyDescent="0.25">
      <c r="A646" s="220" t="s">
        <v>4704</v>
      </c>
      <c r="B646" s="221" t="s">
        <v>4860</v>
      </c>
      <c r="C646" s="223" t="s">
        <v>4774</v>
      </c>
      <c r="D646" s="220" t="s">
        <v>4705</v>
      </c>
      <c r="E646" s="222">
        <v>1</v>
      </c>
      <c r="F646" s="192">
        <v>8308</v>
      </c>
      <c r="G646" s="24">
        <v>0.23010000000000003</v>
      </c>
      <c r="H646" s="24">
        <v>0.05</v>
      </c>
      <c r="I646" s="24">
        <v>0.05</v>
      </c>
      <c r="J646" s="24">
        <v>0</v>
      </c>
      <c r="K646" s="224">
        <f t="shared" si="86"/>
        <v>0.30516525000000005</v>
      </c>
      <c r="L646" s="225">
        <f t="shared" si="87"/>
        <v>11956.799800240275</v>
      </c>
      <c r="M646" s="225">
        <f t="shared" si="88"/>
        <v>11956.799800240275</v>
      </c>
      <c r="N646" s="226">
        <f t="shared" si="89"/>
        <v>14228.591762285927</v>
      </c>
      <c r="O646" s="34">
        <v>0.4</v>
      </c>
      <c r="P646" s="226">
        <f t="shared" si="90"/>
        <v>19920.028467200296</v>
      </c>
      <c r="Q646" s="107" t="s">
        <v>1486</v>
      </c>
      <c r="R646" s="34">
        <v>0.4</v>
      </c>
      <c r="S646" s="226">
        <f t="shared" si="83"/>
        <v>16477.533333333333</v>
      </c>
      <c r="T646" s="156" t="s">
        <v>1486</v>
      </c>
      <c r="U646" s="2" t="s">
        <v>50</v>
      </c>
      <c r="V646" s="2" t="s">
        <v>47</v>
      </c>
      <c r="W646" s="2" t="s">
        <v>5882</v>
      </c>
      <c r="X646" s="2" t="s">
        <v>1467</v>
      </c>
      <c r="Y646" s="488" t="s">
        <v>1486</v>
      </c>
      <c r="Z646" s="293">
        <f t="shared" si="84"/>
        <v>3648.7998002402746</v>
      </c>
      <c r="AA646" s="293">
        <f t="shared" si="85"/>
        <v>5538.6666666666661</v>
      </c>
    </row>
    <row r="647" spans="1:27" s="320" customFormat="1" x14ac:dyDescent="0.25">
      <c r="A647" s="220" t="s">
        <v>4719</v>
      </c>
      <c r="B647" s="221" t="s">
        <v>4797</v>
      </c>
      <c r="C647" s="223" t="s">
        <v>4767</v>
      </c>
      <c r="D647" s="220" t="s">
        <v>4720</v>
      </c>
      <c r="E647" s="222">
        <v>10</v>
      </c>
      <c r="F647" s="192">
        <v>3780</v>
      </c>
      <c r="G647" s="24">
        <v>0.2</v>
      </c>
      <c r="H647" s="24">
        <v>0.03</v>
      </c>
      <c r="I647" s="24">
        <v>0.05</v>
      </c>
      <c r="J647" s="24">
        <v>0.05</v>
      </c>
      <c r="K647" s="224">
        <f t="shared" si="86"/>
        <v>0.29966000000000004</v>
      </c>
      <c r="L647" s="225">
        <f t="shared" si="87"/>
        <v>53973.784161978474</v>
      </c>
      <c r="M647" s="225">
        <f t="shared" si="88"/>
        <v>5397.3784161978474</v>
      </c>
      <c r="N647" s="226">
        <f t="shared" si="89"/>
        <v>6422.8803152754381</v>
      </c>
      <c r="O647" s="34">
        <v>0.3</v>
      </c>
      <c r="P647" s="226">
        <f t="shared" si="90"/>
        <v>8349.744409858069</v>
      </c>
      <c r="Q647" s="107" t="s">
        <v>1486</v>
      </c>
      <c r="R647" s="34">
        <v>0.4</v>
      </c>
      <c r="S647" s="226">
        <f t="shared" si="83"/>
        <v>7497</v>
      </c>
      <c r="T647" s="156" t="s">
        <v>1486</v>
      </c>
      <c r="U647" s="2"/>
      <c r="V647" s="2" t="s">
        <v>47</v>
      </c>
      <c r="W647" s="2" t="s">
        <v>1467</v>
      </c>
      <c r="X647" s="2" t="s">
        <v>1467</v>
      </c>
      <c r="Y647" s="488" t="s">
        <v>1486</v>
      </c>
      <c r="Z647" s="293">
        <f t="shared" si="84"/>
        <v>1617.3784161978474</v>
      </c>
      <c r="AA647" s="293">
        <f t="shared" si="85"/>
        <v>2520</v>
      </c>
    </row>
    <row r="648" spans="1:27" s="320" customFormat="1" x14ac:dyDescent="0.25">
      <c r="A648" s="220" t="s">
        <v>4721</v>
      </c>
      <c r="B648" s="221" t="s">
        <v>4798</v>
      </c>
      <c r="C648" s="223" t="s">
        <v>4767</v>
      </c>
      <c r="D648" s="220" t="s">
        <v>4720</v>
      </c>
      <c r="E648" s="222">
        <v>10</v>
      </c>
      <c r="F648" s="192">
        <v>3100</v>
      </c>
      <c r="G648" s="24">
        <v>0.2</v>
      </c>
      <c r="H648" s="24">
        <v>0.03</v>
      </c>
      <c r="I648" s="24">
        <v>0.05</v>
      </c>
      <c r="J648" s="24">
        <v>0.03</v>
      </c>
      <c r="K648" s="224">
        <f t="shared" si="86"/>
        <v>0.28491600000000017</v>
      </c>
      <c r="L648" s="225">
        <f t="shared" si="87"/>
        <v>43351.550307376485</v>
      </c>
      <c r="M648" s="225">
        <f t="shared" si="88"/>
        <v>4335.1550307376483</v>
      </c>
      <c r="N648" s="226">
        <f t="shared" si="89"/>
        <v>5158.8344865778008</v>
      </c>
      <c r="O648" s="34">
        <v>0.3</v>
      </c>
      <c r="P648" s="226">
        <f t="shared" si="90"/>
        <v>6706.4848325511412</v>
      </c>
      <c r="Q648" s="107" t="s">
        <v>1486</v>
      </c>
      <c r="R648" s="34">
        <v>0.3</v>
      </c>
      <c r="S648" s="226">
        <f t="shared" si="83"/>
        <v>5270</v>
      </c>
      <c r="T648" s="156" t="s">
        <v>1486</v>
      </c>
      <c r="U648" s="2"/>
      <c r="V648" s="2" t="s">
        <v>47</v>
      </c>
      <c r="W648" s="2" t="s">
        <v>1467</v>
      </c>
      <c r="X648" s="2" t="s">
        <v>1467</v>
      </c>
      <c r="Y648" s="488" t="s">
        <v>1486</v>
      </c>
      <c r="Z648" s="293">
        <f t="shared" si="84"/>
        <v>1235.1550307376483</v>
      </c>
      <c r="AA648" s="293">
        <f t="shared" si="85"/>
        <v>1328.5714285714284</v>
      </c>
    </row>
    <row r="649" spans="1:27" s="320" customFormat="1" x14ac:dyDescent="0.25">
      <c r="A649" s="220" t="s">
        <v>4722</v>
      </c>
      <c r="B649" s="221" t="s">
        <v>4799</v>
      </c>
      <c r="C649" s="223" t="s">
        <v>4767</v>
      </c>
      <c r="D649" s="220" t="s">
        <v>4720</v>
      </c>
      <c r="E649" s="222">
        <v>10</v>
      </c>
      <c r="F649" s="192">
        <v>2200</v>
      </c>
      <c r="G649" s="24">
        <v>0.2</v>
      </c>
      <c r="H649" s="24">
        <v>0.03</v>
      </c>
      <c r="I649" s="24">
        <v>0.05</v>
      </c>
      <c r="J649" s="24">
        <v>0.05</v>
      </c>
      <c r="K649" s="224">
        <f t="shared" si="86"/>
        <v>0.29966000000000015</v>
      </c>
      <c r="L649" s="225">
        <f t="shared" si="87"/>
        <v>31413.313533426626</v>
      </c>
      <c r="M649" s="225">
        <f t="shared" si="88"/>
        <v>3141.3313533426626</v>
      </c>
      <c r="N649" s="226">
        <f t="shared" si="89"/>
        <v>3738.1843104777686</v>
      </c>
      <c r="O649" s="34">
        <v>0.3</v>
      </c>
      <c r="P649" s="226">
        <f t="shared" si="90"/>
        <v>4859.639603621099</v>
      </c>
      <c r="Q649" s="107" t="s">
        <v>1486</v>
      </c>
      <c r="R649" s="34">
        <v>0.3</v>
      </c>
      <c r="S649" s="226">
        <f t="shared" si="83"/>
        <v>3740</v>
      </c>
      <c r="T649" s="156" t="s">
        <v>1486</v>
      </c>
      <c r="U649" s="2"/>
      <c r="V649" s="2" t="s">
        <v>47</v>
      </c>
      <c r="W649" s="2" t="s">
        <v>1467</v>
      </c>
      <c r="X649" s="2" t="s">
        <v>1467</v>
      </c>
      <c r="Y649" s="488" t="s">
        <v>1486</v>
      </c>
      <c r="Z649" s="293">
        <f t="shared" si="84"/>
        <v>941.33135334266262</v>
      </c>
      <c r="AA649" s="293">
        <f t="shared" si="85"/>
        <v>942.85714285714312</v>
      </c>
    </row>
    <row r="650" spans="1:27" s="320" customFormat="1" x14ac:dyDescent="0.25">
      <c r="A650" s="220" t="s">
        <v>4723</v>
      </c>
      <c r="B650" s="221" t="s">
        <v>4724</v>
      </c>
      <c r="C650" s="223" t="s">
        <v>4767</v>
      </c>
      <c r="D650" s="220" t="s">
        <v>4720</v>
      </c>
      <c r="E650" s="222" t="s">
        <v>4725</v>
      </c>
      <c r="F650" s="192">
        <v>2779</v>
      </c>
      <c r="G650" s="24">
        <v>0.2</v>
      </c>
      <c r="H650" s="24">
        <v>0.03</v>
      </c>
      <c r="I650" s="24">
        <v>0.05</v>
      </c>
      <c r="J650" s="24">
        <v>0.05</v>
      </c>
      <c r="K650" s="224">
        <f t="shared" si="86"/>
        <v>0.29966000000000004</v>
      </c>
      <c r="L650" s="225">
        <f t="shared" si="87"/>
        <v>49600.908130336698</v>
      </c>
      <c r="M650" s="225">
        <f t="shared" si="88"/>
        <v>3968.072650426936</v>
      </c>
      <c r="N650" s="226">
        <f t="shared" si="89"/>
        <v>4722.0064540080539</v>
      </c>
      <c r="O650" s="34">
        <v>0.3</v>
      </c>
      <c r="P650" s="226">
        <f t="shared" si="90"/>
        <v>6138.6083902104701</v>
      </c>
      <c r="Q650" s="107" t="s">
        <v>1486</v>
      </c>
      <c r="R650" s="34">
        <v>0.4</v>
      </c>
      <c r="S650" s="226">
        <f t="shared" si="83"/>
        <v>5511.6833333333334</v>
      </c>
      <c r="T650" s="156" t="s">
        <v>1486</v>
      </c>
      <c r="U650" s="2"/>
      <c r="V650" s="2" t="s">
        <v>47</v>
      </c>
      <c r="W650" s="2" t="s">
        <v>1467</v>
      </c>
      <c r="X650" s="2" t="s">
        <v>1467</v>
      </c>
      <c r="Y650" s="488" t="s">
        <v>1486</v>
      </c>
      <c r="Z650" s="293">
        <f t="shared" si="84"/>
        <v>1189.072650426936</v>
      </c>
      <c r="AA650" s="293">
        <f t="shared" si="85"/>
        <v>1852.666666666667</v>
      </c>
    </row>
    <row r="651" spans="1:27" s="320" customFormat="1" x14ac:dyDescent="0.25">
      <c r="A651" s="220" t="s">
        <v>4769</v>
      </c>
      <c r="B651" s="221" t="s">
        <v>5438</v>
      </c>
      <c r="C651" s="223" t="s">
        <v>4767</v>
      </c>
      <c r="D651" s="220" t="s">
        <v>4636</v>
      </c>
      <c r="E651" s="222">
        <v>10</v>
      </c>
      <c r="F651" s="192">
        <v>19925</v>
      </c>
      <c r="G651" s="24">
        <v>0.2</v>
      </c>
      <c r="H651" s="24">
        <v>0.05</v>
      </c>
      <c r="I651" s="24">
        <v>0.05</v>
      </c>
      <c r="J651" s="24">
        <v>0</v>
      </c>
      <c r="K651" s="224">
        <f t="shared" si="86"/>
        <v>0.27800000000000002</v>
      </c>
      <c r="L651" s="225">
        <f t="shared" si="87"/>
        <v>275969.52908587258</v>
      </c>
      <c r="M651" s="225">
        <f t="shared" si="88"/>
        <v>27596.95290858726</v>
      </c>
      <c r="N651" s="226">
        <f t="shared" si="89"/>
        <v>32840.373961218836</v>
      </c>
      <c r="O651" s="34">
        <v>0.3</v>
      </c>
      <c r="P651" s="226">
        <f t="shared" si="90"/>
        <v>42692.486149584489</v>
      </c>
      <c r="Q651" s="107" t="s">
        <v>1486</v>
      </c>
      <c r="R651" s="34">
        <v>0.3</v>
      </c>
      <c r="S651" s="226">
        <f t="shared" si="83"/>
        <v>33872.5</v>
      </c>
      <c r="T651" s="156" t="s">
        <v>1486</v>
      </c>
      <c r="U651" s="2"/>
      <c r="V651" s="2" t="s">
        <v>47</v>
      </c>
      <c r="W651" s="2" t="s">
        <v>1467</v>
      </c>
      <c r="X651" s="2" t="s">
        <v>1467</v>
      </c>
      <c r="Y651" s="488" t="s">
        <v>1486</v>
      </c>
      <c r="Z651" s="293">
        <f t="shared" si="84"/>
        <v>7671.95290858726</v>
      </c>
      <c r="AA651" s="293">
        <f t="shared" si="85"/>
        <v>8539.2857142857138</v>
      </c>
    </row>
    <row r="652" spans="1:27" s="320" customFormat="1" x14ac:dyDescent="0.25">
      <c r="A652" s="220" t="s">
        <v>4770</v>
      </c>
      <c r="B652" s="221" t="s">
        <v>5437</v>
      </c>
      <c r="C652" s="223" t="s">
        <v>4767</v>
      </c>
      <c r="D652" s="220" t="s">
        <v>4636</v>
      </c>
      <c r="E652" s="222">
        <v>10</v>
      </c>
      <c r="F652" s="192">
        <v>29050</v>
      </c>
      <c r="G652" s="24">
        <v>0.2</v>
      </c>
      <c r="H652" s="24">
        <v>0.05</v>
      </c>
      <c r="I652" s="24">
        <v>0.05</v>
      </c>
      <c r="J652" s="24">
        <v>0</v>
      </c>
      <c r="K652" s="224">
        <f t="shared" si="86"/>
        <v>0.27800000000000014</v>
      </c>
      <c r="L652" s="225">
        <f t="shared" si="87"/>
        <v>402354.57063711918</v>
      </c>
      <c r="M652" s="225">
        <f t="shared" si="88"/>
        <v>40235.457063711918</v>
      </c>
      <c r="N652" s="226">
        <f t="shared" si="89"/>
        <v>47880.193905817177</v>
      </c>
      <c r="O652" s="34">
        <v>0.3</v>
      </c>
      <c r="P652" s="226">
        <f t="shared" si="90"/>
        <v>62244.252077562334</v>
      </c>
      <c r="Q652" s="107" t="s">
        <v>1486</v>
      </c>
      <c r="R652" s="34">
        <v>0.3</v>
      </c>
      <c r="S652" s="226">
        <f t="shared" si="83"/>
        <v>49385</v>
      </c>
      <c r="T652" s="156" t="s">
        <v>1486</v>
      </c>
      <c r="U652" s="2"/>
      <c r="V652" s="2" t="s">
        <v>47</v>
      </c>
      <c r="W652" s="2" t="s">
        <v>1467</v>
      </c>
      <c r="X652" s="2" t="s">
        <v>1467</v>
      </c>
      <c r="Y652" s="488" t="s">
        <v>1486</v>
      </c>
      <c r="Z652" s="293">
        <f t="shared" si="84"/>
        <v>11185.457063711918</v>
      </c>
      <c r="AA652" s="293">
        <f t="shared" si="85"/>
        <v>12450</v>
      </c>
    </row>
    <row r="653" spans="1:27" s="320" customFormat="1" x14ac:dyDescent="0.25">
      <c r="A653" s="220" t="s">
        <v>4771</v>
      </c>
      <c r="B653" s="221" t="s">
        <v>5434</v>
      </c>
      <c r="C653" s="223" t="s">
        <v>4767</v>
      </c>
      <c r="D653" s="220" t="s">
        <v>4636</v>
      </c>
      <c r="E653" s="222">
        <v>1</v>
      </c>
      <c r="F653" s="192">
        <v>17575</v>
      </c>
      <c r="G653" s="24">
        <v>0.2</v>
      </c>
      <c r="H653" s="24">
        <v>0.05</v>
      </c>
      <c r="I653" s="24">
        <v>0.05</v>
      </c>
      <c r="J653" s="24">
        <v>0</v>
      </c>
      <c r="K653" s="224">
        <f t="shared" si="86"/>
        <v>0.27800000000000002</v>
      </c>
      <c r="L653" s="225">
        <f t="shared" si="87"/>
        <v>24342.105263157897</v>
      </c>
      <c r="M653" s="225">
        <f t="shared" si="88"/>
        <v>24342.105263157897</v>
      </c>
      <c r="N653" s="226">
        <f t="shared" si="89"/>
        <v>28967.105263157897</v>
      </c>
      <c r="O653" s="34">
        <v>0.3</v>
      </c>
      <c r="P653" s="226">
        <f t="shared" si="90"/>
        <v>37657.236842105267</v>
      </c>
      <c r="Q653" s="107" t="s">
        <v>1486</v>
      </c>
      <c r="R653" s="34">
        <v>0.3</v>
      </c>
      <c r="S653" s="226">
        <f t="shared" si="83"/>
        <v>29877.5</v>
      </c>
      <c r="T653" s="156" t="s">
        <v>1486</v>
      </c>
      <c r="U653" s="2"/>
      <c r="V653" s="2" t="s">
        <v>47</v>
      </c>
      <c r="W653" s="2" t="s">
        <v>1467</v>
      </c>
      <c r="X653" s="2" t="s">
        <v>1467</v>
      </c>
      <c r="Y653" s="488" t="s">
        <v>1486</v>
      </c>
      <c r="Z653" s="293">
        <f t="shared" si="84"/>
        <v>6767.1052631578968</v>
      </c>
      <c r="AA653" s="293">
        <f t="shared" si="85"/>
        <v>7532.1428571428587</v>
      </c>
    </row>
    <row r="654" spans="1:27" s="320" customFormat="1" x14ac:dyDescent="0.25">
      <c r="A654" s="220" t="s">
        <v>4775</v>
      </c>
      <c r="B654" s="221" t="s">
        <v>5435</v>
      </c>
      <c r="C654" s="223" t="s">
        <v>4767</v>
      </c>
      <c r="D654" s="220" t="s">
        <v>4636</v>
      </c>
      <c r="E654" s="222">
        <v>1</v>
      </c>
      <c r="F654" s="192">
        <v>29525</v>
      </c>
      <c r="G654" s="24">
        <v>0.2</v>
      </c>
      <c r="H654" s="24">
        <v>0.05</v>
      </c>
      <c r="I654" s="24">
        <v>0.05</v>
      </c>
      <c r="J654" s="24">
        <v>0</v>
      </c>
      <c r="K654" s="224">
        <f t="shared" si="86"/>
        <v>0.27800000000000014</v>
      </c>
      <c r="L654" s="225">
        <f t="shared" si="87"/>
        <v>40893.351800554025</v>
      </c>
      <c r="M654" s="225">
        <f t="shared" si="88"/>
        <v>40893.351800554025</v>
      </c>
      <c r="N654" s="226">
        <f t="shared" si="89"/>
        <v>48663.088642659284</v>
      </c>
      <c r="O654" s="34">
        <v>0.3</v>
      </c>
      <c r="P654" s="226">
        <f t="shared" si="90"/>
        <v>63262.015235457075</v>
      </c>
      <c r="Q654" s="107" t="s">
        <v>1486</v>
      </c>
      <c r="R654" s="34">
        <v>0.3</v>
      </c>
      <c r="S654" s="226">
        <f t="shared" si="83"/>
        <v>50192.500000000007</v>
      </c>
      <c r="T654" s="156" t="s">
        <v>1486</v>
      </c>
      <c r="U654" s="2"/>
      <c r="V654" s="2" t="s">
        <v>47</v>
      </c>
      <c r="W654" s="2" t="s">
        <v>1467</v>
      </c>
      <c r="X654" s="2" t="s">
        <v>1467</v>
      </c>
      <c r="Y654" s="488" t="s">
        <v>1486</v>
      </c>
      <c r="Z654" s="293">
        <f t="shared" si="84"/>
        <v>11368.351800554025</v>
      </c>
      <c r="AA654" s="293">
        <f t="shared" si="85"/>
        <v>12653.571428571435</v>
      </c>
    </row>
    <row r="655" spans="1:27" s="320" customFormat="1" x14ac:dyDescent="0.25">
      <c r="A655" s="220" t="s">
        <v>4776</v>
      </c>
      <c r="B655" s="221" t="s">
        <v>5436</v>
      </c>
      <c r="C655" s="223" t="s">
        <v>4767</v>
      </c>
      <c r="D655" s="220" t="s">
        <v>4636</v>
      </c>
      <c r="E655" s="222">
        <v>10</v>
      </c>
      <c r="F655" s="192">
        <v>28800</v>
      </c>
      <c r="G655" s="24">
        <v>0.2</v>
      </c>
      <c r="H655" s="24">
        <v>0.05</v>
      </c>
      <c r="I655" s="24">
        <v>0.05</v>
      </c>
      <c r="J655" s="24">
        <v>0</v>
      </c>
      <c r="K655" s="224">
        <f t="shared" si="86"/>
        <v>0.27800000000000014</v>
      </c>
      <c r="L655" s="225">
        <f t="shared" si="87"/>
        <v>398891.96675900283</v>
      </c>
      <c r="M655" s="225">
        <f t="shared" si="88"/>
        <v>39889.196675900283</v>
      </c>
      <c r="N655" s="226">
        <f t="shared" si="89"/>
        <v>47468.144044321336</v>
      </c>
      <c r="O655" s="34">
        <v>0.3</v>
      </c>
      <c r="P655" s="226">
        <f t="shared" si="90"/>
        <v>61708.587257617735</v>
      </c>
      <c r="Q655" s="107" t="s">
        <v>1486</v>
      </c>
      <c r="R655" s="34">
        <v>0.3</v>
      </c>
      <c r="S655" s="226">
        <f t="shared" si="83"/>
        <v>48960</v>
      </c>
      <c r="T655" s="156" t="s">
        <v>1486</v>
      </c>
      <c r="U655" s="2"/>
      <c r="V655" s="2" t="s">
        <v>47</v>
      </c>
      <c r="W655" s="2" t="s">
        <v>1467</v>
      </c>
      <c r="X655" s="2" t="s">
        <v>1467</v>
      </c>
      <c r="Y655" s="488" t="s">
        <v>1486</v>
      </c>
      <c r="Z655" s="293">
        <f t="shared" si="84"/>
        <v>11089.196675900283</v>
      </c>
      <c r="AA655" s="293">
        <f t="shared" si="85"/>
        <v>12342.857142857145</v>
      </c>
    </row>
    <row r="656" spans="1:27" s="320" customFormat="1" x14ac:dyDescent="0.25">
      <c r="A656" s="220" t="s">
        <v>4777</v>
      </c>
      <c r="B656" s="221" t="s">
        <v>4778</v>
      </c>
      <c r="C656" s="223" t="s">
        <v>4767</v>
      </c>
      <c r="D656" s="220" t="s">
        <v>4636</v>
      </c>
      <c r="E656" s="222">
        <v>24</v>
      </c>
      <c r="F656" s="192">
        <v>773</v>
      </c>
      <c r="G656" s="24">
        <v>0.2</v>
      </c>
      <c r="H656" s="24">
        <v>0.05</v>
      </c>
      <c r="I656" s="24">
        <v>0.05</v>
      </c>
      <c r="J656" s="24">
        <v>0</v>
      </c>
      <c r="K656" s="224">
        <f t="shared" si="86"/>
        <v>0.27800000000000014</v>
      </c>
      <c r="L656" s="225">
        <f t="shared" si="87"/>
        <v>25695.290858725766</v>
      </c>
      <c r="M656" s="225">
        <f t="shared" si="88"/>
        <v>1070.6371191135736</v>
      </c>
      <c r="N656" s="226">
        <f t="shared" si="89"/>
        <v>1274.0581717451525</v>
      </c>
      <c r="O656" s="34">
        <v>0.3</v>
      </c>
      <c r="P656" s="226">
        <f t="shared" si="90"/>
        <v>1656.2756232686984</v>
      </c>
      <c r="Q656" s="107" t="s">
        <v>1486</v>
      </c>
      <c r="R656" s="34">
        <v>0.3</v>
      </c>
      <c r="S656" s="226">
        <f t="shared" si="83"/>
        <v>1314.1000000000001</v>
      </c>
      <c r="T656" s="156" t="s">
        <v>1486</v>
      </c>
      <c r="U656" s="2"/>
      <c r="V656" s="2" t="s">
        <v>47</v>
      </c>
      <c r="W656" s="2" t="s">
        <v>1467</v>
      </c>
      <c r="X656" s="2" t="s">
        <v>1467</v>
      </c>
      <c r="Y656" s="488" t="s">
        <v>1486</v>
      </c>
      <c r="Z656" s="293">
        <f t="shared" si="84"/>
        <v>297.63711911357359</v>
      </c>
      <c r="AA656" s="293">
        <f t="shared" si="85"/>
        <v>331.28571428571445</v>
      </c>
    </row>
    <row r="657" spans="1:27" s="320" customFormat="1" x14ac:dyDescent="0.25">
      <c r="A657" s="220" t="s">
        <v>4779</v>
      </c>
      <c r="B657" s="221" t="s">
        <v>4780</v>
      </c>
      <c r="C657" s="223" t="s">
        <v>4767</v>
      </c>
      <c r="D657" s="220" t="s">
        <v>4636</v>
      </c>
      <c r="E657" s="222">
        <v>24</v>
      </c>
      <c r="F657" s="192">
        <v>699</v>
      </c>
      <c r="G657" s="24">
        <v>0.2</v>
      </c>
      <c r="H657" s="24">
        <v>0.05</v>
      </c>
      <c r="I657" s="24">
        <v>0.05</v>
      </c>
      <c r="J657" s="24">
        <v>0</v>
      </c>
      <c r="K657" s="224">
        <f t="shared" si="86"/>
        <v>0.27800000000000002</v>
      </c>
      <c r="L657" s="225">
        <f t="shared" si="87"/>
        <v>23235.457063711914</v>
      </c>
      <c r="M657" s="225">
        <f t="shared" si="88"/>
        <v>968.14404432132972</v>
      </c>
      <c r="N657" s="226">
        <f t="shared" si="89"/>
        <v>1152.0914127423823</v>
      </c>
      <c r="O657" s="34">
        <v>0.3</v>
      </c>
      <c r="P657" s="226">
        <f t="shared" si="90"/>
        <v>1497.718836565097</v>
      </c>
      <c r="Q657" s="107" t="s">
        <v>1486</v>
      </c>
      <c r="R657" s="34">
        <v>0.3</v>
      </c>
      <c r="S657" s="226">
        <f t="shared" si="83"/>
        <v>1188.3</v>
      </c>
      <c r="T657" s="156" t="s">
        <v>1486</v>
      </c>
      <c r="U657" s="2"/>
      <c r="V657" s="2" t="s">
        <v>47</v>
      </c>
      <c r="W657" s="2" t="s">
        <v>1467</v>
      </c>
      <c r="X657" s="2" t="s">
        <v>1467</v>
      </c>
      <c r="Y657" s="488" t="s">
        <v>1486</v>
      </c>
      <c r="Z657" s="293">
        <f t="shared" si="84"/>
        <v>269.14404432132972</v>
      </c>
      <c r="AA657" s="293">
        <f t="shared" si="85"/>
        <v>299.57142857142856</v>
      </c>
    </row>
    <row r="658" spans="1:27" s="320" customFormat="1" x14ac:dyDescent="0.25">
      <c r="A658" s="220" t="s">
        <v>4781</v>
      </c>
      <c r="B658" s="221" t="s">
        <v>4782</v>
      </c>
      <c r="C658" s="223" t="s">
        <v>4767</v>
      </c>
      <c r="D658" s="220" t="s">
        <v>4636</v>
      </c>
      <c r="E658" s="222">
        <v>6</v>
      </c>
      <c r="F658" s="192">
        <v>3277</v>
      </c>
      <c r="G658" s="24">
        <v>0.2</v>
      </c>
      <c r="H658" s="24">
        <v>0.05</v>
      </c>
      <c r="I658" s="24">
        <v>0.05</v>
      </c>
      <c r="J658" s="24">
        <v>0</v>
      </c>
      <c r="K658" s="224">
        <f t="shared" si="86"/>
        <v>0.27800000000000014</v>
      </c>
      <c r="L658" s="225">
        <f t="shared" si="87"/>
        <v>27232.686980609422</v>
      </c>
      <c r="M658" s="225">
        <f t="shared" si="88"/>
        <v>4538.7811634349036</v>
      </c>
      <c r="N658" s="226">
        <f t="shared" si="89"/>
        <v>5401.1495844875353</v>
      </c>
      <c r="O658" s="34">
        <v>0.3</v>
      </c>
      <c r="P658" s="226">
        <f t="shared" si="90"/>
        <v>7021.4944598337961</v>
      </c>
      <c r="Q658" s="107" t="s">
        <v>1486</v>
      </c>
      <c r="R658" s="34">
        <v>0.3</v>
      </c>
      <c r="S658" s="226">
        <f t="shared" si="83"/>
        <v>5570.9</v>
      </c>
      <c r="T658" s="156" t="s">
        <v>1486</v>
      </c>
      <c r="U658" s="2"/>
      <c r="V658" s="2" t="s">
        <v>47</v>
      </c>
      <c r="W658" s="2" t="s">
        <v>1467</v>
      </c>
      <c r="X658" s="2" t="s">
        <v>1467</v>
      </c>
      <c r="Y658" s="488" t="s">
        <v>1486</v>
      </c>
      <c r="Z658" s="293">
        <f t="shared" si="84"/>
        <v>1261.7811634349036</v>
      </c>
      <c r="AA658" s="293">
        <f t="shared" si="85"/>
        <v>1404.4285714285716</v>
      </c>
    </row>
    <row r="659" spans="1:27" s="320" customFormat="1" x14ac:dyDescent="0.25">
      <c r="A659" s="220" t="s">
        <v>4783</v>
      </c>
      <c r="B659" s="221" t="s">
        <v>4784</v>
      </c>
      <c r="C659" s="223" t="s">
        <v>4767</v>
      </c>
      <c r="D659" s="220" t="s">
        <v>4636</v>
      </c>
      <c r="E659" s="222">
        <v>6</v>
      </c>
      <c r="F659" s="192">
        <v>2945</v>
      </c>
      <c r="G659" s="24">
        <v>0.2</v>
      </c>
      <c r="H659" s="24">
        <v>0.05</v>
      </c>
      <c r="I659" s="24">
        <v>0.05</v>
      </c>
      <c r="J659" s="24">
        <v>0</v>
      </c>
      <c r="K659" s="224">
        <f t="shared" si="86"/>
        <v>0.27800000000000002</v>
      </c>
      <c r="L659" s="225">
        <f t="shared" si="87"/>
        <v>24473.684210526317</v>
      </c>
      <c r="M659" s="225">
        <f t="shared" si="88"/>
        <v>4078.9473684210529</v>
      </c>
      <c r="N659" s="226">
        <f t="shared" si="89"/>
        <v>4853.9473684210525</v>
      </c>
      <c r="O659" s="34">
        <v>0.3</v>
      </c>
      <c r="P659" s="226">
        <f t="shared" si="90"/>
        <v>6310.1315789473683</v>
      </c>
      <c r="Q659" s="107" t="s">
        <v>1486</v>
      </c>
      <c r="R659" s="34">
        <v>0.3</v>
      </c>
      <c r="S659" s="226">
        <f t="shared" si="83"/>
        <v>5006.5000000000009</v>
      </c>
      <c r="T659" s="156" t="s">
        <v>1486</v>
      </c>
      <c r="U659" s="2"/>
      <c r="V659" s="2" t="s">
        <v>47</v>
      </c>
      <c r="W659" s="2" t="s">
        <v>1467</v>
      </c>
      <c r="X659" s="2" t="s">
        <v>1467</v>
      </c>
      <c r="Y659" s="488" t="s">
        <v>1486</v>
      </c>
      <c r="Z659" s="293">
        <f t="shared" si="84"/>
        <v>1133.9473684210529</v>
      </c>
      <c r="AA659" s="293">
        <f t="shared" si="85"/>
        <v>1262.1428571428578</v>
      </c>
    </row>
    <row r="660" spans="1:27" s="320" customFormat="1" x14ac:dyDescent="0.25">
      <c r="A660" s="220" t="s">
        <v>4814</v>
      </c>
      <c r="B660" s="221" t="s">
        <v>4828</v>
      </c>
      <c r="C660" s="223" t="s">
        <v>1739</v>
      </c>
      <c r="D660" s="220" t="s">
        <v>4815</v>
      </c>
      <c r="E660" s="222">
        <v>6</v>
      </c>
      <c r="F660" s="192">
        <v>5927</v>
      </c>
      <c r="G660" s="24">
        <v>0.2</v>
      </c>
      <c r="H660" s="24">
        <v>0.05</v>
      </c>
      <c r="I660" s="24">
        <v>0.05</v>
      </c>
      <c r="J660" s="24">
        <v>0.05</v>
      </c>
      <c r="K660" s="224">
        <f t="shared" si="86"/>
        <v>0.31410000000000016</v>
      </c>
      <c r="L660" s="225">
        <f t="shared" si="87"/>
        <v>51847.208047820386</v>
      </c>
      <c r="M660" s="225">
        <f t="shared" si="88"/>
        <v>8641.2013413033983</v>
      </c>
      <c r="N660" s="226">
        <f t="shared" si="89"/>
        <v>10283.029596151044</v>
      </c>
      <c r="O660" s="34">
        <v>0.3</v>
      </c>
      <c r="P660" s="226">
        <f t="shared" si="90"/>
        <v>13367.938474996357</v>
      </c>
      <c r="Q660" s="107" t="s">
        <v>1486</v>
      </c>
      <c r="R660" s="34">
        <v>0.51357723930147836</v>
      </c>
      <c r="S660" s="226">
        <f t="shared" si="83"/>
        <v>14499.999938060948</v>
      </c>
      <c r="T660" s="156" t="s">
        <v>1486</v>
      </c>
      <c r="U660" s="2" t="s">
        <v>109</v>
      </c>
      <c r="V660" s="2" t="s">
        <v>47</v>
      </c>
      <c r="W660" s="2" t="s">
        <v>5863</v>
      </c>
      <c r="X660" s="2" t="s">
        <v>5881</v>
      </c>
      <c r="Y660" s="488" t="s">
        <v>1486</v>
      </c>
      <c r="Z660" s="293">
        <f t="shared" si="84"/>
        <v>2714.2013413033983</v>
      </c>
      <c r="AA660" s="293">
        <f t="shared" si="85"/>
        <v>6257.8738975302094</v>
      </c>
    </row>
    <row r="661" spans="1:27" s="320" customFormat="1" x14ac:dyDescent="0.25">
      <c r="A661" s="220" t="s">
        <v>4816</v>
      </c>
      <c r="B661" s="221" t="s">
        <v>5902</v>
      </c>
      <c r="C661" s="223" t="s">
        <v>1739</v>
      </c>
      <c r="D661" s="220" t="s">
        <v>4815</v>
      </c>
      <c r="E661" s="222">
        <v>6</v>
      </c>
      <c r="F661" s="192">
        <v>7416</v>
      </c>
      <c r="G661" s="24">
        <v>0.2</v>
      </c>
      <c r="H661" s="24">
        <v>0.05</v>
      </c>
      <c r="I661" s="24">
        <v>0.05</v>
      </c>
      <c r="J661" s="24">
        <v>0</v>
      </c>
      <c r="K661" s="224">
        <f t="shared" si="86"/>
        <v>0.27800000000000002</v>
      </c>
      <c r="L661" s="225">
        <f t="shared" si="87"/>
        <v>61628.808864265928</v>
      </c>
      <c r="M661" s="225">
        <f t="shared" si="88"/>
        <v>10271.468144044322</v>
      </c>
      <c r="N661" s="226">
        <f t="shared" si="89"/>
        <v>12223.047091412742</v>
      </c>
      <c r="O661" s="34">
        <v>0.3</v>
      </c>
      <c r="P661" s="226">
        <f t="shared" si="90"/>
        <v>15889.961218836565</v>
      </c>
      <c r="Q661" s="107" t="s">
        <v>1486</v>
      </c>
      <c r="R661" s="34">
        <v>0.43064258064661881</v>
      </c>
      <c r="S661" s="226">
        <f t="shared" si="83"/>
        <v>15500.000000039676</v>
      </c>
      <c r="T661" s="156" t="s">
        <v>1486</v>
      </c>
      <c r="U661" s="2" t="s">
        <v>109</v>
      </c>
      <c r="V661" s="2" t="s">
        <v>47</v>
      </c>
      <c r="W661" s="2" t="s">
        <v>5863</v>
      </c>
      <c r="X661" s="2" t="s">
        <v>5881</v>
      </c>
      <c r="Y661" s="488" t="s">
        <v>1486</v>
      </c>
      <c r="Z661" s="293">
        <f t="shared" si="84"/>
        <v>2855.4681440443219</v>
      </c>
      <c r="AA661" s="293">
        <f t="shared" si="85"/>
        <v>5609.2100840669555</v>
      </c>
    </row>
    <row r="662" spans="1:27" s="320" customFormat="1" x14ac:dyDescent="0.25">
      <c r="A662" s="220" t="s">
        <v>4817</v>
      </c>
      <c r="B662" s="221" t="s">
        <v>4818</v>
      </c>
      <c r="C662" s="223" t="s">
        <v>1739</v>
      </c>
      <c r="D662" s="220" t="s">
        <v>4815</v>
      </c>
      <c r="E662" s="222">
        <v>6</v>
      </c>
      <c r="F662" s="192">
        <v>7857</v>
      </c>
      <c r="G662" s="24">
        <v>0.2</v>
      </c>
      <c r="H662" s="24">
        <v>0.05</v>
      </c>
      <c r="I662" s="24">
        <v>0.05</v>
      </c>
      <c r="J662" s="24">
        <v>0</v>
      </c>
      <c r="K662" s="224">
        <f t="shared" si="86"/>
        <v>0.27800000000000014</v>
      </c>
      <c r="L662" s="225">
        <f t="shared" si="87"/>
        <v>65293.628808864276</v>
      </c>
      <c r="M662" s="225">
        <f t="shared" si="88"/>
        <v>10882.271468144047</v>
      </c>
      <c r="N662" s="226">
        <f t="shared" si="89"/>
        <v>12949.903047091415</v>
      </c>
      <c r="O662" s="34">
        <v>0.3</v>
      </c>
      <c r="P662" s="226">
        <f t="shared" si="90"/>
        <v>16834.87396121884</v>
      </c>
      <c r="Q662" s="107" t="s">
        <v>1486</v>
      </c>
      <c r="R662" s="34">
        <v>0.43334363713420671</v>
      </c>
      <c r="S662" s="226">
        <f t="shared" si="83"/>
        <v>16500.000022437605</v>
      </c>
      <c r="T662" s="156" t="s">
        <v>1486</v>
      </c>
      <c r="U662" s="2" t="s">
        <v>109</v>
      </c>
      <c r="V662" s="2" t="s">
        <v>47</v>
      </c>
      <c r="W662" s="2" t="s">
        <v>5863</v>
      </c>
      <c r="X662" s="2" t="s">
        <v>5881</v>
      </c>
      <c r="Y662" s="488" t="s">
        <v>1486</v>
      </c>
      <c r="Z662" s="293">
        <f t="shared" si="84"/>
        <v>3025.2714681440466</v>
      </c>
      <c r="AA662" s="293">
        <f t="shared" si="85"/>
        <v>6008.5462373425253</v>
      </c>
    </row>
    <row r="663" spans="1:27" s="320" customFormat="1" x14ac:dyDescent="0.25">
      <c r="A663" s="220" t="s">
        <v>4819</v>
      </c>
      <c r="B663" s="221" t="s">
        <v>4820</v>
      </c>
      <c r="C663" s="223" t="s">
        <v>1739</v>
      </c>
      <c r="D663" s="220" t="s">
        <v>4815</v>
      </c>
      <c r="E663" s="222">
        <v>6</v>
      </c>
      <c r="F663" s="192">
        <v>9333</v>
      </c>
      <c r="G663" s="24">
        <v>0.2</v>
      </c>
      <c r="H663" s="24">
        <v>0.05</v>
      </c>
      <c r="I663" s="24">
        <v>0.05</v>
      </c>
      <c r="J663" s="24">
        <v>0</v>
      </c>
      <c r="K663" s="224">
        <f t="shared" si="86"/>
        <v>0.27800000000000002</v>
      </c>
      <c r="L663" s="225">
        <f t="shared" si="87"/>
        <v>77559.556786703615</v>
      </c>
      <c r="M663" s="225">
        <f t="shared" si="88"/>
        <v>12926.592797783935</v>
      </c>
      <c r="N663" s="226">
        <f t="shared" si="89"/>
        <v>15382.645429362881</v>
      </c>
      <c r="O663" s="34">
        <v>0.3</v>
      </c>
      <c r="P663" s="226">
        <f t="shared" si="90"/>
        <v>19997.439058171745</v>
      </c>
      <c r="Q663" s="107" t="s">
        <v>1486</v>
      </c>
      <c r="R663" s="34">
        <v>0.38298500000126712</v>
      </c>
      <c r="S663" s="226">
        <f t="shared" si="83"/>
        <v>18000.000000036962</v>
      </c>
      <c r="T663" s="156" t="s">
        <v>1486</v>
      </c>
      <c r="U663" s="2" t="s">
        <v>109</v>
      </c>
      <c r="V663" s="2" t="s">
        <v>47</v>
      </c>
      <c r="W663" s="2" t="s">
        <v>5863</v>
      </c>
      <c r="X663" s="2" t="s">
        <v>5881</v>
      </c>
      <c r="Y663" s="488" t="s">
        <v>1486</v>
      </c>
      <c r="Z663" s="293">
        <f t="shared" si="84"/>
        <v>3593.5927977839347</v>
      </c>
      <c r="AA663" s="293">
        <f t="shared" si="85"/>
        <v>5793.050420199128</v>
      </c>
    </row>
    <row r="664" spans="1:27" s="320" customFormat="1" x14ac:dyDescent="0.25">
      <c r="A664" s="220" t="s">
        <v>4821</v>
      </c>
      <c r="B664" s="221" t="s">
        <v>4829</v>
      </c>
      <c r="C664" s="223" t="s">
        <v>1739</v>
      </c>
      <c r="D664" s="220" t="s">
        <v>4815</v>
      </c>
      <c r="E664" s="222">
        <v>6</v>
      </c>
      <c r="F664" s="192">
        <v>9333</v>
      </c>
      <c r="G664" s="24">
        <v>0.2</v>
      </c>
      <c r="H664" s="24">
        <v>0.05</v>
      </c>
      <c r="I664" s="24">
        <v>0.05</v>
      </c>
      <c r="J664" s="24">
        <v>0</v>
      </c>
      <c r="K664" s="224">
        <f t="shared" si="86"/>
        <v>0.27800000000000002</v>
      </c>
      <c r="L664" s="225">
        <f t="shared" si="87"/>
        <v>77559.556786703615</v>
      </c>
      <c r="M664" s="225">
        <f t="shared" si="88"/>
        <v>12926.592797783935</v>
      </c>
      <c r="N664" s="226">
        <f t="shared" si="89"/>
        <v>15382.645429362881</v>
      </c>
      <c r="O664" s="34">
        <v>0.3</v>
      </c>
      <c r="P664" s="226">
        <f t="shared" si="90"/>
        <v>19997.439058171745</v>
      </c>
      <c r="Q664" s="107" t="s">
        <v>1486</v>
      </c>
      <c r="R664" s="34">
        <v>0.38298500000126712</v>
      </c>
      <c r="S664" s="226">
        <f t="shared" si="83"/>
        <v>18000.000000036962</v>
      </c>
      <c r="T664" s="156" t="s">
        <v>1486</v>
      </c>
      <c r="U664" s="2" t="s">
        <v>109</v>
      </c>
      <c r="V664" s="2" t="s">
        <v>47</v>
      </c>
      <c r="W664" s="2" t="s">
        <v>5863</v>
      </c>
      <c r="X664" s="2" t="s">
        <v>5881</v>
      </c>
      <c r="Y664" s="488" t="s">
        <v>1486</v>
      </c>
      <c r="Z664" s="293">
        <f t="shared" si="84"/>
        <v>3593.5927977839347</v>
      </c>
      <c r="AA664" s="293">
        <f t="shared" si="85"/>
        <v>5793.050420199128</v>
      </c>
    </row>
    <row r="665" spans="1:27" s="320" customFormat="1" x14ac:dyDescent="0.25">
      <c r="A665" s="220" t="s">
        <v>4822</v>
      </c>
      <c r="B665" s="221" t="s">
        <v>4830</v>
      </c>
      <c r="C665" s="223" t="s">
        <v>1739</v>
      </c>
      <c r="D665" s="220" t="s">
        <v>4815</v>
      </c>
      <c r="E665" s="222">
        <v>10</v>
      </c>
      <c r="F665" s="192">
        <v>1782</v>
      </c>
      <c r="G665" s="24">
        <v>0.2</v>
      </c>
      <c r="H665" s="24">
        <v>0.05</v>
      </c>
      <c r="I665" s="24">
        <v>0.05</v>
      </c>
      <c r="J665" s="24">
        <v>0</v>
      </c>
      <c r="K665" s="224">
        <f t="shared" si="86"/>
        <v>0.27800000000000014</v>
      </c>
      <c r="L665" s="225">
        <f t="shared" si="87"/>
        <v>24681.440443213301</v>
      </c>
      <c r="M665" s="225">
        <f t="shared" si="88"/>
        <v>2468.1440443213301</v>
      </c>
      <c r="N665" s="226">
        <f t="shared" si="89"/>
        <v>2937.0914127423825</v>
      </c>
      <c r="O665" s="34">
        <v>0.3</v>
      </c>
      <c r="P665" s="226">
        <f t="shared" si="90"/>
        <v>3818.2188365650973</v>
      </c>
      <c r="Q665" s="107" t="s">
        <v>1486</v>
      </c>
      <c r="R665" s="34">
        <v>0.3</v>
      </c>
      <c r="S665" s="226">
        <f t="shared" si="83"/>
        <v>3029.4</v>
      </c>
      <c r="T665" s="156" t="s">
        <v>1486</v>
      </c>
      <c r="U665" s="2" t="s">
        <v>109</v>
      </c>
      <c r="V665" s="2" t="s">
        <v>47</v>
      </c>
      <c r="W665" s="2" t="s">
        <v>5863</v>
      </c>
      <c r="X665" s="2" t="s">
        <v>5881</v>
      </c>
      <c r="Y665" s="488" t="s">
        <v>1486</v>
      </c>
      <c r="Z665" s="293">
        <f t="shared" si="84"/>
        <v>686.14404432133006</v>
      </c>
      <c r="AA665" s="293">
        <f t="shared" si="85"/>
        <v>763.71428571428578</v>
      </c>
    </row>
    <row r="666" spans="1:27" s="320" customFormat="1" x14ac:dyDescent="0.25">
      <c r="A666" s="220" t="s">
        <v>4823</v>
      </c>
      <c r="B666" s="221" t="s">
        <v>5903</v>
      </c>
      <c r="C666" s="223" t="s">
        <v>1739</v>
      </c>
      <c r="D666" s="220" t="s">
        <v>4815</v>
      </c>
      <c r="E666" s="222">
        <v>10</v>
      </c>
      <c r="F666" s="192">
        <v>1854</v>
      </c>
      <c r="G666" s="24">
        <v>0.2</v>
      </c>
      <c r="H666" s="24">
        <v>0.05</v>
      </c>
      <c r="I666" s="24">
        <v>0.05</v>
      </c>
      <c r="J666" s="24">
        <v>0</v>
      </c>
      <c r="K666" s="224">
        <f t="shared" si="86"/>
        <v>0.27800000000000002</v>
      </c>
      <c r="L666" s="225">
        <f t="shared" si="87"/>
        <v>25678.670360110806</v>
      </c>
      <c r="M666" s="225">
        <f t="shared" si="88"/>
        <v>2567.8670360110805</v>
      </c>
      <c r="N666" s="226">
        <f t="shared" si="89"/>
        <v>3055.7617728531854</v>
      </c>
      <c r="O666" s="34">
        <v>0.3</v>
      </c>
      <c r="P666" s="226">
        <f t="shared" si="90"/>
        <v>3972.4903047091411</v>
      </c>
      <c r="Q666" s="107" t="s">
        <v>1486</v>
      </c>
      <c r="R666" s="34">
        <v>0.3</v>
      </c>
      <c r="S666" s="226">
        <f t="shared" si="83"/>
        <v>3151.8</v>
      </c>
      <c r="T666" s="156" t="s">
        <v>1486</v>
      </c>
      <c r="U666" s="2" t="s">
        <v>109</v>
      </c>
      <c r="V666" s="2" t="s">
        <v>47</v>
      </c>
      <c r="W666" s="2" t="s">
        <v>5863</v>
      </c>
      <c r="X666" s="2" t="s">
        <v>5881</v>
      </c>
      <c r="Y666" s="488" t="s">
        <v>1486</v>
      </c>
      <c r="Z666" s="293">
        <f t="shared" si="84"/>
        <v>713.86703601108047</v>
      </c>
      <c r="AA666" s="293">
        <f t="shared" si="85"/>
        <v>794.5714285714289</v>
      </c>
    </row>
    <row r="667" spans="1:27" s="320" customFormat="1" x14ac:dyDescent="0.25">
      <c r="A667" s="220" t="s">
        <v>4824</v>
      </c>
      <c r="B667" s="221" t="s">
        <v>4825</v>
      </c>
      <c r="C667" s="223" t="s">
        <v>1739</v>
      </c>
      <c r="D667" s="220" t="s">
        <v>4815</v>
      </c>
      <c r="E667" s="222">
        <v>10</v>
      </c>
      <c r="F667" s="192">
        <v>1926</v>
      </c>
      <c r="G667" s="24">
        <v>0.2</v>
      </c>
      <c r="H667" s="24">
        <v>0.05</v>
      </c>
      <c r="I667" s="24">
        <v>0.05</v>
      </c>
      <c r="J667" s="24">
        <v>0</v>
      </c>
      <c r="K667" s="224">
        <f t="shared" si="86"/>
        <v>0.27800000000000014</v>
      </c>
      <c r="L667" s="225">
        <f t="shared" si="87"/>
        <v>26675.900277008313</v>
      </c>
      <c r="M667" s="225">
        <f t="shared" si="88"/>
        <v>2667.5900277008313</v>
      </c>
      <c r="N667" s="226">
        <f t="shared" si="89"/>
        <v>3174.4321329639893</v>
      </c>
      <c r="O667" s="34">
        <v>0.3</v>
      </c>
      <c r="P667" s="226">
        <f t="shared" si="90"/>
        <v>4126.7617728531859</v>
      </c>
      <c r="Q667" s="107" t="s">
        <v>1486</v>
      </c>
      <c r="R667" s="34">
        <v>0.3</v>
      </c>
      <c r="S667" s="226">
        <f t="shared" si="83"/>
        <v>3274.2</v>
      </c>
      <c r="T667" s="156" t="s">
        <v>1486</v>
      </c>
      <c r="U667" s="2" t="s">
        <v>109</v>
      </c>
      <c r="V667" s="2" t="s">
        <v>47</v>
      </c>
      <c r="W667" s="2" t="s">
        <v>5863</v>
      </c>
      <c r="X667" s="2" t="s">
        <v>5881</v>
      </c>
      <c r="Y667" s="488" t="s">
        <v>1486</v>
      </c>
      <c r="Z667" s="293">
        <f t="shared" si="84"/>
        <v>741.59002770083134</v>
      </c>
      <c r="AA667" s="293">
        <f t="shared" si="85"/>
        <v>825.42857142857156</v>
      </c>
    </row>
    <row r="668" spans="1:27" s="320" customFormat="1" x14ac:dyDescent="0.25">
      <c r="A668" s="220" t="s">
        <v>4826</v>
      </c>
      <c r="B668" s="221" t="s">
        <v>4831</v>
      </c>
      <c r="C668" s="223" t="s">
        <v>1739</v>
      </c>
      <c r="D668" s="220" t="s">
        <v>4815</v>
      </c>
      <c r="E668" s="222">
        <v>10</v>
      </c>
      <c r="F668" s="192">
        <v>2151</v>
      </c>
      <c r="G668" s="24">
        <v>0.2</v>
      </c>
      <c r="H668" s="24">
        <v>0.05</v>
      </c>
      <c r="I668" s="24">
        <v>0.05</v>
      </c>
      <c r="J668" s="24">
        <v>0</v>
      </c>
      <c r="K668" s="224">
        <f t="shared" si="86"/>
        <v>0.27800000000000014</v>
      </c>
      <c r="L668" s="225">
        <f t="shared" si="87"/>
        <v>29792.243767313026</v>
      </c>
      <c r="M668" s="225">
        <f t="shared" si="88"/>
        <v>2979.2243767313025</v>
      </c>
      <c r="N668" s="226">
        <f t="shared" si="89"/>
        <v>3545.27700831025</v>
      </c>
      <c r="O668" s="34">
        <v>0.3</v>
      </c>
      <c r="P668" s="226">
        <f t="shared" si="90"/>
        <v>4608.8601108033254</v>
      </c>
      <c r="Q668" s="107" t="s">
        <v>1486</v>
      </c>
      <c r="R668" s="34">
        <v>0.3</v>
      </c>
      <c r="S668" s="226">
        <f t="shared" si="83"/>
        <v>3656.7000000000003</v>
      </c>
      <c r="T668" s="156" t="s">
        <v>1486</v>
      </c>
      <c r="U668" s="2" t="s">
        <v>109</v>
      </c>
      <c r="V668" s="2" t="s">
        <v>47</v>
      </c>
      <c r="W668" s="2" t="s">
        <v>5863</v>
      </c>
      <c r="X668" s="2" t="s">
        <v>5881</v>
      </c>
      <c r="Y668" s="488" t="s">
        <v>1486</v>
      </c>
      <c r="Z668" s="293">
        <f t="shared" si="84"/>
        <v>828.22437673130253</v>
      </c>
      <c r="AA668" s="293">
        <f t="shared" si="85"/>
        <v>921.85714285714312</v>
      </c>
    </row>
    <row r="669" spans="1:27" s="320" customFormat="1" x14ac:dyDescent="0.25">
      <c r="A669" s="220" t="s">
        <v>4827</v>
      </c>
      <c r="B669" s="221" t="s">
        <v>5904</v>
      </c>
      <c r="C669" s="223" t="s">
        <v>1739</v>
      </c>
      <c r="D669" s="220" t="s">
        <v>4815</v>
      </c>
      <c r="E669" s="222">
        <v>10</v>
      </c>
      <c r="F669" s="192">
        <v>1820</v>
      </c>
      <c r="G669" s="24">
        <v>0.2</v>
      </c>
      <c r="H669" s="24">
        <v>0.05</v>
      </c>
      <c r="I669" s="24">
        <v>0.05</v>
      </c>
      <c r="J669" s="24">
        <v>0</v>
      </c>
      <c r="K669" s="224">
        <f t="shared" si="86"/>
        <v>0.27800000000000014</v>
      </c>
      <c r="L669" s="225">
        <f t="shared" si="87"/>
        <v>25207.756232686985</v>
      </c>
      <c r="M669" s="225">
        <f t="shared" si="88"/>
        <v>2520.7756232686984</v>
      </c>
      <c r="N669" s="226">
        <f t="shared" si="89"/>
        <v>2999.7229916897509</v>
      </c>
      <c r="O669" s="34">
        <v>0.3</v>
      </c>
      <c r="P669" s="226">
        <f t="shared" si="90"/>
        <v>3899.6398891966764</v>
      </c>
      <c r="Q669" s="107" t="s">
        <v>1486</v>
      </c>
      <c r="R669" s="34">
        <v>0.3</v>
      </c>
      <c r="S669" s="226">
        <f t="shared" ref="S669:S732" si="91">+(F669/(1-R669))*1.19</f>
        <v>3094</v>
      </c>
      <c r="T669" s="156" t="s">
        <v>1486</v>
      </c>
      <c r="U669" s="2" t="s">
        <v>109</v>
      </c>
      <c r="V669" s="2" t="s">
        <v>47</v>
      </c>
      <c r="W669" s="2" t="s">
        <v>5863</v>
      </c>
      <c r="X669" s="2" t="s">
        <v>5881</v>
      </c>
      <c r="Y669" s="488" t="s">
        <v>1486</v>
      </c>
      <c r="Z669" s="293">
        <f t="shared" si="84"/>
        <v>700.77562326869838</v>
      </c>
      <c r="AA669" s="293">
        <f t="shared" si="85"/>
        <v>780</v>
      </c>
    </row>
    <row r="670" spans="1:27" s="320" customFormat="1" x14ac:dyDescent="0.25">
      <c r="A670" s="220" t="s">
        <v>4856</v>
      </c>
      <c r="B670" s="221" t="s">
        <v>4857</v>
      </c>
      <c r="C670" s="223" t="s">
        <v>1561</v>
      </c>
      <c r="D670" s="220" t="s">
        <v>2786</v>
      </c>
      <c r="E670" s="222">
        <v>12</v>
      </c>
      <c r="F670" s="192">
        <v>1820</v>
      </c>
      <c r="G670" s="24">
        <v>0.2</v>
      </c>
      <c r="H670" s="24">
        <v>0.05</v>
      </c>
      <c r="I670" s="24">
        <v>0.05</v>
      </c>
      <c r="J670" s="24">
        <v>0</v>
      </c>
      <c r="K670" s="224">
        <f t="shared" si="86"/>
        <v>0.27800000000000014</v>
      </c>
      <c r="L670" s="225">
        <f t="shared" si="87"/>
        <v>30249.307479224379</v>
      </c>
      <c r="M670" s="225">
        <f t="shared" si="88"/>
        <v>2520.7756232686984</v>
      </c>
      <c r="N670" s="226">
        <f t="shared" si="89"/>
        <v>2999.7229916897509</v>
      </c>
      <c r="O670" s="34">
        <v>0.3</v>
      </c>
      <c r="P670" s="226">
        <f t="shared" si="90"/>
        <v>3899.6398891966764</v>
      </c>
      <c r="Q670" s="107" t="s">
        <v>1486</v>
      </c>
      <c r="R670" s="34">
        <v>0.35</v>
      </c>
      <c r="S670" s="226">
        <f t="shared" si="91"/>
        <v>3332</v>
      </c>
      <c r="T670" s="156" t="s">
        <v>1486</v>
      </c>
      <c r="U670" s="2" t="s">
        <v>50</v>
      </c>
      <c r="V670" s="2" t="s">
        <v>47</v>
      </c>
      <c r="W670" s="2" t="s">
        <v>5886</v>
      </c>
      <c r="X670" s="2" t="s">
        <v>1467</v>
      </c>
      <c r="Y670" s="488" t="s">
        <v>1486</v>
      </c>
      <c r="Z670" s="293">
        <f t="shared" si="84"/>
        <v>700.77562326869838</v>
      </c>
      <c r="AA670" s="293">
        <f t="shared" si="85"/>
        <v>980</v>
      </c>
    </row>
    <row r="671" spans="1:27" s="320" customFormat="1" x14ac:dyDescent="0.25">
      <c r="A671" s="220" t="s">
        <v>4858</v>
      </c>
      <c r="B671" s="221" t="s">
        <v>4859</v>
      </c>
      <c r="C671" s="223" t="s">
        <v>1561</v>
      </c>
      <c r="D671" s="220" t="s">
        <v>2786</v>
      </c>
      <c r="E671" s="222">
        <v>6</v>
      </c>
      <c r="F671" s="192">
        <v>4015</v>
      </c>
      <c r="G671" s="24">
        <v>0.2</v>
      </c>
      <c r="H671" s="24">
        <v>0.05</v>
      </c>
      <c r="I671" s="24">
        <v>0.05</v>
      </c>
      <c r="J671" s="24">
        <v>0</v>
      </c>
      <c r="K671" s="224">
        <f t="shared" si="86"/>
        <v>0.27800000000000014</v>
      </c>
      <c r="L671" s="225">
        <f t="shared" si="87"/>
        <v>33365.650969529088</v>
      </c>
      <c r="M671" s="225">
        <f t="shared" si="88"/>
        <v>5560.9418282548486</v>
      </c>
      <c r="N671" s="226">
        <f t="shared" si="89"/>
        <v>6617.5207756232694</v>
      </c>
      <c r="O671" s="34">
        <v>0.3</v>
      </c>
      <c r="P671" s="226">
        <f t="shared" si="90"/>
        <v>8602.7770083102514</v>
      </c>
      <c r="Q671" s="107" t="s">
        <v>1486</v>
      </c>
      <c r="R671" s="34">
        <v>0.35</v>
      </c>
      <c r="S671" s="226">
        <f t="shared" si="91"/>
        <v>7350.5384615384619</v>
      </c>
      <c r="T671" s="156" t="s">
        <v>1486</v>
      </c>
      <c r="U671" s="2" t="s">
        <v>50</v>
      </c>
      <c r="V671" s="2" t="s">
        <v>47</v>
      </c>
      <c r="W671" s="2" t="s">
        <v>5886</v>
      </c>
      <c r="X671" s="2" t="s">
        <v>1467</v>
      </c>
      <c r="Y671" s="488" t="s">
        <v>1486</v>
      </c>
      <c r="Z671" s="293">
        <f t="shared" si="84"/>
        <v>1545.9418282548486</v>
      </c>
      <c r="AA671" s="293">
        <f t="shared" si="85"/>
        <v>2161.9230769230771</v>
      </c>
    </row>
    <row r="672" spans="1:27" s="320" customFormat="1" x14ac:dyDescent="0.25">
      <c r="A672" s="220" t="s">
        <v>4887</v>
      </c>
      <c r="B672" s="221" t="s">
        <v>4888</v>
      </c>
      <c r="C672" s="223" t="s">
        <v>4883</v>
      </c>
      <c r="D672" s="220" t="s">
        <v>4889</v>
      </c>
      <c r="E672" s="222">
        <v>1</v>
      </c>
      <c r="F672" s="192">
        <v>6905</v>
      </c>
      <c r="G672" s="24">
        <v>0.2</v>
      </c>
      <c r="H672" s="24">
        <v>0.05</v>
      </c>
      <c r="I672" s="24">
        <v>0.05</v>
      </c>
      <c r="J672" s="24">
        <v>0</v>
      </c>
      <c r="K672" s="224">
        <f t="shared" si="86"/>
        <v>0.27800000000000002</v>
      </c>
      <c r="L672" s="225">
        <f t="shared" si="87"/>
        <v>9563.7119113573408</v>
      </c>
      <c r="M672" s="225">
        <f t="shared" si="88"/>
        <v>9563.7119113573408</v>
      </c>
      <c r="N672" s="226">
        <f t="shared" si="89"/>
        <v>11380.817174515236</v>
      </c>
      <c r="O672" s="34">
        <v>0.3</v>
      </c>
      <c r="P672" s="226">
        <f t="shared" si="90"/>
        <v>14795.062326869807</v>
      </c>
      <c r="Q672" s="107" t="s">
        <v>1486</v>
      </c>
      <c r="R672" s="34">
        <v>0.35</v>
      </c>
      <c r="S672" s="226">
        <f t="shared" si="91"/>
        <v>12641.461538461537</v>
      </c>
      <c r="T672" s="156" t="s">
        <v>1486</v>
      </c>
      <c r="U672" s="2"/>
      <c r="V672" s="2" t="s">
        <v>47</v>
      </c>
      <c r="W672" s="2" t="s">
        <v>1467</v>
      </c>
      <c r="X672" s="2" t="s">
        <v>1467</v>
      </c>
      <c r="Y672" s="488" t="s">
        <v>1486</v>
      </c>
      <c r="Z672" s="293">
        <f t="shared" si="84"/>
        <v>2658.7119113573408</v>
      </c>
      <c r="AA672" s="293">
        <f t="shared" si="85"/>
        <v>3718.076923076922</v>
      </c>
    </row>
    <row r="673" spans="1:27" s="320" customFormat="1" x14ac:dyDescent="0.25">
      <c r="A673" s="220" t="s">
        <v>4921</v>
      </c>
      <c r="B673" s="221" t="s">
        <v>4922</v>
      </c>
      <c r="C673" s="223" t="s">
        <v>4883</v>
      </c>
      <c r="D673" s="220" t="s">
        <v>4889</v>
      </c>
      <c r="E673" s="222">
        <v>1</v>
      </c>
      <c r="F673" s="192">
        <v>5160</v>
      </c>
      <c r="G673" s="24">
        <v>0.2</v>
      </c>
      <c r="H673" s="24">
        <v>0.05</v>
      </c>
      <c r="I673" s="24">
        <v>0.05</v>
      </c>
      <c r="J673" s="24">
        <v>0</v>
      </c>
      <c r="K673" s="224">
        <f t="shared" si="86"/>
        <v>0.27800000000000002</v>
      </c>
      <c r="L673" s="225">
        <f t="shared" si="87"/>
        <v>7146.8144044321334</v>
      </c>
      <c r="M673" s="225">
        <f t="shared" si="88"/>
        <v>7146.8144044321334</v>
      </c>
      <c r="N673" s="226">
        <f t="shared" si="89"/>
        <v>8504.7091412742375</v>
      </c>
      <c r="O673" s="34">
        <v>0.3</v>
      </c>
      <c r="P673" s="226">
        <f t="shared" si="90"/>
        <v>11056.121883656509</v>
      </c>
      <c r="Q673" s="107" t="s">
        <v>1486</v>
      </c>
      <c r="R673" s="34">
        <v>0.25</v>
      </c>
      <c r="S673" s="226">
        <f t="shared" si="91"/>
        <v>8187.2</v>
      </c>
      <c r="T673" s="156" t="s">
        <v>1486</v>
      </c>
      <c r="U673" s="2"/>
      <c r="V673" s="2" t="s">
        <v>47</v>
      </c>
      <c r="W673" s="2" t="s">
        <v>1467</v>
      </c>
      <c r="X673" s="2" t="s">
        <v>1467</v>
      </c>
      <c r="Y673" s="488" t="s">
        <v>1486</v>
      </c>
      <c r="Z673" s="293">
        <f t="shared" si="84"/>
        <v>1986.8144044321334</v>
      </c>
      <c r="AA673" s="293">
        <f t="shared" si="85"/>
        <v>1720</v>
      </c>
    </row>
    <row r="674" spans="1:27" s="320" customFormat="1" x14ac:dyDescent="0.25">
      <c r="A674" s="220" t="s">
        <v>4923</v>
      </c>
      <c r="B674" s="221" t="s">
        <v>5439</v>
      </c>
      <c r="C674" s="223" t="s">
        <v>4767</v>
      </c>
      <c r="D674" s="220" t="s">
        <v>4636</v>
      </c>
      <c r="E674" s="222">
        <v>1</v>
      </c>
      <c r="F674" s="192">
        <v>28950</v>
      </c>
      <c r="G674" s="24">
        <v>0.2</v>
      </c>
      <c r="H674" s="24">
        <v>0.05</v>
      </c>
      <c r="I674" s="24">
        <v>0.05</v>
      </c>
      <c r="J674" s="24">
        <v>0</v>
      </c>
      <c r="K674" s="224">
        <f t="shared" si="86"/>
        <v>0.27800000000000002</v>
      </c>
      <c r="L674" s="225">
        <f t="shared" si="87"/>
        <v>40096.952908587256</v>
      </c>
      <c r="M674" s="225">
        <f t="shared" si="88"/>
        <v>40096.952908587256</v>
      </c>
      <c r="N674" s="226">
        <f t="shared" si="89"/>
        <v>47715.373961218836</v>
      </c>
      <c r="O674" s="34">
        <v>0.3</v>
      </c>
      <c r="P674" s="226">
        <f t="shared" si="90"/>
        <v>62029.986149584489</v>
      </c>
      <c r="Q674" s="107" t="s">
        <v>1486</v>
      </c>
      <c r="R674" s="34">
        <v>0.3</v>
      </c>
      <c r="S674" s="226">
        <f t="shared" si="91"/>
        <v>49215.000000000007</v>
      </c>
      <c r="T674" s="156" t="s">
        <v>1486</v>
      </c>
      <c r="U674" s="2"/>
      <c r="V674" s="2" t="s">
        <v>47</v>
      </c>
      <c r="W674" s="2" t="s">
        <v>1467</v>
      </c>
      <c r="X674" s="2" t="s">
        <v>1467</v>
      </c>
      <c r="Y674" s="488" t="s">
        <v>1486</v>
      </c>
      <c r="Z674" s="293">
        <f t="shared" si="84"/>
        <v>11146.952908587256</v>
      </c>
      <c r="AA674" s="293">
        <f t="shared" si="85"/>
        <v>12407.142857142862</v>
      </c>
    </row>
    <row r="675" spans="1:27" s="320" customFormat="1" x14ac:dyDescent="0.25">
      <c r="A675" s="220" t="s">
        <v>4924</v>
      </c>
      <c r="B675" s="221" t="s">
        <v>5988</v>
      </c>
      <c r="C675" s="223" t="s">
        <v>1626</v>
      </c>
      <c r="D675" s="220" t="s">
        <v>4925</v>
      </c>
      <c r="E675" s="222">
        <v>20</v>
      </c>
      <c r="F675" s="192">
        <v>990</v>
      </c>
      <c r="G675" s="24">
        <v>0.2</v>
      </c>
      <c r="H675" s="24">
        <v>0.05</v>
      </c>
      <c r="I675" s="24">
        <v>0.05</v>
      </c>
      <c r="J675" s="24">
        <v>0</v>
      </c>
      <c r="K675" s="224">
        <f t="shared" si="86"/>
        <v>0.27800000000000014</v>
      </c>
      <c r="L675" s="225">
        <f t="shared" si="87"/>
        <v>27423.822714681446</v>
      </c>
      <c r="M675" s="225">
        <f t="shared" si="88"/>
        <v>1371.1911357340723</v>
      </c>
      <c r="N675" s="226">
        <f t="shared" si="89"/>
        <v>1631.7174515235461</v>
      </c>
      <c r="O675" s="34">
        <v>0.3</v>
      </c>
      <c r="P675" s="226">
        <f t="shared" si="90"/>
        <v>2121.2326869806097</v>
      </c>
      <c r="Q675" s="107" t="s">
        <v>1486</v>
      </c>
      <c r="R675" s="34">
        <v>0.3</v>
      </c>
      <c r="S675" s="226">
        <f t="shared" si="91"/>
        <v>1683.0000000000002</v>
      </c>
      <c r="T675" s="156" t="s">
        <v>1486</v>
      </c>
      <c r="U675" s="2">
        <v>1</v>
      </c>
      <c r="V675" s="2" t="s">
        <v>47</v>
      </c>
      <c r="W675" s="2" t="s">
        <v>5883</v>
      </c>
      <c r="X675" s="2" t="s">
        <v>5966</v>
      </c>
      <c r="Y675" s="488" t="s">
        <v>1486</v>
      </c>
      <c r="Z675" s="293">
        <f t="shared" si="84"/>
        <v>381.1911357340723</v>
      </c>
      <c r="AA675" s="293">
        <f t="shared" si="85"/>
        <v>424.28571428571445</v>
      </c>
    </row>
    <row r="676" spans="1:27" s="320" customFormat="1" x14ac:dyDescent="0.25">
      <c r="A676" s="220" t="s">
        <v>4926</v>
      </c>
      <c r="B676" s="221" t="s">
        <v>5989</v>
      </c>
      <c r="C676" s="223" t="s">
        <v>1626</v>
      </c>
      <c r="D676" s="220" t="s">
        <v>4925</v>
      </c>
      <c r="E676" s="222">
        <v>20</v>
      </c>
      <c r="F676" s="192">
        <v>990</v>
      </c>
      <c r="G676" s="24">
        <v>0.2</v>
      </c>
      <c r="H676" s="24">
        <v>0.05</v>
      </c>
      <c r="I676" s="24">
        <v>0.05</v>
      </c>
      <c r="J676" s="24">
        <v>0</v>
      </c>
      <c r="K676" s="224">
        <f t="shared" si="86"/>
        <v>0.27800000000000014</v>
      </c>
      <c r="L676" s="225">
        <f t="shared" si="87"/>
        <v>27423.822714681446</v>
      </c>
      <c r="M676" s="225">
        <f t="shared" si="88"/>
        <v>1371.1911357340723</v>
      </c>
      <c r="N676" s="226">
        <f t="shared" si="89"/>
        <v>1631.7174515235461</v>
      </c>
      <c r="O676" s="34">
        <v>0.3</v>
      </c>
      <c r="P676" s="226">
        <f t="shared" si="90"/>
        <v>2121.2326869806097</v>
      </c>
      <c r="Q676" s="107" t="s">
        <v>1486</v>
      </c>
      <c r="R676" s="34">
        <v>0.3</v>
      </c>
      <c r="S676" s="226">
        <f t="shared" si="91"/>
        <v>1683.0000000000002</v>
      </c>
      <c r="T676" s="156" t="s">
        <v>1486</v>
      </c>
      <c r="U676" s="2">
        <v>2</v>
      </c>
      <c r="V676" s="2" t="s">
        <v>47</v>
      </c>
      <c r="W676" s="2" t="s">
        <v>5883</v>
      </c>
      <c r="X676" s="2" t="s">
        <v>5966</v>
      </c>
      <c r="Y676" s="488" t="s">
        <v>1486</v>
      </c>
      <c r="Z676" s="293">
        <f t="shared" si="84"/>
        <v>381.1911357340723</v>
      </c>
      <c r="AA676" s="293">
        <f t="shared" si="85"/>
        <v>424.28571428571445</v>
      </c>
    </row>
    <row r="677" spans="1:27" s="320" customFormat="1" x14ac:dyDescent="0.25">
      <c r="A677" s="220" t="s">
        <v>4959</v>
      </c>
      <c r="B677" s="221" t="s">
        <v>4960</v>
      </c>
      <c r="C677" s="223" t="s">
        <v>1546</v>
      </c>
      <c r="D677" s="220" t="s">
        <v>4961</v>
      </c>
      <c r="E677" s="222">
        <v>10</v>
      </c>
      <c r="F677" s="192">
        <v>362</v>
      </c>
      <c r="G677" s="24">
        <v>0.15</v>
      </c>
      <c r="H677" s="24">
        <v>0.05</v>
      </c>
      <c r="I677" s="24">
        <v>0.05</v>
      </c>
      <c r="J677" s="24">
        <v>0</v>
      </c>
      <c r="K677" s="224">
        <f t="shared" si="86"/>
        <v>0.23287500000000005</v>
      </c>
      <c r="L677" s="225">
        <f t="shared" si="87"/>
        <v>4718.9180381293791</v>
      </c>
      <c r="M677" s="225">
        <f t="shared" si="88"/>
        <v>471.89180381293795</v>
      </c>
      <c r="N677" s="226">
        <f t="shared" si="89"/>
        <v>561.55124653739608</v>
      </c>
      <c r="O677" s="34">
        <v>0.3</v>
      </c>
      <c r="P677" s="226">
        <f t="shared" si="90"/>
        <v>730.01662049861488</v>
      </c>
      <c r="Q677" s="107" t="s">
        <v>1486</v>
      </c>
      <c r="R677" s="34">
        <v>0.3</v>
      </c>
      <c r="S677" s="226">
        <f t="shared" si="91"/>
        <v>615.40000000000009</v>
      </c>
      <c r="T677" s="156" t="s">
        <v>1486</v>
      </c>
      <c r="U677" s="2"/>
      <c r="V677" s="2" t="s">
        <v>47</v>
      </c>
      <c r="W677" s="2" t="s">
        <v>1467</v>
      </c>
      <c r="X677" s="2" t="s">
        <v>1467</v>
      </c>
      <c r="Y677" s="488" t="s">
        <v>1486</v>
      </c>
      <c r="Z677" s="293">
        <f t="shared" si="84"/>
        <v>109.89180381293795</v>
      </c>
      <c r="AA677" s="293">
        <f t="shared" si="85"/>
        <v>155.14285714285722</v>
      </c>
    </row>
    <row r="678" spans="1:27" s="320" customFormat="1" x14ac:dyDescent="0.25">
      <c r="A678" s="220" t="s">
        <v>4975</v>
      </c>
      <c r="B678" s="221" t="s">
        <v>4976</v>
      </c>
      <c r="C678" s="223" t="s">
        <v>1546</v>
      </c>
      <c r="D678" s="220" t="s">
        <v>3669</v>
      </c>
      <c r="E678" s="222">
        <v>24</v>
      </c>
      <c r="F678" s="192">
        <v>588</v>
      </c>
      <c r="G678" s="24">
        <v>0.2</v>
      </c>
      <c r="H678" s="24">
        <v>0.05</v>
      </c>
      <c r="I678" s="24">
        <v>0.05</v>
      </c>
      <c r="J678" s="24">
        <v>0</v>
      </c>
      <c r="K678" s="224">
        <f t="shared" si="86"/>
        <v>0.27800000000000002</v>
      </c>
      <c r="L678" s="225">
        <f t="shared" si="87"/>
        <v>19545.70637119114</v>
      </c>
      <c r="M678" s="225">
        <f t="shared" si="88"/>
        <v>814.40443213296408</v>
      </c>
      <c r="N678" s="226">
        <f t="shared" si="89"/>
        <v>969.1412742382272</v>
      </c>
      <c r="O678" s="34">
        <v>0.3</v>
      </c>
      <c r="P678" s="226">
        <f t="shared" si="90"/>
        <v>1259.8836565096954</v>
      </c>
      <c r="Q678" s="107" t="s">
        <v>1486</v>
      </c>
      <c r="R678" s="34">
        <v>0.3</v>
      </c>
      <c r="S678" s="226">
        <f t="shared" si="91"/>
        <v>999.59999999999991</v>
      </c>
      <c r="T678" s="156" t="s">
        <v>1486</v>
      </c>
      <c r="U678" s="2"/>
      <c r="V678" s="2" t="s">
        <v>47</v>
      </c>
      <c r="W678" s="2" t="s">
        <v>1467</v>
      </c>
      <c r="X678" s="2" t="s">
        <v>1467</v>
      </c>
      <c r="Y678" s="488" t="s">
        <v>1486</v>
      </c>
      <c r="Z678" s="293">
        <f t="shared" si="84"/>
        <v>226.40443213296408</v>
      </c>
      <c r="AA678" s="293">
        <f t="shared" si="85"/>
        <v>252</v>
      </c>
    </row>
    <row r="679" spans="1:27" s="320" customFormat="1" x14ac:dyDescent="0.25">
      <c r="A679" s="220" t="s">
        <v>4979</v>
      </c>
      <c r="B679" s="221" t="s">
        <v>5011</v>
      </c>
      <c r="C679" s="223" t="s">
        <v>4977</v>
      </c>
      <c r="D679" s="220" t="s">
        <v>4980</v>
      </c>
      <c r="E679" s="222">
        <v>2</v>
      </c>
      <c r="F679" s="192">
        <v>1366</v>
      </c>
      <c r="G679" s="24">
        <v>0.25</v>
      </c>
      <c r="H679" s="24">
        <v>0.05</v>
      </c>
      <c r="I679" s="24">
        <v>0.03</v>
      </c>
      <c r="J679" s="24">
        <v>0</v>
      </c>
      <c r="K679" s="224">
        <f t="shared" si="86"/>
        <v>0.3088749999999999</v>
      </c>
      <c r="L679" s="225">
        <f t="shared" si="87"/>
        <v>3952.975221559052</v>
      </c>
      <c r="M679" s="225">
        <f t="shared" si="88"/>
        <v>1976.487610779526</v>
      </c>
      <c r="N679" s="226">
        <f t="shared" si="89"/>
        <v>2352.0202568276359</v>
      </c>
      <c r="O679" s="34">
        <v>0.3</v>
      </c>
      <c r="P679" s="226">
        <f t="shared" si="90"/>
        <v>3057.6263338759268</v>
      </c>
      <c r="Q679" s="107" t="s">
        <v>1486</v>
      </c>
      <c r="R679" s="34">
        <v>0.4</v>
      </c>
      <c r="S679" s="226">
        <f t="shared" si="91"/>
        <v>2709.2333333333336</v>
      </c>
      <c r="T679" s="156" t="s">
        <v>1486</v>
      </c>
      <c r="U679" s="2"/>
      <c r="V679" s="2" t="s">
        <v>47</v>
      </c>
      <c r="W679" s="2" t="s">
        <v>1467</v>
      </c>
      <c r="X679" s="2" t="s">
        <v>1467</v>
      </c>
      <c r="Y679" s="488" t="s">
        <v>1486</v>
      </c>
      <c r="Z679" s="293">
        <f t="shared" si="84"/>
        <v>610.48761077952599</v>
      </c>
      <c r="AA679" s="293">
        <f t="shared" si="85"/>
        <v>910.66666666666697</v>
      </c>
    </row>
    <row r="680" spans="1:27" s="320" customFormat="1" x14ac:dyDescent="0.25">
      <c r="A680" s="220" t="s">
        <v>4981</v>
      </c>
      <c r="B680" s="221" t="s">
        <v>4982</v>
      </c>
      <c r="C680" s="223" t="s">
        <v>4977</v>
      </c>
      <c r="D680" s="220" t="s">
        <v>4980</v>
      </c>
      <c r="E680" s="222">
        <v>12</v>
      </c>
      <c r="F680" s="192">
        <v>440</v>
      </c>
      <c r="G680" s="24">
        <v>0.25</v>
      </c>
      <c r="H680" s="24">
        <v>0.05</v>
      </c>
      <c r="I680" s="24">
        <v>0.03</v>
      </c>
      <c r="J680" s="24">
        <v>0</v>
      </c>
      <c r="K680" s="224">
        <f t="shared" si="86"/>
        <v>0.30887500000000001</v>
      </c>
      <c r="L680" s="225">
        <f t="shared" si="87"/>
        <v>7639.7178513293547</v>
      </c>
      <c r="M680" s="225">
        <f t="shared" si="88"/>
        <v>636.64315427744623</v>
      </c>
      <c r="N680" s="226">
        <f t="shared" si="89"/>
        <v>757.60535359016103</v>
      </c>
      <c r="O680" s="34">
        <v>0.3</v>
      </c>
      <c r="P680" s="226">
        <f t="shared" si="90"/>
        <v>984.88695966720934</v>
      </c>
      <c r="Q680" s="107" t="s">
        <v>1486</v>
      </c>
      <c r="R680" s="34">
        <v>0.4</v>
      </c>
      <c r="S680" s="226">
        <f t="shared" si="91"/>
        <v>872.66666666666663</v>
      </c>
      <c r="T680" s="156" t="s">
        <v>1486</v>
      </c>
      <c r="U680" s="2"/>
      <c r="V680" s="2" t="s">
        <v>47</v>
      </c>
      <c r="W680" s="2" t="s">
        <v>1467</v>
      </c>
      <c r="X680" s="2" t="s">
        <v>1467</v>
      </c>
      <c r="Y680" s="488" t="s">
        <v>1486</v>
      </c>
      <c r="Z680" s="293">
        <f t="shared" si="84"/>
        <v>196.64315427744623</v>
      </c>
      <c r="AA680" s="293">
        <f t="shared" si="85"/>
        <v>293.33333333333337</v>
      </c>
    </row>
    <row r="681" spans="1:27" s="320" customFormat="1" x14ac:dyDescent="0.25">
      <c r="A681" s="220" t="s">
        <v>4983</v>
      </c>
      <c r="B681" s="221" t="s">
        <v>4984</v>
      </c>
      <c r="C681" s="223" t="s">
        <v>4977</v>
      </c>
      <c r="D681" s="220" t="s">
        <v>4985</v>
      </c>
      <c r="E681" s="222">
        <v>12</v>
      </c>
      <c r="F681" s="192">
        <v>385</v>
      </c>
      <c r="G681" s="24">
        <v>0.25</v>
      </c>
      <c r="H681" s="24">
        <v>0.05</v>
      </c>
      <c r="I681" s="24">
        <v>0.05</v>
      </c>
      <c r="J681" s="24">
        <v>0</v>
      </c>
      <c r="K681" s="224">
        <f t="shared" si="86"/>
        <v>0.323125</v>
      </c>
      <c r="L681" s="225">
        <f t="shared" si="87"/>
        <v>6825.4847645429363</v>
      </c>
      <c r="M681" s="225">
        <f t="shared" si="88"/>
        <v>568.79039704524473</v>
      </c>
      <c r="N681" s="226">
        <f t="shared" si="89"/>
        <v>676.86057248384122</v>
      </c>
      <c r="O681" s="34">
        <v>0.3</v>
      </c>
      <c r="P681" s="226">
        <f t="shared" si="90"/>
        <v>879.91874422899366</v>
      </c>
      <c r="Q681" s="107" t="s">
        <v>1486</v>
      </c>
      <c r="R681" s="34">
        <v>0.4</v>
      </c>
      <c r="S681" s="226">
        <f t="shared" si="91"/>
        <v>763.58333333333337</v>
      </c>
      <c r="T681" s="156" t="s">
        <v>1486</v>
      </c>
      <c r="U681" s="2"/>
      <c r="V681" s="2" t="s">
        <v>47</v>
      </c>
      <c r="W681" s="2" t="s">
        <v>1467</v>
      </c>
      <c r="X681" s="2" t="s">
        <v>1467</v>
      </c>
      <c r="Y681" s="488" t="s">
        <v>1486</v>
      </c>
      <c r="Z681" s="293">
        <f t="shared" si="84"/>
        <v>183.79039704524473</v>
      </c>
      <c r="AA681" s="293">
        <f t="shared" si="85"/>
        <v>256.66666666666674</v>
      </c>
    </row>
    <row r="682" spans="1:27" s="320" customFormat="1" x14ac:dyDescent="0.25">
      <c r="A682" s="220" t="s">
        <v>4986</v>
      </c>
      <c r="B682" s="221" t="s">
        <v>4987</v>
      </c>
      <c r="C682" s="223" t="s">
        <v>4977</v>
      </c>
      <c r="D682" s="220" t="s">
        <v>4980</v>
      </c>
      <c r="E682" s="222">
        <v>24</v>
      </c>
      <c r="F682" s="192">
        <v>251.7</v>
      </c>
      <c r="G682" s="24">
        <v>0.25</v>
      </c>
      <c r="H682" s="24">
        <v>0.05</v>
      </c>
      <c r="I682" s="24">
        <v>0.03</v>
      </c>
      <c r="J682" s="24">
        <v>0</v>
      </c>
      <c r="K682" s="224">
        <f t="shared" si="86"/>
        <v>0.30887500000000001</v>
      </c>
      <c r="L682" s="225">
        <f t="shared" si="87"/>
        <v>8740.5317417254482</v>
      </c>
      <c r="M682" s="225">
        <f t="shared" si="88"/>
        <v>364.18882257189364</v>
      </c>
      <c r="N682" s="226">
        <f t="shared" si="89"/>
        <v>433.38469886055339</v>
      </c>
      <c r="O682" s="34">
        <v>0.3</v>
      </c>
      <c r="P682" s="226">
        <f t="shared" si="90"/>
        <v>563.40010851871943</v>
      </c>
      <c r="Q682" s="107" t="s">
        <v>1486</v>
      </c>
      <c r="R682" s="34">
        <v>0.4</v>
      </c>
      <c r="S682" s="226">
        <f t="shared" si="91"/>
        <v>499.20499999999998</v>
      </c>
      <c r="T682" s="156" t="s">
        <v>1486</v>
      </c>
      <c r="U682" s="2"/>
      <c r="V682" s="2" t="s">
        <v>47</v>
      </c>
      <c r="W682" s="2" t="s">
        <v>1467</v>
      </c>
      <c r="X682" s="2" t="s">
        <v>1467</v>
      </c>
      <c r="Y682" s="488" t="s">
        <v>1486</v>
      </c>
      <c r="Z682" s="293">
        <f t="shared" si="84"/>
        <v>112.48882257189365</v>
      </c>
      <c r="AA682" s="293">
        <f t="shared" si="85"/>
        <v>167.8</v>
      </c>
    </row>
    <row r="683" spans="1:27" s="320" customFormat="1" x14ac:dyDescent="0.25">
      <c r="A683" s="220" t="s">
        <v>4988</v>
      </c>
      <c r="B683" s="221" t="s">
        <v>4989</v>
      </c>
      <c r="C683" s="223" t="s">
        <v>4977</v>
      </c>
      <c r="D683" s="220" t="s">
        <v>4990</v>
      </c>
      <c r="E683" s="222">
        <v>24</v>
      </c>
      <c r="F683" s="192">
        <v>289</v>
      </c>
      <c r="G683" s="24">
        <v>0.25</v>
      </c>
      <c r="H683" s="24">
        <v>0.05</v>
      </c>
      <c r="I683" s="24">
        <v>0.03</v>
      </c>
      <c r="J683" s="24">
        <v>0</v>
      </c>
      <c r="K683" s="224">
        <f t="shared" si="86"/>
        <v>0.30887500000000001</v>
      </c>
      <c r="L683" s="225">
        <f t="shared" si="87"/>
        <v>10035.811177428106</v>
      </c>
      <c r="M683" s="225">
        <f t="shared" si="88"/>
        <v>418.15879905950442</v>
      </c>
      <c r="N683" s="226">
        <f t="shared" si="89"/>
        <v>497.60897088081026</v>
      </c>
      <c r="O683" s="34">
        <v>0.3</v>
      </c>
      <c r="P683" s="226">
        <f t="shared" si="90"/>
        <v>646.89166214505337</v>
      </c>
      <c r="Q683" s="107" t="s">
        <v>1486</v>
      </c>
      <c r="R683" s="34">
        <v>0.4</v>
      </c>
      <c r="S683" s="226">
        <f t="shared" si="91"/>
        <v>573.18333333333328</v>
      </c>
      <c r="T683" s="156" t="s">
        <v>1486</v>
      </c>
      <c r="U683" s="2"/>
      <c r="V683" s="2" t="s">
        <v>47</v>
      </c>
      <c r="W683" s="2" t="s">
        <v>1467</v>
      </c>
      <c r="X683" s="2" t="s">
        <v>1467</v>
      </c>
      <c r="Y683" s="488" t="s">
        <v>1486</v>
      </c>
      <c r="Z683" s="293">
        <f t="shared" si="84"/>
        <v>129.15879905950442</v>
      </c>
      <c r="AA683" s="293">
        <f t="shared" si="85"/>
        <v>192.66666666666663</v>
      </c>
    </row>
    <row r="684" spans="1:27" s="320" customFormat="1" x14ac:dyDescent="0.25">
      <c r="A684" s="220" t="s">
        <v>4991</v>
      </c>
      <c r="B684" s="221" t="s">
        <v>5012</v>
      </c>
      <c r="C684" s="223" t="s">
        <v>4977</v>
      </c>
      <c r="D684" s="220" t="s">
        <v>4980</v>
      </c>
      <c r="E684" s="222">
        <v>48</v>
      </c>
      <c r="F684" s="192">
        <v>177</v>
      </c>
      <c r="G684" s="24">
        <v>0.25</v>
      </c>
      <c r="H684" s="24">
        <v>0.05</v>
      </c>
      <c r="I684" s="24">
        <v>0.03</v>
      </c>
      <c r="J684" s="24">
        <v>0</v>
      </c>
      <c r="K684" s="224">
        <f t="shared" si="86"/>
        <v>0.30887500000000012</v>
      </c>
      <c r="L684" s="225">
        <f t="shared" si="87"/>
        <v>12293.0005425936</v>
      </c>
      <c r="M684" s="225">
        <f t="shared" si="88"/>
        <v>256.10417797069999</v>
      </c>
      <c r="N684" s="226">
        <f t="shared" si="89"/>
        <v>304.76397178513298</v>
      </c>
      <c r="O684" s="34">
        <v>0.3</v>
      </c>
      <c r="P684" s="226">
        <f t="shared" si="90"/>
        <v>396.19316332067291</v>
      </c>
      <c r="Q684" s="107" t="s">
        <v>1486</v>
      </c>
      <c r="R684" s="34">
        <v>0.4</v>
      </c>
      <c r="S684" s="226">
        <f t="shared" si="91"/>
        <v>351.05</v>
      </c>
      <c r="T684" s="156" t="s">
        <v>1486</v>
      </c>
      <c r="U684" s="2"/>
      <c r="V684" s="2" t="s">
        <v>47</v>
      </c>
      <c r="W684" s="2" t="s">
        <v>1467</v>
      </c>
      <c r="X684" s="2" t="s">
        <v>1467</v>
      </c>
      <c r="Y684" s="488" t="s">
        <v>1486</v>
      </c>
      <c r="Z684" s="293">
        <f t="shared" si="84"/>
        <v>79.104177970699993</v>
      </c>
      <c r="AA684" s="293">
        <f t="shared" si="85"/>
        <v>118</v>
      </c>
    </row>
    <row r="685" spans="1:27" s="320" customFormat="1" x14ac:dyDescent="0.25">
      <c r="A685" s="220" t="s">
        <v>4992</v>
      </c>
      <c r="B685" s="221" t="s">
        <v>4993</v>
      </c>
      <c r="C685" s="223" t="s">
        <v>4977</v>
      </c>
      <c r="D685" s="220" t="s">
        <v>4980</v>
      </c>
      <c r="E685" s="222">
        <v>48</v>
      </c>
      <c r="F685" s="192">
        <v>177</v>
      </c>
      <c r="G685" s="24">
        <v>0.25</v>
      </c>
      <c r="H685" s="24">
        <v>0.05</v>
      </c>
      <c r="I685" s="24">
        <v>0.05</v>
      </c>
      <c r="J685" s="24">
        <v>0</v>
      </c>
      <c r="K685" s="224">
        <f t="shared" si="86"/>
        <v>0.323125</v>
      </c>
      <c r="L685" s="225">
        <f t="shared" si="87"/>
        <v>12551.800554016621</v>
      </c>
      <c r="M685" s="225">
        <f t="shared" si="88"/>
        <v>261.49584487534628</v>
      </c>
      <c r="N685" s="226">
        <f t="shared" si="89"/>
        <v>311.18005540166206</v>
      </c>
      <c r="O685" s="34">
        <v>0.3</v>
      </c>
      <c r="P685" s="226">
        <f t="shared" si="90"/>
        <v>404.53407202216067</v>
      </c>
      <c r="Q685" s="107" t="s">
        <v>1486</v>
      </c>
      <c r="R685" s="34">
        <v>0.4</v>
      </c>
      <c r="S685" s="226">
        <f t="shared" si="91"/>
        <v>351.05</v>
      </c>
      <c r="T685" s="156" t="s">
        <v>1486</v>
      </c>
      <c r="U685" s="2"/>
      <c r="V685" s="2" t="s">
        <v>47</v>
      </c>
      <c r="W685" s="2" t="s">
        <v>1467</v>
      </c>
      <c r="X685" s="2" t="s">
        <v>1467</v>
      </c>
      <c r="Y685" s="488" t="s">
        <v>1486</v>
      </c>
      <c r="Z685" s="293">
        <f t="shared" si="84"/>
        <v>84.495844875346279</v>
      </c>
      <c r="AA685" s="293">
        <f t="shared" si="85"/>
        <v>118</v>
      </c>
    </row>
    <row r="686" spans="1:27" s="320" customFormat="1" x14ac:dyDescent="0.25">
      <c r="A686" s="220" t="s">
        <v>4994</v>
      </c>
      <c r="B686" s="221" t="s">
        <v>4995</v>
      </c>
      <c r="C686" s="223" t="s">
        <v>4977</v>
      </c>
      <c r="D686" s="220" t="s">
        <v>4980</v>
      </c>
      <c r="E686" s="222">
        <v>2</v>
      </c>
      <c r="F686" s="192">
        <v>3321</v>
      </c>
      <c r="G686" s="24">
        <v>0.25</v>
      </c>
      <c r="H686" s="24">
        <v>0.05</v>
      </c>
      <c r="I686" s="24">
        <v>0.03</v>
      </c>
      <c r="J686" s="24">
        <v>0</v>
      </c>
      <c r="K686" s="224">
        <f t="shared" si="86"/>
        <v>0.30887500000000001</v>
      </c>
      <c r="L686" s="225">
        <f t="shared" si="87"/>
        <v>9610.4177970699948</v>
      </c>
      <c r="M686" s="225">
        <f t="shared" si="88"/>
        <v>4805.2088985349974</v>
      </c>
      <c r="N686" s="226">
        <f t="shared" si="89"/>
        <v>5718.1985892566463</v>
      </c>
      <c r="O686" s="34">
        <v>0.3</v>
      </c>
      <c r="P686" s="226">
        <f t="shared" si="90"/>
        <v>7433.6581660336406</v>
      </c>
      <c r="Q686" s="107" t="s">
        <v>1486</v>
      </c>
      <c r="R686" s="34">
        <v>0.4</v>
      </c>
      <c r="S686" s="226">
        <f t="shared" si="91"/>
        <v>6586.65</v>
      </c>
      <c r="T686" s="156" t="s">
        <v>1486</v>
      </c>
      <c r="U686" s="2"/>
      <c r="V686" s="2" t="s">
        <v>47</v>
      </c>
      <c r="W686" s="2" t="s">
        <v>1467</v>
      </c>
      <c r="X686" s="2" t="s">
        <v>1467</v>
      </c>
      <c r="Y686" s="488" t="s">
        <v>1486</v>
      </c>
      <c r="Z686" s="293">
        <f t="shared" si="84"/>
        <v>1484.2088985349974</v>
      </c>
      <c r="AA686" s="293">
        <f t="shared" si="85"/>
        <v>2214</v>
      </c>
    </row>
    <row r="687" spans="1:27" s="320" customFormat="1" x14ac:dyDescent="0.25">
      <c r="A687" s="220" t="s">
        <v>4996</v>
      </c>
      <c r="B687" s="221" t="s">
        <v>4997</v>
      </c>
      <c r="C687" s="223" t="s">
        <v>4977</v>
      </c>
      <c r="D687" s="220" t="s">
        <v>4980</v>
      </c>
      <c r="E687" s="222">
        <v>24</v>
      </c>
      <c r="F687" s="192">
        <v>500</v>
      </c>
      <c r="G687" s="24">
        <v>0.25</v>
      </c>
      <c r="H687" s="24">
        <v>0.05</v>
      </c>
      <c r="I687" s="24">
        <v>0.03</v>
      </c>
      <c r="J687" s="24">
        <v>0</v>
      </c>
      <c r="K687" s="224">
        <f t="shared" si="86"/>
        <v>0.30887500000000001</v>
      </c>
      <c r="L687" s="225">
        <f t="shared" si="87"/>
        <v>17362.995116657621</v>
      </c>
      <c r="M687" s="225">
        <f t="shared" si="88"/>
        <v>723.45812986073429</v>
      </c>
      <c r="N687" s="226">
        <f t="shared" si="89"/>
        <v>860.91517453427377</v>
      </c>
      <c r="O687" s="34">
        <v>0.3</v>
      </c>
      <c r="P687" s="226">
        <f t="shared" si="90"/>
        <v>1119.1897268945559</v>
      </c>
      <c r="Q687" s="107" t="s">
        <v>1486</v>
      </c>
      <c r="R687" s="34">
        <v>0.4</v>
      </c>
      <c r="S687" s="226">
        <f t="shared" si="91"/>
        <v>991.66666666666663</v>
      </c>
      <c r="T687" s="156" t="s">
        <v>1486</v>
      </c>
      <c r="U687" s="2"/>
      <c r="V687" s="2" t="s">
        <v>47</v>
      </c>
      <c r="W687" s="2" t="s">
        <v>1467</v>
      </c>
      <c r="X687" s="2" t="s">
        <v>1467</v>
      </c>
      <c r="Y687" s="488" t="s">
        <v>1486</v>
      </c>
      <c r="Z687" s="293">
        <f t="shared" si="84"/>
        <v>223.45812986073429</v>
      </c>
      <c r="AA687" s="293">
        <f t="shared" si="85"/>
        <v>333.33333333333337</v>
      </c>
    </row>
    <row r="688" spans="1:27" s="320" customFormat="1" x14ac:dyDescent="0.25">
      <c r="A688" s="220" t="s">
        <v>4998</v>
      </c>
      <c r="B688" s="221" t="s">
        <v>4999</v>
      </c>
      <c r="C688" s="223" t="s">
        <v>4977</v>
      </c>
      <c r="D688" s="220" t="s">
        <v>4980</v>
      </c>
      <c r="E688" s="222">
        <v>2</v>
      </c>
      <c r="F688" s="192">
        <v>2503</v>
      </c>
      <c r="G688" s="24">
        <v>0.25</v>
      </c>
      <c r="H688" s="24">
        <v>0.05</v>
      </c>
      <c r="I688" s="24">
        <v>0.03</v>
      </c>
      <c r="J688" s="24">
        <v>0</v>
      </c>
      <c r="K688" s="224">
        <f t="shared" si="86"/>
        <v>0.30887500000000012</v>
      </c>
      <c r="L688" s="225">
        <f t="shared" si="87"/>
        <v>7243.2627961656726</v>
      </c>
      <c r="M688" s="225">
        <f t="shared" si="88"/>
        <v>3621.6313980828363</v>
      </c>
      <c r="N688" s="226">
        <f t="shared" si="89"/>
        <v>4309.7413637185746</v>
      </c>
      <c r="O688" s="34">
        <v>0.3</v>
      </c>
      <c r="P688" s="226">
        <f t="shared" si="90"/>
        <v>5602.6637728341475</v>
      </c>
      <c r="Q688" s="107" t="s">
        <v>1486</v>
      </c>
      <c r="R688" s="34">
        <v>0.4</v>
      </c>
      <c r="S688" s="226">
        <f t="shared" si="91"/>
        <v>4964.2833333333338</v>
      </c>
      <c r="T688" s="156" t="s">
        <v>1486</v>
      </c>
      <c r="U688" s="2"/>
      <c r="V688" s="2" t="s">
        <v>47</v>
      </c>
      <c r="W688" s="2" t="s">
        <v>1467</v>
      </c>
      <c r="X688" s="2" t="s">
        <v>1467</v>
      </c>
      <c r="Y688" s="488" t="s">
        <v>1486</v>
      </c>
      <c r="Z688" s="293">
        <f t="shared" si="84"/>
        <v>1118.6313980828363</v>
      </c>
      <c r="AA688" s="293">
        <f t="shared" si="85"/>
        <v>1668.666666666667</v>
      </c>
    </row>
    <row r="689" spans="1:27" s="320" customFormat="1" x14ac:dyDescent="0.25">
      <c r="A689" s="220" t="s">
        <v>5000</v>
      </c>
      <c r="B689" s="221" t="s">
        <v>5341</v>
      </c>
      <c r="C689" s="223" t="s">
        <v>4977</v>
      </c>
      <c r="D689" s="220" t="s">
        <v>4980</v>
      </c>
      <c r="E689" s="222">
        <v>12</v>
      </c>
      <c r="F689" s="192">
        <v>682</v>
      </c>
      <c r="G689" s="24">
        <v>0.25</v>
      </c>
      <c r="H689" s="24">
        <v>0.05</v>
      </c>
      <c r="I689" s="24">
        <v>0.03</v>
      </c>
      <c r="J689" s="24">
        <v>0</v>
      </c>
      <c r="K689" s="224">
        <f t="shared" si="86"/>
        <v>0.30887500000000001</v>
      </c>
      <c r="L689" s="225">
        <f t="shared" si="87"/>
        <v>11841.562669560501</v>
      </c>
      <c r="M689" s="225">
        <f t="shared" si="88"/>
        <v>986.79688913004168</v>
      </c>
      <c r="N689" s="226">
        <f t="shared" si="89"/>
        <v>1174.2882980647496</v>
      </c>
      <c r="O689" s="34">
        <v>0.3</v>
      </c>
      <c r="P689" s="226">
        <f t="shared" si="90"/>
        <v>1526.5747874841745</v>
      </c>
      <c r="Q689" s="107" t="s">
        <v>1486</v>
      </c>
      <c r="R689" s="34">
        <v>0.4</v>
      </c>
      <c r="S689" s="226">
        <f t="shared" si="91"/>
        <v>1352.6333333333334</v>
      </c>
      <c r="T689" s="156" t="s">
        <v>1486</v>
      </c>
      <c r="U689" s="2"/>
      <c r="V689" s="2" t="s">
        <v>47</v>
      </c>
      <c r="W689" s="2" t="s">
        <v>1467</v>
      </c>
      <c r="X689" s="2" t="s">
        <v>1467</v>
      </c>
      <c r="Y689" s="488" t="s">
        <v>1486</v>
      </c>
      <c r="Z689" s="293">
        <f t="shared" si="84"/>
        <v>304.79688913004168</v>
      </c>
      <c r="AA689" s="293">
        <f t="shared" si="85"/>
        <v>454.66666666666674</v>
      </c>
    </row>
    <row r="690" spans="1:27" s="320" customFormat="1" x14ac:dyDescent="0.25">
      <c r="A690" s="220" t="s">
        <v>5001</v>
      </c>
      <c r="B690" s="221" t="s">
        <v>5002</v>
      </c>
      <c r="C690" s="223" t="s">
        <v>4977</v>
      </c>
      <c r="D690" s="220" t="s">
        <v>4980</v>
      </c>
      <c r="E690" s="222">
        <v>2</v>
      </c>
      <c r="F690" s="192">
        <v>6956</v>
      </c>
      <c r="G690" s="24">
        <v>0.4</v>
      </c>
      <c r="H690" s="24">
        <v>0.05</v>
      </c>
      <c r="I690" s="24">
        <v>0.03</v>
      </c>
      <c r="J690" s="24">
        <v>0</v>
      </c>
      <c r="K690" s="224">
        <f t="shared" si="86"/>
        <v>0.44710000000000005</v>
      </c>
      <c r="L690" s="225">
        <f t="shared" si="87"/>
        <v>25161.873756556342</v>
      </c>
      <c r="M690" s="225">
        <f t="shared" si="88"/>
        <v>12580.936878278171</v>
      </c>
      <c r="N690" s="226">
        <f t="shared" si="89"/>
        <v>14971.314885151023</v>
      </c>
      <c r="O690" s="34">
        <v>0.3</v>
      </c>
      <c r="P690" s="226">
        <f t="shared" si="90"/>
        <v>19462.709350696332</v>
      </c>
      <c r="Q690" s="107" t="s">
        <v>1486</v>
      </c>
      <c r="R690" s="34">
        <v>0.4</v>
      </c>
      <c r="S690" s="226">
        <f t="shared" si="91"/>
        <v>13796.066666666668</v>
      </c>
      <c r="T690" s="156" t="s">
        <v>1486</v>
      </c>
      <c r="U690" s="2"/>
      <c r="V690" s="2" t="s">
        <v>47</v>
      </c>
      <c r="W690" s="2" t="s">
        <v>1467</v>
      </c>
      <c r="X690" s="2" t="s">
        <v>1467</v>
      </c>
      <c r="Y690" s="488" t="s">
        <v>1486</v>
      </c>
      <c r="Z690" s="293">
        <f t="shared" si="84"/>
        <v>5624.9368782781712</v>
      </c>
      <c r="AA690" s="293">
        <f t="shared" si="85"/>
        <v>4637.3333333333339</v>
      </c>
    </row>
    <row r="691" spans="1:27" s="320" customFormat="1" x14ac:dyDescent="0.25">
      <c r="A691" s="220" t="s">
        <v>5003</v>
      </c>
      <c r="B691" s="221" t="s">
        <v>5004</v>
      </c>
      <c r="C691" s="223" t="s">
        <v>4977</v>
      </c>
      <c r="D691" s="220" t="s">
        <v>4980</v>
      </c>
      <c r="E691" s="222">
        <v>2</v>
      </c>
      <c r="F691" s="192">
        <v>1499</v>
      </c>
      <c r="G691" s="24">
        <v>0.25</v>
      </c>
      <c r="H691" s="24">
        <v>0.05</v>
      </c>
      <c r="I691" s="24">
        <v>0.03</v>
      </c>
      <c r="J691" s="24">
        <v>0</v>
      </c>
      <c r="K691" s="224">
        <f t="shared" si="86"/>
        <v>0.30887500000000001</v>
      </c>
      <c r="L691" s="225">
        <f t="shared" si="87"/>
        <v>4337.8549466449631</v>
      </c>
      <c r="M691" s="225">
        <f t="shared" si="88"/>
        <v>2168.9274733224815</v>
      </c>
      <c r="N691" s="226">
        <f t="shared" si="89"/>
        <v>2581.0236932537528</v>
      </c>
      <c r="O691" s="34">
        <v>0.3</v>
      </c>
      <c r="P691" s="226">
        <f t="shared" si="90"/>
        <v>3355.3308012298785</v>
      </c>
      <c r="Q691" s="107" t="s">
        <v>1486</v>
      </c>
      <c r="R691" s="34">
        <v>0.4</v>
      </c>
      <c r="S691" s="226">
        <f t="shared" si="91"/>
        <v>2973.0166666666669</v>
      </c>
      <c r="T691" s="156" t="s">
        <v>1486</v>
      </c>
      <c r="U691" s="2"/>
      <c r="V691" s="2" t="s">
        <v>47</v>
      </c>
      <c r="W691" s="2" t="s">
        <v>1467</v>
      </c>
      <c r="X691" s="2" t="s">
        <v>1467</v>
      </c>
      <c r="Y691" s="488" t="s">
        <v>1486</v>
      </c>
      <c r="Z691" s="293">
        <f t="shared" si="84"/>
        <v>669.92747332248155</v>
      </c>
      <c r="AA691" s="293">
        <f t="shared" si="85"/>
        <v>999.33333333333348</v>
      </c>
    </row>
    <row r="692" spans="1:27" s="320" customFormat="1" x14ac:dyDescent="0.25">
      <c r="A692" s="220" t="s">
        <v>5005</v>
      </c>
      <c r="B692" s="221" t="s">
        <v>5006</v>
      </c>
      <c r="C692" s="223" t="s">
        <v>4977</v>
      </c>
      <c r="D692" s="220" t="s">
        <v>4980</v>
      </c>
      <c r="E692" s="222">
        <v>24</v>
      </c>
      <c r="F692" s="192">
        <v>266</v>
      </c>
      <c r="G692" s="24">
        <v>0.25</v>
      </c>
      <c r="H692" s="24">
        <v>0.05</v>
      </c>
      <c r="I692" s="24">
        <v>0.03</v>
      </c>
      <c r="J692" s="24">
        <v>0</v>
      </c>
      <c r="K692" s="224">
        <f t="shared" si="86"/>
        <v>0.30887500000000012</v>
      </c>
      <c r="L692" s="225">
        <f t="shared" si="87"/>
        <v>9237.1134020618574</v>
      </c>
      <c r="M692" s="225">
        <f t="shared" si="88"/>
        <v>384.87972508591071</v>
      </c>
      <c r="N692" s="226">
        <f t="shared" si="89"/>
        <v>458.0068728522337</v>
      </c>
      <c r="O692" s="34">
        <v>0.3</v>
      </c>
      <c r="P692" s="226">
        <f t="shared" si="90"/>
        <v>595.40893470790388</v>
      </c>
      <c r="Q692" s="107" t="s">
        <v>1486</v>
      </c>
      <c r="R692" s="34">
        <v>0.4</v>
      </c>
      <c r="S692" s="226">
        <f t="shared" si="91"/>
        <v>527.56666666666672</v>
      </c>
      <c r="T692" s="156" t="s">
        <v>1486</v>
      </c>
      <c r="U692" s="2"/>
      <c r="V692" s="2" t="s">
        <v>47</v>
      </c>
      <c r="W692" s="2" t="s">
        <v>1467</v>
      </c>
      <c r="X692" s="2" t="s">
        <v>1467</v>
      </c>
      <c r="Y692" s="488" t="s">
        <v>1486</v>
      </c>
      <c r="Z692" s="293">
        <f t="shared" si="84"/>
        <v>118.87972508591071</v>
      </c>
      <c r="AA692" s="293">
        <f t="shared" si="85"/>
        <v>177.33333333333337</v>
      </c>
    </row>
    <row r="693" spans="1:27" s="320" customFormat="1" x14ac:dyDescent="0.25">
      <c r="A693" s="220" t="s">
        <v>5007</v>
      </c>
      <c r="B693" s="221" t="s">
        <v>5008</v>
      </c>
      <c r="C693" s="223" t="s">
        <v>4977</v>
      </c>
      <c r="D693" s="220" t="s">
        <v>4980</v>
      </c>
      <c r="E693" s="222">
        <v>48</v>
      </c>
      <c r="F693" s="192">
        <v>222</v>
      </c>
      <c r="G693" s="24">
        <v>0.25</v>
      </c>
      <c r="H693" s="24">
        <v>0.05</v>
      </c>
      <c r="I693" s="24">
        <v>0.03</v>
      </c>
      <c r="J693" s="24">
        <v>0</v>
      </c>
      <c r="K693" s="224">
        <f t="shared" si="86"/>
        <v>0.30887500000000001</v>
      </c>
      <c r="L693" s="225">
        <f t="shared" si="87"/>
        <v>15418.339663591971</v>
      </c>
      <c r="M693" s="225">
        <f t="shared" si="88"/>
        <v>321.21540965816604</v>
      </c>
      <c r="N693" s="226">
        <f t="shared" si="89"/>
        <v>382.2463374932176</v>
      </c>
      <c r="O693" s="34">
        <v>0.3</v>
      </c>
      <c r="P693" s="226">
        <f t="shared" si="90"/>
        <v>496.92023874118291</v>
      </c>
      <c r="Q693" s="107" t="s">
        <v>1486</v>
      </c>
      <c r="R693" s="34">
        <v>0.4</v>
      </c>
      <c r="S693" s="226">
        <f t="shared" si="91"/>
        <v>440.29999999999995</v>
      </c>
      <c r="T693" s="156" t="s">
        <v>1486</v>
      </c>
      <c r="U693" s="2"/>
      <c r="V693" s="2" t="s">
        <v>47</v>
      </c>
      <c r="W693" s="2" t="s">
        <v>1467</v>
      </c>
      <c r="X693" s="2" t="s">
        <v>1467</v>
      </c>
      <c r="Y693" s="488" t="s">
        <v>1486</v>
      </c>
      <c r="Z693" s="293">
        <f t="shared" si="84"/>
        <v>99.215409658166038</v>
      </c>
      <c r="AA693" s="293">
        <f t="shared" si="85"/>
        <v>148</v>
      </c>
    </row>
    <row r="694" spans="1:27" s="320" customFormat="1" x14ac:dyDescent="0.25">
      <c r="A694" s="220" t="s">
        <v>5009</v>
      </c>
      <c r="B694" s="221" t="s">
        <v>5010</v>
      </c>
      <c r="C694" s="223" t="s">
        <v>4977</v>
      </c>
      <c r="D694" s="220" t="s">
        <v>4980</v>
      </c>
      <c r="E694" s="222">
        <v>12</v>
      </c>
      <c r="F694" s="192">
        <v>512</v>
      </c>
      <c r="G694" s="24">
        <v>0.25</v>
      </c>
      <c r="H694" s="24">
        <v>0.05</v>
      </c>
      <c r="I694" s="24">
        <v>0.03</v>
      </c>
      <c r="J694" s="24">
        <v>0</v>
      </c>
      <c r="K694" s="224">
        <f t="shared" si="86"/>
        <v>0.30887500000000001</v>
      </c>
      <c r="L694" s="225">
        <f t="shared" si="87"/>
        <v>8889.8534997287024</v>
      </c>
      <c r="M694" s="225">
        <f t="shared" si="88"/>
        <v>740.82112497739195</v>
      </c>
      <c r="N694" s="226">
        <f t="shared" si="89"/>
        <v>881.57713872309637</v>
      </c>
      <c r="O694" s="34">
        <v>0.3</v>
      </c>
      <c r="P694" s="226">
        <f t="shared" si="90"/>
        <v>1146.0502803400252</v>
      </c>
      <c r="Q694" s="107" t="s">
        <v>1486</v>
      </c>
      <c r="R694" s="34">
        <v>0.4</v>
      </c>
      <c r="S694" s="226">
        <f t="shared" si="91"/>
        <v>1015.4666666666667</v>
      </c>
      <c r="T694" s="156" t="s">
        <v>1486</v>
      </c>
      <c r="U694" s="2"/>
      <c r="V694" s="2" t="s">
        <v>47</v>
      </c>
      <c r="W694" s="2" t="s">
        <v>1467</v>
      </c>
      <c r="X694" s="2" t="s">
        <v>1467</v>
      </c>
      <c r="Y694" s="488" t="s">
        <v>1486</v>
      </c>
      <c r="Z694" s="293">
        <f t="shared" si="84"/>
        <v>228.82112497739195</v>
      </c>
      <c r="AA694" s="293">
        <f t="shared" si="85"/>
        <v>341.33333333333337</v>
      </c>
    </row>
    <row r="695" spans="1:27" s="320" customFormat="1" x14ac:dyDescent="0.25">
      <c r="A695" s="220" t="s">
        <v>5013</v>
      </c>
      <c r="B695" s="221" t="s">
        <v>5014</v>
      </c>
      <c r="C695" s="223" t="s">
        <v>4977</v>
      </c>
      <c r="D695" s="220" t="s">
        <v>4980</v>
      </c>
      <c r="E695" s="222">
        <v>2</v>
      </c>
      <c r="F695" s="192">
        <v>1366</v>
      </c>
      <c r="G695" s="24">
        <v>0.25</v>
      </c>
      <c r="H695" s="24">
        <v>0.05</v>
      </c>
      <c r="I695" s="24">
        <v>0.03</v>
      </c>
      <c r="J695" s="24">
        <v>0</v>
      </c>
      <c r="K695" s="224">
        <f t="shared" si="86"/>
        <v>0.3088749999999999</v>
      </c>
      <c r="L695" s="225">
        <f t="shared" si="87"/>
        <v>3952.975221559052</v>
      </c>
      <c r="M695" s="225">
        <f t="shared" si="88"/>
        <v>1976.487610779526</v>
      </c>
      <c r="N695" s="226">
        <f t="shared" si="89"/>
        <v>2352.0202568276359</v>
      </c>
      <c r="O695" s="34">
        <v>0.3</v>
      </c>
      <c r="P695" s="226">
        <f t="shared" si="90"/>
        <v>3057.6263338759268</v>
      </c>
      <c r="Q695" s="107" t="s">
        <v>1486</v>
      </c>
      <c r="R695" s="34">
        <v>0.4</v>
      </c>
      <c r="S695" s="226">
        <f t="shared" si="91"/>
        <v>2709.2333333333336</v>
      </c>
      <c r="T695" s="156" t="s">
        <v>1486</v>
      </c>
      <c r="U695" s="2"/>
      <c r="V695" s="2" t="s">
        <v>47</v>
      </c>
      <c r="W695" s="2" t="s">
        <v>1467</v>
      </c>
      <c r="X695" s="2" t="s">
        <v>1467</v>
      </c>
      <c r="Y695" s="488" t="s">
        <v>1486</v>
      </c>
      <c r="Z695" s="293">
        <f t="shared" si="84"/>
        <v>610.48761077952599</v>
      </c>
      <c r="AA695" s="293">
        <f t="shared" si="85"/>
        <v>910.66666666666697</v>
      </c>
    </row>
    <row r="696" spans="1:27" s="320" customFormat="1" x14ac:dyDescent="0.25">
      <c r="A696" s="220" t="s">
        <v>5015</v>
      </c>
      <c r="B696" s="221" t="s">
        <v>4984</v>
      </c>
      <c r="C696" s="223" t="s">
        <v>4977</v>
      </c>
      <c r="D696" s="220" t="s">
        <v>4980</v>
      </c>
      <c r="E696" s="222">
        <v>12</v>
      </c>
      <c r="F696" s="192">
        <v>369</v>
      </c>
      <c r="G696" s="24">
        <v>0.25</v>
      </c>
      <c r="H696" s="24">
        <v>0.05</v>
      </c>
      <c r="I696" s="24">
        <v>0</v>
      </c>
      <c r="J696" s="24">
        <v>0</v>
      </c>
      <c r="K696" s="224">
        <f t="shared" si="86"/>
        <v>0.28750000000000009</v>
      </c>
      <c r="L696" s="225">
        <f t="shared" si="87"/>
        <v>6214.7368421052633</v>
      </c>
      <c r="M696" s="225">
        <f t="shared" si="88"/>
        <v>517.89473684210532</v>
      </c>
      <c r="N696" s="226">
        <f t="shared" si="89"/>
        <v>616.29473684210529</v>
      </c>
      <c r="O696" s="34">
        <v>0.3</v>
      </c>
      <c r="P696" s="226">
        <f t="shared" si="90"/>
        <v>801.18315789473695</v>
      </c>
      <c r="Q696" s="107" t="s">
        <v>1486</v>
      </c>
      <c r="R696" s="34">
        <v>0.4</v>
      </c>
      <c r="S696" s="226">
        <f t="shared" si="91"/>
        <v>731.85</v>
      </c>
      <c r="T696" s="156" t="s">
        <v>1486</v>
      </c>
      <c r="U696" s="2"/>
      <c r="V696" s="2" t="s">
        <v>47</v>
      </c>
      <c r="W696" s="2" t="s">
        <v>1467</v>
      </c>
      <c r="X696" s="2" t="s">
        <v>1467</v>
      </c>
      <c r="Y696" s="488" t="s">
        <v>1486</v>
      </c>
      <c r="Z696" s="293">
        <f t="shared" si="84"/>
        <v>148.89473684210532</v>
      </c>
      <c r="AA696" s="293">
        <f t="shared" si="85"/>
        <v>246</v>
      </c>
    </row>
    <row r="697" spans="1:27" s="320" customFormat="1" x14ac:dyDescent="0.25">
      <c r="A697" s="220" t="s">
        <v>5017</v>
      </c>
      <c r="B697" s="221" t="s">
        <v>5021</v>
      </c>
      <c r="C697" s="223" t="s">
        <v>1576</v>
      </c>
      <c r="D697" s="220" t="s">
        <v>5018</v>
      </c>
      <c r="E697" s="222">
        <v>20</v>
      </c>
      <c r="F697" s="192">
        <v>1100</v>
      </c>
      <c r="G697" s="24">
        <v>0.2</v>
      </c>
      <c r="H697" s="24">
        <v>0.05</v>
      </c>
      <c r="I697" s="24">
        <v>0.05</v>
      </c>
      <c r="J697" s="24">
        <v>0</v>
      </c>
      <c r="K697" s="224">
        <f t="shared" si="86"/>
        <v>0.27800000000000002</v>
      </c>
      <c r="L697" s="225">
        <f t="shared" si="87"/>
        <v>30470.914127423825</v>
      </c>
      <c r="M697" s="225">
        <f t="shared" si="88"/>
        <v>1523.5457063711913</v>
      </c>
      <c r="N697" s="226">
        <f t="shared" si="89"/>
        <v>1813.0193905817175</v>
      </c>
      <c r="O697" s="34">
        <v>0.3</v>
      </c>
      <c r="P697" s="226">
        <f t="shared" si="90"/>
        <v>2356.9252077562328</v>
      </c>
      <c r="Q697" s="107" t="s">
        <v>1486</v>
      </c>
      <c r="R697" s="34">
        <v>0.35</v>
      </c>
      <c r="S697" s="226">
        <f t="shared" si="91"/>
        <v>2013.8461538461536</v>
      </c>
      <c r="T697" s="156" t="s">
        <v>1486</v>
      </c>
      <c r="U697" s="2"/>
      <c r="V697" s="2" t="s">
        <v>47</v>
      </c>
      <c r="W697" s="2" t="s">
        <v>1467</v>
      </c>
      <c r="X697" s="2" t="s">
        <v>1467</v>
      </c>
      <c r="Y697" s="488" t="s">
        <v>1486</v>
      </c>
      <c r="Z697" s="293">
        <f t="shared" si="84"/>
        <v>423.54570637119127</v>
      </c>
      <c r="AA697" s="293">
        <f t="shared" si="85"/>
        <v>592.30769230769215</v>
      </c>
    </row>
    <row r="698" spans="1:27" s="320" customFormat="1" x14ac:dyDescent="0.25">
      <c r="A698" s="220" t="s">
        <v>5019</v>
      </c>
      <c r="B698" s="221" t="s">
        <v>5020</v>
      </c>
      <c r="C698" s="223" t="s">
        <v>1576</v>
      </c>
      <c r="D698" s="220" t="s">
        <v>5018</v>
      </c>
      <c r="E698" s="222">
        <v>1</v>
      </c>
      <c r="F698" s="192">
        <v>672</v>
      </c>
      <c r="G698" s="24">
        <v>0.2</v>
      </c>
      <c r="H698" s="24">
        <v>0.05</v>
      </c>
      <c r="I698" s="24">
        <v>0.05</v>
      </c>
      <c r="J698" s="24">
        <v>0</v>
      </c>
      <c r="K698" s="224">
        <f t="shared" si="86"/>
        <v>0.27800000000000002</v>
      </c>
      <c r="L698" s="225">
        <f t="shared" si="87"/>
        <v>930.7479224376732</v>
      </c>
      <c r="M698" s="225">
        <f t="shared" si="88"/>
        <v>930.7479224376732</v>
      </c>
      <c r="N698" s="226">
        <f t="shared" si="89"/>
        <v>1107.5900277008311</v>
      </c>
      <c r="O698" s="34">
        <v>0.3</v>
      </c>
      <c r="P698" s="226">
        <f t="shared" si="90"/>
        <v>1439.8670360110805</v>
      </c>
      <c r="Q698" s="107" t="s">
        <v>1486</v>
      </c>
      <c r="R698" s="34">
        <v>0.35</v>
      </c>
      <c r="S698" s="226">
        <f t="shared" si="91"/>
        <v>1230.2769230769229</v>
      </c>
      <c r="T698" s="156" t="s">
        <v>1486</v>
      </c>
      <c r="U698" s="2"/>
      <c r="V698" s="2" t="s">
        <v>47</v>
      </c>
      <c r="W698" s="2" t="s">
        <v>1467</v>
      </c>
      <c r="X698" s="2" t="s">
        <v>1467</v>
      </c>
      <c r="Y698" s="488" t="s">
        <v>1486</v>
      </c>
      <c r="Z698" s="293">
        <f t="shared" si="84"/>
        <v>258.7479224376732</v>
      </c>
      <c r="AA698" s="293">
        <f t="shared" si="85"/>
        <v>361.84615384615381</v>
      </c>
    </row>
    <row r="699" spans="1:27" s="320" customFormat="1" x14ac:dyDescent="0.25">
      <c r="A699" s="220" t="s">
        <v>5025</v>
      </c>
      <c r="B699" s="221" t="s">
        <v>5049</v>
      </c>
      <c r="C699" s="223" t="s">
        <v>5022</v>
      </c>
      <c r="D699" s="220" t="s">
        <v>5026</v>
      </c>
      <c r="E699" s="222">
        <v>1</v>
      </c>
      <c r="F699" s="192">
        <v>1936</v>
      </c>
      <c r="G699" s="24">
        <v>0.2</v>
      </c>
      <c r="H699" s="24">
        <v>0.05</v>
      </c>
      <c r="I699" s="24">
        <v>0.05</v>
      </c>
      <c r="J699" s="24">
        <v>0</v>
      </c>
      <c r="K699" s="224">
        <f t="shared" si="86"/>
        <v>0.27800000000000002</v>
      </c>
      <c r="L699" s="225">
        <f t="shared" si="87"/>
        <v>2681.4404432132965</v>
      </c>
      <c r="M699" s="225">
        <f t="shared" si="88"/>
        <v>2681.4404432132965</v>
      </c>
      <c r="N699" s="226">
        <f t="shared" si="89"/>
        <v>3190.9141274238227</v>
      </c>
      <c r="O699" s="34">
        <v>0.3</v>
      </c>
      <c r="P699" s="226">
        <f t="shared" si="90"/>
        <v>4148.1883656509699</v>
      </c>
      <c r="Q699" s="107" t="s">
        <v>1486</v>
      </c>
      <c r="R699" s="34">
        <v>0.4</v>
      </c>
      <c r="S699" s="226">
        <f t="shared" si="91"/>
        <v>3839.7333333333336</v>
      </c>
      <c r="T699" s="156" t="s">
        <v>1486</v>
      </c>
      <c r="U699" s="2"/>
      <c r="V699" s="2" t="s">
        <v>47</v>
      </c>
      <c r="W699" s="2" t="s">
        <v>1467</v>
      </c>
      <c r="X699" s="2" t="s">
        <v>1467</v>
      </c>
      <c r="Y699" s="488" t="s">
        <v>1486</v>
      </c>
      <c r="Z699" s="293">
        <f t="shared" si="84"/>
        <v>745.44044321329648</v>
      </c>
      <c r="AA699" s="293">
        <f t="shared" si="85"/>
        <v>1290.666666666667</v>
      </c>
    </row>
    <row r="700" spans="1:27" s="320" customFormat="1" x14ac:dyDescent="0.25">
      <c r="A700" s="220" t="s">
        <v>5027</v>
      </c>
      <c r="B700" s="221" t="s">
        <v>5028</v>
      </c>
      <c r="C700" s="223" t="s">
        <v>5022</v>
      </c>
      <c r="D700" s="220" t="s">
        <v>5029</v>
      </c>
      <c r="E700" s="222">
        <v>1</v>
      </c>
      <c r="F700" s="192">
        <v>1936</v>
      </c>
      <c r="G700" s="24">
        <v>0.2</v>
      </c>
      <c r="H700" s="24">
        <v>0.05</v>
      </c>
      <c r="I700" s="24">
        <v>0.05</v>
      </c>
      <c r="J700" s="24">
        <v>0</v>
      </c>
      <c r="K700" s="224">
        <f t="shared" si="86"/>
        <v>0.27800000000000002</v>
      </c>
      <c r="L700" s="225">
        <f t="shared" si="87"/>
        <v>2681.4404432132965</v>
      </c>
      <c r="M700" s="225">
        <f t="shared" si="88"/>
        <v>2681.4404432132965</v>
      </c>
      <c r="N700" s="226">
        <f t="shared" si="89"/>
        <v>3190.9141274238227</v>
      </c>
      <c r="O700" s="34">
        <v>0.3</v>
      </c>
      <c r="P700" s="226">
        <f t="shared" si="90"/>
        <v>4148.1883656509699</v>
      </c>
      <c r="Q700" s="107" t="s">
        <v>1486</v>
      </c>
      <c r="R700" s="34">
        <v>0.4</v>
      </c>
      <c r="S700" s="226">
        <f t="shared" si="91"/>
        <v>3839.7333333333336</v>
      </c>
      <c r="T700" s="156" t="s">
        <v>1486</v>
      </c>
      <c r="U700" s="2"/>
      <c r="V700" s="2" t="s">
        <v>47</v>
      </c>
      <c r="W700" s="2" t="s">
        <v>1467</v>
      </c>
      <c r="X700" s="2" t="s">
        <v>1467</v>
      </c>
      <c r="Y700" s="488" t="s">
        <v>1486</v>
      </c>
      <c r="Z700" s="293">
        <f t="shared" si="84"/>
        <v>745.44044321329648</v>
      </c>
      <c r="AA700" s="293">
        <f t="shared" si="85"/>
        <v>1290.666666666667</v>
      </c>
    </row>
    <row r="701" spans="1:27" s="320" customFormat="1" x14ac:dyDescent="0.25">
      <c r="A701" s="220" t="s">
        <v>5030</v>
      </c>
      <c r="B701" s="221" t="s">
        <v>5031</v>
      </c>
      <c r="C701" s="223" t="s">
        <v>5022</v>
      </c>
      <c r="D701" s="220" t="s">
        <v>5026</v>
      </c>
      <c r="E701" s="222">
        <v>1</v>
      </c>
      <c r="F701" s="192">
        <v>1936</v>
      </c>
      <c r="G701" s="24">
        <v>0.2</v>
      </c>
      <c r="H701" s="24">
        <v>0.05</v>
      </c>
      <c r="I701" s="24">
        <v>0.05</v>
      </c>
      <c r="J701" s="24">
        <v>0</v>
      </c>
      <c r="K701" s="224">
        <f t="shared" si="86"/>
        <v>0.27800000000000002</v>
      </c>
      <c r="L701" s="225">
        <f t="shared" si="87"/>
        <v>2681.4404432132965</v>
      </c>
      <c r="M701" s="225">
        <f t="shared" si="88"/>
        <v>2681.4404432132965</v>
      </c>
      <c r="N701" s="226">
        <f t="shared" si="89"/>
        <v>3190.9141274238227</v>
      </c>
      <c r="O701" s="34">
        <v>0.3</v>
      </c>
      <c r="P701" s="226">
        <f t="shared" si="90"/>
        <v>4148.1883656509699</v>
      </c>
      <c r="Q701" s="107" t="s">
        <v>1486</v>
      </c>
      <c r="R701" s="34">
        <v>0.4</v>
      </c>
      <c r="S701" s="226">
        <f t="shared" si="91"/>
        <v>3839.7333333333336</v>
      </c>
      <c r="T701" s="156" t="s">
        <v>1486</v>
      </c>
      <c r="U701" s="2"/>
      <c r="V701" s="2" t="s">
        <v>47</v>
      </c>
      <c r="W701" s="2" t="s">
        <v>1467</v>
      </c>
      <c r="X701" s="2" t="s">
        <v>1467</v>
      </c>
      <c r="Y701" s="488" t="s">
        <v>1486</v>
      </c>
      <c r="Z701" s="293">
        <f t="shared" si="84"/>
        <v>745.44044321329648</v>
      </c>
      <c r="AA701" s="293">
        <f t="shared" si="85"/>
        <v>1290.666666666667</v>
      </c>
    </row>
    <row r="702" spans="1:27" s="320" customFormat="1" x14ac:dyDescent="0.25">
      <c r="A702" s="220" t="s">
        <v>5032</v>
      </c>
      <c r="B702" s="221" t="s">
        <v>5033</v>
      </c>
      <c r="C702" s="223" t="s">
        <v>5022</v>
      </c>
      <c r="D702" s="220" t="s">
        <v>5026</v>
      </c>
      <c r="E702" s="222">
        <v>1</v>
      </c>
      <c r="F702" s="192">
        <v>1937</v>
      </c>
      <c r="G702" s="24">
        <v>0.2</v>
      </c>
      <c r="H702" s="24">
        <v>0.05</v>
      </c>
      <c r="I702" s="24">
        <v>0.05</v>
      </c>
      <c r="J702" s="24">
        <v>0</v>
      </c>
      <c r="K702" s="224">
        <f t="shared" si="86"/>
        <v>0.27800000000000002</v>
      </c>
      <c r="L702" s="225">
        <f t="shared" si="87"/>
        <v>2682.825484764543</v>
      </c>
      <c r="M702" s="225">
        <f t="shared" si="88"/>
        <v>2682.825484764543</v>
      </c>
      <c r="N702" s="226">
        <f t="shared" si="89"/>
        <v>3192.5623268698059</v>
      </c>
      <c r="O702" s="34">
        <v>0.3</v>
      </c>
      <c r="P702" s="226">
        <f t="shared" si="90"/>
        <v>4150.3310249307478</v>
      </c>
      <c r="Q702" s="107" t="s">
        <v>1486</v>
      </c>
      <c r="R702" s="34">
        <v>0.4</v>
      </c>
      <c r="S702" s="226">
        <f t="shared" si="91"/>
        <v>3841.7166666666667</v>
      </c>
      <c r="T702" s="156" t="s">
        <v>1486</v>
      </c>
      <c r="U702" s="2"/>
      <c r="V702" s="2" t="s">
        <v>47</v>
      </c>
      <c r="W702" s="2" t="s">
        <v>1467</v>
      </c>
      <c r="X702" s="2" t="s">
        <v>1467</v>
      </c>
      <c r="Y702" s="488" t="s">
        <v>1486</v>
      </c>
      <c r="Z702" s="293">
        <f t="shared" si="84"/>
        <v>745.82548476454303</v>
      </c>
      <c r="AA702" s="293">
        <f t="shared" si="85"/>
        <v>1291.3333333333335</v>
      </c>
    </row>
    <row r="703" spans="1:27" s="320" customFormat="1" x14ac:dyDescent="0.25">
      <c r="A703" s="220" t="s">
        <v>5034</v>
      </c>
      <c r="B703" s="221" t="s">
        <v>5035</v>
      </c>
      <c r="C703" s="223" t="s">
        <v>5022</v>
      </c>
      <c r="D703" s="220" t="s">
        <v>5026</v>
      </c>
      <c r="E703" s="222">
        <v>1</v>
      </c>
      <c r="F703" s="192">
        <v>1937</v>
      </c>
      <c r="G703" s="24">
        <v>0.2</v>
      </c>
      <c r="H703" s="24">
        <v>0.05</v>
      </c>
      <c r="I703" s="24">
        <v>0.05</v>
      </c>
      <c r="J703" s="24">
        <v>0</v>
      </c>
      <c r="K703" s="224">
        <f t="shared" si="86"/>
        <v>0.27800000000000002</v>
      </c>
      <c r="L703" s="225">
        <f t="shared" si="87"/>
        <v>2682.825484764543</v>
      </c>
      <c r="M703" s="225">
        <f t="shared" si="88"/>
        <v>2682.825484764543</v>
      </c>
      <c r="N703" s="226">
        <f t="shared" si="89"/>
        <v>3192.5623268698059</v>
      </c>
      <c r="O703" s="34">
        <v>0.3</v>
      </c>
      <c r="P703" s="226">
        <f t="shared" si="90"/>
        <v>4150.3310249307478</v>
      </c>
      <c r="Q703" s="107" t="s">
        <v>1486</v>
      </c>
      <c r="R703" s="34">
        <v>0.4</v>
      </c>
      <c r="S703" s="226">
        <f t="shared" si="91"/>
        <v>3841.7166666666667</v>
      </c>
      <c r="T703" s="156" t="s">
        <v>1486</v>
      </c>
      <c r="U703" s="2"/>
      <c r="V703" s="2" t="s">
        <v>47</v>
      </c>
      <c r="W703" s="2" t="s">
        <v>1467</v>
      </c>
      <c r="X703" s="2" t="s">
        <v>1467</v>
      </c>
      <c r="Y703" s="488" t="s">
        <v>1486</v>
      </c>
      <c r="Z703" s="293">
        <f t="shared" si="84"/>
        <v>745.82548476454303</v>
      </c>
      <c r="AA703" s="293">
        <f t="shared" si="85"/>
        <v>1291.3333333333335</v>
      </c>
    </row>
    <row r="704" spans="1:27" s="320" customFormat="1" x14ac:dyDescent="0.25">
      <c r="A704" s="220" t="s">
        <v>5036</v>
      </c>
      <c r="B704" s="221" t="s">
        <v>5037</v>
      </c>
      <c r="C704" s="223" t="s">
        <v>5022</v>
      </c>
      <c r="D704" s="220" t="s">
        <v>5026</v>
      </c>
      <c r="E704" s="222">
        <v>1</v>
      </c>
      <c r="F704" s="192">
        <v>1937</v>
      </c>
      <c r="G704" s="24">
        <v>0.2</v>
      </c>
      <c r="H704" s="24">
        <v>0.05</v>
      </c>
      <c r="I704" s="24">
        <v>0.05</v>
      </c>
      <c r="J704" s="24">
        <v>0</v>
      </c>
      <c r="K704" s="224">
        <f t="shared" si="86"/>
        <v>0.27800000000000002</v>
      </c>
      <c r="L704" s="225">
        <f t="shared" si="87"/>
        <v>2682.825484764543</v>
      </c>
      <c r="M704" s="225">
        <f t="shared" si="88"/>
        <v>2682.825484764543</v>
      </c>
      <c r="N704" s="226">
        <f t="shared" si="89"/>
        <v>3192.5623268698059</v>
      </c>
      <c r="O704" s="34">
        <v>0.3</v>
      </c>
      <c r="P704" s="226">
        <f t="shared" si="90"/>
        <v>4150.3310249307478</v>
      </c>
      <c r="Q704" s="107" t="s">
        <v>1486</v>
      </c>
      <c r="R704" s="34">
        <v>0.4</v>
      </c>
      <c r="S704" s="226">
        <f t="shared" si="91"/>
        <v>3841.7166666666667</v>
      </c>
      <c r="T704" s="156" t="s">
        <v>1486</v>
      </c>
      <c r="U704" s="2"/>
      <c r="V704" s="2" t="s">
        <v>47</v>
      </c>
      <c r="W704" s="2" t="s">
        <v>1467</v>
      </c>
      <c r="X704" s="2" t="s">
        <v>1467</v>
      </c>
      <c r="Y704" s="488" t="s">
        <v>1486</v>
      </c>
      <c r="Z704" s="293">
        <f t="shared" ref="Z704:Z767" si="92">+M704-F704</f>
        <v>745.82548476454303</v>
      </c>
      <c r="AA704" s="293">
        <f t="shared" ref="AA704:AA767" si="93">+(S704/1.19)-F704</f>
        <v>1291.3333333333335</v>
      </c>
    </row>
    <row r="705" spans="1:27" s="320" customFormat="1" x14ac:dyDescent="0.25">
      <c r="A705" s="220" t="s">
        <v>5038</v>
      </c>
      <c r="B705" s="221" t="s">
        <v>5039</v>
      </c>
      <c r="C705" s="223" t="s">
        <v>5022</v>
      </c>
      <c r="D705" s="220" t="s">
        <v>5026</v>
      </c>
      <c r="E705" s="222">
        <v>1</v>
      </c>
      <c r="F705" s="192">
        <v>1672</v>
      </c>
      <c r="G705" s="24">
        <v>0.2</v>
      </c>
      <c r="H705" s="24">
        <v>0.05</v>
      </c>
      <c r="I705" s="24">
        <v>0.05</v>
      </c>
      <c r="J705" s="24">
        <v>0</v>
      </c>
      <c r="K705" s="224">
        <f t="shared" si="86"/>
        <v>0.27800000000000014</v>
      </c>
      <c r="L705" s="225">
        <f t="shared" si="87"/>
        <v>2315.7894736842109</v>
      </c>
      <c r="M705" s="225">
        <f t="shared" si="88"/>
        <v>2315.7894736842109</v>
      </c>
      <c r="N705" s="226">
        <f t="shared" si="89"/>
        <v>2755.7894736842109</v>
      </c>
      <c r="O705" s="34">
        <v>0.3</v>
      </c>
      <c r="P705" s="226">
        <f t="shared" si="90"/>
        <v>3582.5263157894742</v>
      </c>
      <c r="Q705" s="107" t="s">
        <v>1486</v>
      </c>
      <c r="R705" s="34">
        <v>0.4</v>
      </c>
      <c r="S705" s="226">
        <f t="shared" si="91"/>
        <v>3316.1333333333337</v>
      </c>
      <c r="T705" s="156" t="s">
        <v>1486</v>
      </c>
      <c r="U705" s="2"/>
      <c r="V705" s="2" t="s">
        <v>47</v>
      </c>
      <c r="W705" s="2" t="s">
        <v>1467</v>
      </c>
      <c r="X705" s="2" t="s">
        <v>1467</v>
      </c>
      <c r="Y705" s="488" t="s">
        <v>1486</v>
      </c>
      <c r="Z705" s="293">
        <f t="shared" si="92"/>
        <v>643.78947368421086</v>
      </c>
      <c r="AA705" s="293">
        <f t="shared" si="93"/>
        <v>1114.666666666667</v>
      </c>
    </row>
    <row r="706" spans="1:27" s="320" customFormat="1" x14ac:dyDescent="0.25">
      <c r="A706" s="220" t="s">
        <v>5040</v>
      </c>
      <c r="B706" s="221" t="s">
        <v>5041</v>
      </c>
      <c r="C706" s="223" t="s">
        <v>5022</v>
      </c>
      <c r="D706" s="220" t="s">
        <v>5026</v>
      </c>
      <c r="E706" s="222">
        <v>1</v>
      </c>
      <c r="F706" s="192">
        <v>1672</v>
      </c>
      <c r="G706" s="24">
        <v>0.2</v>
      </c>
      <c r="H706" s="24">
        <v>0.05</v>
      </c>
      <c r="I706" s="24">
        <v>0.05</v>
      </c>
      <c r="J706" s="24">
        <v>0</v>
      </c>
      <c r="K706" s="224">
        <f t="shared" si="86"/>
        <v>0.27800000000000014</v>
      </c>
      <c r="L706" s="225">
        <f t="shared" si="87"/>
        <v>2315.7894736842109</v>
      </c>
      <c r="M706" s="225">
        <f t="shared" si="88"/>
        <v>2315.7894736842109</v>
      </c>
      <c r="N706" s="226">
        <f t="shared" si="89"/>
        <v>2755.7894736842109</v>
      </c>
      <c r="O706" s="34">
        <v>0.3</v>
      </c>
      <c r="P706" s="226">
        <f t="shared" si="90"/>
        <v>3582.5263157894742</v>
      </c>
      <c r="Q706" s="107" t="s">
        <v>1486</v>
      </c>
      <c r="R706" s="34">
        <v>0.4</v>
      </c>
      <c r="S706" s="226">
        <f t="shared" si="91"/>
        <v>3316.1333333333337</v>
      </c>
      <c r="T706" s="156" t="s">
        <v>1486</v>
      </c>
      <c r="U706" s="2"/>
      <c r="V706" s="2" t="s">
        <v>47</v>
      </c>
      <c r="W706" s="2" t="s">
        <v>1467</v>
      </c>
      <c r="X706" s="2" t="s">
        <v>1467</v>
      </c>
      <c r="Y706" s="488" t="s">
        <v>1486</v>
      </c>
      <c r="Z706" s="293">
        <f t="shared" si="92"/>
        <v>643.78947368421086</v>
      </c>
      <c r="AA706" s="293">
        <f t="shared" si="93"/>
        <v>1114.666666666667</v>
      </c>
    </row>
    <row r="707" spans="1:27" s="320" customFormat="1" x14ac:dyDescent="0.25">
      <c r="A707" s="220" t="s">
        <v>5042</v>
      </c>
      <c r="B707" s="221" t="s">
        <v>5043</v>
      </c>
      <c r="C707" s="223" t="s">
        <v>5022</v>
      </c>
      <c r="D707" s="220" t="s">
        <v>5044</v>
      </c>
      <c r="E707" s="222">
        <v>1</v>
      </c>
      <c r="F707" s="192">
        <v>1672</v>
      </c>
      <c r="G707" s="24">
        <v>0.2</v>
      </c>
      <c r="H707" s="24">
        <v>0.05</v>
      </c>
      <c r="I707" s="24">
        <v>0.05</v>
      </c>
      <c r="J707" s="24">
        <v>0</v>
      </c>
      <c r="K707" s="224">
        <f t="shared" ref="K707:K770" si="94">IF(F707=0,0,1-(F707/M707))</f>
        <v>0.27800000000000014</v>
      </c>
      <c r="L707" s="225">
        <f t="shared" ref="L707:L770" si="95">+M707*E707</f>
        <v>2315.7894736842109</v>
      </c>
      <c r="M707" s="225">
        <f t="shared" ref="M707:M770" si="96">+F707/(1-G707)/(1-H707)/(1-I707)/(1-J707)</f>
        <v>2315.7894736842109</v>
      </c>
      <c r="N707" s="226">
        <f t="shared" ref="N707:N770" si="97">+M707*1.19</f>
        <v>2755.7894736842109</v>
      </c>
      <c r="O707" s="34">
        <v>0.3</v>
      </c>
      <c r="P707" s="226">
        <f t="shared" ref="P707:P770" si="98">+N707*(1+O707)</f>
        <v>3582.5263157894742</v>
      </c>
      <c r="Q707" s="107" t="s">
        <v>1486</v>
      </c>
      <c r="R707" s="34">
        <v>0.4</v>
      </c>
      <c r="S707" s="226">
        <f t="shared" si="91"/>
        <v>3316.1333333333337</v>
      </c>
      <c r="T707" s="156" t="s">
        <v>1486</v>
      </c>
      <c r="U707" s="2"/>
      <c r="V707" s="2" t="s">
        <v>47</v>
      </c>
      <c r="W707" s="2" t="s">
        <v>1467</v>
      </c>
      <c r="X707" s="2" t="s">
        <v>1467</v>
      </c>
      <c r="Y707" s="488" t="s">
        <v>1486</v>
      </c>
      <c r="Z707" s="293">
        <f t="shared" si="92"/>
        <v>643.78947368421086</v>
      </c>
      <c r="AA707" s="293">
        <f t="shared" si="93"/>
        <v>1114.666666666667</v>
      </c>
    </row>
    <row r="708" spans="1:27" s="320" customFormat="1" x14ac:dyDescent="0.25">
      <c r="A708" s="220" t="s">
        <v>5045</v>
      </c>
      <c r="B708" s="221" t="s">
        <v>5046</v>
      </c>
      <c r="C708" s="223" t="s">
        <v>5022</v>
      </c>
      <c r="D708" s="220" t="s">
        <v>5026</v>
      </c>
      <c r="E708" s="222">
        <v>1</v>
      </c>
      <c r="F708" s="192">
        <v>1496</v>
      </c>
      <c r="G708" s="24">
        <v>0.2</v>
      </c>
      <c r="H708" s="24">
        <v>0.05</v>
      </c>
      <c r="I708" s="24">
        <v>0.05</v>
      </c>
      <c r="J708" s="24">
        <v>0</v>
      </c>
      <c r="K708" s="224">
        <f t="shared" si="94"/>
        <v>0.27800000000000002</v>
      </c>
      <c r="L708" s="225">
        <f t="shared" si="95"/>
        <v>2072.0221606648201</v>
      </c>
      <c r="M708" s="225">
        <f t="shared" si="96"/>
        <v>2072.0221606648201</v>
      </c>
      <c r="N708" s="226">
        <f t="shared" si="97"/>
        <v>2465.706371191136</v>
      </c>
      <c r="O708" s="34">
        <v>0.3</v>
      </c>
      <c r="P708" s="226">
        <f t="shared" si="98"/>
        <v>3205.4182825484768</v>
      </c>
      <c r="Q708" s="107" t="s">
        <v>1486</v>
      </c>
      <c r="R708" s="34">
        <v>0.4</v>
      </c>
      <c r="S708" s="226">
        <f t="shared" si="91"/>
        <v>2967.0666666666666</v>
      </c>
      <c r="T708" s="156" t="s">
        <v>1486</v>
      </c>
      <c r="U708" s="2"/>
      <c r="V708" s="2" t="s">
        <v>47</v>
      </c>
      <c r="W708" s="2" t="s">
        <v>1467</v>
      </c>
      <c r="X708" s="2" t="s">
        <v>1467</v>
      </c>
      <c r="Y708" s="488" t="s">
        <v>1486</v>
      </c>
      <c r="Z708" s="293">
        <f t="shared" si="92"/>
        <v>576.02216066482015</v>
      </c>
      <c r="AA708" s="293">
        <f t="shared" si="93"/>
        <v>997.33333333333348</v>
      </c>
    </row>
    <row r="709" spans="1:27" s="320" customFormat="1" x14ac:dyDescent="0.25">
      <c r="A709" s="220" t="s">
        <v>5047</v>
      </c>
      <c r="B709" s="221" t="s">
        <v>5048</v>
      </c>
      <c r="C709" s="223" t="s">
        <v>5022</v>
      </c>
      <c r="D709" s="220" t="s">
        <v>5026</v>
      </c>
      <c r="E709" s="222">
        <v>1</v>
      </c>
      <c r="F709" s="192">
        <v>1496</v>
      </c>
      <c r="G709" s="24">
        <v>0.2</v>
      </c>
      <c r="H709" s="24">
        <v>0.05</v>
      </c>
      <c r="I709" s="24">
        <v>0.05</v>
      </c>
      <c r="J709" s="24">
        <v>0</v>
      </c>
      <c r="K709" s="224">
        <f t="shared" si="94"/>
        <v>0.27800000000000002</v>
      </c>
      <c r="L709" s="225">
        <f t="shared" si="95"/>
        <v>2072.0221606648201</v>
      </c>
      <c r="M709" s="225">
        <f t="shared" si="96"/>
        <v>2072.0221606648201</v>
      </c>
      <c r="N709" s="226">
        <f t="shared" si="97"/>
        <v>2465.706371191136</v>
      </c>
      <c r="O709" s="34">
        <v>0.3</v>
      </c>
      <c r="P709" s="226">
        <f t="shared" si="98"/>
        <v>3205.4182825484768</v>
      </c>
      <c r="Q709" s="107" t="s">
        <v>1486</v>
      </c>
      <c r="R709" s="34">
        <v>0.4</v>
      </c>
      <c r="S709" s="226">
        <f t="shared" si="91"/>
        <v>2967.0666666666666</v>
      </c>
      <c r="T709" s="156" t="s">
        <v>1486</v>
      </c>
      <c r="U709" s="2"/>
      <c r="V709" s="2" t="s">
        <v>47</v>
      </c>
      <c r="W709" s="2" t="s">
        <v>1467</v>
      </c>
      <c r="X709" s="2" t="s">
        <v>1467</v>
      </c>
      <c r="Y709" s="488" t="s">
        <v>1486</v>
      </c>
      <c r="Z709" s="293">
        <f t="shared" si="92"/>
        <v>576.02216066482015</v>
      </c>
      <c r="AA709" s="293">
        <f t="shared" si="93"/>
        <v>997.33333333333348</v>
      </c>
    </row>
    <row r="710" spans="1:27" s="320" customFormat="1" x14ac:dyDescent="0.25">
      <c r="A710" s="220" t="s">
        <v>5051</v>
      </c>
      <c r="B710" s="221" t="s">
        <v>5052</v>
      </c>
      <c r="C710" s="223" t="s">
        <v>1576</v>
      </c>
      <c r="D710" s="220" t="s">
        <v>5053</v>
      </c>
      <c r="E710" s="222">
        <v>1</v>
      </c>
      <c r="F710" s="192">
        <v>800</v>
      </c>
      <c r="G710" s="24">
        <v>0.2</v>
      </c>
      <c r="H710" s="24">
        <v>0.05</v>
      </c>
      <c r="I710" s="24">
        <v>0.05</v>
      </c>
      <c r="J710" s="24">
        <v>0</v>
      </c>
      <c r="K710" s="224">
        <f t="shared" si="94"/>
        <v>0.27800000000000002</v>
      </c>
      <c r="L710" s="225">
        <f t="shared" si="95"/>
        <v>1108.03324099723</v>
      </c>
      <c r="M710" s="225">
        <f t="shared" si="96"/>
        <v>1108.03324099723</v>
      </c>
      <c r="N710" s="226">
        <f t="shared" si="97"/>
        <v>1318.5595567867035</v>
      </c>
      <c r="O710" s="34">
        <v>0.3</v>
      </c>
      <c r="P710" s="226">
        <f t="shared" si="98"/>
        <v>1714.1274238227147</v>
      </c>
      <c r="Q710" s="107" t="s">
        <v>1486</v>
      </c>
      <c r="R710" s="34">
        <v>0.55000000000000004</v>
      </c>
      <c r="S710" s="226">
        <f t="shared" si="91"/>
        <v>2115.5555555555557</v>
      </c>
      <c r="T710" s="156" t="s">
        <v>1486</v>
      </c>
      <c r="U710" s="2"/>
      <c r="V710" s="2" t="s">
        <v>47</v>
      </c>
      <c r="W710" s="2" t="s">
        <v>1467</v>
      </c>
      <c r="X710" s="2" t="s">
        <v>1467</v>
      </c>
      <c r="Y710" s="488" t="s">
        <v>1486</v>
      </c>
      <c r="Z710" s="293">
        <f t="shared" si="92"/>
        <v>308.03324099723</v>
      </c>
      <c r="AA710" s="293">
        <f t="shared" si="93"/>
        <v>977.77777777777806</v>
      </c>
    </row>
    <row r="711" spans="1:27" s="320" customFormat="1" x14ac:dyDescent="0.25">
      <c r="A711" s="220" t="s">
        <v>5054</v>
      </c>
      <c r="B711" s="221" t="s">
        <v>5055</v>
      </c>
      <c r="C711" s="223" t="s">
        <v>1576</v>
      </c>
      <c r="D711" s="220" t="s">
        <v>4461</v>
      </c>
      <c r="E711" s="222">
        <v>12</v>
      </c>
      <c r="F711" s="192">
        <v>500</v>
      </c>
      <c r="G711" s="24">
        <v>0.2</v>
      </c>
      <c r="H711" s="24">
        <v>0.05</v>
      </c>
      <c r="I711" s="24">
        <v>0.05</v>
      </c>
      <c r="J711" s="24">
        <v>0</v>
      </c>
      <c r="K711" s="224">
        <f t="shared" si="94"/>
        <v>0.27800000000000014</v>
      </c>
      <c r="L711" s="225">
        <f t="shared" si="95"/>
        <v>8310.2493074792255</v>
      </c>
      <c r="M711" s="225">
        <f t="shared" si="96"/>
        <v>692.52077562326883</v>
      </c>
      <c r="N711" s="226">
        <f t="shared" si="97"/>
        <v>824.09972299168987</v>
      </c>
      <c r="O711" s="34">
        <v>0.3</v>
      </c>
      <c r="P711" s="226">
        <f t="shared" si="98"/>
        <v>1071.3296398891969</v>
      </c>
      <c r="Q711" s="107" t="s">
        <v>1486</v>
      </c>
      <c r="R711" s="34">
        <v>0.88</v>
      </c>
      <c r="S711" s="226">
        <f t="shared" si="91"/>
        <v>4958.333333333333</v>
      </c>
      <c r="T711" s="156" t="s">
        <v>1486</v>
      </c>
      <c r="U711" s="2"/>
      <c r="V711" s="2" t="s">
        <v>47</v>
      </c>
      <c r="W711" s="2" t="s">
        <v>1467</v>
      </c>
      <c r="X711" s="2" t="s">
        <v>1467</v>
      </c>
      <c r="Y711" s="488" t="s">
        <v>1486</v>
      </c>
      <c r="Z711" s="293">
        <f t="shared" si="92"/>
        <v>192.52077562326883</v>
      </c>
      <c r="AA711" s="293">
        <f t="shared" si="93"/>
        <v>3666.666666666667</v>
      </c>
    </row>
    <row r="712" spans="1:27" s="320" customFormat="1" x14ac:dyDescent="0.25">
      <c r="A712" s="220" t="s">
        <v>5070</v>
      </c>
      <c r="B712" s="221" t="s">
        <v>5071</v>
      </c>
      <c r="C712" s="223" t="s">
        <v>4774</v>
      </c>
      <c r="D712" s="220" t="s">
        <v>4705</v>
      </c>
      <c r="E712" s="222">
        <v>1</v>
      </c>
      <c r="F712" s="192">
        <v>7216</v>
      </c>
      <c r="G712" s="24">
        <v>0.23</v>
      </c>
      <c r="H712" s="24">
        <v>0.05</v>
      </c>
      <c r="I712" s="24">
        <v>0.05</v>
      </c>
      <c r="J712" s="24">
        <v>0</v>
      </c>
      <c r="K712" s="224">
        <f t="shared" si="94"/>
        <v>0.30507499999999999</v>
      </c>
      <c r="L712" s="225">
        <f t="shared" si="95"/>
        <v>10383.85437277404</v>
      </c>
      <c r="M712" s="225">
        <f t="shared" si="96"/>
        <v>10383.85437277404</v>
      </c>
      <c r="N712" s="226">
        <f t="shared" si="97"/>
        <v>12356.786703601107</v>
      </c>
      <c r="O712" s="34">
        <v>0.4</v>
      </c>
      <c r="P712" s="226">
        <f t="shared" si="98"/>
        <v>17299.501385041549</v>
      </c>
      <c r="Q712" s="107" t="s">
        <v>1486</v>
      </c>
      <c r="R712" s="34">
        <v>0.4</v>
      </c>
      <c r="S712" s="226">
        <f t="shared" si="91"/>
        <v>14311.733333333334</v>
      </c>
      <c r="T712" s="156" t="s">
        <v>1486</v>
      </c>
      <c r="U712" s="2" t="s">
        <v>50</v>
      </c>
      <c r="V712" s="2" t="s">
        <v>47</v>
      </c>
      <c r="W712" s="2" t="s">
        <v>5882</v>
      </c>
      <c r="X712" s="2" t="s">
        <v>1467</v>
      </c>
      <c r="Y712" s="488" t="s">
        <v>1486</v>
      </c>
      <c r="Z712" s="293">
        <f t="shared" si="92"/>
        <v>3167.8543727740398</v>
      </c>
      <c r="AA712" s="293">
        <f t="shared" si="93"/>
        <v>4810.6666666666679</v>
      </c>
    </row>
    <row r="713" spans="1:27" s="320" customFormat="1" x14ac:dyDescent="0.25">
      <c r="A713" s="220" t="s">
        <v>5081</v>
      </c>
      <c r="B713" s="221" t="s">
        <v>5242</v>
      </c>
      <c r="C713" s="223" t="s">
        <v>1563</v>
      </c>
      <c r="D713" s="220" t="s">
        <v>4570</v>
      </c>
      <c r="E713" s="222">
        <v>15</v>
      </c>
      <c r="F713" s="192">
        <v>510</v>
      </c>
      <c r="G713" s="24">
        <v>0.2</v>
      </c>
      <c r="H713" s="24">
        <v>0.05</v>
      </c>
      <c r="I713" s="24">
        <v>0.05</v>
      </c>
      <c r="J713" s="24">
        <v>0</v>
      </c>
      <c r="K713" s="224">
        <f t="shared" si="94"/>
        <v>0.27800000000000014</v>
      </c>
      <c r="L713" s="225">
        <f t="shared" si="95"/>
        <v>10595.567867036012</v>
      </c>
      <c r="M713" s="225">
        <f t="shared" si="96"/>
        <v>706.37119113573419</v>
      </c>
      <c r="N713" s="226">
        <f t="shared" si="97"/>
        <v>840.58171745152367</v>
      </c>
      <c r="O713" s="34">
        <v>0.3</v>
      </c>
      <c r="P713" s="226">
        <f t="shared" si="98"/>
        <v>1092.7562326869809</v>
      </c>
      <c r="Q713" s="107" t="s">
        <v>1486</v>
      </c>
      <c r="R713" s="34">
        <v>0.3</v>
      </c>
      <c r="S713" s="226">
        <f t="shared" si="91"/>
        <v>867.00000000000011</v>
      </c>
      <c r="T713" s="156" t="s">
        <v>1486</v>
      </c>
      <c r="U713" s="2" t="s">
        <v>109</v>
      </c>
      <c r="V713" s="2" t="s">
        <v>5826</v>
      </c>
      <c r="W713" s="2" t="s">
        <v>5888</v>
      </c>
      <c r="X713" s="2" t="s">
        <v>1467</v>
      </c>
      <c r="Y713" s="488" t="s">
        <v>1486</v>
      </c>
      <c r="Z713" s="293">
        <f t="shared" si="92"/>
        <v>196.37119113573419</v>
      </c>
      <c r="AA713" s="293">
        <f t="shared" si="93"/>
        <v>218.57142857142867</v>
      </c>
    </row>
    <row r="714" spans="1:27" s="320" customFormat="1" x14ac:dyDescent="0.25">
      <c r="A714" s="220" t="s">
        <v>5101</v>
      </c>
      <c r="B714" s="221" t="s">
        <v>5102</v>
      </c>
      <c r="C714" s="223" t="s">
        <v>5104</v>
      </c>
      <c r="D714" s="220" t="s">
        <v>5103</v>
      </c>
      <c r="E714" s="222">
        <v>48</v>
      </c>
      <c r="F714" s="192">
        <v>593</v>
      </c>
      <c r="G714" s="24">
        <v>0.2</v>
      </c>
      <c r="H714" s="24">
        <v>0.05</v>
      </c>
      <c r="I714" s="24">
        <v>0.05</v>
      </c>
      <c r="J714" s="24">
        <v>0</v>
      </c>
      <c r="K714" s="224">
        <f t="shared" si="94"/>
        <v>0.27800000000000002</v>
      </c>
      <c r="L714" s="225">
        <f t="shared" si="95"/>
        <v>39423.822714681446</v>
      </c>
      <c r="M714" s="225">
        <f t="shared" si="96"/>
        <v>821.32963988919676</v>
      </c>
      <c r="N714" s="226">
        <f t="shared" si="97"/>
        <v>977.38227146814404</v>
      </c>
      <c r="O714" s="34">
        <v>0.3</v>
      </c>
      <c r="P714" s="226">
        <f t="shared" si="98"/>
        <v>1270.5969529085874</v>
      </c>
      <c r="Q714" s="107" t="s">
        <v>1486</v>
      </c>
      <c r="R714" s="34">
        <v>0.4</v>
      </c>
      <c r="S714" s="226">
        <f t="shared" si="91"/>
        <v>1176.1166666666666</v>
      </c>
      <c r="T714" s="156" t="s">
        <v>1486</v>
      </c>
      <c r="U714" s="2"/>
      <c r="V714" s="2" t="s">
        <v>47</v>
      </c>
      <c r="W714" s="2" t="s">
        <v>1467</v>
      </c>
      <c r="X714" s="2" t="s">
        <v>1467</v>
      </c>
      <c r="Y714" s="488" t="s">
        <v>1486</v>
      </c>
      <c r="Z714" s="293">
        <f t="shared" si="92"/>
        <v>228.32963988919676</v>
      </c>
      <c r="AA714" s="293">
        <f t="shared" si="93"/>
        <v>395.33333333333326</v>
      </c>
    </row>
    <row r="715" spans="1:27" s="320" customFormat="1" x14ac:dyDescent="0.25">
      <c r="A715" s="220" t="s">
        <v>5114</v>
      </c>
      <c r="B715" s="221" t="s">
        <v>5115</v>
      </c>
      <c r="C715" s="223" t="s">
        <v>1576</v>
      </c>
      <c r="D715" s="220" t="s">
        <v>5116</v>
      </c>
      <c r="E715" s="222">
        <v>20</v>
      </c>
      <c r="F715" s="192">
        <v>2210</v>
      </c>
      <c r="G715" s="24">
        <v>0.2</v>
      </c>
      <c r="H715" s="24">
        <v>0.05</v>
      </c>
      <c r="I715" s="24">
        <v>0.05</v>
      </c>
      <c r="J715" s="24">
        <v>0</v>
      </c>
      <c r="K715" s="224">
        <f t="shared" si="94"/>
        <v>0.27800000000000014</v>
      </c>
      <c r="L715" s="225">
        <f t="shared" si="95"/>
        <v>61218.836565096964</v>
      </c>
      <c r="M715" s="225">
        <f t="shared" si="96"/>
        <v>3060.9418282548481</v>
      </c>
      <c r="N715" s="226">
        <f t="shared" si="97"/>
        <v>3642.5207756232689</v>
      </c>
      <c r="O715" s="34">
        <v>0.3</v>
      </c>
      <c r="P715" s="226">
        <f t="shared" si="98"/>
        <v>4735.2770083102496</v>
      </c>
      <c r="Q715" s="107" t="s">
        <v>1486</v>
      </c>
      <c r="R715" s="34">
        <v>0.4</v>
      </c>
      <c r="S715" s="226">
        <f t="shared" si="91"/>
        <v>4383.166666666667</v>
      </c>
      <c r="T715" s="156" t="s">
        <v>1486</v>
      </c>
      <c r="U715" s="2"/>
      <c r="V715" s="2" t="s">
        <v>47</v>
      </c>
      <c r="W715" s="2" t="s">
        <v>1467</v>
      </c>
      <c r="X715" s="2" t="s">
        <v>1467</v>
      </c>
      <c r="Y715" s="488" t="s">
        <v>1486</v>
      </c>
      <c r="Z715" s="293">
        <f t="shared" si="92"/>
        <v>850.94182825484813</v>
      </c>
      <c r="AA715" s="293">
        <f t="shared" si="93"/>
        <v>1473.3333333333339</v>
      </c>
    </row>
    <row r="716" spans="1:27" s="320" customFormat="1" x14ac:dyDescent="0.25">
      <c r="A716" s="220" t="s">
        <v>5117</v>
      </c>
      <c r="B716" s="221" t="s">
        <v>5118</v>
      </c>
      <c r="C716" s="223" t="s">
        <v>1576</v>
      </c>
      <c r="D716" s="220" t="s">
        <v>5116</v>
      </c>
      <c r="E716" s="222">
        <v>20</v>
      </c>
      <c r="F716" s="192">
        <v>2210</v>
      </c>
      <c r="G716" s="24">
        <v>0.2</v>
      </c>
      <c r="H716" s="24">
        <v>0.05</v>
      </c>
      <c r="I716" s="24">
        <v>0.05</v>
      </c>
      <c r="J716" s="24">
        <v>0</v>
      </c>
      <c r="K716" s="224">
        <f t="shared" si="94"/>
        <v>0.27800000000000014</v>
      </c>
      <c r="L716" s="225">
        <f t="shared" si="95"/>
        <v>61218.836565096964</v>
      </c>
      <c r="M716" s="225">
        <f t="shared" si="96"/>
        <v>3060.9418282548481</v>
      </c>
      <c r="N716" s="226">
        <f t="shared" si="97"/>
        <v>3642.5207756232689</v>
      </c>
      <c r="O716" s="34">
        <v>0.3</v>
      </c>
      <c r="P716" s="226">
        <f t="shared" si="98"/>
        <v>4735.2770083102496</v>
      </c>
      <c r="Q716" s="107" t="s">
        <v>1486</v>
      </c>
      <c r="R716" s="34">
        <v>0.4</v>
      </c>
      <c r="S716" s="226">
        <f t="shared" si="91"/>
        <v>4383.166666666667</v>
      </c>
      <c r="T716" s="156" t="s">
        <v>1486</v>
      </c>
      <c r="U716" s="2"/>
      <c r="V716" s="2" t="s">
        <v>47</v>
      </c>
      <c r="W716" s="2" t="s">
        <v>1467</v>
      </c>
      <c r="X716" s="2" t="s">
        <v>1467</v>
      </c>
      <c r="Y716" s="488" t="s">
        <v>1486</v>
      </c>
      <c r="Z716" s="293">
        <f t="shared" si="92"/>
        <v>850.94182825484813</v>
      </c>
      <c r="AA716" s="293">
        <f t="shared" si="93"/>
        <v>1473.3333333333339</v>
      </c>
    </row>
    <row r="717" spans="1:27" s="320" customFormat="1" x14ac:dyDescent="0.25">
      <c r="A717" s="220" t="s">
        <v>5131</v>
      </c>
      <c r="B717" s="221" t="s">
        <v>5132</v>
      </c>
      <c r="C717" s="223" t="s">
        <v>1576</v>
      </c>
      <c r="D717" s="220" t="s">
        <v>5116</v>
      </c>
      <c r="E717" s="222">
        <v>20</v>
      </c>
      <c r="F717" s="192">
        <v>3962</v>
      </c>
      <c r="G717" s="24">
        <v>0.2</v>
      </c>
      <c r="H717" s="24">
        <v>0.05</v>
      </c>
      <c r="I717" s="24">
        <v>0.05</v>
      </c>
      <c r="J717" s="24">
        <v>0</v>
      </c>
      <c r="K717" s="224">
        <f t="shared" si="94"/>
        <v>0.27800000000000002</v>
      </c>
      <c r="L717" s="225">
        <f t="shared" si="95"/>
        <v>109750.69252077563</v>
      </c>
      <c r="M717" s="225">
        <f t="shared" si="96"/>
        <v>5487.5346260387814</v>
      </c>
      <c r="N717" s="226">
        <f t="shared" si="97"/>
        <v>6530.1662049861498</v>
      </c>
      <c r="O717" s="34">
        <v>0.3</v>
      </c>
      <c r="P717" s="226">
        <f t="shared" si="98"/>
        <v>8489.2160664819949</v>
      </c>
      <c r="Q717" s="107" t="s">
        <v>1486</v>
      </c>
      <c r="R717" s="34">
        <v>0.4</v>
      </c>
      <c r="S717" s="226">
        <f t="shared" si="91"/>
        <v>7857.9666666666672</v>
      </c>
      <c r="T717" s="156" t="s">
        <v>1486</v>
      </c>
      <c r="U717" s="2"/>
      <c r="V717" s="2" t="s">
        <v>47</v>
      </c>
      <c r="W717" s="2" t="s">
        <v>1467</v>
      </c>
      <c r="X717" s="2" t="s">
        <v>1467</v>
      </c>
      <c r="Y717" s="488" t="s">
        <v>1486</v>
      </c>
      <c r="Z717" s="293">
        <f t="shared" si="92"/>
        <v>1525.5346260387814</v>
      </c>
      <c r="AA717" s="293">
        <f t="shared" si="93"/>
        <v>2641.3333333333339</v>
      </c>
    </row>
    <row r="718" spans="1:27" s="320" customFormat="1" x14ac:dyDescent="0.25">
      <c r="A718" s="220" t="s">
        <v>5133</v>
      </c>
      <c r="B718" s="221" t="s">
        <v>5134</v>
      </c>
      <c r="C718" s="223" t="s">
        <v>1576</v>
      </c>
      <c r="D718" s="220" t="s">
        <v>5116</v>
      </c>
      <c r="E718" s="222">
        <v>20</v>
      </c>
      <c r="F718" s="192">
        <v>3962</v>
      </c>
      <c r="G718" s="24">
        <v>0.2</v>
      </c>
      <c r="H718" s="24">
        <v>0.05</v>
      </c>
      <c r="I718" s="24">
        <v>0.05</v>
      </c>
      <c r="J718" s="24">
        <v>0</v>
      </c>
      <c r="K718" s="224">
        <f t="shared" si="94"/>
        <v>0.27800000000000002</v>
      </c>
      <c r="L718" s="225">
        <f t="shared" si="95"/>
        <v>109750.69252077563</v>
      </c>
      <c r="M718" s="225">
        <f t="shared" si="96"/>
        <v>5487.5346260387814</v>
      </c>
      <c r="N718" s="226">
        <f t="shared" si="97"/>
        <v>6530.1662049861498</v>
      </c>
      <c r="O718" s="34">
        <v>0.3</v>
      </c>
      <c r="P718" s="226">
        <f t="shared" si="98"/>
        <v>8489.2160664819949</v>
      </c>
      <c r="Q718" s="107" t="s">
        <v>1486</v>
      </c>
      <c r="R718" s="34">
        <v>0.4</v>
      </c>
      <c r="S718" s="226">
        <f t="shared" si="91"/>
        <v>7857.9666666666672</v>
      </c>
      <c r="T718" s="156" t="s">
        <v>1486</v>
      </c>
      <c r="U718" s="2"/>
      <c r="V718" s="2" t="s">
        <v>47</v>
      </c>
      <c r="W718" s="2" t="s">
        <v>1467</v>
      </c>
      <c r="X718" s="2" t="s">
        <v>1467</v>
      </c>
      <c r="Y718" s="488" t="s">
        <v>1486</v>
      </c>
      <c r="Z718" s="293">
        <f t="shared" si="92"/>
        <v>1525.5346260387814</v>
      </c>
      <c r="AA718" s="293">
        <f t="shared" si="93"/>
        <v>2641.3333333333339</v>
      </c>
    </row>
    <row r="719" spans="1:27" s="320" customFormat="1" x14ac:dyDescent="0.25">
      <c r="A719" s="220" t="s">
        <v>5136</v>
      </c>
      <c r="B719" s="221" t="s">
        <v>5137</v>
      </c>
      <c r="C719" s="223" t="s">
        <v>1561</v>
      </c>
      <c r="D719" s="220" t="s">
        <v>409</v>
      </c>
      <c r="E719" s="222">
        <v>48</v>
      </c>
      <c r="F719" s="192">
        <v>593</v>
      </c>
      <c r="G719" s="24">
        <v>0.2</v>
      </c>
      <c r="H719" s="24">
        <v>0.05</v>
      </c>
      <c r="I719" s="24">
        <v>0.05</v>
      </c>
      <c r="J719" s="24">
        <v>0</v>
      </c>
      <c r="K719" s="224">
        <f t="shared" si="94"/>
        <v>0.27800000000000002</v>
      </c>
      <c r="L719" s="225">
        <f t="shared" si="95"/>
        <v>39423.822714681446</v>
      </c>
      <c r="M719" s="225">
        <f t="shared" si="96"/>
        <v>821.32963988919676</v>
      </c>
      <c r="N719" s="226">
        <f t="shared" si="97"/>
        <v>977.38227146814404</v>
      </c>
      <c r="O719" s="34">
        <v>0.3</v>
      </c>
      <c r="P719" s="226">
        <f t="shared" si="98"/>
        <v>1270.5969529085874</v>
      </c>
      <c r="Q719" s="107" t="s">
        <v>1486</v>
      </c>
      <c r="R719" s="34">
        <v>0.4</v>
      </c>
      <c r="S719" s="226">
        <f t="shared" si="91"/>
        <v>1176.1166666666666</v>
      </c>
      <c r="T719" s="156" t="s">
        <v>1486</v>
      </c>
      <c r="U719" s="2" t="s">
        <v>50</v>
      </c>
      <c r="V719" s="2" t="s">
        <v>47</v>
      </c>
      <c r="W719" s="2" t="s">
        <v>2900</v>
      </c>
      <c r="X719" s="2" t="s">
        <v>3541</v>
      </c>
      <c r="Y719" s="488" t="s">
        <v>1486</v>
      </c>
      <c r="Z719" s="293">
        <f t="shared" si="92"/>
        <v>228.32963988919676</v>
      </c>
      <c r="AA719" s="293">
        <f t="shared" si="93"/>
        <v>395.33333333333326</v>
      </c>
    </row>
    <row r="720" spans="1:27" s="320" customFormat="1" x14ac:dyDescent="0.25">
      <c r="A720" s="220" t="s">
        <v>5144</v>
      </c>
      <c r="B720" s="221" t="s">
        <v>5145</v>
      </c>
      <c r="C720" s="223" t="s">
        <v>5138</v>
      </c>
      <c r="D720" s="220" t="s">
        <v>5146</v>
      </c>
      <c r="E720" s="222">
        <v>12</v>
      </c>
      <c r="F720" s="192">
        <v>4622</v>
      </c>
      <c r="G720" s="24">
        <v>0.2</v>
      </c>
      <c r="H720" s="24">
        <v>0.05</v>
      </c>
      <c r="I720" s="24">
        <v>0.05</v>
      </c>
      <c r="J720" s="24">
        <v>0</v>
      </c>
      <c r="K720" s="224">
        <f t="shared" si="94"/>
        <v>0.27800000000000014</v>
      </c>
      <c r="L720" s="225">
        <f t="shared" si="95"/>
        <v>76819.944598337956</v>
      </c>
      <c r="M720" s="225">
        <f t="shared" si="96"/>
        <v>6401.6620498614966</v>
      </c>
      <c r="N720" s="226">
        <f t="shared" si="97"/>
        <v>7617.9778393351808</v>
      </c>
      <c r="O720" s="34">
        <v>0.3</v>
      </c>
      <c r="P720" s="226">
        <f t="shared" si="98"/>
        <v>9903.371191135735</v>
      </c>
      <c r="Q720" s="107" t="s">
        <v>1486</v>
      </c>
      <c r="R720" s="34">
        <v>0.3</v>
      </c>
      <c r="S720" s="226">
        <f t="shared" si="91"/>
        <v>7857.4</v>
      </c>
      <c r="T720" s="156" t="s">
        <v>1486</v>
      </c>
      <c r="U720" s="2"/>
      <c r="V720" s="2" t="s">
        <v>47</v>
      </c>
      <c r="W720" s="2" t="s">
        <v>1467</v>
      </c>
      <c r="X720" s="2" t="s">
        <v>1467</v>
      </c>
      <c r="Y720" s="488" t="s">
        <v>1486</v>
      </c>
      <c r="Z720" s="293">
        <f t="shared" si="92"/>
        <v>1779.6620498614966</v>
      </c>
      <c r="AA720" s="293">
        <f t="shared" si="93"/>
        <v>1980.8571428571431</v>
      </c>
    </row>
    <row r="721" spans="1:27" s="320" customFormat="1" x14ac:dyDescent="0.25">
      <c r="A721" s="220" t="s">
        <v>5159</v>
      </c>
      <c r="B721" s="221" t="s">
        <v>5160</v>
      </c>
      <c r="C721" s="223" t="s">
        <v>1546</v>
      </c>
      <c r="D721" s="220" t="s">
        <v>3669</v>
      </c>
      <c r="E721" s="222">
        <v>24</v>
      </c>
      <c r="F721" s="192">
        <v>1067</v>
      </c>
      <c r="G721" s="24">
        <v>0.2</v>
      </c>
      <c r="H721" s="24">
        <v>0.05</v>
      </c>
      <c r="I721" s="24">
        <v>0.05</v>
      </c>
      <c r="J721" s="24">
        <v>0</v>
      </c>
      <c r="K721" s="224">
        <f t="shared" si="94"/>
        <v>0.27800000000000002</v>
      </c>
      <c r="L721" s="225">
        <f t="shared" si="95"/>
        <v>35468.144044321336</v>
      </c>
      <c r="M721" s="225">
        <f t="shared" si="96"/>
        <v>1477.8393351800555</v>
      </c>
      <c r="N721" s="226">
        <f t="shared" si="97"/>
        <v>1758.6288088642659</v>
      </c>
      <c r="O721" s="34">
        <v>0.3</v>
      </c>
      <c r="P721" s="226">
        <f t="shared" si="98"/>
        <v>2286.2174515235456</v>
      </c>
      <c r="Q721" s="107" t="s">
        <v>1486</v>
      </c>
      <c r="R721" s="34">
        <v>0.35</v>
      </c>
      <c r="S721" s="226">
        <f t="shared" si="91"/>
        <v>1953.4307692307691</v>
      </c>
      <c r="T721" s="156" t="s">
        <v>1486</v>
      </c>
      <c r="U721" s="2"/>
      <c r="V721" s="2" t="s">
        <v>47</v>
      </c>
      <c r="W721" s="2" t="s">
        <v>1467</v>
      </c>
      <c r="X721" s="2" t="s">
        <v>1467</v>
      </c>
      <c r="Y721" s="488" t="s">
        <v>1486</v>
      </c>
      <c r="Z721" s="293">
        <f t="shared" si="92"/>
        <v>410.83933518005551</v>
      </c>
      <c r="AA721" s="293">
        <f t="shared" si="93"/>
        <v>574.53846153846143</v>
      </c>
    </row>
    <row r="722" spans="1:27" s="320" customFormat="1" x14ac:dyDescent="0.25">
      <c r="A722" s="220" t="s">
        <v>5175</v>
      </c>
      <c r="B722" s="221" t="s">
        <v>5176</v>
      </c>
      <c r="C722" s="223" t="s">
        <v>4934</v>
      </c>
      <c r="D722" s="220" t="s">
        <v>5177</v>
      </c>
      <c r="E722" s="222">
        <v>6</v>
      </c>
      <c r="F722" s="192">
        <v>900</v>
      </c>
      <c r="G722" s="24">
        <v>0.2</v>
      </c>
      <c r="H722" s="24">
        <v>0.05</v>
      </c>
      <c r="I722" s="24">
        <v>0.05</v>
      </c>
      <c r="J722" s="24">
        <v>0.05</v>
      </c>
      <c r="K722" s="224">
        <f t="shared" si="94"/>
        <v>0.31410000000000016</v>
      </c>
      <c r="L722" s="225">
        <f t="shared" si="95"/>
        <v>7872.8677649803194</v>
      </c>
      <c r="M722" s="225">
        <f t="shared" si="96"/>
        <v>1312.14462749672</v>
      </c>
      <c r="N722" s="226">
        <f t="shared" si="97"/>
        <v>1561.4521067210967</v>
      </c>
      <c r="O722" s="34">
        <v>0.3</v>
      </c>
      <c r="P722" s="226">
        <f t="shared" si="98"/>
        <v>2029.8877387374257</v>
      </c>
      <c r="Q722" s="107" t="s">
        <v>1486</v>
      </c>
      <c r="R722" s="34">
        <v>0.45</v>
      </c>
      <c r="S722" s="226">
        <f t="shared" si="91"/>
        <v>1947.272727272727</v>
      </c>
      <c r="T722" s="156" t="s">
        <v>1486</v>
      </c>
      <c r="U722" s="2"/>
      <c r="V722" s="2" t="s">
        <v>47</v>
      </c>
      <c r="W722" s="2" t="s">
        <v>1467</v>
      </c>
      <c r="X722" s="2" t="s">
        <v>1467</v>
      </c>
      <c r="Y722" s="488" t="s">
        <v>1486</v>
      </c>
      <c r="Z722" s="293">
        <f t="shared" si="92"/>
        <v>412.14462749671998</v>
      </c>
      <c r="AA722" s="293">
        <f t="shared" si="93"/>
        <v>736.36363636363626</v>
      </c>
    </row>
    <row r="723" spans="1:27" s="320" customFormat="1" x14ac:dyDescent="0.25">
      <c r="A723" s="220" t="s">
        <v>5201</v>
      </c>
      <c r="B723" s="221" t="s">
        <v>5982</v>
      </c>
      <c r="C723" s="223" t="s">
        <v>1524</v>
      </c>
      <c r="D723" s="220" t="s">
        <v>1539</v>
      </c>
      <c r="E723" s="222">
        <v>1</v>
      </c>
      <c r="F723" s="192">
        <v>15546</v>
      </c>
      <c r="G723" s="24">
        <v>0.2</v>
      </c>
      <c r="H723" s="24">
        <v>0.05</v>
      </c>
      <c r="I723" s="24">
        <v>0.05</v>
      </c>
      <c r="J723" s="24">
        <v>0</v>
      </c>
      <c r="K723" s="224">
        <f t="shared" si="94"/>
        <v>0.27800000000000002</v>
      </c>
      <c r="L723" s="225">
        <f t="shared" si="95"/>
        <v>21531.855955678671</v>
      </c>
      <c r="M723" s="225">
        <f t="shared" si="96"/>
        <v>21531.855955678671</v>
      </c>
      <c r="N723" s="226">
        <f t="shared" si="97"/>
        <v>25622.908587257618</v>
      </c>
      <c r="O723" s="34">
        <v>0.3</v>
      </c>
      <c r="P723" s="226">
        <f t="shared" si="98"/>
        <v>33309.781163434905</v>
      </c>
      <c r="Q723" s="107" t="s">
        <v>1486</v>
      </c>
      <c r="R723" s="34">
        <v>0.2</v>
      </c>
      <c r="S723" s="226">
        <f t="shared" si="91"/>
        <v>23124.674999999999</v>
      </c>
      <c r="T723" s="156" t="s">
        <v>1486</v>
      </c>
      <c r="U723" s="2">
        <v>1</v>
      </c>
      <c r="V723" s="2" t="s">
        <v>47</v>
      </c>
      <c r="W723" s="2" t="s">
        <v>5883</v>
      </c>
      <c r="X723" s="2" t="s">
        <v>5967</v>
      </c>
      <c r="Y723" s="488" t="s">
        <v>1486</v>
      </c>
      <c r="Z723" s="293">
        <f t="shared" si="92"/>
        <v>5985.8559556786713</v>
      </c>
      <c r="AA723" s="293">
        <f t="shared" si="93"/>
        <v>3886.5</v>
      </c>
    </row>
    <row r="724" spans="1:27" s="320" customFormat="1" x14ac:dyDescent="0.25">
      <c r="A724" s="220" t="s">
        <v>5213</v>
      </c>
      <c r="B724" s="221" t="s">
        <v>5869</v>
      </c>
      <c r="C724" s="223" t="s">
        <v>5170</v>
      </c>
      <c r="D724" s="220" t="s">
        <v>5214</v>
      </c>
      <c r="E724" s="222">
        <v>24</v>
      </c>
      <c r="F724" s="192">
        <v>611</v>
      </c>
      <c r="G724" s="24">
        <v>0.2</v>
      </c>
      <c r="H724" s="24">
        <v>0.05</v>
      </c>
      <c r="I724" s="24">
        <v>0.05</v>
      </c>
      <c r="J724" s="24">
        <v>0</v>
      </c>
      <c r="K724" s="224">
        <f t="shared" si="94"/>
        <v>0.27800000000000014</v>
      </c>
      <c r="L724" s="225">
        <f t="shared" si="95"/>
        <v>20310.249307479229</v>
      </c>
      <c r="M724" s="225">
        <f t="shared" si="96"/>
        <v>846.26038781163447</v>
      </c>
      <c r="N724" s="226">
        <f t="shared" si="97"/>
        <v>1007.049861495845</v>
      </c>
      <c r="O724" s="34">
        <v>0.3</v>
      </c>
      <c r="P724" s="226">
        <f t="shared" si="98"/>
        <v>1309.1648199445985</v>
      </c>
      <c r="Q724" s="107" t="s">
        <v>1486</v>
      </c>
      <c r="R724" s="34">
        <v>0.3</v>
      </c>
      <c r="S724" s="226">
        <f t="shared" si="91"/>
        <v>1038.7</v>
      </c>
      <c r="T724" s="156" t="s">
        <v>1486</v>
      </c>
      <c r="U724" s="2" t="s">
        <v>50</v>
      </c>
      <c r="V724" s="2" t="s">
        <v>47</v>
      </c>
      <c r="W724" s="2" t="s">
        <v>2900</v>
      </c>
      <c r="X724" s="2" t="s">
        <v>2901</v>
      </c>
      <c r="Y724" s="488" t="s">
        <v>1486</v>
      </c>
      <c r="Z724" s="293">
        <f t="shared" si="92"/>
        <v>235.26038781163447</v>
      </c>
      <c r="AA724" s="293">
        <f t="shared" si="93"/>
        <v>261.85714285714289</v>
      </c>
    </row>
    <row r="725" spans="1:27" s="320" customFormat="1" x14ac:dyDescent="0.25">
      <c r="A725" s="220" t="s">
        <v>5215</v>
      </c>
      <c r="B725" s="221" t="s">
        <v>5216</v>
      </c>
      <c r="C725" s="223" t="s">
        <v>5170</v>
      </c>
      <c r="D725" s="220" t="s">
        <v>5214</v>
      </c>
      <c r="E725" s="222">
        <v>24</v>
      </c>
      <c r="F725" s="192">
        <v>820</v>
      </c>
      <c r="G725" s="24">
        <v>0.2</v>
      </c>
      <c r="H725" s="24">
        <v>0.05</v>
      </c>
      <c r="I725" s="24">
        <v>0.05</v>
      </c>
      <c r="J725" s="24">
        <v>0</v>
      </c>
      <c r="K725" s="224">
        <f t="shared" si="94"/>
        <v>0.27800000000000002</v>
      </c>
      <c r="L725" s="225">
        <f t="shared" si="95"/>
        <v>27257.617728531855</v>
      </c>
      <c r="M725" s="225">
        <f t="shared" si="96"/>
        <v>1135.7340720221607</v>
      </c>
      <c r="N725" s="226">
        <f t="shared" si="97"/>
        <v>1351.5235457063711</v>
      </c>
      <c r="O725" s="34">
        <v>0.3</v>
      </c>
      <c r="P725" s="226">
        <f t="shared" si="98"/>
        <v>1756.9806094182825</v>
      </c>
      <c r="Q725" s="107" t="s">
        <v>1486</v>
      </c>
      <c r="R725" s="34">
        <v>0.3</v>
      </c>
      <c r="S725" s="226">
        <f t="shared" si="91"/>
        <v>1394</v>
      </c>
      <c r="T725" s="156" t="s">
        <v>1486</v>
      </c>
      <c r="U725" s="2" t="s">
        <v>50</v>
      </c>
      <c r="V725" s="2" t="s">
        <v>47</v>
      </c>
      <c r="W725" s="2" t="s">
        <v>2900</v>
      </c>
      <c r="X725" s="2" t="s">
        <v>2901</v>
      </c>
      <c r="Y725" s="488" t="s">
        <v>1486</v>
      </c>
      <c r="Z725" s="293">
        <f t="shared" si="92"/>
        <v>315.73407202216072</v>
      </c>
      <c r="AA725" s="293">
        <f t="shared" si="93"/>
        <v>351.42857142857156</v>
      </c>
    </row>
    <row r="726" spans="1:27" s="320" customFormat="1" x14ac:dyDescent="0.25">
      <c r="A726" s="220" t="s">
        <v>5217</v>
      </c>
      <c r="B726" s="221" t="s">
        <v>5218</v>
      </c>
      <c r="C726" s="223" t="s">
        <v>5170</v>
      </c>
      <c r="D726" s="220" t="s">
        <v>5214</v>
      </c>
      <c r="E726" s="222">
        <v>48</v>
      </c>
      <c r="F726" s="192">
        <v>544</v>
      </c>
      <c r="G726" s="24">
        <v>0.2</v>
      </c>
      <c r="H726" s="24">
        <v>0.05</v>
      </c>
      <c r="I726" s="24">
        <v>0.05</v>
      </c>
      <c r="J726" s="24">
        <v>0</v>
      </c>
      <c r="K726" s="224">
        <f t="shared" si="94"/>
        <v>0.27800000000000002</v>
      </c>
      <c r="L726" s="225">
        <f t="shared" si="95"/>
        <v>36166.204986149591</v>
      </c>
      <c r="M726" s="225">
        <f t="shared" si="96"/>
        <v>753.4626038781164</v>
      </c>
      <c r="N726" s="226">
        <f t="shared" si="97"/>
        <v>896.62049861495848</v>
      </c>
      <c r="O726" s="34">
        <v>0.3</v>
      </c>
      <c r="P726" s="226">
        <f t="shared" si="98"/>
        <v>1165.606648199446</v>
      </c>
      <c r="Q726" s="107" t="s">
        <v>1486</v>
      </c>
      <c r="R726" s="34">
        <v>0.3</v>
      </c>
      <c r="S726" s="226">
        <f t="shared" si="91"/>
        <v>924.80000000000007</v>
      </c>
      <c r="T726" s="156" t="s">
        <v>1486</v>
      </c>
      <c r="U726" s="2" t="s">
        <v>50</v>
      </c>
      <c r="V726" s="2" t="s">
        <v>47</v>
      </c>
      <c r="W726" s="2" t="s">
        <v>2900</v>
      </c>
      <c r="X726" s="2" t="s">
        <v>2903</v>
      </c>
      <c r="Y726" s="488" t="s">
        <v>1486</v>
      </c>
      <c r="Z726" s="293">
        <f t="shared" si="92"/>
        <v>209.4626038781164</v>
      </c>
      <c r="AA726" s="293">
        <f t="shared" si="93"/>
        <v>233.14285714285722</v>
      </c>
    </row>
    <row r="727" spans="1:27" s="320" customFormat="1" x14ac:dyDescent="0.25">
      <c r="A727" s="220" t="s">
        <v>5219</v>
      </c>
      <c r="B727" s="221" t="s">
        <v>5870</v>
      </c>
      <c r="C727" s="223" t="s">
        <v>5170</v>
      </c>
      <c r="D727" s="220" t="s">
        <v>5214</v>
      </c>
      <c r="E727" s="222">
        <v>6</v>
      </c>
      <c r="F727" s="192">
        <v>2696</v>
      </c>
      <c r="G727" s="24">
        <v>0.2</v>
      </c>
      <c r="H727" s="24">
        <v>0.05</v>
      </c>
      <c r="I727" s="24">
        <v>0.05</v>
      </c>
      <c r="J727" s="24">
        <v>0</v>
      </c>
      <c r="K727" s="224">
        <f t="shared" si="94"/>
        <v>0.27800000000000014</v>
      </c>
      <c r="L727" s="225">
        <f t="shared" si="95"/>
        <v>22404.432132963993</v>
      </c>
      <c r="M727" s="225">
        <f t="shared" si="96"/>
        <v>3734.0720221606653</v>
      </c>
      <c r="N727" s="226">
        <f t="shared" si="97"/>
        <v>4443.545706371191</v>
      </c>
      <c r="O727" s="34">
        <v>0.3</v>
      </c>
      <c r="P727" s="226">
        <f t="shared" si="98"/>
        <v>5776.6094182825482</v>
      </c>
      <c r="Q727" s="107" t="s">
        <v>1486</v>
      </c>
      <c r="R727" s="34">
        <v>0.3</v>
      </c>
      <c r="S727" s="226">
        <f t="shared" si="91"/>
        <v>4583.2</v>
      </c>
      <c r="T727" s="156" t="s">
        <v>1486</v>
      </c>
      <c r="U727" s="2" t="s">
        <v>50</v>
      </c>
      <c r="V727" s="2" t="s">
        <v>47</v>
      </c>
      <c r="W727" s="2" t="s">
        <v>2900</v>
      </c>
      <c r="X727" s="2" t="s">
        <v>2903</v>
      </c>
      <c r="Y727" s="488" t="s">
        <v>1486</v>
      </c>
      <c r="Z727" s="293">
        <f t="shared" si="92"/>
        <v>1038.0720221606653</v>
      </c>
      <c r="AA727" s="293">
        <f t="shared" si="93"/>
        <v>1155.4285714285716</v>
      </c>
    </row>
    <row r="728" spans="1:27" s="320" customFormat="1" x14ac:dyDescent="0.25">
      <c r="A728" s="220" t="s">
        <v>5220</v>
      </c>
      <c r="B728" s="221" t="s">
        <v>5871</v>
      </c>
      <c r="C728" s="223" t="s">
        <v>5170</v>
      </c>
      <c r="D728" s="220" t="s">
        <v>5214</v>
      </c>
      <c r="E728" s="222">
        <v>6</v>
      </c>
      <c r="F728" s="192">
        <v>3120</v>
      </c>
      <c r="G728" s="24">
        <v>0.2</v>
      </c>
      <c r="H728" s="24">
        <v>0.05</v>
      </c>
      <c r="I728" s="24">
        <v>0.05</v>
      </c>
      <c r="J728" s="24">
        <v>0</v>
      </c>
      <c r="K728" s="224">
        <f t="shared" si="94"/>
        <v>0.27800000000000002</v>
      </c>
      <c r="L728" s="225">
        <f t="shared" si="95"/>
        <v>25927.977839335181</v>
      </c>
      <c r="M728" s="225">
        <f t="shared" si="96"/>
        <v>4321.3296398891971</v>
      </c>
      <c r="N728" s="226">
        <f t="shared" si="97"/>
        <v>5142.3822714681446</v>
      </c>
      <c r="O728" s="34">
        <v>0.3</v>
      </c>
      <c r="P728" s="226">
        <f t="shared" si="98"/>
        <v>6685.0969529085878</v>
      </c>
      <c r="Q728" s="107" t="s">
        <v>1486</v>
      </c>
      <c r="R728" s="34">
        <v>0.3</v>
      </c>
      <c r="S728" s="226">
        <f t="shared" si="91"/>
        <v>5304.0000000000009</v>
      </c>
      <c r="T728" s="156" t="s">
        <v>1486</v>
      </c>
      <c r="U728" s="2" t="s">
        <v>50</v>
      </c>
      <c r="V728" s="2" t="s">
        <v>47</v>
      </c>
      <c r="W728" s="2" t="s">
        <v>2900</v>
      </c>
      <c r="X728" s="2" t="s">
        <v>2903</v>
      </c>
      <c r="Y728" s="488" t="s">
        <v>1486</v>
      </c>
      <c r="Z728" s="293">
        <f t="shared" si="92"/>
        <v>1201.3296398891971</v>
      </c>
      <c r="AA728" s="293">
        <f t="shared" si="93"/>
        <v>1337.1428571428578</v>
      </c>
    </row>
    <row r="729" spans="1:27" s="320" customFormat="1" x14ac:dyDescent="0.25">
      <c r="A729" s="220" t="s">
        <v>5238</v>
      </c>
      <c r="B729" s="221" t="s">
        <v>5239</v>
      </c>
      <c r="C729" s="223" t="s">
        <v>4774</v>
      </c>
      <c r="D729" s="220" t="s">
        <v>4705</v>
      </c>
      <c r="E729" s="222">
        <v>1</v>
      </c>
      <c r="F729" s="192">
        <v>9100</v>
      </c>
      <c r="G729" s="24">
        <v>0.23</v>
      </c>
      <c r="H729" s="24">
        <v>0.05</v>
      </c>
      <c r="I729" s="24">
        <v>0.05</v>
      </c>
      <c r="J729" s="24">
        <v>0</v>
      </c>
      <c r="K729" s="224">
        <f t="shared" si="94"/>
        <v>0.30507499999999999</v>
      </c>
      <c r="L729" s="225">
        <f t="shared" si="95"/>
        <v>13094.938302694536</v>
      </c>
      <c r="M729" s="225">
        <f t="shared" si="96"/>
        <v>13094.938302694536</v>
      </c>
      <c r="N729" s="226">
        <f t="shared" si="97"/>
        <v>15582.976580206498</v>
      </c>
      <c r="O729" s="34">
        <v>0.4</v>
      </c>
      <c r="P729" s="226">
        <f t="shared" si="98"/>
        <v>21816.167212289096</v>
      </c>
      <c r="Q729" s="107" t="s">
        <v>1486</v>
      </c>
      <c r="R729" s="34">
        <v>0.4</v>
      </c>
      <c r="S729" s="226">
        <f t="shared" si="91"/>
        <v>18048.333333333336</v>
      </c>
      <c r="T729" s="156" t="s">
        <v>1486</v>
      </c>
      <c r="U729" s="2" t="s">
        <v>50</v>
      </c>
      <c r="V729" s="2" t="s">
        <v>47</v>
      </c>
      <c r="W729" s="2" t="s">
        <v>5882</v>
      </c>
      <c r="X729" s="2" t="s">
        <v>1467</v>
      </c>
      <c r="Y729" s="488" t="s">
        <v>1486</v>
      </c>
      <c r="Z729" s="293">
        <f t="shared" si="92"/>
        <v>3994.9383026945361</v>
      </c>
      <c r="AA729" s="293">
        <f t="shared" si="93"/>
        <v>6066.6666666666697</v>
      </c>
    </row>
    <row r="730" spans="1:27" s="320" customFormat="1" x14ac:dyDescent="0.25">
      <c r="A730" s="220" t="s">
        <v>5248</v>
      </c>
      <c r="B730" s="221" t="s">
        <v>5264</v>
      </c>
      <c r="C730" s="223" t="s">
        <v>2787</v>
      </c>
      <c r="D730" s="220" t="s">
        <v>5249</v>
      </c>
      <c r="E730" s="222">
        <v>4</v>
      </c>
      <c r="F730" s="192">
        <v>1337</v>
      </c>
      <c r="G730" s="24">
        <v>0.2</v>
      </c>
      <c r="H730" s="24">
        <v>0.05</v>
      </c>
      <c r="I730" s="24">
        <v>0.05</v>
      </c>
      <c r="J730" s="24">
        <v>0.05</v>
      </c>
      <c r="K730" s="224">
        <f t="shared" si="94"/>
        <v>0.31410000000000016</v>
      </c>
      <c r="L730" s="225">
        <f t="shared" si="95"/>
        <v>7797.054964280509</v>
      </c>
      <c r="M730" s="225">
        <f t="shared" si="96"/>
        <v>1949.2637410701273</v>
      </c>
      <c r="N730" s="226">
        <f t="shared" si="97"/>
        <v>2319.6238518734513</v>
      </c>
      <c r="O730" s="34">
        <v>0.3</v>
      </c>
      <c r="P730" s="226">
        <f t="shared" si="98"/>
        <v>3015.5110074354866</v>
      </c>
      <c r="Q730" s="107" t="s">
        <v>1486</v>
      </c>
      <c r="R730" s="34">
        <v>0.59</v>
      </c>
      <c r="S730" s="226">
        <f t="shared" si="91"/>
        <v>3880.5609756097556</v>
      </c>
      <c r="T730" s="156" t="s">
        <v>1486</v>
      </c>
      <c r="U730" s="2"/>
      <c r="V730" s="2" t="s">
        <v>47</v>
      </c>
      <c r="W730" s="2" t="s">
        <v>1467</v>
      </c>
      <c r="X730" s="2" t="s">
        <v>1467</v>
      </c>
      <c r="Y730" s="488" t="s">
        <v>1486</v>
      </c>
      <c r="Z730" s="293">
        <f t="shared" si="92"/>
        <v>612.26374107012725</v>
      </c>
      <c r="AA730" s="293">
        <f t="shared" si="93"/>
        <v>1923.9756097560971</v>
      </c>
    </row>
    <row r="731" spans="1:27" s="320" customFormat="1" x14ac:dyDescent="0.25">
      <c r="A731" s="220" t="s">
        <v>5280</v>
      </c>
      <c r="B731" s="221" t="s">
        <v>5440</v>
      </c>
      <c r="C731" s="223" t="s">
        <v>4767</v>
      </c>
      <c r="D731" s="220" t="s">
        <v>4636</v>
      </c>
      <c r="E731" s="222">
        <v>20</v>
      </c>
      <c r="F731" s="192">
        <v>1844</v>
      </c>
      <c r="G731" s="24">
        <v>0.2</v>
      </c>
      <c r="H731" s="24">
        <v>0.05</v>
      </c>
      <c r="I731" s="24">
        <v>0.05</v>
      </c>
      <c r="J731" s="24">
        <v>0.05</v>
      </c>
      <c r="K731" s="224">
        <f t="shared" si="94"/>
        <v>0.31410000000000005</v>
      </c>
      <c r="L731" s="225">
        <f t="shared" si="95"/>
        <v>53768.770957865578</v>
      </c>
      <c r="M731" s="225">
        <f t="shared" si="96"/>
        <v>2688.4385478932791</v>
      </c>
      <c r="N731" s="226">
        <f t="shared" si="97"/>
        <v>3199.241871993002</v>
      </c>
      <c r="O731" s="34">
        <v>0.3</v>
      </c>
      <c r="P731" s="226">
        <f t="shared" si="98"/>
        <v>4159.0144335909026</v>
      </c>
      <c r="Q731" s="107" t="s">
        <v>1486</v>
      </c>
      <c r="R731" s="34">
        <v>0.45</v>
      </c>
      <c r="S731" s="226">
        <f t="shared" si="91"/>
        <v>3989.7454545454543</v>
      </c>
      <c r="T731" s="156" t="s">
        <v>1486</v>
      </c>
      <c r="U731" s="2"/>
      <c r="V731" s="2" t="s">
        <v>47</v>
      </c>
      <c r="W731" s="2" t="s">
        <v>1467</v>
      </c>
      <c r="X731" s="2" t="s">
        <v>1467</v>
      </c>
      <c r="Y731" s="488" t="s">
        <v>1486</v>
      </c>
      <c r="Z731" s="293">
        <f t="shared" si="92"/>
        <v>844.43854789327906</v>
      </c>
      <c r="AA731" s="293">
        <f t="shared" si="93"/>
        <v>1508.7272727272725</v>
      </c>
    </row>
    <row r="732" spans="1:27" s="320" customFormat="1" x14ac:dyDescent="0.25">
      <c r="A732" s="220" t="s">
        <v>5308</v>
      </c>
      <c r="B732" s="221" t="s">
        <v>5309</v>
      </c>
      <c r="C732" s="223" t="s">
        <v>4767</v>
      </c>
      <c r="D732" s="220" t="s">
        <v>4636</v>
      </c>
      <c r="E732" s="222">
        <v>12</v>
      </c>
      <c r="F732" s="192"/>
      <c r="G732" s="24">
        <v>0.2</v>
      </c>
      <c r="H732" s="24">
        <v>0.05</v>
      </c>
      <c r="I732" s="24">
        <v>0.05</v>
      </c>
      <c r="J732" s="24">
        <v>0</v>
      </c>
      <c r="K732" s="224">
        <f t="shared" si="94"/>
        <v>0</v>
      </c>
      <c r="L732" s="225">
        <f t="shared" si="95"/>
        <v>0</v>
      </c>
      <c r="M732" s="225">
        <f t="shared" si="96"/>
        <v>0</v>
      </c>
      <c r="N732" s="226">
        <f t="shared" si="97"/>
        <v>0</v>
      </c>
      <c r="O732" s="34">
        <v>0.3</v>
      </c>
      <c r="P732" s="226">
        <f t="shared" si="98"/>
        <v>0</v>
      </c>
      <c r="Q732" s="107" t="s">
        <v>1486</v>
      </c>
      <c r="R732" s="34">
        <v>0.35</v>
      </c>
      <c r="S732" s="226">
        <f t="shared" si="91"/>
        <v>0</v>
      </c>
      <c r="T732" s="156" t="s">
        <v>1486</v>
      </c>
      <c r="U732" s="2"/>
      <c r="V732" s="2" t="s">
        <v>47</v>
      </c>
      <c r="W732" s="2" t="s">
        <v>1467</v>
      </c>
      <c r="X732" s="2" t="s">
        <v>1467</v>
      </c>
      <c r="Y732" s="488" t="s">
        <v>1486</v>
      </c>
      <c r="Z732" s="293">
        <f t="shared" si="92"/>
        <v>0</v>
      </c>
      <c r="AA732" s="293">
        <f t="shared" si="93"/>
        <v>0</v>
      </c>
    </row>
    <row r="733" spans="1:27" s="320" customFormat="1" x14ac:dyDescent="0.25">
      <c r="A733" s="220" t="s">
        <v>5310</v>
      </c>
      <c r="B733" s="221" t="s">
        <v>5311</v>
      </c>
      <c r="C733" s="223" t="s">
        <v>4767</v>
      </c>
      <c r="D733" s="220" t="s">
        <v>4636</v>
      </c>
      <c r="E733" s="222">
        <v>12</v>
      </c>
      <c r="F733" s="192">
        <v>1067</v>
      </c>
      <c r="G733" s="24">
        <v>0.2</v>
      </c>
      <c r="H733" s="24">
        <v>0.05</v>
      </c>
      <c r="I733" s="24">
        <v>0.05</v>
      </c>
      <c r="J733" s="24">
        <v>0</v>
      </c>
      <c r="K733" s="224">
        <f t="shared" si="94"/>
        <v>0.27800000000000002</v>
      </c>
      <c r="L733" s="225">
        <f t="shared" si="95"/>
        <v>17734.072022160668</v>
      </c>
      <c r="M733" s="225">
        <f t="shared" si="96"/>
        <v>1477.8393351800555</v>
      </c>
      <c r="N733" s="226">
        <f t="shared" si="97"/>
        <v>1758.6288088642659</v>
      </c>
      <c r="O733" s="34">
        <v>0.3</v>
      </c>
      <c r="P733" s="226">
        <f t="shared" si="98"/>
        <v>2286.2174515235456</v>
      </c>
      <c r="Q733" s="107" t="s">
        <v>1486</v>
      </c>
      <c r="R733" s="34">
        <v>0.35</v>
      </c>
      <c r="S733" s="226">
        <f t="shared" ref="S733:S796" si="99">+(F733/(1-R733))*1.19</f>
        <v>1953.4307692307691</v>
      </c>
      <c r="T733" s="156" t="s">
        <v>1486</v>
      </c>
      <c r="U733" s="2"/>
      <c r="V733" s="2" t="s">
        <v>47</v>
      </c>
      <c r="W733" s="2" t="s">
        <v>1467</v>
      </c>
      <c r="X733" s="2" t="s">
        <v>1467</v>
      </c>
      <c r="Y733" s="488" t="s">
        <v>1486</v>
      </c>
      <c r="Z733" s="293">
        <f t="shared" si="92"/>
        <v>410.83933518005551</v>
      </c>
      <c r="AA733" s="293">
        <f t="shared" si="93"/>
        <v>574.53846153846143</v>
      </c>
    </row>
    <row r="734" spans="1:27" s="320" customFormat="1" x14ac:dyDescent="0.25">
      <c r="A734" s="220" t="s">
        <v>5312</v>
      </c>
      <c r="B734" s="221" t="s">
        <v>5313</v>
      </c>
      <c r="C734" s="223" t="s">
        <v>4767</v>
      </c>
      <c r="D734" s="220" t="s">
        <v>4636</v>
      </c>
      <c r="E734" s="222">
        <v>12</v>
      </c>
      <c r="F734" s="192">
        <v>952</v>
      </c>
      <c r="G734" s="24">
        <v>0.2</v>
      </c>
      <c r="H734" s="24">
        <v>0.05</v>
      </c>
      <c r="I734" s="24">
        <v>0.05</v>
      </c>
      <c r="J734" s="24">
        <v>0</v>
      </c>
      <c r="K734" s="224">
        <f t="shared" si="94"/>
        <v>0.27800000000000014</v>
      </c>
      <c r="L734" s="225">
        <f t="shared" si="95"/>
        <v>15822.714681440444</v>
      </c>
      <c r="M734" s="225">
        <f t="shared" si="96"/>
        <v>1318.5595567867038</v>
      </c>
      <c r="N734" s="226">
        <f t="shared" si="97"/>
        <v>1569.0858725761775</v>
      </c>
      <c r="O734" s="34">
        <v>0.3</v>
      </c>
      <c r="P734" s="226">
        <f t="shared" si="98"/>
        <v>2039.8116343490308</v>
      </c>
      <c r="Q734" s="107" t="s">
        <v>1486</v>
      </c>
      <c r="R734" s="34">
        <v>0.35</v>
      </c>
      <c r="S734" s="226">
        <f t="shared" si="99"/>
        <v>1742.8923076923074</v>
      </c>
      <c r="T734" s="156" t="s">
        <v>1486</v>
      </c>
      <c r="U734" s="2"/>
      <c r="V734" s="2" t="s">
        <v>47</v>
      </c>
      <c r="W734" s="2" t="s">
        <v>1467</v>
      </c>
      <c r="X734" s="2" t="s">
        <v>1467</v>
      </c>
      <c r="Y734" s="488" t="s">
        <v>1486</v>
      </c>
      <c r="Z734" s="293">
        <f t="shared" si="92"/>
        <v>366.55955678670375</v>
      </c>
      <c r="AA734" s="293">
        <f t="shared" si="93"/>
        <v>512.61538461538453</v>
      </c>
    </row>
    <row r="735" spans="1:27" s="320" customFormat="1" x14ac:dyDescent="0.25">
      <c r="A735" s="220" t="s">
        <v>5338</v>
      </c>
      <c r="B735" s="221" t="s">
        <v>5339</v>
      </c>
      <c r="C735" s="223" t="s">
        <v>1563</v>
      </c>
      <c r="D735" s="220" t="s">
        <v>4457</v>
      </c>
      <c r="E735" s="222">
        <v>12</v>
      </c>
      <c r="F735" s="192">
        <v>535</v>
      </c>
      <c r="G735" s="24">
        <v>0.2</v>
      </c>
      <c r="H735" s="24">
        <v>0.05</v>
      </c>
      <c r="I735" s="24">
        <v>0.05</v>
      </c>
      <c r="J735" s="24">
        <v>0</v>
      </c>
      <c r="K735" s="224">
        <f t="shared" si="94"/>
        <v>0.27800000000000014</v>
      </c>
      <c r="L735" s="225">
        <f t="shared" si="95"/>
        <v>8891.9667590027711</v>
      </c>
      <c r="M735" s="225">
        <f t="shared" si="96"/>
        <v>740.9972299168976</v>
      </c>
      <c r="N735" s="226">
        <f t="shared" si="97"/>
        <v>881.78670360110812</v>
      </c>
      <c r="O735" s="34">
        <v>0.3</v>
      </c>
      <c r="P735" s="226">
        <f t="shared" si="98"/>
        <v>1146.3227146814406</v>
      </c>
      <c r="Q735" s="107" t="s">
        <v>1486</v>
      </c>
      <c r="R735" s="34">
        <v>0.3</v>
      </c>
      <c r="S735" s="226">
        <f t="shared" si="99"/>
        <v>909.5</v>
      </c>
      <c r="T735" s="156" t="s">
        <v>1486</v>
      </c>
      <c r="U735" s="2" t="s">
        <v>109</v>
      </c>
      <c r="V735" s="2" t="s">
        <v>5826</v>
      </c>
      <c r="W735" s="2" t="s">
        <v>5888</v>
      </c>
      <c r="X735" s="2" t="s">
        <v>1467</v>
      </c>
      <c r="Y735" s="488" t="s">
        <v>1486</v>
      </c>
      <c r="Z735" s="293">
        <f t="shared" si="92"/>
        <v>205.9972299168976</v>
      </c>
      <c r="AA735" s="293">
        <f t="shared" si="93"/>
        <v>229.28571428571433</v>
      </c>
    </row>
    <row r="736" spans="1:27" s="320" customFormat="1" x14ac:dyDescent="0.25">
      <c r="A736" s="220" t="s">
        <v>5351</v>
      </c>
      <c r="B736" s="221" t="s">
        <v>5352</v>
      </c>
      <c r="C736" s="223" t="s">
        <v>4774</v>
      </c>
      <c r="D736" s="220" t="s">
        <v>4705</v>
      </c>
      <c r="E736" s="222">
        <v>1</v>
      </c>
      <c r="F736" s="192">
        <v>8308</v>
      </c>
      <c r="G736" s="24">
        <v>0.23</v>
      </c>
      <c r="H736" s="24">
        <v>0.05</v>
      </c>
      <c r="I736" s="24">
        <v>0.05</v>
      </c>
      <c r="J736" s="24">
        <v>0</v>
      </c>
      <c r="K736" s="224">
        <f t="shared" si="94"/>
        <v>0.30507499999999999</v>
      </c>
      <c r="L736" s="225">
        <f t="shared" si="95"/>
        <v>11955.246969097385</v>
      </c>
      <c r="M736" s="225">
        <f t="shared" si="96"/>
        <v>11955.246969097385</v>
      </c>
      <c r="N736" s="226">
        <f t="shared" si="97"/>
        <v>14226.743893225886</v>
      </c>
      <c r="O736" s="34">
        <v>0.4</v>
      </c>
      <c r="P736" s="226">
        <f t="shared" si="98"/>
        <v>19917.441450516239</v>
      </c>
      <c r="Q736" s="107" t="s">
        <v>1486</v>
      </c>
      <c r="R736" s="34">
        <v>0.4</v>
      </c>
      <c r="S736" s="226">
        <f t="shared" si="99"/>
        <v>16477.533333333333</v>
      </c>
      <c r="T736" s="156" t="s">
        <v>1486</v>
      </c>
      <c r="U736" s="2" t="s">
        <v>50</v>
      </c>
      <c r="V736" s="2" t="s">
        <v>47</v>
      </c>
      <c r="W736" s="2" t="s">
        <v>5882</v>
      </c>
      <c r="X736" s="2" t="s">
        <v>1467</v>
      </c>
      <c r="Y736" s="488" t="s">
        <v>1486</v>
      </c>
      <c r="Z736" s="293">
        <f t="shared" si="92"/>
        <v>3647.2469690973849</v>
      </c>
      <c r="AA736" s="293">
        <f t="shared" si="93"/>
        <v>5538.6666666666661</v>
      </c>
    </row>
    <row r="737" spans="1:27" s="320" customFormat="1" x14ac:dyDescent="0.25">
      <c r="A737" s="220" t="s">
        <v>5353</v>
      </c>
      <c r="B737" s="221" t="s">
        <v>5354</v>
      </c>
      <c r="C737" s="223" t="s">
        <v>4774</v>
      </c>
      <c r="D737" s="220" t="s">
        <v>4705</v>
      </c>
      <c r="E737" s="222">
        <v>1</v>
      </c>
      <c r="F737" s="192">
        <v>9100</v>
      </c>
      <c r="G737" s="24">
        <v>0.23</v>
      </c>
      <c r="H737" s="24">
        <v>0.05</v>
      </c>
      <c r="I737" s="24">
        <v>0.05</v>
      </c>
      <c r="J737" s="24">
        <v>0</v>
      </c>
      <c r="K737" s="224">
        <f t="shared" si="94"/>
        <v>0.30507499999999999</v>
      </c>
      <c r="L737" s="225">
        <f t="shared" si="95"/>
        <v>13094.938302694536</v>
      </c>
      <c r="M737" s="225">
        <f t="shared" si="96"/>
        <v>13094.938302694536</v>
      </c>
      <c r="N737" s="226">
        <f t="shared" si="97"/>
        <v>15582.976580206498</v>
      </c>
      <c r="O737" s="34">
        <v>0.4</v>
      </c>
      <c r="P737" s="226">
        <f t="shared" si="98"/>
        <v>21816.167212289096</v>
      </c>
      <c r="Q737" s="107" t="s">
        <v>1486</v>
      </c>
      <c r="R737" s="34">
        <v>0.4</v>
      </c>
      <c r="S737" s="226">
        <f t="shared" si="99"/>
        <v>18048.333333333336</v>
      </c>
      <c r="T737" s="156" t="s">
        <v>1486</v>
      </c>
      <c r="U737" s="2" t="s">
        <v>50</v>
      </c>
      <c r="V737" s="2" t="s">
        <v>47</v>
      </c>
      <c r="W737" s="2" t="s">
        <v>5882</v>
      </c>
      <c r="X737" s="2" t="s">
        <v>1467</v>
      </c>
      <c r="Y737" s="488" t="s">
        <v>1486</v>
      </c>
      <c r="Z737" s="293">
        <f t="shared" si="92"/>
        <v>3994.9383026945361</v>
      </c>
      <c r="AA737" s="293">
        <f t="shared" si="93"/>
        <v>6066.6666666666697</v>
      </c>
    </row>
    <row r="738" spans="1:27" s="320" customFormat="1" x14ac:dyDescent="0.25">
      <c r="A738" s="220" t="s">
        <v>5355</v>
      </c>
      <c r="B738" s="221" t="s">
        <v>5356</v>
      </c>
      <c r="C738" s="223" t="s">
        <v>4774</v>
      </c>
      <c r="D738" s="220" t="s">
        <v>4705</v>
      </c>
      <c r="E738" s="222">
        <v>1</v>
      </c>
      <c r="F738" s="192">
        <v>3361</v>
      </c>
      <c r="G738" s="24">
        <v>0.23</v>
      </c>
      <c r="H738" s="24">
        <v>0.05</v>
      </c>
      <c r="I738" s="24">
        <v>0.05</v>
      </c>
      <c r="J738" s="24">
        <v>0</v>
      </c>
      <c r="K738" s="224">
        <f t="shared" si="94"/>
        <v>0.30507499999999999</v>
      </c>
      <c r="L738" s="225">
        <f t="shared" si="95"/>
        <v>4836.493146742454</v>
      </c>
      <c r="M738" s="225">
        <f t="shared" si="96"/>
        <v>4836.493146742454</v>
      </c>
      <c r="N738" s="226">
        <f t="shared" si="97"/>
        <v>5755.4268446235201</v>
      </c>
      <c r="O738" s="34">
        <v>0.4</v>
      </c>
      <c r="P738" s="226">
        <f t="shared" si="98"/>
        <v>8057.5975824729276</v>
      </c>
      <c r="Q738" s="107" t="s">
        <v>1486</v>
      </c>
      <c r="R738" s="34">
        <v>0.4</v>
      </c>
      <c r="S738" s="226">
        <f t="shared" si="99"/>
        <v>6665.9833333333336</v>
      </c>
      <c r="T738" s="156" t="s">
        <v>1486</v>
      </c>
      <c r="U738" s="2" t="s">
        <v>50</v>
      </c>
      <c r="V738" s="2" t="s">
        <v>47</v>
      </c>
      <c r="W738" s="2" t="s">
        <v>5882</v>
      </c>
      <c r="X738" s="2" t="s">
        <v>1467</v>
      </c>
      <c r="Y738" s="488" t="s">
        <v>1486</v>
      </c>
      <c r="Z738" s="293">
        <f t="shared" si="92"/>
        <v>1475.493146742454</v>
      </c>
      <c r="AA738" s="293">
        <f t="shared" si="93"/>
        <v>2240.666666666667</v>
      </c>
    </row>
    <row r="739" spans="1:27" s="320" customFormat="1" x14ac:dyDescent="0.25">
      <c r="A739" s="220" t="s">
        <v>5369</v>
      </c>
      <c r="B739" s="221" t="s">
        <v>5370</v>
      </c>
      <c r="C739" s="223" t="s">
        <v>1563</v>
      </c>
      <c r="D739" s="220" t="s">
        <v>4457</v>
      </c>
      <c r="E739" s="222">
        <v>12</v>
      </c>
      <c r="F739" s="192">
        <v>535</v>
      </c>
      <c r="G739" s="24">
        <v>0.2</v>
      </c>
      <c r="H739" s="24">
        <v>0.05</v>
      </c>
      <c r="I739" s="24">
        <v>0.05</v>
      </c>
      <c r="J739" s="24">
        <v>0</v>
      </c>
      <c r="K739" s="224">
        <f t="shared" si="94"/>
        <v>0.27800000000000014</v>
      </c>
      <c r="L739" s="225">
        <f t="shared" si="95"/>
        <v>8891.9667590027711</v>
      </c>
      <c r="M739" s="225">
        <f t="shared" si="96"/>
        <v>740.9972299168976</v>
      </c>
      <c r="N739" s="226">
        <f t="shared" si="97"/>
        <v>881.78670360110812</v>
      </c>
      <c r="O739" s="34">
        <v>0.3</v>
      </c>
      <c r="P739" s="226">
        <f t="shared" si="98"/>
        <v>1146.3227146814406</v>
      </c>
      <c r="Q739" s="107" t="s">
        <v>1486</v>
      </c>
      <c r="R739" s="34">
        <v>0.3</v>
      </c>
      <c r="S739" s="226">
        <f t="shared" si="99"/>
        <v>909.5</v>
      </c>
      <c r="T739" s="156" t="s">
        <v>1486</v>
      </c>
      <c r="U739" s="2" t="s">
        <v>109</v>
      </c>
      <c r="V739" s="2" t="s">
        <v>5826</v>
      </c>
      <c r="W739" s="2" t="s">
        <v>5888</v>
      </c>
      <c r="X739" s="2" t="s">
        <v>1467</v>
      </c>
      <c r="Y739" s="488" t="s">
        <v>1486</v>
      </c>
      <c r="Z739" s="293">
        <f t="shared" si="92"/>
        <v>205.9972299168976</v>
      </c>
      <c r="AA739" s="293">
        <f t="shared" si="93"/>
        <v>229.28571428571433</v>
      </c>
    </row>
    <row r="740" spans="1:27" s="320" customFormat="1" x14ac:dyDescent="0.25">
      <c r="A740" s="220" t="s">
        <v>5393</v>
      </c>
      <c r="B740" s="221" t="s">
        <v>5394</v>
      </c>
      <c r="C740" s="223" t="s">
        <v>4774</v>
      </c>
      <c r="D740" s="220" t="s">
        <v>4705</v>
      </c>
      <c r="E740" s="222">
        <v>1</v>
      </c>
      <c r="F740" s="192">
        <v>7912</v>
      </c>
      <c r="G740" s="24">
        <v>0.23</v>
      </c>
      <c r="H740" s="24">
        <v>0.05</v>
      </c>
      <c r="I740" s="24">
        <v>0.05</v>
      </c>
      <c r="J740" s="24">
        <v>0</v>
      </c>
      <c r="K740" s="224">
        <f t="shared" si="94"/>
        <v>0.30507499999999999</v>
      </c>
      <c r="L740" s="225">
        <f t="shared" si="95"/>
        <v>11385.401302298809</v>
      </c>
      <c r="M740" s="225">
        <f t="shared" si="96"/>
        <v>11385.401302298809</v>
      </c>
      <c r="N740" s="226">
        <f t="shared" si="97"/>
        <v>13548.627549735582</v>
      </c>
      <c r="O740" s="34">
        <v>0.4</v>
      </c>
      <c r="P740" s="226">
        <f t="shared" si="98"/>
        <v>18968.078569629812</v>
      </c>
      <c r="Q740" s="107" t="s">
        <v>1486</v>
      </c>
      <c r="R740" s="34">
        <v>0.4</v>
      </c>
      <c r="S740" s="226">
        <f t="shared" si="99"/>
        <v>15692.133333333333</v>
      </c>
      <c r="T740" s="156" t="s">
        <v>1486</v>
      </c>
      <c r="U740" s="2" t="s">
        <v>50</v>
      </c>
      <c r="V740" s="2" t="s">
        <v>47</v>
      </c>
      <c r="W740" s="2" t="s">
        <v>5882</v>
      </c>
      <c r="X740" s="2" t="s">
        <v>1467</v>
      </c>
      <c r="Y740" s="488" t="s">
        <v>1486</v>
      </c>
      <c r="Z740" s="293">
        <f t="shared" si="92"/>
        <v>3473.4013022988092</v>
      </c>
      <c r="AA740" s="293">
        <f t="shared" si="93"/>
        <v>5274.6666666666679</v>
      </c>
    </row>
    <row r="741" spans="1:27" s="320" customFormat="1" x14ac:dyDescent="0.25">
      <c r="A741" s="220" t="s">
        <v>5395</v>
      </c>
      <c r="B741" s="221" t="s">
        <v>5396</v>
      </c>
      <c r="C741" s="223" t="s">
        <v>4774</v>
      </c>
      <c r="D741" s="220" t="s">
        <v>4705</v>
      </c>
      <c r="E741" s="222">
        <v>1</v>
      </c>
      <c r="F741" s="192">
        <v>3361</v>
      </c>
      <c r="G741" s="24">
        <v>0.23</v>
      </c>
      <c r="H741" s="24">
        <v>0.05</v>
      </c>
      <c r="I741" s="24">
        <v>0.05</v>
      </c>
      <c r="J741" s="24">
        <v>0</v>
      </c>
      <c r="K741" s="224">
        <f t="shared" si="94"/>
        <v>0.30507499999999999</v>
      </c>
      <c r="L741" s="225">
        <f t="shared" si="95"/>
        <v>4836.493146742454</v>
      </c>
      <c r="M741" s="225">
        <f t="shared" si="96"/>
        <v>4836.493146742454</v>
      </c>
      <c r="N741" s="226">
        <f t="shared" si="97"/>
        <v>5755.4268446235201</v>
      </c>
      <c r="O741" s="34">
        <v>0.4</v>
      </c>
      <c r="P741" s="226">
        <f t="shared" si="98"/>
        <v>8057.5975824729276</v>
      </c>
      <c r="Q741" s="107" t="s">
        <v>1486</v>
      </c>
      <c r="R741" s="34">
        <v>0.4</v>
      </c>
      <c r="S741" s="226">
        <f t="shared" si="99"/>
        <v>6665.9833333333336</v>
      </c>
      <c r="T741" s="156" t="s">
        <v>1486</v>
      </c>
      <c r="U741" s="2" t="s">
        <v>50</v>
      </c>
      <c r="V741" s="2" t="s">
        <v>47</v>
      </c>
      <c r="W741" s="2" t="s">
        <v>5882</v>
      </c>
      <c r="X741" s="2" t="s">
        <v>1467</v>
      </c>
      <c r="Y741" s="488" t="s">
        <v>1486</v>
      </c>
      <c r="Z741" s="293">
        <f t="shared" si="92"/>
        <v>1475.493146742454</v>
      </c>
      <c r="AA741" s="293">
        <f t="shared" si="93"/>
        <v>2240.666666666667</v>
      </c>
    </row>
    <row r="742" spans="1:27" s="320" customFormat="1" x14ac:dyDescent="0.25">
      <c r="A742" s="220" t="s">
        <v>5397</v>
      </c>
      <c r="B742" s="221" t="s">
        <v>5398</v>
      </c>
      <c r="C742" s="223" t="s">
        <v>4774</v>
      </c>
      <c r="D742" s="220" t="s">
        <v>4705</v>
      </c>
      <c r="E742" s="222">
        <v>1</v>
      </c>
      <c r="F742" s="192">
        <v>6700</v>
      </c>
      <c r="G742" s="24">
        <v>0.2</v>
      </c>
      <c r="H742" s="24">
        <v>0.05</v>
      </c>
      <c r="I742" s="24">
        <v>0.05</v>
      </c>
      <c r="J742" s="24">
        <v>0</v>
      </c>
      <c r="K742" s="224">
        <f t="shared" si="94"/>
        <v>0.27800000000000014</v>
      </c>
      <c r="L742" s="225">
        <f t="shared" si="95"/>
        <v>9279.7783933518022</v>
      </c>
      <c r="M742" s="225">
        <f t="shared" si="96"/>
        <v>9279.7783933518022</v>
      </c>
      <c r="N742" s="226">
        <f t="shared" si="97"/>
        <v>11042.936288088644</v>
      </c>
      <c r="O742" s="34">
        <v>0.4</v>
      </c>
      <c r="P742" s="226">
        <f t="shared" si="98"/>
        <v>15460.1108033241</v>
      </c>
      <c r="Q742" s="107" t="s">
        <v>1486</v>
      </c>
      <c r="R742" s="34">
        <v>0.4</v>
      </c>
      <c r="S742" s="226">
        <f t="shared" si="99"/>
        <v>13288.333333333334</v>
      </c>
      <c r="T742" s="156" t="s">
        <v>1486</v>
      </c>
      <c r="U742" s="2" t="s">
        <v>50</v>
      </c>
      <c r="V742" s="2" t="s">
        <v>47</v>
      </c>
      <c r="W742" s="2" t="s">
        <v>5882</v>
      </c>
      <c r="X742" s="2" t="s">
        <v>1467</v>
      </c>
      <c r="Y742" s="488" t="s">
        <v>1486</v>
      </c>
      <c r="Z742" s="293">
        <f t="shared" si="92"/>
        <v>2579.7783933518022</v>
      </c>
      <c r="AA742" s="293">
        <f t="shared" si="93"/>
        <v>4466.6666666666679</v>
      </c>
    </row>
    <row r="743" spans="1:27" s="320" customFormat="1" x14ac:dyDescent="0.25">
      <c r="A743" s="220" t="s">
        <v>5426</v>
      </c>
      <c r="B743" s="221" t="s">
        <v>5427</v>
      </c>
      <c r="C743" s="223" t="s">
        <v>4767</v>
      </c>
      <c r="D743" s="220" t="s">
        <v>5428</v>
      </c>
      <c r="E743" s="222">
        <v>6</v>
      </c>
      <c r="F743" s="192">
        <v>2272</v>
      </c>
      <c r="G743" s="24">
        <v>0.2</v>
      </c>
      <c r="H743" s="24">
        <v>0.05</v>
      </c>
      <c r="I743" s="24">
        <v>0.05</v>
      </c>
      <c r="J743" s="24">
        <v>0.05</v>
      </c>
      <c r="K743" s="224">
        <f t="shared" si="94"/>
        <v>0.31410000000000005</v>
      </c>
      <c r="L743" s="225">
        <f t="shared" si="95"/>
        <v>19874.617291150313</v>
      </c>
      <c r="M743" s="225">
        <f t="shared" si="96"/>
        <v>3312.4362151917189</v>
      </c>
      <c r="N743" s="226">
        <f t="shared" si="97"/>
        <v>3941.7990960781453</v>
      </c>
      <c r="O743" s="34">
        <v>0.3</v>
      </c>
      <c r="P743" s="226">
        <f t="shared" si="98"/>
        <v>5124.3388249015889</v>
      </c>
      <c r="Q743" s="107" t="s">
        <v>1486</v>
      </c>
      <c r="R743" s="34">
        <v>0.3</v>
      </c>
      <c r="S743" s="226">
        <f t="shared" si="99"/>
        <v>3862.4</v>
      </c>
      <c r="T743" s="156" t="s">
        <v>1486</v>
      </c>
      <c r="U743" s="2"/>
      <c r="V743" s="2" t="s">
        <v>47</v>
      </c>
      <c r="W743" s="2" t="s">
        <v>1467</v>
      </c>
      <c r="X743" s="2" t="s">
        <v>1467</v>
      </c>
      <c r="Y743" s="488" t="s">
        <v>1486</v>
      </c>
      <c r="Z743" s="293">
        <f t="shared" si="92"/>
        <v>1040.4362151917189</v>
      </c>
      <c r="AA743" s="293">
        <f t="shared" si="93"/>
        <v>973.71428571428578</v>
      </c>
    </row>
    <row r="744" spans="1:27" s="320" customFormat="1" x14ac:dyDescent="0.25">
      <c r="A744" s="220" t="s">
        <v>5429</v>
      </c>
      <c r="B744" s="221" t="s">
        <v>5442</v>
      </c>
      <c r="C744" s="223" t="s">
        <v>4767</v>
      </c>
      <c r="D744" s="220" t="s">
        <v>5542</v>
      </c>
      <c r="E744" s="222">
        <v>8</v>
      </c>
      <c r="F744" s="192">
        <v>1098</v>
      </c>
      <c r="G744" s="24">
        <v>0.2</v>
      </c>
      <c r="H744" s="24">
        <v>0.05</v>
      </c>
      <c r="I744" s="24">
        <v>0.05</v>
      </c>
      <c r="J744" s="24">
        <v>0</v>
      </c>
      <c r="K744" s="224">
        <f t="shared" si="94"/>
        <v>0.27800000000000002</v>
      </c>
      <c r="L744" s="225">
        <f t="shared" si="95"/>
        <v>12166.204986149585</v>
      </c>
      <c r="M744" s="225">
        <f t="shared" si="96"/>
        <v>1520.7756232686982</v>
      </c>
      <c r="N744" s="226">
        <f t="shared" si="97"/>
        <v>1809.7229916897506</v>
      </c>
      <c r="O744" s="34">
        <v>0.3</v>
      </c>
      <c r="P744" s="226">
        <f t="shared" si="98"/>
        <v>2352.639889196676</v>
      </c>
      <c r="Q744" s="107" t="s">
        <v>1486</v>
      </c>
      <c r="R744" s="34">
        <v>0.4</v>
      </c>
      <c r="S744" s="226">
        <f t="shared" si="99"/>
        <v>2177.6999999999998</v>
      </c>
      <c r="T744" s="156" t="s">
        <v>1486</v>
      </c>
      <c r="U744" s="2"/>
      <c r="V744" s="2" t="s">
        <v>47</v>
      </c>
      <c r="W744" s="2" t="s">
        <v>1467</v>
      </c>
      <c r="X744" s="2" t="s">
        <v>1467</v>
      </c>
      <c r="Y744" s="488" t="s">
        <v>1486</v>
      </c>
      <c r="Z744" s="293">
        <f t="shared" si="92"/>
        <v>422.77562326869815</v>
      </c>
      <c r="AA744" s="293">
        <f t="shared" si="93"/>
        <v>732</v>
      </c>
    </row>
    <row r="745" spans="1:27" s="320" customFormat="1" x14ac:dyDescent="0.25">
      <c r="A745" s="220" t="s">
        <v>5431</v>
      </c>
      <c r="B745" s="221" t="s">
        <v>5441</v>
      </c>
      <c r="C745" s="223" t="s">
        <v>4767</v>
      </c>
      <c r="D745" s="220" t="s">
        <v>5542</v>
      </c>
      <c r="E745" s="222">
        <v>12</v>
      </c>
      <c r="F745" s="192">
        <v>767</v>
      </c>
      <c r="G745" s="24">
        <v>0.2</v>
      </c>
      <c r="H745" s="24">
        <v>0.05</v>
      </c>
      <c r="I745" s="24">
        <v>0.05</v>
      </c>
      <c r="J745" s="24">
        <v>0</v>
      </c>
      <c r="K745" s="224">
        <f t="shared" si="94"/>
        <v>0.27800000000000002</v>
      </c>
      <c r="L745" s="225">
        <f t="shared" si="95"/>
        <v>12747.922437673131</v>
      </c>
      <c r="M745" s="225">
        <f t="shared" si="96"/>
        <v>1062.3268698060942</v>
      </c>
      <c r="N745" s="226">
        <f t="shared" si="97"/>
        <v>1264.1689750692522</v>
      </c>
      <c r="O745" s="34">
        <v>0.3</v>
      </c>
      <c r="P745" s="226">
        <f t="shared" si="98"/>
        <v>1643.4196675900278</v>
      </c>
      <c r="Q745" s="107" t="s">
        <v>1486</v>
      </c>
      <c r="R745" s="34">
        <v>0.35</v>
      </c>
      <c r="S745" s="226">
        <f t="shared" si="99"/>
        <v>1404.2</v>
      </c>
      <c r="T745" s="156" t="s">
        <v>1486</v>
      </c>
      <c r="U745" s="2"/>
      <c r="V745" s="2" t="s">
        <v>47</v>
      </c>
      <c r="W745" s="2" t="s">
        <v>1467</v>
      </c>
      <c r="X745" s="2" t="s">
        <v>1467</v>
      </c>
      <c r="Y745" s="488" t="s">
        <v>1486</v>
      </c>
      <c r="Z745" s="293">
        <f t="shared" si="92"/>
        <v>295.32686980609424</v>
      </c>
      <c r="AA745" s="293">
        <f t="shared" si="93"/>
        <v>413</v>
      </c>
    </row>
    <row r="746" spans="1:27" s="320" customFormat="1" x14ac:dyDescent="0.25">
      <c r="A746" s="220" t="s">
        <v>5432</v>
      </c>
      <c r="B746" s="221" t="s">
        <v>5433</v>
      </c>
      <c r="C746" s="223" t="s">
        <v>4767</v>
      </c>
      <c r="D746" s="220" t="s">
        <v>5542</v>
      </c>
      <c r="E746" s="222">
        <v>12</v>
      </c>
      <c r="F746" s="192">
        <v>1000</v>
      </c>
      <c r="G746" s="24">
        <v>0.2</v>
      </c>
      <c r="H746" s="24">
        <v>0.05</v>
      </c>
      <c r="I746" s="24">
        <v>0.05</v>
      </c>
      <c r="J746" s="24">
        <v>0</v>
      </c>
      <c r="K746" s="224">
        <f t="shared" si="94"/>
        <v>0.27800000000000014</v>
      </c>
      <c r="L746" s="225">
        <f t="shared" si="95"/>
        <v>16620.498614958451</v>
      </c>
      <c r="M746" s="225">
        <f t="shared" si="96"/>
        <v>1385.0415512465377</v>
      </c>
      <c r="N746" s="226">
        <f t="shared" si="97"/>
        <v>1648.1994459833797</v>
      </c>
      <c r="O746" s="34">
        <v>0.3</v>
      </c>
      <c r="P746" s="226">
        <f t="shared" si="98"/>
        <v>2142.6592797783937</v>
      </c>
      <c r="Q746" s="107" t="s">
        <v>1486</v>
      </c>
      <c r="R746" s="34">
        <v>0.35</v>
      </c>
      <c r="S746" s="226">
        <f t="shared" si="99"/>
        <v>1830.7692307692305</v>
      </c>
      <c r="T746" s="156" t="s">
        <v>1486</v>
      </c>
      <c r="U746" s="2"/>
      <c r="V746" s="2" t="s">
        <v>47</v>
      </c>
      <c r="W746" s="2" t="s">
        <v>1467</v>
      </c>
      <c r="X746" s="2" t="s">
        <v>1467</v>
      </c>
      <c r="Y746" s="488" t="s">
        <v>1486</v>
      </c>
      <c r="Z746" s="293">
        <f t="shared" si="92"/>
        <v>385.04155124653767</v>
      </c>
      <c r="AA746" s="293">
        <f t="shared" si="93"/>
        <v>538.46153846153834</v>
      </c>
    </row>
    <row r="747" spans="1:27" s="320" customFormat="1" x14ac:dyDescent="0.25">
      <c r="A747" s="220" t="s">
        <v>5450</v>
      </c>
      <c r="B747" s="221" t="s">
        <v>5990</v>
      </c>
      <c r="C747" s="223" t="s">
        <v>1626</v>
      </c>
      <c r="D747" s="220" t="s">
        <v>332</v>
      </c>
      <c r="E747" s="222">
        <v>12</v>
      </c>
      <c r="F747" s="192">
        <v>1324</v>
      </c>
      <c r="G747" s="24">
        <v>0.2</v>
      </c>
      <c r="H747" s="24">
        <v>0.05</v>
      </c>
      <c r="I747" s="24">
        <v>0.05</v>
      </c>
      <c r="J747" s="24">
        <v>0</v>
      </c>
      <c r="K747" s="224">
        <f t="shared" si="94"/>
        <v>0.27800000000000002</v>
      </c>
      <c r="L747" s="225">
        <f t="shared" si="95"/>
        <v>22005.540166204988</v>
      </c>
      <c r="M747" s="225">
        <f t="shared" si="96"/>
        <v>1833.7950138504157</v>
      </c>
      <c r="N747" s="226">
        <f t="shared" si="97"/>
        <v>2182.2160664819944</v>
      </c>
      <c r="O747" s="34">
        <v>0.3</v>
      </c>
      <c r="P747" s="226">
        <f t="shared" si="98"/>
        <v>2836.880886426593</v>
      </c>
      <c r="Q747" s="107" t="s">
        <v>1486</v>
      </c>
      <c r="R747" s="34">
        <v>0.35</v>
      </c>
      <c r="S747" s="226">
        <f t="shared" si="99"/>
        <v>2423.9384615384615</v>
      </c>
      <c r="T747" s="156" t="s">
        <v>1486</v>
      </c>
      <c r="U747" s="2">
        <v>1</v>
      </c>
      <c r="V747" s="2" t="s">
        <v>47</v>
      </c>
      <c r="W747" s="2" t="s">
        <v>5883</v>
      </c>
      <c r="X747" s="2" t="s">
        <v>364</v>
      </c>
      <c r="Y747" s="488" t="s">
        <v>1486</v>
      </c>
      <c r="Z747" s="293">
        <f t="shared" si="92"/>
        <v>509.79501385041567</v>
      </c>
      <c r="AA747" s="293">
        <f t="shared" si="93"/>
        <v>712.92307692307691</v>
      </c>
    </row>
    <row r="748" spans="1:27" s="320" customFormat="1" x14ac:dyDescent="0.25">
      <c r="A748" s="220" t="s">
        <v>5453</v>
      </c>
      <c r="B748" s="221" t="s">
        <v>5454</v>
      </c>
      <c r="C748" s="223" t="s">
        <v>1626</v>
      </c>
      <c r="D748" s="220" t="s">
        <v>371</v>
      </c>
      <c r="E748" s="222">
        <v>12</v>
      </c>
      <c r="F748" s="192">
        <v>480</v>
      </c>
      <c r="G748" s="24">
        <v>0.2</v>
      </c>
      <c r="H748" s="24">
        <v>0.05</v>
      </c>
      <c r="I748" s="24">
        <v>0.05</v>
      </c>
      <c r="J748" s="24">
        <v>0</v>
      </c>
      <c r="K748" s="224">
        <f t="shared" si="94"/>
        <v>0.27800000000000002</v>
      </c>
      <c r="L748" s="225">
        <f t="shared" si="95"/>
        <v>7977.839335180056</v>
      </c>
      <c r="M748" s="225">
        <f t="shared" si="96"/>
        <v>664.819944598338</v>
      </c>
      <c r="N748" s="226">
        <f t="shared" si="97"/>
        <v>791.13573407202216</v>
      </c>
      <c r="O748" s="34">
        <v>0.3</v>
      </c>
      <c r="P748" s="226">
        <f t="shared" si="98"/>
        <v>1028.4764542936289</v>
      </c>
      <c r="Q748" s="107" t="s">
        <v>1486</v>
      </c>
      <c r="R748" s="34">
        <v>0.4</v>
      </c>
      <c r="S748" s="226">
        <f t="shared" si="99"/>
        <v>952</v>
      </c>
      <c r="T748" s="156" t="s">
        <v>1486</v>
      </c>
      <c r="U748" s="2">
        <v>4</v>
      </c>
      <c r="V748" s="2" t="s">
        <v>47</v>
      </c>
      <c r="W748" s="2" t="s">
        <v>5883</v>
      </c>
      <c r="X748" s="2" t="s">
        <v>5968</v>
      </c>
      <c r="Y748" s="488" t="s">
        <v>1486</v>
      </c>
      <c r="Z748" s="293">
        <f t="shared" si="92"/>
        <v>184.819944598338</v>
      </c>
      <c r="AA748" s="293">
        <f t="shared" si="93"/>
        <v>320</v>
      </c>
    </row>
    <row r="749" spans="1:27" s="320" customFormat="1" x14ac:dyDescent="0.25">
      <c r="A749" s="220" t="s">
        <v>5455</v>
      </c>
      <c r="B749" s="221" t="s">
        <v>5992</v>
      </c>
      <c r="C749" s="223" t="s">
        <v>1626</v>
      </c>
      <c r="D749" s="220" t="s">
        <v>371</v>
      </c>
      <c r="E749" s="222">
        <v>12</v>
      </c>
      <c r="F749" s="192">
        <v>488</v>
      </c>
      <c r="G749" s="24">
        <v>0.2</v>
      </c>
      <c r="H749" s="24">
        <v>0.05</v>
      </c>
      <c r="I749" s="24">
        <v>0.05</v>
      </c>
      <c r="J749" s="24">
        <v>0</v>
      </c>
      <c r="K749" s="224">
        <f t="shared" si="94"/>
        <v>0.27800000000000014</v>
      </c>
      <c r="L749" s="225">
        <f t="shared" si="95"/>
        <v>8110.8033240997247</v>
      </c>
      <c r="M749" s="225">
        <f t="shared" si="96"/>
        <v>675.90027700831035</v>
      </c>
      <c r="N749" s="226">
        <f t="shared" si="97"/>
        <v>804.32132963988931</v>
      </c>
      <c r="O749" s="34">
        <v>0.3</v>
      </c>
      <c r="P749" s="226">
        <f t="shared" si="98"/>
        <v>1045.6177285318561</v>
      </c>
      <c r="Q749" s="107" t="s">
        <v>1486</v>
      </c>
      <c r="R749" s="34">
        <v>0.4</v>
      </c>
      <c r="S749" s="226">
        <f t="shared" si="99"/>
        <v>967.86666666666667</v>
      </c>
      <c r="T749" s="156" t="s">
        <v>1486</v>
      </c>
      <c r="U749" s="2">
        <v>1</v>
      </c>
      <c r="V749" s="2" t="s">
        <v>47</v>
      </c>
      <c r="W749" s="2" t="s">
        <v>5883</v>
      </c>
      <c r="X749" s="2" t="s">
        <v>5968</v>
      </c>
      <c r="Y749" s="488" t="s">
        <v>1486</v>
      </c>
      <c r="Z749" s="293">
        <f t="shared" si="92"/>
        <v>187.90027700831035</v>
      </c>
      <c r="AA749" s="293">
        <f t="shared" si="93"/>
        <v>325.33333333333337</v>
      </c>
    </row>
    <row r="750" spans="1:27" s="320" customFormat="1" x14ac:dyDescent="0.25">
      <c r="A750" s="220" t="s">
        <v>5457</v>
      </c>
      <c r="B750" s="221" t="s">
        <v>5458</v>
      </c>
      <c r="C750" s="223" t="s">
        <v>1626</v>
      </c>
      <c r="D750" s="220" t="s">
        <v>371</v>
      </c>
      <c r="E750" s="222">
        <v>12</v>
      </c>
      <c r="F750" s="192">
        <v>488</v>
      </c>
      <c r="G750" s="24">
        <v>0.2</v>
      </c>
      <c r="H750" s="24">
        <v>0.05</v>
      </c>
      <c r="I750" s="24">
        <v>0.05</v>
      </c>
      <c r="J750" s="24">
        <v>0</v>
      </c>
      <c r="K750" s="224">
        <f t="shared" si="94"/>
        <v>0.27800000000000014</v>
      </c>
      <c r="L750" s="225">
        <f t="shared" si="95"/>
        <v>8110.8033240997247</v>
      </c>
      <c r="M750" s="225">
        <f t="shared" si="96"/>
        <v>675.90027700831035</v>
      </c>
      <c r="N750" s="226">
        <f t="shared" si="97"/>
        <v>804.32132963988931</v>
      </c>
      <c r="O750" s="34">
        <v>0.3</v>
      </c>
      <c r="P750" s="226">
        <f t="shared" si="98"/>
        <v>1045.6177285318561</v>
      </c>
      <c r="Q750" s="107" t="s">
        <v>1486</v>
      </c>
      <c r="R750" s="34">
        <v>0.4</v>
      </c>
      <c r="S750" s="226">
        <f t="shared" si="99"/>
        <v>967.86666666666667</v>
      </c>
      <c r="T750" s="156" t="s">
        <v>1486</v>
      </c>
      <c r="U750" s="2">
        <v>5</v>
      </c>
      <c r="V750" s="2" t="s">
        <v>47</v>
      </c>
      <c r="W750" s="2" t="s">
        <v>5883</v>
      </c>
      <c r="X750" s="2" t="s">
        <v>5968</v>
      </c>
      <c r="Y750" s="488" t="s">
        <v>1486</v>
      </c>
      <c r="Z750" s="293">
        <f t="shared" si="92"/>
        <v>187.90027700831035</v>
      </c>
      <c r="AA750" s="293">
        <f t="shared" si="93"/>
        <v>325.33333333333337</v>
      </c>
    </row>
    <row r="751" spans="1:27" s="320" customFormat="1" x14ac:dyDescent="0.25">
      <c r="A751" s="220" t="s">
        <v>5459</v>
      </c>
      <c r="B751" s="221" t="s">
        <v>5460</v>
      </c>
      <c r="C751" s="223" t="s">
        <v>1626</v>
      </c>
      <c r="D751" s="220" t="s">
        <v>392</v>
      </c>
      <c r="E751" s="222">
        <v>12</v>
      </c>
      <c r="F751" s="192">
        <v>1254</v>
      </c>
      <c r="G751" s="24">
        <v>0.2</v>
      </c>
      <c r="H751" s="24">
        <v>0.05</v>
      </c>
      <c r="I751" s="24">
        <v>0.05</v>
      </c>
      <c r="J751" s="24">
        <v>0</v>
      </c>
      <c r="K751" s="224">
        <f t="shared" si="94"/>
        <v>0.27800000000000002</v>
      </c>
      <c r="L751" s="225">
        <f t="shared" si="95"/>
        <v>20842.105263157893</v>
      </c>
      <c r="M751" s="225">
        <f t="shared" si="96"/>
        <v>1736.8421052631579</v>
      </c>
      <c r="N751" s="226">
        <f t="shared" si="97"/>
        <v>2066.8421052631579</v>
      </c>
      <c r="O751" s="34">
        <v>0.3</v>
      </c>
      <c r="P751" s="226">
        <f t="shared" si="98"/>
        <v>2686.8947368421054</v>
      </c>
      <c r="Q751" s="107" t="s">
        <v>1486</v>
      </c>
      <c r="R751" s="34">
        <v>0.4</v>
      </c>
      <c r="S751" s="226">
        <f t="shared" si="99"/>
        <v>2487.1</v>
      </c>
      <c r="T751" s="156" t="s">
        <v>1486</v>
      </c>
      <c r="U751" s="2" t="s">
        <v>50</v>
      </c>
      <c r="V751" s="2" t="s">
        <v>47</v>
      </c>
      <c r="W751" s="2" t="s">
        <v>5963</v>
      </c>
      <c r="X751" s="2" t="s">
        <v>1467</v>
      </c>
      <c r="Y751" s="488" t="s">
        <v>1486</v>
      </c>
      <c r="Z751" s="293">
        <f t="shared" si="92"/>
        <v>482.84210526315792</v>
      </c>
      <c r="AA751" s="293">
        <f t="shared" si="93"/>
        <v>836</v>
      </c>
    </row>
    <row r="752" spans="1:27" s="320" customFormat="1" x14ac:dyDescent="0.25">
      <c r="A752" s="220" t="s">
        <v>5463</v>
      </c>
      <c r="B752" s="221" t="s">
        <v>5464</v>
      </c>
      <c r="C752" s="223" t="s">
        <v>4767</v>
      </c>
      <c r="D752" s="220" t="s">
        <v>4636</v>
      </c>
      <c r="E752" s="222">
        <v>1</v>
      </c>
      <c r="F752" s="192">
        <v>43563</v>
      </c>
      <c r="G752" s="24">
        <v>0.2</v>
      </c>
      <c r="H752" s="24">
        <v>0.05</v>
      </c>
      <c r="I752" s="24">
        <v>0.05</v>
      </c>
      <c r="J752" s="24">
        <v>0</v>
      </c>
      <c r="K752" s="224">
        <f t="shared" si="94"/>
        <v>0.27800000000000014</v>
      </c>
      <c r="L752" s="225">
        <f t="shared" si="95"/>
        <v>60336.565096952916</v>
      </c>
      <c r="M752" s="225">
        <f t="shared" si="96"/>
        <v>60336.565096952916</v>
      </c>
      <c r="N752" s="226">
        <f t="shared" si="97"/>
        <v>71800.512465373962</v>
      </c>
      <c r="O752" s="34">
        <v>0.3</v>
      </c>
      <c r="P752" s="226">
        <f t="shared" si="98"/>
        <v>93340.666204986148</v>
      </c>
      <c r="Q752" s="107" t="s">
        <v>1486</v>
      </c>
      <c r="R752" s="34">
        <v>0.4</v>
      </c>
      <c r="S752" s="226">
        <f t="shared" si="99"/>
        <v>86399.95</v>
      </c>
      <c r="T752" s="156" t="s">
        <v>1486</v>
      </c>
      <c r="U752" s="2"/>
      <c r="V752" s="2" t="s">
        <v>47</v>
      </c>
      <c r="W752" s="2" t="s">
        <v>1467</v>
      </c>
      <c r="X752" s="2" t="s">
        <v>1467</v>
      </c>
      <c r="Y752" s="488" t="s">
        <v>1486</v>
      </c>
      <c r="Z752" s="293">
        <f t="shared" si="92"/>
        <v>16773.565096952916</v>
      </c>
      <c r="AA752" s="293">
        <f t="shared" si="93"/>
        <v>29042</v>
      </c>
    </row>
    <row r="753" spans="1:27" s="320" customFormat="1" x14ac:dyDescent="0.25">
      <c r="A753" s="220" t="s">
        <v>5465</v>
      </c>
      <c r="B753" s="221" t="s">
        <v>5466</v>
      </c>
      <c r="C753" s="223" t="s">
        <v>4767</v>
      </c>
      <c r="D753" s="220" t="s">
        <v>4636</v>
      </c>
      <c r="E753" s="222">
        <v>10</v>
      </c>
      <c r="F753" s="192">
        <v>4099</v>
      </c>
      <c r="G753" s="24">
        <v>0.2</v>
      </c>
      <c r="H753" s="24">
        <v>0.05</v>
      </c>
      <c r="I753" s="24">
        <v>0.05</v>
      </c>
      <c r="J753" s="24">
        <v>0</v>
      </c>
      <c r="K753" s="224">
        <f t="shared" si="94"/>
        <v>0.27800000000000014</v>
      </c>
      <c r="L753" s="225">
        <f t="shared" si="95"/>
        <v>56772.853185595581</v>
      </c>
      <c r="M753" s="225">
        <f t="shared" si="96"/>
        <v>5677.2853185595577</v>
      </c>
      <c r="N753" s="226">
        <f t="shared" si="97"/>
        <v>6755.9695290858735</v>
      </c>
      <c r="O753" s="34">
        <v>0.3</v>
      </c>
      <c r="P753" s="226">
        <f t="shared" si="98"/>
        <v>8782.7603878116352</v>
      </c>
      <c r="Q753" s="107" t="s">
        <v>1486</v>
      </c>
      <c r="R753" s="34">
        <v>0.4</v>
      </c>
      <c r="S753" s="226">
        <f t="shared" si="99"/>
        <v>8129.6833333333334</v>
      </c>
      <c r="T753" s="156" t="s">
        <v>1486</v>
      </c>
      <c r="U753" s="2"/>
      <c r="V753" s="2" t="s">
        <v>47</v>
      </c>
      <c r="W753" s="2" t="s">
        <v>1467</v>
      </c>
      <c r="X753" s="2" t="s">
        <v>1467</v>
      </c>
      <c r="Y753" s="488" t="s">
        <v>1486</v>
      </c>
      <c r="Z753" s="293">
        <f t="shared" si="92"/>
        <v>1578.2853185595577</v>
      </c>
      <c r="AA753" s="293">
        <f t="shared" si="93"/>
        <v>2732.666666666667</v>
      </c>
    </row>
    <row r="754" spans="1:27" s="320" customFormat="1" x14ac:dyDescent="0.25">
      <c r="A754" s="220" t="s">
        <v>5468</v>
      </c>
      <c r="B754" s="221" t="s">
        <v>5452</v>
      </c>
      <c r="C754" s="223" t="s">
        <v>1626</v>
      </c>
      <c r="D754" s="220" t="s">
        <v>371</v>
      </c>
      <c r="E754" s="222">
        <v>12</v>
      </c>
      <c r="F754" s="192">
        <v>480</v>
      </c>
      <c r="G754" s="24">
        <v>0.2</v>
      </c>
      <c r="H754" s="24">
        <v>0.05</v>
      </c>
      <c r="I754" s="24">
        <v>0.05</v>
      </c>
      <c r="J754" s="24">
        <v>0</v>
      </c>
      <c r="K754" s="224">
        <f t="shared" si="94"/>
        <v>0.27800000000000002</v>
      </c>
      <c r="L754" s="225">
        <f t="shared" si="95"/>
        <v>7977.839335180056</v>
      </c>
      <c r="M754" s="225">
        <f t="shared" si="96"/>
        <v>664.819944598338</v>
      </c>
      <c r="N754" s="226">
        <f t="shared" si="97"/>
        <v>791.13573407202216</v>
      </c>
      <c r="O754" s="34">
        <v>0.3</v>
      </c>
      <c r="P754" s="226">
        <f t="shared" si="98"/>
        <v>1028.4764542936289</v>
      </c>
      <c r="Q754" s="107" t="s">
        <v>1486</v>
      </c>
      <c r="R754" s="34">
        <v>0.4</v>
      </c>
      <c r="S754" s="226">
        <f t="shared" si="99"/>
        <v>952</v>
      </c>
      <c r="T754" s="156" t="s">
        <v>1486</v>
      </c>
      <c r="U754" s="2">
        <v>6</v>
      </c>
      <c r="V754" s="2" t="s">
        <v>47</v>
      </c>
      <c r="W754" s="2" t="s">
        <v>5883</v>
      </c>
      <c r="X754" s="2" t="s">
        <v>5968</v>
      </c>
      <c r="Y754" s="488" t="s">
        <v>1486</v>
      </c>
      <c r="Z754" s="293">
        <f t="shared" si="92"/>
        <v>184.819944598338</v>
      </c>
      <c r="AA754" s="293">
        <f t="shared" si="93"/>
        <v>320</v>
      </c>
    </row>
    <row r="755" spans="1:27" s="320" customFormat="1" x14ac:dyDescent="0.25">
      <c r="A755" s="220" t="s">
        <v>5486</v>
      </c>
      <c r="B755" s="221" t="s">
        <v>5979</v>
      </c>
      <c r="C755" s="223" t="s">
        <v>1569</v>
      </c>
      <c r="D755" s="220" t="s">
        <v>94</v>
      </c>
      <c r="E755" s="222">
        <v>4</v>
      </c>
      <c r="F755" s="192">
        <v>15000</v>
      </c>
      <c r="G755" s="24">
        <v>0.2</v>
      </c>
      <c r="H755" s="24">
        <v>0.05</v>
      </c>
      <c r="I755" s="24">
        <v>0.05</v>
      </c>
      <c r="J755" s="24">
        <v>0</v>
      </c>
      <c r="K755" s="224">
        <f t="shared" si="94"/>
        <v>0.27800000000000014</v>
      </c>
      <c r="L755" s="225">
        <f t="shared" si="95"/>
        <v>83102.493074792263</v>
      </c>
      <c r="M755" s="225">
        <f t="shared" si="96"/>
        <v>20775.623268698066</v>
      </c>
      <c r="N755" s="226">
        <f t="shared" si="97"/>
        <v>24722.991689750696</v>
      </c>
      <c r="O755" s="34">
        <v>0.3</v>
      </c>
      <c r="P755" s="226">
        <f t="shared" si="98"/>
        <v>32139.889196675904</v>
      </c>
      <c r="Q755" s="107" t="s">
        <v>1486</v>
      </c>
      <c r="R755" s="34">
        <v>0.22</v>
      </c>
      <c r="S755" s="226">
        <f t="shared" si="99"/>
        <v>22884.615384615383</v>
      </c>
      <c r="T755" s="156" t="s">
        <v>1486</v>
      </c>
      <c r="U755" s="2">
        <v>14</v>
      </c>
      <c r="V755" s="2" t="s">
        <v>47</v>
      </c>
      <c r="W755" s="2" t="s">
        <v>5883</v>
      </c>
      <c r="X755" s="2" t="s">
        <v>1467</v>
      </c>
      <c r="Y755" s="488" t="s">
        <v>1486</v>
      </c>
      <c r="Z755" s="293">
        <f t="shared" si="92"/>
        <v>5775.6232686980657</v>
      </c>
      <c r="AA755" s="293">
        <f t="shared" si="93"/>
        <v>4230.7692307692305</v>
      </c>
    </row>
    <row r="756" spans="1:27" s="320" customFormat="1" x14ac:dyDescent="0.25">
      <c r="A756" s="220" t="s">
        <v>5489</v>
      </c>
      <c r="B756" s="221" t="s">
        <v>2372</v>
      </c>
      <c r="C756" s="223" t="s">
        <v>1569</v>
      </c>
      <c r="D756" s="220" t="s">
        <v>5493</v>
      </c>
      <c r="E756" s="222">
        <v>12</v>
      </c>
      <c r="F756" s="192">
        <v>990</v>
      </c>
      <c r="G756" s="24">
        <v>0.2</v>
      </c>
      <c r="H756" s="24">
        <v>0.05</v>
      </c>
      <c r="I756" s="24">
        <v>0.05</v>
      </c>
      <c r="J756" s="24">
        <v>0</v>
      </c>
      <c r="K756" s="224">
        <f t="shared" si="94"/>
        <v>0.27800000000000014</v>
      </c>
      <c r="L756" s="225">
        <f t="shared" si="95"/>
        <v>16454.293628808868</v>
      </c>
      <c r="M756" s="225">
        <f t="shared" si="96"/>
        <v>1371.1911357340723</v>
      </c>
      <c r="N756" s="226">
        <f t="shared" si="97"/>
        <v>1631.7174515235461</v>
      </c>
      <c r="O756" s="34">
        <v>0.3</v>
      </c>
      <c r="P756" s="226">
        <f t="shared" si="98"/>
        <v>2121.2326869806097</v>
      </c>
      <c r="Q756" s="107" t="s">
        <v>1486</v>
      </c>
      <c r="R756" s="34">
        <v>0.4</v>
      </c>
      <c r="S756" s="226">
        <f t="shared" si="99"/>
        <v>1963.5</v>
      </c>
      <c r="T756" s="156" t="s">
        <v>1486</v>
      </c>
      <c r="U756" s="2">
        <v>3</v>
      </c>
      <c r="V756" s="2" t="s">
        <v>47</v>
      </c>
      <c r="W756" s="2" t="s">
        <v>5883</v>
      </c>
      <c r="X756" s="2" t="s">
        <v>5967</v>
      </c>
      <c r="Y756" s="488" t="s">
        <v>1486</v>
      </c>
      <c r="Z756" s="293">
        <f t="shared" si="92"/>
        <v>381.1911357340723</v>
      </c>
      <c r="AA756" s="293">
        <f t="shared" si="93"/>
        <v>660</v>
      </c>
    </row>
    <row r="757" spans="1:27" s="320" customFormat="1" x14ac:dyDescent="0.25">
      <c r="A757" s="220" t="s">
        <v>5490</v>
      </c>
      <c r="B757" s="221" t="s">
        <v>5983</v>
      </c>
      <c r="C757" s="223" t="s">
        <v>1569</v>
      </c>
      <c r="D757" s="220" t="s">
        <v>5493</v>
      </c>
      <c r="E757" s="222">
        <v>4</v>
      </c>
      <c r="F757" s="192">
        <v>9890</v>
      </c>
      <c r="G757" s="24">
        <v>0.2</v>
      </c>
      <c r="H757" s="24">
        <v>0.05</v>
      </c>
      <c r="I757" s="24">
        <v>0.05</v>
      </c>
      <c r="J757" s="24">
        <v>0</v>
      </c>
      <c r="K757" s="224">
        <f t="shared" si="94"/>
        <v>0.27800000000000014</v>
      </c>
      <c r="L757" s="225">
        <f t="shared" si="95"/>
        <v>54792.243767313026</v>
      </c>
      <c r="M757" s="225">
        <f t="shared" si="96"/>
        <v>13698.060941828257</v>
      </c>
      <c r="N757" s="226">
        <f t="shared" si="97"/>
        <v>16300.692520775625</v>
      </c>
      <c r="O757" s="34">
        <v>0.3</v>
      </c>
      <c r="P757" s="226">
        <f t="shared" si="98"/>
        <v>21190.900277008313</v>
      </c>
      <c r="Q757" s="107" t="s">
        <v>1486</v>
      </c>
      <c r="R757" s="34">
        <v>0.35</v>
      </c>
      <c r="S757" s="226">
        <f t="shared" si="99"/>
        <v>18106.307692307691</v>
      </c>
      <c r="T757" s="156" t="s">
        <v>1486</v>
      </c>
      <c r="U757" s="2">
        <v>4</v>
      </c>
      <c r="V757" s="2" t="s">
        <v>47</v>
      </c>
      <c r="W757" s="2" t="s">
        <v>5883</v>
      </c>
      <c r="X757" s="2" t="s">
        <v>5967</v>
      </c>
      <c r="Y757" s="488" t="s">
        <v>1486</v>
      </c>
      <c r="Z757" s="293">
        <f t="shared" si="92"/>
        <v>3808.0609418282565</v>
      </c>
      <c r="AA757" s="293">
        <f t="shared" si="93"/>
        <v>5325.3846153846152</v>
      </c>
    </row>
    <row r="758" spans="1:27" s="320" customFormat="1" x14ac:dyDescent="0.25">
      <c r="A758" s="220" t="s">
        <v>5494</v>
      </c>
      <c r="B758" s="221" t="s">
        <v>5980</v>
      </c>
      <c r="C758" s="223" t="s">
        <v>1569</v>
      </c>
      <c r="D758" s="220" t="s">
        <v>94</v>
      </c>
      <c r="E758" s="222">
        <v>4</v>
      </c>
      <c r="F758" s="192">
        <v>13500</v>
      </c>
      <c r="G758" s="24">
        <v>0.2</v>
      </c>
      <c r="H758" s="24">
        <v>0.05</v>
      </c>
      <c r="I758" s="24">
        <v>0.05</v>
      </c>
      <c r="J758" s="24">
        <v>0</v>
      </c>
      <c r="K758" s="224">
        <f t="shared" si="94"/>
        <v>0.27800000000000014</v>
      </c>
      <c r="L758" s="225">
        <f t="shared" si="95"/>
        <v>74792.243767313033</v>
      </c>
      <c r="M758" s="225">
        <f t="shared" si="96"/>
        <v>18698.060941828258</v>
      </c>
      <c r="N758" s="226">
        <f t="shared" si="97"/>
        <v>22250.692520775625</v>
      </c>
      <c r="O758" s="34">
        <v>0.3</v>
      </c>
      <c r="P758" s="226">
        <f t="shared" si="98"/>
        <v>28925.900277008313</v>
      </c>
      <c r="Q758" s="107" t="s">
        <v>1486</v>
      </c>
      <c r="R758" s="34">
        <v>0.3</v>
      </c>
      <c r="S758" s="226">
        <f t="shared" si="99"/>
        <v>22950</v>
      </c>
      <c r="T758" s="156" t="s">
        <v>1486</v>
      </c>
      <c r="U758" s="2">
        <v>16</v>
      </c>
      <c r="V758" s="2" t="s">
        <v>47</v>
      </c>
      <c r="W758" s="2" t="s">
        <v>5883</v>
      </c>
      <c r="X758" s="2" t="s">
        <v>5965</v>
      </c>
      <c r="Y758" s="488" t="s">
        <v>1486</v>
      </c>
      <c r="Z758" s="293">
        <f t="shared" si="92"/>
        <v>5198.0609418282584</v>
      </c>
      <c r="AA758" s="293">
        <f t="shared" si="93"/>
        <v>5785.7142857142862</v>
      </c>
    </row>
    <row r="759" spans="1:27" s="320" customFormat="1" x14ac:dyDescent="0.25">
      <c r="A759" s="220" t="s">
        <v>5496</v>
      </c>
      <c r="B759" s="221" t="s">
        <v>5984</v>
      </c>
      <c r="C759" s="223" t="s">
        <v>1569</v>
      </c>
      <c r="D759" s="220" t="s">
        <v>5995</v>
      </c>
      <c r="E759" s="222">
        <v>10</v>
      </c>
      <c r="F759" s="192">
        <v>515</v>
      </c>
      <c r="G759" s="24">
        <v>0.2</v>
      </c>
      <c r="H759" s="24">
        <v>0.05</v>
      </c>
      <c r="I759" s="24">
        <v>0.05</v>
      </c>
      <c r="J759" s="24">
        <v>0</v>
      </c>
      <c r="K759" s="224">
        <f t="shared" si="94"/>
        <v>0.27800000000000002</v>
      </c>
      <c r="L759" s="225">
        <f t="shared" si="95"/>
        <v>7132.9639889196678</v>
      </c>
      <c r="M759" s="225">
        <f t="shared" si="96"/>
        <v>713.29639889196676</v>
      </c>
      <c r="N759" s="226">
        <f t="shared" si="97"/>
        <v>848.8227146814404</v>
      </c>
      <c r="O759" s="34">
        <v>0.3</v>
      </c>
      <c r="P759" s="226">
        <f t="shared" si="98"/>
        <v>1103.4695290858726</v>
      </c>
      <c r="Q759" s="107" t="s">
        <v>1486</v>
      </c>
      <c r="R759" s="34">
        <v>0.35</v>
      </c>
      <c r="S759" s="226">
        <f t="shared" si="99"/>
        <v>942.8461538461537</v>
      </c>
      <c r="T759" s="156" t="s">
        <v>1486</v>
      </c>
      <c r="U759" s="2">
        <v>7</v>
      </c>
      <c r="V759" s="2" t="s">
        <v>47</v>
      </c>
      <c r="W759" s="2" t="s">
        <v>5883</v>
      </c>
      <c r="X759" s="2" t="s">
        <v>1467</v>
      </c>
      <c r="Y759" s="488" t="s">
        <v>1486</v>
      </c>
      <c r="Z759" s="293">
        <f t="shared" si="92"/>
        <v>198.29639889196676</v>
      </c>
      <c r="AA759" s="293">
        <f t="shared" si="93"/>
        <v>277.30769230769226</v>
      </c>
    </row>
    <row r="760" spans="1:27" s="320" customFormat="1" x14ac:dyDescent="0.25">
      <c r="A760" s="220" t="s">
        <v>5499</v>
      </c>
      <c r="B760" s="221" t="s">
        <v>5500</v>
      </c>
      <c r="C760" s="223" t="s">
        <v>3934</v>
      </c>
      <c r="D760" s="220" t="s">
        <v>1646</v>
      </c>
      <c r="E760" s="222">
        <v>1</v>
      </c>
      <c r="F760" s="192">
        <v>11824</v>
      </c>
      <c r="G760" s="24">
        <v>0.2</v>
      </c>
      <c r="H760" s="24">
        <v>0.05</v>
      </c>
      <c r="I760" s="24">
        <v>0.05</v>
      </c>
      <c r="J760" s="24">
        <v>0</v>
      </c>
      <c r="K760" s="224">
        <f t="shared" si="94"/>
        <v>0.27800000000000014</v>
      </c>
      <c r="L760" s="225">
        <f t="shared" si="95"/>
        <v>16376.73130193906</v>
      </c>
      <c r="M760" s="225">
        <f t="shared" si="96"/>
        <v>16376.73130193906</v>
      </c>
      <c r="N760" s="226">
        <f t="shared" si="97"/>
        <v>19488.31024930748</v>
      </c>
      <c r="O760" s="34">
        <v>0.3</v>
      </c>
      <c r="P760" s="226">
        <f t="shared" si="98"/>
        <v>25334.803324099725</v>
      </c>
      <c r="Q760" s="107" t="s">
        <v>1486</v>
      </c>
      <c r="R760" s="34">
        <v>0.3</v>
      </c>
      <c r="S760" s="226">
        <f t="shared" si="99"/>
        <v>20100.8</v>
      </c>
      <c r="T760" s="156" t="s">
        <v>1486</v>
      </c>
      <c r="U760" s="2" t="s">
        <v>50</v>
      </c>
      <c r="V760" s="2" t="s">
        <v>47</v>
      </c>
      <c r="W760" s="2" t="s">
        <v>3965</v>
      </c>
      <c r="X760" s="2" t="s">
        <v>1467</v>
      </c>
      <c r="Y760" s="488" t="s">
        <v>1486</v>
      </c>
      <c r="Z760" s="293">
        <f t="shared" si="92"/>
        <v>4552.7313019390604</v>
      </c>
      <c r="AA760" s="293">
        <f t="shared" si="93"/>
        <v>5067.4285714285725</v>
      </c>
    </row>
    <row r="761" spans="1:27" s="320" customFormat="1" x14ac:dyDescent="0.25">
      <c r="A761" s="220" t="s">
        <v>5501</v>
      </c>
      <c r="B761" s="221" t="s">
        <v>5502</v>
      </c>
      <c r="C761" s="223" t="s">
        <v>3934</v>
      </c>
      <c r="D761" s="220" t="s">
        <v>1646</v>
      </c>
      <c r="E761" s="222">
        <v>1</v>
      </c>
      <c r="F761" s="192">
        <v>5600</v>
      </c>
      <c r="G761" s="24">
        <v>0.2</v>
      </c>
      <c r="H761" s="24">
        <v>0.05</v>
      </c>
      <c r="I761" s="24">
        <v>0.05</v>
      </c>
      <c r="J761" s="24">
        <v>0</v>
      </c>
      <c r="K761" s="224">
        <f t="shared" si="94"/>
        <v>0.27800000000000002</v>
      </c>
      <c r="L761" s="225">
        <f t="shared" si="95"/>
        <v>7756.2326869806102</v>
      </c>
      <c r="M761" s="225">
        <f t="shared" si="96"/>
        <v>7756.2326869806102</v>
      </c>
      <c r="N761" s="226">
        <f t="shared" si="97"/>
        <v>9229.916897506926</v>
      </c>
      <c r="O761" s="34">
        <v>0.3</v>
      </c>
      <c r="P761" s="226">
        <f t="shared" si="98"/>
        <v>11998.891966759003</v>
      </c>
      <c r="Q761" s="107" t="s">
        <v>1486</v>
      </c>
      <c r="R761" s="34">
        <v>0.3</v>
      </c>
      <c r="S761" s="226">
        <f t="shared" si="99"/>
        <v>9520</v>
      </c>
      <c r="T761" s="156" t="s">
        <v>1486</v>
      </c>
      <c r="U761" s="2" t="s">
        <v>50</v>
      </c>
      <c r="V761" s="2" t="s">
        <v>47</v>
      </c>
      <c r="W761" s="2" t="s">
        <v>3965</v>
      </c>
      <c r="X761" s="2" t="s">
        <v>1467</v>
      </c>
      <c r="Y761" s="488" t="s">
        <v>1486</v>
      </c>
      <c r="Z761" s="293">
        <f t="shared" si="92"/>
        <v>2156.2326869806102</v>
      </c>
      <c r="AA761" s="293">
        <f t="shared" si="93"/>
        <v>2400</v>
      </c>
    </row>
    <row r="762" spans="1:27" s="320" customFormat="1" x14ac:dyDescent="0.25">
      <c r="A762" s="220" t="s">
        <v>5505</v>
      </c>
      <c r="B762" s="221" t="s">
        <v>5987</v>
      </c>
      <c r="C762" s="223" t="s">
        <v>1626</v>
      </c>
      <c r="D762" s="220" t="s">
        <v>1629</v>
      </c>
      <c r="E762" s="222">
        <v>24</v>
      </c>
      <c r="F762" s="192">
        <v>687</v>
      </c>
      <c r="G762" s="24">
        <v>0.2</v>
      </c>
      <c r="H762" s="24">
        <v>0.05</v>
      </c>
      <c r="I762" s="24">
        <v>0.05</v>
      </c>
      <c r="J762" s="24">
        <v>0</v>
      </c>
      <c r="K762" s="224">
        <f t="shared" si="94"/>
        <v>0.27800000000000014</v>
      </c>
      <c r="L762" s="225">
        <f t="shared" si="95"/>
        <v>22836.565096952912</v>
      </c>
      <c r="M762" s="225">
        <f t="shared" si="96"/>
        <v>951.52354570637135</v>
      </c>
      <c r="N762" s="226">
        <f t="shared" si="97"/>
        <v>1132.3130193905818</v>
      </c>
      <c r="O762" s="34">
        <v>0.3</v>
      </c>
      <c r="P762" s="226">
        <f t="shared" si="98"/>
        <v>1472.0069252077562</v>
      </c>
      <c r="Q762" s="107" t="s">
        <v>1486</v>
      </c>
      <c r="R762" s="34">
        <v>0.4</v>
      </c>
      <c r="S762" s="226">
        <f t="shared" si="99"/>
        <v>1362.55</v>
      </c>
      <c r="T762" s="156" t="s">
        <v>1486</v>
      </c>
      <c r="U762" s="2">
        <v>4</v>
      </c>
      <c r="V762" s="2" t="s">
        <v>47</v>
      </c>
      <c r="W762" s="2" t="s">
        <v>5883</v>
      </c>
      <c r="X762" s="2" t="s">
        <v>262</v>
      </c>
      <c r="Y762" s="488" t="s">
        <v>1486</v>
      </c>
      <c r="Z762" s="293">
        <f t="shared" si="92"/>
        <v>264.52354570637135</v>
      </c>
      <c r="AA762" s="293">
        <f t="shared" si="93"/>
        <v>458</v>
      </c>
    </row>
    <row r="763" spans="1:27" s="320" customFormat="1" x14ac:dyDescent="0.25">
      <c r="A763" s="220" t="s">
        <v>5514</v>
      </c>
      <c r="B763" s="221" t="s">
        <v>5872</v>
      </c>
      <c r="C763" s="223" t="s">
        <v>5170</v>
      </c>
      <c r="D763" s="220" t="s">
        <v>5214</v>
      </c>
      <c r="E763" s="222">
        <v>6</v>
      </c>
      <c r="F763" s="192">
        <v>2616</v>
      </c>
      <c r="G763" s="24">
        <v>0.2</v>
      </c>
      <c r="H763" s="24">
        <v>0.05</v>
      </c>
      <c r="I763" s="24">
        <v>0.05</v>
      </c>
      <c r="J763" s="24">
        <v>0</v>
      </c>
      <c r="K763" s="224">
        <f t="shared" si="94"/>
        <v>0.27800000000000014</v>
      </c>
      <c r="L763" s="225">
        <f t="shared" si="95"/>
        <v>21739.612188365652</v>
      </c>
      <c r="M763" s="225">
        <f t="shared" si="96"/>
        <v>3623.2686980609424</v>
      </c>
      <c r="N763" s="226">
        <f t="shared" si="97"/>
        <v>4311.6897506925216</v>
      </c>
      <c r="O763" s="34">
        <v>0.3</v>
      </c>
      <c r="P763" s="226">
        <f t="shared" si="98"/>
        <v>5605.196675900278</v>
      </c>
      <c r="Q763" s="107" t="s">
        <v>1486</v>
      </c>
      <c r="R763" s="34">
        <v>0.35</v>
      </c>
      <c r="S763" s="226">
        <f t="shared" si="99"/>
        <v>4789.2923076923071</v>
      </c>
      <c r="T763" s="156" t="s">
        <v>1486</v>
      </c>
      <c r="U763" s="2" t="s">
        <v>50</v>
      </c>
      <c r="V763" s="2" t="s">
        <v>47</v>
      </c>
      <c r="W763" s="2" t="s">
        <v>2900</v>
      </c>
      <c r="X763" s="2" t="s">
        <v>2903</v>
      </c>
      <c r="Y763" s="488" t="s">
        <v>1486</v>
      </c>
      <c r="Z763" s="293">
        <f t="shared" si="92"/>
        <v>1007.2686980609424</v>
      </c>
      <c r="AA763" s="293">
        <f t="shared" si="93"/>
        <v>1408.6153846153843</v>
      </c>
    </row>
    <row r="764" spans="1:27" s="320" customFormat="1" x14ac:dyDescent="0.25">
      <c r="A764" s="220" t="s">
        <v>5515</v>
      </c>
      <c r="B764" s="221" t="s">
        <v>5873</v>
      </c>
      <c r="C764" s="223" t="s">
        <v>5170</v>
      </c>
      <c r="D764" s="220" t="s">
        <v>5214</v>
      </c>
      <c r="E764" s="222">
        <v>24</v>
      </c>
      <c r="F764" s="192">
        <v>600</v>
      </c>
      <c r="G764" s="24">
        <v>0.2</v>
      </c>
      <c r="H764" s="24">
        <v>0.05</v>
      </c>
      <c r="I764" s="24">
        <v>0.05</v>
      </c>
      <c r="J764" s="24">
        <v>0</v>
      </c>
      <c r="K764" s="224">
        <f t="shared" si="94"/>
        <v>0.27800000000000014</v>
      </c>
      <c r="L764" s="225">
        <f t="shared" si="95"/>
        <v>19944.598337950141</v>
      </c>
      <c r="M764" s="225">
        <f t="shared" si="96"/>
        <v>831.02493074792255</v>
      </c>
      <c r="N764" s="226">
        <f t="shared" si="97"/>
        <v>988.91966759002776</v>
      </c>
      <c r="O764" s="34">
        <v>0.3</v>
      </c>
      <c r="P764" s="226">
        <f t="shared" si="98"/>
        <v>1285.5955678670362</v>
      </c>
      <c r="Q764" s="107" t="s">
        <v>1486</v>
      </c>
      <c r="R764" s="34">
        <v>0.35</v>
      </c>
      <c r="S764" s="226">
        <f t="shared" si="99"/>
        <v>1098.4615384615383</v>
      </c>
      <c r="T764" s="156" t="s">
        <v>1486</v>
      </c>
      <c r="U764" s="2" t="s">
        <v>50</v>
      </c>
      <c r="V764" s="2" t="s">
        <v>47</v>
      </c>
      <c r="W764" s="2" t="s">
        <v>2900</v>
      </c>
      <c r="X764" s="2" t="s">
        <v>2903</v>
      </c>
      <c r="Y764" s="488" t="s">
        <v>1486</v>
      </c>
      <c r="Z764" s="293">
        <f t="shared" si="92"/>
        <v>231.02493074792255</v>
      </c>
      <c r="AA764" s="293">
        <f t="shared" si="93"/>
        <v>323.07692307692298</v>
      </c>
    </row>
    <row r="765" spans="1:27" s="320" customFormat="1" x14ac:dyDescent="0.25">
      <c r="A765" s="220" t="s">
        <v>5516</v>
      </c>
      <c r="B765" s="221" t="s">
        <v>5874</v>
      </c>
      <c r="C765" s="223" t="s">
        <v>5170</v>
      </c>
      <c r="D765" s="220" t="s">
        <v>5214</v>
      </c>
      <c r="E765" s="222">
        <v>12</v>
      </c>
      <c r="F765" s="192">
        <v>920</v>
      </c>
      <c r="G765" s="24">
        <v>0.2</v>
      </c>
      <c r="H765" s="24">
        <v>0.05</v>
      </c>
      <c r="I765" s="24">
        <v>0.05</v>
      </c>
      <c r="J765" s="24">
        <v>0</v>
      </c>
      <c r="K765" s="224">
        <f t="shared" si="94"/>
        <v>0.27800000000000014</v>
      </c>
      <c r="L765" s="225">
        <f t="shared" si="95"/>
        <v>15290.858725761775</v>
      </c>
      <c r="M765" s="225">
        <f t="shared" si="96"/>
        <v>1274.2382271468146</v>
      </c>
      <c r="N765" s="226">
        <f t="shared" si="97"/>
        <v>1516.3434903047093</v>
      </c>
      <c r="O765" s="34">
        <v>0.3</v>
      </c>
      <c r="P765" s="226">
        <f t="shared" si="98"/>
        <v>1971.2465373961222</v>
      </c>
      <c r="Q765" s="107" t="s">
        <v>1486</v>
      </c>
      <c r="R765" s="34">
        <v>0.35</v>
      </c>
      <c r="S765" s="226">
        <f t="shared" si="99"/>
        <v>1684.3076923076922</v>
      </c>
      <c r="T765" s="156" t="s">
        <v>1486</v>
      </c>
      <c r="U765" s="2" t="s">
        <v>50</v>
      </c>
      <c r="V765" s="2" t="s">
        <v>47</v>
      </c>
      <c r="W765" s="2" t="s">
        <v>2900</v>
      </c>
      <c r="X765" s="2" t="s">
        <v>2903</v>
      </c>
      <c r="Y765" s="488" t="s">
        <v>1486</v>
      </c>
      <c r="Z765" s="293">
        <f t="shared" si="92"/>
        <v>354.23822714681455</v>
      </c>
      <c r="AA765" s="293">
        <f t="shared" si="93"/>
        <v>495.38461538461524</v>
      </c>
    </row>
    <row r="766" spans="1:27" s="320" customFormat="1" x14ac:dyDescent="0.25">
      <c r="A766" s="220" t="s">
        <v>5517</v>
      </c>
      <c r="B766" s="221" t="s">
        <v>5875</v>
      </c>
      <c r="C766" s="223" t="s">
        <v>5170</v>
      </c>
      <c r="D766" s="220" t="s">
        <v>5214</v>
      </c>
      <c r="E766" s="222">
        <v>12</v>
      </c>
      <c r="F766" s="192">
        <v>920</v>
      </c>
      <c r="G766" s="24">
        <v>0.2</v>
      </c>
      <c r="H766" s="24">
        <v>0.05</v>
      </c>
      <c r="I766" s="24">
        <v>0.05</v>
      </c>
      <c r="J766" s="24">
        <v>0</v>
      </c>
      <c r="K766" s="224">
        <f t="shared" si="94"/>
        <v>0.27800000000000014</v>
      </c>
      <c r="L766" s="225">
        <f t="shared" si="95"/>
        <v>15290.858725761775</v>
      </c>
      <c r="M766" s="225">
        <f t="shared" si="96"/>
        <v>1274.2382271468146</v>
      </c>
      <c r="N766" s="226">
        <f t="shared" si="97"/>
        <v>1516.3434903047093</v>
      </c>
      <c r="O766" s="34">
        <v>0.3</v>
      </c>
      <c r="P766" s="226">
        <f t="shared" si="98"/>
        <v>1971.2465373961222</v>
      </c>
      <c r="Q766" s="107" t="s">
        <v>1486</v>
      </c>
      <c r="R766" s="34">
        <v>0.35</v>
      </c>
      <c r="S766" s="226">
        <f t="shared" si="99"/>
        <v>1684.3076923076922</v>
      </c>
      <c r="T766" s="156" t="s">
        <v>1486</v>
      </c>
      <c r="U766" s="2" t="s">
        <v>50</v>
      </c>
      <c r="V766" s="2" t="s">
        <v>47</v>
      </c>
      <c r="W766" s="2" t="s">
        <v>2900</v>
      </c>
      <c r="X766" s="2" t="s">
        <v>2903</v>
      </c>
      <c r="Y766" s="488" t="s">
        <v>1486</v>
      </c>
      <c r="Z766" s="293">
        <f t="shared" si="92"/>
        <v>354.23822714681455</v>
      </c>
      <c r="AA766" s="293">
        <f t="shared" si="93"/>
        <v>495.38461538461524</v>
      </c>
    </row>
    <row r="767" spans="1:27" s="320" customFormat="1" x14ac:dyDescent="0.25">
      <c r="A767" s="220" t="s">
        <v>5543</v>
      </c>
      <c r="B767" s="221" t="s">
        <v>5977</v>
      </c>
      <c r="C767" s="223" t="s">
        <v>1569</v>
      </c>
      <c r="D767" s="220" t="s">
        <v>5994</v>
      </c>
      <c r="E767" s="222">
        <v>2</v>
      </c>
      <c r="F767" s="192">
        <v>8835</v>
      </c>
      <c r="G767" s="24">
        <v>0.2</v>
      </c>
      <c r="H767" s="24">
        <v>0.05</v>
      </c>
      <c r="I767" s="24">
        <v>0.05</v>
      </c>
      <c r="J767" s="24">
        <v>0</v>
      </c>
      <c r="K767" s="224">
        <f t="shared" si="94"/>
        <v>0.27800000000000002</v>
      </c>
      <c r="L767" s="225">
        <f t="shared" si="95"/>
        <v>24473.684210526317</v>
      </c>
      <c r="M767" s="225">
        <f t="shared" si="96"/>
        <v>12236.842105263158</v>
      </c>
      <c r="N767" s="226">
        <f t="shared" si="97"/>
        <v>14561.842105263158</v>
      </c>
      <c r="O767" s="34">
        <v>0.3</v>
      </c>
      <c r="P767" s="226">
        <f t="shared" si="98"/>
        <v>18930.394736842107</v>
      </c>
      <c r="Q767" s="107" t="s">
        <v>1486</v>
      </c>
      <c r="R767" s="34">
        <v>0.3</v>
      </c>
      <c r="S767" s="226">
        <f t="shared" si="99"/>
        <v>15019.5</v>
      </c>
      <c r="T767" s="156" t="s">
        <v>1486</v>
      </c>
      <c r="U767" s="2">
        <v>7</v>
      </c>
      <c r="V767" s="2" t="s">
        <v>47</v>
      </c>
      <c r="W767" s="2" t="s">
        <v>5883</v>
      </c>
      <c r="X767" s="2" t="s">
        <v>48</v>
      </c>
      <c r="Y767" s="571" t="s">
        <v>1486</v>
      </c>
      <c r="Z767" s="293">
        <f t="shared" si="92"/>
        <v>3401.8421052631584</v>
      </c>
      <c r="AA767" s="293">
        <f t="shared" si="93"/>
        <v>3786.4285714285725</v>
      </c>
    </row>
    <row r="768" spans="1:27" s="320" customFormat="1" x14ac:dyDescent="0.25">
      <c r="A768" s="220" t="s">
        <v>5546</v>
      </c>
      <c r="B768" s="221" t="s">
        <v>5976</v>
      </c>
      <c r="C768" s="223" t="s">
        <v>1569</v>
      </c>
      <c r="D768" s="220" t="s">
        <v>5993</v>
      </c>
      <c r="E768" s="222">
        <v>2</v>
      </c>
      <c r="F768" s="192">
        <v>8598</v>
      </c>
      <c r="G768" s="24">
        <v>0.2</v>
      </c>
      <c r="H768" s="24">
        <v>0.05</v>
      </c>
      <c r="I768" s="24">
        <v>0.05</v>
      </c>
      <c r="J768" s="24">
        <v>0</v>
      </c>
      <c r="K768" s="224">
        <f t="shared" si="94"/>
        <v>0.27800000000000002</v>
      </c>
      <c r="L768" s="225">
        <f t="shared" si="95"/>
        <v>23817.17451523546</v>
      </c>
      <c r="M768" s="225">
        <f t="shared" si="96"/>
        <v>11908.58725761773</v>
      </c>
      <c r="N768" s="226">
        <f t="shared" si="97"/>
        <v>14171.218836565098</v>
      </c>
      <c r="O768" s="34">
        <v>0.3</v>
      </c>
      <c r="P768" s="226">
        <f t="shared" si="98"/>
        <v>18422.584487534627</v>
      </c>
      <c r="Q768" s="107" t="s">
        <v>1486</v>
      </c>
      <c r="R768" s="34">
        <v>0.3</v>
      </c>
      <c r="S768" s="226">
        <f t="shared" si="99"/>
        <v>14616.6</v>
      </c>
      <c r="T768" s="156" t="s">
        <v>1486</v>
      </c>
      <c r="U768" s="2">
        <v>6</v>
      </c>
      <c r="V768" s="2" t="s">
        <v>47</v>
      </c>
      <c r="W768" s="2" t="s">
        <v>5883</v>
      </c>
      <c r="X768" s="2" t="s">
        <v>48</v>
      </c>
      <c r="Y768" s="571" t="s">
        <v>1486</v>
      </c>
      <c r="Z768" s="293">
        <f t="shared" ref="Z768:Z831" si="100">+M768-F768</f>
        <v>3310.5872576177298</v>
      </c>
      <c r="AA768" s="293">
        <f t="shared" ref="AA768:AA831" si="101">+(S768/1.19)-F768</f>
        <v>3684.8571428571431</v>
      </c>
    </row>
    <row r="769" spans="1:27" s="320" customFormat="1" x14ac:dyDescent="0.25">
      <c r="A769" s="220" t="s">
        <v>5549</v>
      </c>
      <c r="B769" s="221" t="s">
        <v>5970</v>
      </c>
      <c r="C769" s="223" t="s">
        <v>1569</v>
      </c>
      <c r="D769" s="220" t="s">
        <v>5993</v>
      </c>
      <c r="E769" s="222">
        <v>4</v>
      </c>
      <c r="F769" s="192">
        <v>4299</v>
      </c>
      <c r="G769" s="24">
        <v>0.2</v>
      </c>
      <c r="H769" s="24">
        <v>0.05</v>
      </c>
      <c r="I769" s="24">
        <v>0.05</v>
      </c>
      <c r="J769" s="24">
        <v>0</v>
      </c>
      <c r="K769" s="224">
        <f t="shared" si="94"/>
        <v>0.27800000000000002</v>
      </c>
      <c r="L769" s="225">
        <f t="shared" si="95"/>
        <v>23817.17451523546</v>
      </c>
      <c r="M769" s="225">
        <f t="shared" si="96"/>
        <v>5954.2936288088649</v>
      </c>
      <c r="N769" s="226">
        <f t="shared" si="97"/>
        <v>7085.6094182825491</v>
      </c>
      <c r="O769" s="34">
        <v>0.3</v>
      </c>
      <c r="P769" s="226">
        <f t="shared" si="98"/>
        <v>9211.2922437673133</v>
      </c>
      <c r="Q769" s="107" t="s">
        <v>1486</v>
      </c>
      <c r="R769" s="34">
        <v>0.3</v>
      </c>
      <c r="S769" s="226">
        <f t="shared" si="99"/>
        <v>7308.3</v>
      </c>
      <c r="T769" s="156" t="s">
        <v>1486</v>
      </c>
      <c r="U769" s="2">
        <v>1</v>
      </c>
      <c r="V769" s="2" t="s">
        <v>47</v>
      </c>
      <c r="W769" s="2" t="s">
        <v>5883</v>
      </c>
      <c r="X769" s="2" t="s">
        <v>48</v>
      </c>
      <c r="Y769" s="573" t="s">
        <v>1486</v>
      </c>
      <c r="Z769" s="293">
        <f t="shared" si="100"/>
        <v>1655.2936288088649</v>
      </c>
      <c r="AA769" s="293">
        <f t="shared" si="101"/>
        <v>1842.4285714285716</v>
      </c>
    </row>
    <row r="770" spans="1:27" s="320" customFormat="1" x14ac:dyDescent="0.25">
      <c r="A770" s="220" t="s">
        <v>5550</v>
      </c>
      <c r="B770" s="221" t="s">
        <v>5975</v>
      </c>
      <c r="C770" s="223" t="s">
        <v>1569</v>
      </c>
      <c r="D770" s="220" t="s">
        <v>89</v>
      </c>
      <c r="E770" s="222">
        <v>4</v>
      </c>
      <c r="F770" s="192">
        <v>4838.3999999999996</v>
      </c>
      <c r="G770" s="24">
        <v>0.2</v>
      </c>
      <c r="H770" s="24">
        <v>0.05</v>
      </c>
      <c r="I770" s="24">
        <v>0.05</v>
      </c>
      <c r="J770" s="24">
        <v>0</v>
      </c>
      <c r="K770" s="224">
        <f t="shared" si="94"/>
        <v>0.27800000000000002</v>
      </c>
      <c r="L770" s="225">
        <f t="shared" si="95"/>
        <v>26805.540166204984</v>
      </c>
      <c r="M770" s="225">
        <f t="shared" si="96"/>
        <v>6701.3850415512461</v>
      </c>
      <c r="N770" s="226">
        <f t="shared" si="97"/>
        <v>7974.6481994459828</v>
      </c>
      <c r="O770" s="34">
        <v>0.3</v>
      </c>
      <c r="P770" s="226">
        <f t="shared" si="98"/>
        <v>10367.042659279778</v>
      </c>
      <c r="Q770" s="107" t="s">
        <v>1486</v>
      </c>
      <c r="R770" s="34">
        <v>0.3</v>
      </c>
      <c r="S770" s="226">
        <f t="shared" si="99"/>
        <v>8225.2799999999988</v>
      </c>
      <c r="T770" s="156" t="s">
        <v>1486</v>
      </c>
      <c r="U770" s="2">
        <v>9</v>
      </c>
      <c r="V770" s="2" t="s">
        <v>47</v>
      </c>
      <c r="W770" s="2" t="s">
        <v>5883</v>
      </c>
      <c r="X770" s="2" t="s">
        <v>48</v>
      </c>
      <c r="Y770" s="581" t="s">
        <v>1486</v>
      </c>
      <c r="Z770" s="293">
        <f t="shared" si="100"/>
        <v>1862.9850415512465</v>
      </c>
      <c r="AA770" s="293">
        <f t="shared" si="101"/>
        <v>2073.5999999999995</v>
      </c>
    </row>
    <row r="771" spans="1:27" s="320" customFormat="1" x14ac:dyDescent="0.25">
      <c r="A771" s="220" t="s">
        <v>5553</v>
      </c>
      <c r="B771" s="221" t="s">
        <v>5985</v>
      </c>
      <c r="C771" s="223" t="s">
        <v>1569</v>
      </c>
      <c r="D771" s="220" t="s">
        <v>3601</v>
      </c>
      <c r="E771" s="222">
        <v>1</v>
      </c>
      <c r="F771" s="192">
        <v>11000</v>
      </c>
      <c r="G771" s="24">
        <v>0.2</v>
      </c>
      <c r="H771" s="24">
        <v>0.05</v>
      </c>
      <c r="I771" s="24">
        <v>0.05</v>
      </c>
      <c r="J771" s="24">
        <v>0</v>
      </c>
      <c r="K771" s="224">
        <f t="shared" ref="K771:K834" si="102">IF(F771=0,0,1-(F771/M771))</f>
        <v>0.27800000000000002</v>
      </c>
      <c r="L771" s="225">
        <f t="shared" ref="L771:L834" si="103">+M771*E771</f>
        <v>15235.457063711912</v>
      </c>
      <c r="M771" s="225">
        <f t="shared" ref="M771:M834" si="104">+F771/(1-G771)/(1-H771)/(1-I771)/(1-J771)</f>
        <v>15235.457063711912</v>
      </c>
      <c r="N771" s="226">
        <f t="shared" ref="N771:N834" si="105">+M771*1.19</f>
        <v>18130.193905817174</v>
      </c>
      <c r="O771" s="34">
        <v>0.3</v>
      </c>
      <c r="P771" s="226">
        <f t="shared" ref="P771:P834" si="106">+N771*(1+O771)</f>
        <v>23569.252077562327</v>
      </c>
      <c r="Q771" s="107" t="s">
        <v>1486</v>
      </c>
      <c r="R771" s="34">
        <v>0.3</v>
      </c>
      <c r="S771" s="226">
        <f t="shared" si="99"/>
        <v>18700</v>
      </c>
      <c r="T771" s="156" t="s">
        <v>1486</v>
      </c>
      <c r="U771" s="2">
        <v>6</v>
      </c>
      <c r="V771" s="2" t="s">
        <v>47</v>
      </c>
      <c r="W771" s="2" t="s">
        <v>5883</v>
      </c>
      <c r="X771" s="2" t="s">
        <v>101</v>
      </c>
      <c r="Y771" s="597" t="s">
        <v>1486</v>
      </c>
      <c r="Z771" s="293">
        <f t="shared" si="100"/>
        <v>4235.4570637119123</v>
      </c>
      <c r="AA771" s="293">
        <f t="shared" si="101"/>
        <v>4714.2857142857156</v>
      </c>
    </row>
    <row r="772" spans="1:27" s="320" customFormat="1" x14ac:dyDescent="0.25">
      <c r="A772" s="220" t="s">
        <v>5569</v>
      </c>
      <c r="B772" s="221" t="s">
        <v>5575</v>
      </c>
      <c r="C772" s="223" t="s">
        <v>3934</v>
      </c>
      <c r="D772" s="220" t="s">
        <v>1646</v>
      </c>
      <c r="E772" s="222">
        <v>24</v>
      </c>
      <c r="F772" s="192">
        <v>984</v>
      </c>
      <c r="G772" s="24">
        <v>0.2</v>
      </c>
      <c r="H772" s="24">
        <v>0.05</v>
      </c>
      <c r="I772" s="24">
        <v>0.05</v>
      </c>
      <c r="J772" s="24">
        <v>0</v>
      </c>
      <c r="K772" s="224">
        <f t="shared" si="102"/>
        <v>0.27799999999999991</v>
      </c>
      <c r="L772" s="225">
        <f t="shared" si="103"/>
        <v>32709.141274238224</v>
      </c>
      <c r="M772" s="225">
        <f t="shared" si="104"/>
        <v>1362.8808864265927</v>
      </c>
      <c r="N772" s="226">
        <f t="shared" si="105"/>
        <v>1621.8282548476452</v>
      </c>
      <c r="O772" s="34">
        <v>0.3</v>
      </c>
      <c r="P772" s="226">
        <f t="shared" si="106"/>
        <v>2108.3767313019389</v>
      </c>
      <c r="Q772" s="107" t="s">
        <v>1486</v>
      </c>
      <c r="R772" s="34">
        <v>0.4</v>
      </c>
      <c r="S772" s="226">
        <f t="shared" si="99"/>
        <v>1951.6</v>
      </c>
      <c r="T772" s="156" t="s">
        <v>1486</v>
      </c>
      <c r="U772" s="2" t="s">
        <v>50</v>
      </c>
      <c r="V772" s="2" t="s">
        <v>47</v>
      </c>
      <c r="W772" s="2" t="s">
        <v>3965</v>
      </c>
      <c r="X772" s="2" t="s">
        <v>1467</v>
      </c>
      <c r="Y772" s="636" t="s">
        <v>1486</v>
      </c>
      <c r="Z772" s="293">
        <f t="shared" si="100"/>
        <v>378.88088642659272</v>
      </c>
      <c r="AA772" s="293">
        <f t="shared" si="101"/>
        <v>656</v>
      </c>
    </row>
    <row r="773" spans="1:27" s="320" customFormat="1" x14ac:dyDescent="0.25">
      <c r="A773" s="220" t="s">
        <v>5570</v>
      </c>
      <c r="B773" s="221" t="s">
        <v>5876</v>
      </c>
      <c r="C773" s="223" t="s">
        <v>3934</v>
      </c>
      <c r="D773" s="220" t="s">
        <v>1646</v>
      </c>
      <c r="E773" s="222">
        <v>24</v>
      </c>
      <c r="F773" s="192">
        <v>1100</v>
      </c>
      <c r="G773" s="24">
        <v>0.2</v>
      </c>
      <c r="H773" s="24">
        <v>0.05</v>
      </c>
      <c r="I773" s="24">
        <v>0.05</v>
      </c>
      <c r="J773" s="24">
        <v>0</v>
      </c>
      <c r="K773" s="224">
        <f t="shared" si="102"/>
        <v>0.27800000000000002</v>
      </c>
      <c r="L773" s="225">
        <f t="shared" si="103"/>
        <v>36565.096952908592</v>
      </c>
      <c r="M773" s="225">
        <f t="shared" si="104"/>
        <v>1523.5457063711913</v>
      </c>
      <c r="N773" s="226">
        <f t="shared" si="105"/>
        <v>1813.0193905817175</v>
      </c>
      <c r="O773" s="369">
        <v>0.3</v>
      </c>
      <c r="P773" s="226">
        <f t="shared" si="106"/>
        <v>2356.9252077562328</v>
      </c>
      <c r="Q773" s="370" t="s">
        <v>1486</v>
      </c>
      <c r="R773" s="369">
        <v>0.4</v>
      </c>
      <c r="S773" s="226">
        <f t="shared" si="99"/>
        <v>2181.666666666667</v>
      </c>
      <c r="T773" s="582" t="s">
        <v>1486</v>
      </c>
      <c r="U773" s="2" t="s">
        <v>50</v>
      </c>
      <c r="V773" s="2" t="s">
        <v>47</v>
      </c>
      <c r="W773" s="2" t="s">
        <v>3965</v>
      </c>
      <c r="X773" s="293" t="s">
        <v>1467</v>
      </c>
      <c r="Y773" s="371" t="s">
        <v>1486</v>
      </c>
      <c r="Z773" s="220">
        <f t="shared" si="100"/>
        <v>423.54570637119127</v>
      </c>
      <c r="AA773" s="221">
        <f t="shared" si="101"/>
        <v>733.33333333333371</v>
      </c>
    </row>
    <row r="774" spans="1:27" s="320" customFormat="1" x14ac:dyDescent="0.25">
      <c r="A774" s="220" t="s">
        <v>5571</v>
      </c>
      <c r="B774" s="221" t="s">
        <v>5572</v>
      </c>
      <c r="C774" s="223" t="s">
        <v>3934</v>
      </c>
      <c r="D774" s="220" t="s">
        <v>1646</v>
      </c>
      <c r="E774" s="222">
        <v>24</v>
      </c>
      <c r="F774" s="192">
        <v>1452</v>
      </c>
      <c r="G774" s="24">
        <v>0.2</v>
      </c>
      <c r="H774" s="24">
        <v>0.05</v>
      </c>
      <c r="I774" s="24">
        <v>0.05</v>
      </c>
      <c r="J774" s="24">
        <v>0</v>
      </c>
      <c r="K774" s="224">
        <f t="shared" si="102"/>
        <v>0.27800000000000002</v>
      </c>
      <c r="L774" s="225">
        <f t="shared" si="103"/>
        <v>48265.927977839339</v>
      </c>
      <c r="M774" s="225">
        <f t="shared" si="104"/>
        <v>2011.0803324099725</v>
      </c>
      <c r="N774" s="226">
        <f t="shared" si="105"/>
        <v>2393.185595567867</v>
      </c>
      <c r="O774" s="369">
        <v>0.3</v>
      </c>
      <c r="P774" s="226">
        <f t="shared" si="106"/>
        <v>3111.1412742382272</v>
      </c>
      <c r="Q774" s="370" t="s">
        <v>1486</v>
      </c>
      <c r="R774" s="369">
        <v>0.4</v>
      </c>
      <c r="S774" s="226">
        <f t="shared" si="99"/>
        <v>2879.7999999999997</v>
      </c>
      <c r="T774" s="598" t="s">
        <v>1486</v>
      </c>
      <c r="U774" s="2" t="s">
        <v>50</v>
      </c>
      <c r="V774" s="2" t="s">
        <v>47</v>
      </c>
      <c r="W774" s="2" t="s">
        <v>3965</v>
      </c>
      <c r="X774" s="293" t="s">
        <v>1467</v>
      </c>
      <c r="Y774" s="371" t="s">
        <v>1486</v>
      </c>
      <c r="Z774" s="220">
        <f t="shared" si="100"/>
        <v>559.08033240997247</v>
      </c>
      <c r="AA774" s="221">
        <f t="shared" si="101"/>
        <v>968</v>
      </c>
    </row>
    <row r="775" spans="1:27" s="320" customFormat="1" x14ac:dyDescent="0.25">
      <c r="A775" s="220" t="s">
        <v>5573</v>
      </c>
      <c r="B775" s="221" t="s">
        <v>5574</v>
      </c>
      <c r="C775" s="223" t="s">
        <v>3934</v>
      </c>
      <c r="D775" s="220" t="s">
        <v>1646</v>
      </c>
      <c r="E775" s="222">
        <v>24</v>
      </c>
      <c r="F775" s="192">
        <v>1452</v>
      </c>
      <c r="G775" s="24">
        <v>0.2</v>
      </c>
      <c r="H775" s="24">
        <v>0.05</v>
      </c>
      <c r="I775" s="24">
        <v>0.05</v>
      </c>
      <c r="J775" s="24">
        <v>0</v>
      </c>
      <c r="K775" s="224">
        <f t="shared" si="102"/>
        <v>0.27800000000000002</v>
      </c>
      <c r="L775" s="225">
        <f t="shared" si="103"/>
        <v>48265.927977839339</v>
      </c>
      <c r="M775" s="225">
        <f t="shared" si="104"/>
        <v>2011.0803324099725</v>
      </c>
      <c r="N775" s="226">
        <f t="shared" si="105"/>
        <v>2393.185595567867</v>
      </c>
      <c r="O775" s="369">
        <v>0.3</v>
      </c>
      <c r="P775" s="226">
        <f t="shared" si="106"/>
        <v>3111.1412742382272</v>
      </c>
      <c r="Q775" s="370" t="s">
        <v>1486</v>
      </c>
      <c r="R775" s="369">
        <v>0.4</v>
      </c>
      <c r="S775" s="226">
        <f t="shared" si="99"/>
        <v>2879.7999999999997</v>
      </c>
      <c r="T775" s="637" t="s">
        <v>1486</v>
      </c>
      <c r="U775" s="2" t="s">
        <v>50</v>
      </c>
      <c r="V775" s="2" t="s">
        <v>47</v>
      </c>
      <c r="W775" s="2" t="s">
        <v>3965</v>
      </c>
      <c r="X775" s="293" t="s">
        <v>1467</v>
      </c>
      <c r="Y775" s="371" t="s">
        <v>1486</v>
      </c>
      <c r="Z775" s="220">
        <f t="shared" si="100"/>
        <v>559.08033240997247</v>
      </c>
      <c r="AA775" s="221">
        <f t="shared" si="101"/>
        <v>968</v>
      </c>
    </row>
    <row r="776" spans="1:27" s="320" customFormat="1" x14ac:dyDescent="0.25">
      <c r="A776" s="220" t="s">
        <v>5623</v>
      </c>
      <c r="B776" s="221" t="s">
        <v>5624</v>
      </c>
      <c r="C776" s="223" t="s">
        <v>5619</v>
      </c>
      <c r="D776" s="220" t="s">
        <v>5625</v>
      </c>
      <c r="E776" s="222">
        <v>6</v>
      </c>
      <c r="F776" s="192">
        <v>3690</v>
      </c>
      <c r="G776" s="24">
        <v>0.2</v>
      </c>
      <c r="H776" s="24">
        <v>0.05</v>
      </c>
      <c r="I776" s="24">
        <v>0.05</v>
      </c>
      <c r="J776" s="24">
        <v>0</v>
      </c>
      <c r="K776" s="224">
        <f t="shared" si="102"/>
        <v>0.27800000000000002</v>
      </c>
      <c r="L776" s="225">
        <f t="shared" si="103"/>
        <v>30664.819944598337</v>
      </c>
      <c r="M776" s="225">
        <f t="shared" si="104"/>
        <v>5110.8033240997229</v>
      </c>
      <c r="N776" s="226">
        <f t="shared" si="105"/>
        <v>6081.8559556786704</v>
      </c>
      <c r="O776" s="34">
        <v>0.3</v>
      </c>
      <c r="P776" s="226">
        <f t="shared" si="106"/>
        <v>7906.412742382272</v>
      </c>
      <c r="Q776" s="107" t="s">
        <v>1486</v>
      </c>
      <c r="R776" s="34">
        <v>0.4</v>
      </c>
      <c r="S776" s="226">
        <f t="shared" si="99"/>
        <v>7318.5</v>
      </c>
      <c r="T776" s="156" t="s">
        <v>1486</v>
      </c>
      <c r="U776" s="2"/>
      <c r="V776" s="2" t="s">
        <v>47</v>
      </c>
      <c r="W776" s="2" t="s">
        <v>1467</v>
      </c>
      <c r="X776" s="2" t="s">
        <v>1467</v>
      </c>
      <c r="Y776" s="488" t="s">
        <v>1486</v>
      </c>
      <c r="Z776" s="293">
        <f t="shared" si="100"/>
        <v>1420.8033240997229</v>
      </c>
      <c r="AA776" s="293">
        <f t="shared" si="101"/>
        <v>2460</v>
      </c>
    </row>
    <row r="777" spans="1:27" s="320" customFormat="1" x14ac:dyDescent="0.25">
      <c r="A777" s="220" t="s">
        <v>5626</v>
      </c>
      <c r="B777" s="221" t="s">
        <v>5627</v>
      </c>
      <c r="C777" s="223" t="s">
        <v>5619</v>
      </c>
      <c r="D777" s="220" t="s">
        <v>5625</v>
      </c>
      <c r="E777" s="222">
        <v>12</v>
      </c>
      <c r="F777" s="192">
        <v>1290</v>
      </c>
      <c r="G777" s="24">
        <v>0.2</v>
      </c>
      <c r="H777" s="24">
        <v>0.05</v>
      </c>
      <c r="I777" s="24">
        <v>0.05</v>
      </c>
      <c r="J777" s="24">
        <v>0</v>
      </c>
      <c r="K777" s="224">
        <f t="shared" si="102"/>
        <v>0.27800000000000002</v>
      </c>
      <c r="L777" s="225">
        <f t="shared" si="103"/>
        <v>21440.443213296399</v>
      </c>
      <c r="M777" s="225">
        <f t="shared" si="104"/>
        <v>1786.7036011080334</v>
      </c>
      <c r="N777" s="226">
        <f t="shared" si="105"/>
        <v>2126.1772853185594</v>
      </c>
      <c r="O777" s="34">
        <v>0.3</v>
      </c>
      <c r="P777" s="226">
        <f t="shared" si="106"/>
        <v>2764.0304709141274</v>
      </c>
      <c r="Q777" s="107" t="s">
        <v>1486</v>
      </c>
      <c r="R777" s="34">
        <v>0.4</v>
      </c>
      <c r="S777" s="226">
        <f t="shared" si="99"/>
        <v>2558.5</v>
      </c>
      <c r="T777" s="156" t="s">
        <v>1486</v>
      </c>
      <c r="U777" s="2"/>
      <c r="V777" s="2" t="s">
        <v>47</v>
      </c>
      <c r="W777" s="2" t="s">
        <v>1467</v>
      </c>
      <c r="X777" s="2" t="s">
        <v>1467</v>
      </c>
      <c r="Y777" s="488" t="s">
        <v>1486</v>
      </c>
      <c r="Z777" s="293">
        <f t="shared" si="100"/>
        <v>496.70360110803335</v>
      </c>
      <c r="AA777" s="293">
        <f t="shared" si="101"/>
        <v>860</v>
      </c>
    </row>
    <row r="778" spans="1:27" s="320" customFormat="1" x14ac:dyDescent="0.25">
      <c r="A778" s="220" t="s">
        <v>5628</v>
      </c>
      <c r="B778" s="221" t="s">
        <v>5629</v>
      </c>
      <c r="C778" s="223" t="s">
        <v>5619</v>
      </c>
      <c r="D778" s="220" t="s">
        <v>5630</v>
      </c>
      <c r="E778" s="222">
        <v>12</v>
      </c>
      <c r="F778" s="192">
        <v>2400</v>
      </c>
      <c r="G778" s="24">
        <v>0.2</v>
      </c>
      <c r="H778" s="24">
        <v>0.05</v>
      </c>
      <c r="I778" s="24">
        <v>0.05</v>
      </c>
      <c r="J778" s="24">
        <v>0.05</v>
      </c>
      <c r="K778" s="224">
        <f t="shared" si="102"/>
        <v>0.31410000000000016</v>
      </c>
      <c r="L778" s="225">
        <f t="shared" si="103"/>
        <v>41988.628079895039</v>
      </c>
      <c r="M778" s="225">
        <f t="shared" si="104"/>
        <v>3499.0523399912531</v>
      </c>
      <c r="N778" s="226">
        <f t="shared" si="105"/>
        <v>4163.8722845895909</v>
      </c>
      <c r="O778" s="34">
        <v>0.3</v>
      </c>
      <c r="P778" s="226">
        <f t="shared" si="106"/>
        <v>5413.0339699664682</v>
      </c>
      <c r="Q778" s="107" t="s">
        <v>1486</v>
      </c>
      <c r="R778" s="34">
        <v>0.4</v>
      </c>
      <c r="S778" s="226">
        <f t="shared" si="99"/>
        <v>4760</v>
      </c>
      <c r="T778" s="156" t="s">
        <v>1486</v>
      </c>
      <c r="U778" s="2"/>
      <c r="V778" s="2" t="s">
        <v>47</v>
      </c>
      <c r="W778" s="2" t="s">
        <v>1467</v>
      </c>
      <c r="X778" s="2" t="s">
        <v>1467</v>
      </c>
      <c r="Y778" s="488" t="s">
        <v>1486</v>
      </c>
      <c r="Z778" s="293">
        <f t="shared" si="100"/>
        <v>1099.0523399912531</v>
      </c>
      <c r="AA778" s="293">
        <f t="shared" si="101"/>
        <v>1600</v>
      </c>
    </row>
    <row r="779" spans="1:27" s="320" customFormat="1" x14ac:dyDescent="0.25">
      <c r="A779" s="220" t="s">
        <v>5636</v>
      </c>
      <c r="B779" s="221" t="s">
        <v>5637</v>
      </c>
      <c r="C779" s="223" t="s">
        <v>4767</v>
      </c>
      <c r="D779" s="220" t="s">
        <v>4636</v>
      </c>
      <c r="E779" s="222">
        <v>12</v>
      </c>
      <c r="F779" s="192">
        <v>921</v>
      </c>
      <c r="G779" s="24">
        <v>0.2</v>
      </c>
      <c r="H779" s="24">
        <v>0.05</v>
      </c>
      <c r="I779" s="24">
        <v>0.05</v>
      </c>
      <c r="J779" s="24">
        <v>0</v>
      </c>
      <c r="K779" s="224">
        <f t="shared" si="102"/>
        <v>0.27800000000000014</v>
      </c>
      <c r="L779" s="225">
        <f t="shared" si="103"/>
        <v>15307.479224376733</v>
      </c>
      <c r="M779" s="225">
        <f t="shared" si="104"/>
        <v>1275.6232686980611</v>
      </c>
      <c r="N779" s="226">
        <f t="shared" si="105"/>
        <v>1517.9916897506926</v>
      </c>
      <c r="O779" s="34">
        <v>0.3</v>
      </c>
      <c r="P779" s="226">
        <f t="shared" si="106"/>
        <v>1973.3891966759004</v>
      </c>
      <c r="Q779" s="107" t="s">
        <v>1486</v>
      </c>
      <c r="R779" s="34">
        <v>0.3</v>
      </c>
      <c r="S779" s="226">
        <f t="shared" si="99"/>
        <v>1565.7</v>
      </c>
      <c r="T779" s="156" t="s">
        <v>1486</v>
      </c>
      <c r="U779" s="2"/>
      <c r="V779" s="2" t="s">
        <v>47</v>
      </c>
      <c r="W779" s="2" t="s">
        <v>1467</v>
      </c>
      <c r="X779" s="2" t="s">
        <v>1467</v>
      </c>
      <c r="Y779" s="488" t="s">
        <v>1486</v>
      </c>
      <c r="Z779" s="293">
        <f t="shared" si="100"/>
        <v>354.62326869806111</v>
      </c>
      <c r="AA779" s="293">
        <f t="shared" si="101"/>
        <v>394.71428571428578</v>
      </c>
    </row>
    <row r="780" spans="1:27" s="320" customFormat="1" x14ac:dyDescent="0.25">
      <c r="A780" s="220" t="s">
        <v>5713</v>
      </c>
      <c r="B780" s="221" t="s">
        <v>5714</v>
      </c>
      <c r="C780" s="223" t="s">
        <v>5708</v>
      </c>
      <c r="D780" s="220" t="s">
        <v>5715</v>
      </c>
      <c r="E780" s="222">
        <v>10</v>
      </c>
      <c r="F780" s="192">
        <v>10000</v>
      </c>
      <c r="G780" s="24">
        <v>0.2</v>
      </c>
      <c r="H780" s="24">
        <v>0.05</v>
      </c>
      <c r="I780" s="24">
        <v>0.05</v>
      </c>
      <c r="J780" s="24">
        <v>0</v>
      </c>
      <c r="K780" s="224">
        <f t="shared" si="102"/>
        <v>0.27800000000000002</v>
      </c>
      <c r="L780" s="225">
        <f t="shared" si="103"/>
        <v>138504.15512465374</v>
      </c>
      <c r="M780" s="225">
        <f t="shared" si="104"/>
        <v>13850.415512465373</v>
      </c>
      <c r="N780" s="226">
        <f t="shared" si="105"/>
        <v>16481.994459833793</v>
      </c>
      <c r="O780" s="34">
        <v>0.3</v>
      </c>
      <c r="P780" s="226">
        <f t="shared" si="106"/>
        <v>21426.592797783931</v>
      </c>
      <c r="Q780" s="107" t="s">
        <v>1486</v>
      </c>
      <c r="R780" s="34">
        <v>0.3</v>
      </c>
      <c r="S780" s="226">
        <f t="shared" si="99"/>
        <v>17000</v>
      </c>
      <c r="T780" s="156" t="s">
        <v>1486</v>
      </c>
      <c r="U780" s="2"/>
      <c r="V780" s="2" t="s">
        <v>47</v>
      </c>
      <c r="W780" s="2" t="s">
        <v>1467</v>
      </c>
      <c r="X780" s="2" t="s">
        <v>1467</v>
      </c>
      <c r="Y780" s="488" t="s">
        <v>1486</v>
      </c>
      <c r="Z780" s="293">
        <f t="shared" si="100"/>
        <v>3850.4155124653735</v>
      </c>
      <c r="AA780" s="293">
        <f t="shared" si="101"/>
        <v>4285.7142857142862</v>
      </c>
    </row>
    <row r="781" spans="1:27" s="320" customFormat="1" x14ac:dyDescent="0.25">
      <c r="A781" s="220" t="s">
        <v>5751</v>
      </c>
      <c r="B781" s="221" t="s">
        <v>5752</v>
      </c>
      <c r="C781" s="223" t="s">
        <v>4767</v>
      </c>
      <c r="D781" s="220" t="s">
        <v>5753</v>
      </c>
      <c r="E781" s="222">
        <v>48</v>
      </c>
      <c r="F781" s="192">
        <v>701</v>
      </c>
      <c r="G781" s="24">
        <v>0.2</v>
      </c>
      <c r="H781" s="24">
        <v>0.05</v>
      </c>
      <c r="I781" s="24">
        <v>0.05</v>
      </c>
      <c r="J781" s="24">
        <v>0</v>
      </c>
      <c r="K781" s="224">
        <f t="shared" si="102"/>
        <v>0.27800000000000014</v>
      </c>
      <c r="L781" s="225">
        <f t="shared" si="103"/>
        <v>46603.878116343498</v>
      </c>
      <c r="M781" s="225">
        <f t="shared" si="104"/>
        <v>970.91412742382283</v>
      </c>
      <c r="N781" s="226">
        <f t="shared" si="105"/>
        <v>1155.3878116343492</v>
      </c>
      <c r="O781" s="34">
        <v>0.3</v>
      </c>
      <c r="P781" s="226">
        <f t="shared" si="106"/>
        <v>1502.0041551246541</v>
      </c>
      <c r="Q781" s="107" t="s">
        <v>1486</v>
      </c>
      <c r="R781" s="34">
        <v>0.4</v>
      </c>
      <c r="S781" s="226">
        <f t="shared" si="99"/>
        <v>1390.3166666666668</v>
      </c>
      <c r="T781" s="156" t="s">
        <v>1486</v>
      </c>
      <c r="U781" s="2"/>
      <c r="V781" s="2" t="s">
        <v>47</v>
      </c>
      <c r="W781" s="2" t="s">
        <v>1467</v>
      </c>
      <c r="X781" s="2" t="s">
        <v>1467</v>
      </c>
      <c r="Y781" s="488" t="s">
        <v>1486</v>
      </c>
      <c r="Z781" s="293">
        <f t="shared" si="100"/>
        <v>269.91412742382283</v>
      </c>
      <c r="AA781" s="293">
        <f t="shared" si="101"/>
        <v>467.33333333333348</v>
      </c>
    </row>
    <row r="782" spans="1:27" s="320" customFormat="1" x14ac:dyDescent="0.25">
      <c r="A782" s="220" t="s">
        <v>5768</v>
      </c>
      <c r="B782" s="221" t="s">
        <v>5769</v>
      </c>
      <c r="C782" s="223" t="s">
        <v>5619</v>
      </c>
      <c r="D782" s="220" t="s">
        <v>5770</v>
      </c>
      <c r="E782" s="222">
        <v>6</v>
      </c>
      <c r="F782" s="192">
        <v>5990</v>
      </c>
      <c r="G782" s="24">
        <v>0.2</v>
      </c>
      <c r="H782" s="24">
        <v>0.05</v>
      </c>
      <c r="I782" s="24">
        <v>0.05</v>
      </c>
      <c r="J782" s="24">
        <v>0</v>
      </c>
      <c r="K782" s="224">
        <f t="shared" si="102"/>
        <v>0.27800000000000014</v>
      </c>
      <c r="L782" s="225">
        <f t="shared" si="103"/>
        <v>49778.393351800565</v>
      </c>
      <c r="M782" s="225">
        <f t="shared" si="104"/>
        <v>8296.3988919667609</v>
      </c>
      <c r="N782" s="226">
        <f t="shared" si="105"/>
        <v>9872.7146814404441</v>
      </c>
      <c r="O782" s="34">
        <v>0.3</v>
      </c>
      <c r="P782" s="226">
        <f t="shared" si="106"/>
        <v>12834.529085872578</v>
      </c>
      <c r="Q782" s="107" t="s">
        <v>1486</v>
      </c>
      <c r="R782" s="34">
        <v>0.4</v>
      </c>
      <c r="S782" s="226">
        <f t="shared" si="99"/>
        <v>11880.166666666666</v>
      </c>
      <c r="T782" s="156" t="s">
        <v>1486</v>
      </c>
      <c r="U782" s="2"/>
      <c r="V782" s="2" t="s">
        <v>47</v>
      </c>
      <c r="W782" s="2" t="s">
        <v>1467</v>
      </c>
      <c r="X782" s="2" t="s">
        <v>1467</v>
      </c>
      <c r="Y782" s="488" t="s">
        <v>1486</v>
      </c>
      <c r="Z782" s="293">
        <f t="shared" si="100"/>
        <v>2306.3988919667609</v>
      </c>
      <c r="AA782" s="293">
        <f t="shared" si="101"/>
        <v>3993.3333333333339</v>
      </c>
    </row>
    <row r="783" spans="1:27" s="320" customFormat="1" x14ac:dyDescent="0.25">
      <c r="A783" s="220" t="s">
        <v>5771</v>
      </c>
      <c r="B783" s="221" t="s">
        <v>5772</v>
      </c>
      <c r="C783" s="223" t="s">
        <v>4767</v>
      </c>
      <c r="D783" s="220" t="s">
        <v>5753</v>
      </c>
      <c r="E783" s="222">
        <v>48</v>
      </c>
      <c r="F783" s="192">
        <v>673</v>
      </c>
      <c r="G783" s="24">
        <v>0.2</v>
      </c>
      <c r="H783" s="24">
        <v>0.05</v>
      </c>
      <c r="I783" s="24">
        <v>0.05</v>
      </c>
      <c r="J783" s="24">
        <v>0</v>
      </c>
      <c r="K783" s="224">
        <f t="shared" si="102"/>
        <v>0.27800000000000002</v>
      </c>
      <c r="L783" s="225">
        <f t="shared" si="103"/>
        <v>44742.382271468145</v>
      </c>
      <c r="M783" s="225">
        <f t="shared" si="104"/>
        <v>932.13296398891976</v>
      </c>
      <c r="N783" s="226">
        <f t="shared" si="105"/>
        <v>1109.2382271468146</v>
      </c>
      <c r="O783" s="34">
        <v>0.3</v>
      </c>
      <c r="P783" s="226">
        <f t="shared" si="106"/>
        <v>1442.0096952908589</v>
      </c>
      <c r="Q783" s="107" t="s">
        <v>1486</v>
      </c>
      <c r="R783" s="34">
        <v>0.4</v>
      </c>
      <c r="S783" s="226">
        <f t="shared" si="99"/>
        <v>1334.7833333333333</v>
      </c>
      <c r="T783" s="156" t="s">
        <v>1486</v>
      </c>
      <c r="U783" s="2"/>
      <c r="V783" s="2" t="s">
        <v>47</v>
      </c>
      <c r="W783" s="2" t="s">
        <v>1467</v>
      </c>
      <c r="X783" s="2" t="s">
        <v>1467</v>
      </c>
      <c r="Y783" s="488" t="s">
        <v>1486</v>
      </c>
      <c r="Z783" s="293">
        <f t="shared" si="100"/>
        <v>259.13296398891976</v>
      </c>
      <c r="AA783" s="293">
        <f t="shared" si="101"/>
        <v>448.66666666666674</v>
      </c>
    </row>
    <row r="784" spans="1:27" s="320" customFormat="1" x14ac:dyDescent="0.25">
      <c r="A784" s="220" t="s">
        <v>5792</v>
      </c>
      <c r="B784" s="221" t="s">
        <v>5793</v>
      </c>
      <c r="C784" s="223" t="s">
        <v>5619</v>
      </c>
      <c r="D784" s="220" t="s">
        <v>5794</v>
      </c>
      <c r="E784" s="222">
        <v>1</v>
      </c>
      <c r="F784" s="192">
        <v>4790</v>
      </c>
      <c r="G784" s="24">
        <v>0.2</v>
      </c>
      <c r="H784" s="24">
        <v>0.05</v>
      </c>
      <c r="I784" s="24">
        <v>0.05</v>
      </c>
      <c r="J784" s="24">
        <v>0.05</v>
      </c>
      <c r="K784" s="224">
        <f t="shared" si="102"/>
        <v>0.31409999999999993</v>
      </c>
      <c r="L784" s="225">
        <f t="shared" si="103"/>
        <v>6983.5252952325409</v>
      </c>
      <c r="M784" s="225">
        <f t="shared" si="104"/>
        <v>6983.5252952325409</v>
      </c>
      <c r="N784" s="226">
        <f t="shared" si="105"/>
        <v>8310.3951013267233</v>
      </c>
      <c r="O784" s="34">
        <v>0.3</v>
      </c>
      <c r="P784" s="226">
        <f t="shared" si="106"/>
        <v>10803.513631724742</v>
      </c>
      <c r="Q784" s="107" t="s">
        <v>1486</v>
      </c>
      <c r="R784" s="34">
        <v>0.4</v>
      </c>
      <c r="S784" s="226">
        <f t="shared" si="99"/>
        <v>9500.1666666666661</v>
      </c>
      <c r="T784" s="156" t="s">
        <v>1486</v>
      </c>
      <c r="U784" s="2"/>
      <c r="V784" s="2" t="s">
        <v>47</v>
      </c>
      <c r="W784" s="2" t="s">
        <v>1467</v>
      </c>
      <c r="X784" s="2" t="s">
        <v>1467</v>
      </c>
      <c r="Y784" s="488" t="s">
        <v>1486</v>
      </c>
      <c r="Z784" s="293">
        <f t="shared" si="100"/>
        <v>2193.5252952325409</v>
      </c>
      <c r="AA784" s="293">
        <f t="shared" si="101"/>
        <v>3193.333333333333</v>
      </c>
    </row>
    <row r="785" spans="1:27" s="320" customFormat="1" x14ac:dyDescent="0.25">
      <c r="A785" s="220" t="s">
        <v>5797</v>
      </c>
      <c r="B785" s="221" t="s">
        <v>5798</v>
      </c>
      <c r="C785" s="223" t="s">
        <v>2755</v>
      </c>
      <c r="D785" s="220" t="s">
        <v>2792</v>
      </c>
      <c r="E785" s="222">
        <v>48</v>
      </c>
      <c r="F785" s="192">
        <v>256</v>
      </c>
      <c r="G785" s="24">
        <v>0.2</v>
      </c>
      <c r="H785" s="24">
        <v>0.05</v>
      </c>
      <c r="I785" s="24">
        <v>0.05</v>
      </c>
      <c r="J785" s="24">
        <v>0</v>
      </c>
      <c r="K785" s="224">
        <f t="shared" si="102"/>
        <v>0.27800000000000002</v>
      </c>
      <c r="L785" s="225">
        <f t="shared" si="103"/>
        <v>17019.390581717453</v>
      </c>
      <c r="M785" s="225">
        <f t="shared" si="104"/>
        <v>354.5706371191136</v>
      </c>
      <c r="N785" s="226">
        <f t="shared" si="105"/>
        <v>421.93905817174516</v>
      </c>
      <c r="O785" s="34">
        <v>0.3</v>
      </c>
      <c r="P785" s="226">
        <f t="shared" si="106"/>
        <v>548.52077562326872</v>
      </c>
      <c r="Q785" s="107" t="s">
        <v>1486</v>
      </c>
      <c r="R785" s="34">
        <v>0.4</v>
      </c>
      <c r="S785" s="226">
        <f t="shared" si="99"/>
        <v>507.73333333333335</v>
      </c>
      <c r="T785" s="156" t="s">
        <v>1486</v>
      </c>
      <c r="U785" s="2"/>
      <c r="V785" s="2" t="s">
        <v>47</v>
      </c>
      <c r="W785" s="2" t="s">
        <v>2900</v>
      </c>
      <c r="X785" s="2" t="s">
        <v>2903</v>
      </c>
      <c r="Y785" s="488" t="s">
        <v>1486</v>
      </c>
      <c r="Z785" s="293">
        <f t="shared" si="100"/>
        <v>98.570637119113599</v>
      </c>
      <c r="AA785" s="293">
        <f t="shared" si="101"/>
        <v>170.66666666666669</v>
      </c>
    </row>
    <row r="786" spans="1:27" s="320" customFormat="1" x14ac:dyDescent="0.25">
      <c r="A786" s="220" t="s">
        <v>5799</v>
      </c>
      <c r="B786" s="221" t="s">
        <v>5800</v>
      </c>
      <c r="C786" s="223" t="s">
        <v>5619</v>
      </c>
      <c r="D786" s="220" t="s">
        <v>5794</v>
      </c>
      <c r="E786" s="222">
        <v>12</v>
      </c>
      <c r="F786" s="192">
        <v>1400</v>
      </c>
      <c r="G786" s="24">
        <v>0.2</v>
      </c>
      <c r="H786" s="24">
        <v>0.05</v>
      </c>
      <c r="I786" s="24">
        <v>0.05</v>
      </c>
      <c r="J786" s="24">
        <v>0</v>
      </c>
      <c r="K786" s="224">
        <f t="shared" si="102"/>
        <v>0.27800000000000002</v>
      </c>
      <c r="L786" s="225">
        <f t="shared" si="103"/>
        <v>23268.698060941831</v>
      </c>
      <c r="M786" s="225">
        <f t="shared" si="104"/>
        <v>1939.0581717451525</v>
      </c>
      <c r="N786" s="226">
        <f t="shared" si="105"/>
        <v>2307.4792243767315</v>
      </c>
      <c r="O786" s="34">
        <v>0.3</v>
      </c>
      <c r="P786" s="226">
        <f t="shared" si="106"/>
        <v>2999.7229916897509</v>
      </c>
      <c r="Q786" s="107" t="s">
        <v>1486</v>
      </c>
      <c r="R786" s="34">
        <v>0.4</v>
      </c>
      <c r="S786" s="226">
        <f t="shared" si="99"/>
        <v>2776.6666666666665</v>
      </c>
      <c r="T786" s="156" t="s">
        <v>1486</v>
      </c>
      <c r="U786" s="2"/>
      <c r="V786" s="2" t="s">
        <v>47</v>
      </c>
      <c r="W786" s="2" t="s">
        <v>1467</v>
      </c>
      <c r="X786" s="2" t="s">
        <v>1467</v>
      </c>
      <c r="Y786" s="488" t="s">
        <v>1486</v>
      </c>
      <c r="Z786" s="293">
        <f t="shared" si="100"/>
        <v>539.05817174515255</v>
      </c>
      <c r="AA786" s="293">
        <f t="shared" si="101"/>
        <v>933.33333333333348</v>
      </c>
    </row>
    <row r="787" spans="1:27" s="320" customFormat="1" x14ac:dyDescent="0.25">
      <c r="A787" s="220" t="s">
        <v>5802</v>
      </c>
      <c r="B787" s="221" t="s">
        <v>5803</v>
      </c>
      <c r="C787" s="223" t="s">
        <v>1576</v>
      </c>
      <c r="D787" s="220" t="s">
        <v>5804</v>
      </c>
      <c r="E787" s="222">
        <v>12</v>
      </c>
      <c r="F787" s="192">
        <v>3285</v>
      </c>
      <c r="G787" s="24">
        <v>0.2</v>
      </c>
      <c r="H787" s="24">
        <v>0.05</v>
      </c>
      <c r="I787" s="24">
        <v>0.05</v>
      </c>
      <c r="J787" s="24">
        <v>0</v>
      </c>
      <c r="K787" s="224">
        <f t="shared" si="102"/>
        <v>0.27800000000000002</v>
      </c>
      <c r="L787" s="225">
        <f t="shared" si="103"/>
        <v>54598.337950138506</v>
      </c>
      <c r="M787" s="225">
        <f t="shared" si="104"/>
        <v>4549.8614958448752</v>
      </c>
      <c r="N787" s="226">
        <f t="shared" si="105"/>
        <v>5414.335180055401</v>
      </c>
      <c r="O787" s="34">
        <v>0.3</v>
      </c>
      <c r="P787" s="226">
        <f t="shared" si="106"/>
        <v>7038.6357340720215</v>
      </c>
      <c r="Q787" s="107" t="s">
        <v>1486</v>
      </c>
      <c r="R787" s="34">
        <v>0.4</v>
      </c>
      <c r="S787" s="226">
        <f t="shared" si="99"/>
        <v>6515.25</v>
      </c>
      <c r="T787" s="156" t="s">
        <v>1486</v>
      </c>
      <c r="U787" s="2"/>
      <c r="V787" s="2" t="s">
        <v>47</v>
      </c>
      <c r="W787" s="2" t="s">
        <v>1467</v>
      </c>
      <c r="X787" s="2" t="s">
        <v>1467</v>
      </c>
      <c r="Y787" s="488" t="s">
        <v>1486</v>
      </c>
      <c r="Z787" s="293">
        <f t="shared" si="100"/>
        <v>1264.8614958448752</v>
      </c>
      <c r="AA787" s="293">
        <f t="shared" si="101"/>
        <v>2190</v>
      </c>
    </row>
    <row r="788" spans="1:27" s="320" customFormat="1" x14ac:dyDescent="0.25">
      <c r="A788" s="220" t="s">
        <v>5805</v>
      </c>
      <c r="B788" s="221" t="s">
        <v>5806</v>
      </c>
      <c r="C788" s="223" t="s">
        <v>5631</v>
      </c>
      <c r="D788" s="220" t="s">
        <v>5807</v>
      </c>
      <c r="E788" s="222">
        <v>48</v>
      </c>
      <c r="F788" s="192">
        <v>755</v>
      </c>
      <c r="G788" s="24">
        <v>0.2</v>
      </c>
      <c r="H788" s="24">
        <v>0.05</v>
      </c>
      <c r="I788" s="24">
        <v>0.05</v>
      </c>
      <c r="J788" s="24">
        <v>0</v>
      </c>
      <c r="K788" s="224">
        <f t="shared" si="102"/>
        <v>0.27800000000000002</v>
      </c>
      <c r="L788" s="225">
        <f t="shared" si="103"/>
        <v>50193.905817174513</v>
      </c>
      <c r="M788" s="225">
        <f t="shared" si="104"/>
        <v>1045.7063711911358</v>
      </c>
      <c r="N788" s="226">
        <f t="shared" si="105"/>
        <v>1244.3905817174516</v>
      </c>
      <c r="O788" s="34">
        <v>0.3</v>
      </c>
      <c r="P788" s="226">
        <f t="shared" si="106"/>
        <v>1617.7077562326872</v>
      </c>
      <c r="Q788" s="107" t="s">
        <v>1486</v>
      </c>
      <c r="R788" s="34">
        <v>0.4</v>
      </c>
      <c r="S788" s="226">
        <f t="shared" si="99"/>
        <v>1497.4166666666667</v>
      </c>
      <c r="T788" s="156" t="s">
        <v>1486</v>
      </c>
      <c r="U788" s="2"/>
      <c r="V788" s="2" t="s">
        <v>47</v>
      </c>
      <c r="W788" s="2" t="s">
        <v>1467</v>
      </c>
      <c r="X788" s="2" t="s">
        <v>1467</v>
      </c>
      <c r="Y788" s="488" t="s">
        <v>1486</v>
      </c>
      <c r="Z788" s="293">
        <f t="shared" si="100"/>
        <v>290.70637119113576</v>
      </c>
      <c r="AA788" s="293">
        <f t="shared" si="101"/>
        <v>503.33333333333348</v>
      </c>
    </row>
    <row r="789" spans="1:27" s="320" customFormat="1" x14ac:dyDescent="0.25">
      <c r="A789" s="220" t="s">
        <v>5814</v>
      </c>
      <c r="B789" s="221" t="s">
        <v>5815</v>
      </c>
      <c r="C789" s="223" t="s">
        <v>5811</v>
      </c>
      <c r="D789" s="220" t="s">
        <v>5816</v>
      </c>
      <c r="E789" s="222">
        <v>1</v>
      </c>
      <c r="F789" s="192">
        <v>7400</v>
      </c>
      <c r="G789" s="24">
        <v>0.2</v>
      </c>
      <c r="H789" s="24">
        <v>0.05</v>
      </c>
      <c r="I789" s="24">
        <v>0.05</v>
      </c>
      <c r="J789" s="24">
        <v>0</v>
      </c>
      <c r="K789" s="224">
        <f t="shared" si="102"/>
        <v>0.27800000000000002</v>
      </c>
      <c r="L789" s="225">
        <f t="shared" si="103"/>
        <v>10249.307479224377</v>
      </c>
      <c r="M789" s="225">
        <f t="shared" si="104"/>
        <v>10249.307479224377</v>
      </c>
      <c r="N789" s="226">
        <f t="shared" si="105"/>
        <v>12196.675900277009</v>
      </c>
      <c r="O789" s="34">
        <v>0.3</v>
      </c>
      <c r="P789" s="226">
        <f t="shared" si="106"/>
        <v>15855.678670360112</v>
      </c>
      <c r="Q789" s="107" t="s">
        <v>1486</v>
      </c>
      <c r="R789" s="34">
        <v>0.35</v>
      </c>
      <c r="S789" s="226">
        <f t="shared" si="99"/>
        <v>13547.692307692307</v>
      </c>
      <c r="T789" s="156" t="s">
        <v>1486</v>
      </c>
      <c r="U789" s="2"/>
      <c r="V789" s="2" t="s">
        <v>47</v>
      </c>
      <c r="W789" s="2" t="s">
        <v>1467</v>
      </c>
      <c r="X789" s="2" t="s">
        <v>1467</v>
      </c>
      <c r="Y789" s="488" t="s">
        <v>1486</v>
      </c>
      <c r="Z789" s="293">
        <f t="shared" si="100"/>
        <v>2849.3074792243769</v>
      </c>
      <c r="AA789" s="293">
        <f t="shared" si="101"/>
        <v>3984.6153846153848</v>
      </c>
    </row>
    <row r="790" spans="1:27" s="320" customFormat="1" x14ac:dyDescent="0.25">
      <c r="A790" s="220" t="s">
        <v>5819</v>
      </c>
      <c r="B790" s="221" t="s">
        <v>5820</v>
      </c>
      <c r="C790" s="223" t="s">
        <v>5721</v>
      </c>
      <c r="D790" s="220" t="s">
        <v>4980</v>
      </c>
      <c r="E790" s="222">
        <v>2</v>
      </c>
      <c r="F790" s="192">
        <v>1366</v>
      </c>
      <c r="G790" s="24">
        <v>0.25</v>
      </c>
      <c r="H790" s="24">
        <v>0.05</v>
      </c>
      <c r="I790" s="24">
        <v>0.05</v>
      </c>
      <c r="J790" s="24">
        <v>0.05</v>
      </c>
      <c r="K790" s="224">
        <f t="shared" si="102"/>
        <v>0.35696874999999995</v>
      </c>
      <c r="L790" s="225">
        <f t="shared" si="103"/>
        <v>4248.6271079360449</v>
      </c>
      <c r="M790" s="225">
        <f t="shared" si="104"/>
        <v>2124.3135539680225</v>
      </c>
      <c r="N790" s="226">
        <f t="shared" si="105"/>
        <v>2527.9331292219467</v>
      </c>
      <c r="O790" s="34">
        <v>0.3</v>
      </c>
      <c r="P790" s="226">
        <f t="shared" si="106"/>
        <v>3286.3130679885307</v>
      </c>
      <c r="Q790" s="107" t="s">
        <v>1486</v>
      </c>
      <c r="R790" s="34">
        <v>0.4</v>
      </c>
      <c r="S790" s="226">
        <f t="shared" si="99"/>
        <v>2709.2333333333336</v>
      </c>
      <c r="T790" s="156" t="s">
        <v>1486</v>
      </c>
      <c r="U790" s="2"/>
      <c r="V790" s="2" t="s">
        <v>47</v>
      </c>
      <c r="W790" s="2" t="s">
        <v>1467</v>
      </c>
      <c r="X790" s="2" t="s">
        <v>1467</v>
      </c>
      <c r="Y790" s="488" t="s">
        <v>1486</v>
      </c>
      <c r="Z790" s="293">
        <f t="shared" si="100"/>
        <v>758.31355396802246</v>
      </c>
      <c r="AA790" s="293">
        <f t="shared" si="101"/>
        <v>910.66666666666697</v>
      </c>
    </row>
    <row r="791" spans="1:27" s="320" customFormat="1" x14ac:dyDescent="0.25">
      <c r="A791" s="220" t="s">
        <v>5821</v>
      </c>
      <c r="B791" s="221" t="s">
        <v>5822</v>
      </c>
      <c r="C791" s="223" t="s">
        <v>5721</v>
      </c>
      <c r="D791" s="220" t="s">
        <v>4980</v>
      </c>
      <c r="E791" s="222">
        <v>2</v>
      </c>
      <c r="F791" s="192">
        <v>7178</v>
      </c>
      <c r="G791" s="24">
        <v>0.25</v>
      </c>
      <c r="H791" s="24">
        <v>0.05</v>
      </c>
      <c r="I791" s="24">
        <v>0.05</v>
      </c>
      <c r="J791" s="24">
        <v>0.05</v>
      </c>
      <c r="K791" s="224">
        <f t="shared" si="102"/>
        <v>0.35696875000000006</v>
      </c>
      <c r="L791" s="225">
        <f t="shared" si="103"/>
        <v>22325.509063517522</v>
      </c>
      <c r="M791" s="225">
        <f t="shared" si="104"/>
        <v>11162.754531758761</v>
      </c>
      <c r="N791" s="226">
        <f t="shared" si="105"/>
        <v>13283.677892792924</v>
      </c>
      <c r="O791" s="34">
        <v>0.3</v>
      </c>
      <c r="P791" s="226">
        <f t="shared" si="106"/>
        <v>17268.781260630803</v>
      </c>
      <c r="Q791" s="107" t="s">
        <v>1486</v>
      </c>
      <c r="R791" s="34">
        <v>0.4</v>
      </c>
      <c r="S791" s="226">
        <f t="shared" si="99"/>
        <v>14236.366666666667</v>
      </c>
      <c r="T791" s="156" t="s">
        <v>1486</v>
      </c>
      <c r="U791" s="2"/>
      <c r="V791" s="2" t="s">
        <v>47</v>
      </c>
      <c r="W791" s="2" t="s">
        <v>1467</v>
      </c>
      <c r="X791" s="2" t="s">
        <v>1467</v>
      </c>
      <c r="Y791" s="488" t="s">
        <v>1486</v>
      </c>
      <c r="Z791" s="293">
        <f t="shared" si="100"/>
        <v>3984.754531758761</v>
      </c>
      <c r="AA791" s="293">
        <f t="shared" si="101"/>
        <v>4785.3333333333339</v>
      </c>
    </row>
    <row r="792" spans="1:27" s="320" customFormat="1" x14ac:dyDescent="0.25">
      <c r="A792" s="220" t="s">
        <v>5823</v>
      </c>
      <c r="B792" s="221" t="s">
        <v>5824</v>
      </c>
      <c r="C792" s="223" t="s">
        <v>5721</v>
      </c>
      <c r="D792" s="220" t="s">
        <v>4980</v>
      </c>
      <c r="E792" s="222">
        <v>12</v>
      </c>
      <c r="F792" s="192">
        <v>1424</v>
      </c>
      <c r="G792" s="24">
        <v>0.25</v>
      </c>
      <c r="H792" s="24">
        <v>0.05</v>
      </c>
      <c r="I792" s="24">
        <v>0.05</v>
      </c>
      <c r="J792" s="24">
        <v>0.05</v>
      </c>
      <c r="K792" s="224">
        <f t="shared" si="102"/>
        <v>0.35696875000000006</v>
      </c>
      <c r="L792" s="225">
        <f t="shared" si="103"/>
        <v>26574.136171453567</v>
      </c>
      <c r="M792" s="225">
        <f t="shared" si="104"/>
        <v>2214.5113476211304</v>
      </c>
      <c r="N792" s="226">
        <f t="shared" si="105"/>
        <v>2635.268503669145</v>
      </c>
      <c r="O792" s="34">
        <v>0.3</v>
      </c>
      <c r="P792" s="226">
        <f t="shared" si="106"/>
        <v>3425.8490547698889</v>
      </c>
      <c r="Q792" s="107" t="s">
        <v>1486</v>
      </c>
      <c r="R792" s="34">
        <v>0.4</v>
      </c>
      <c r="S792" s="226">
        <f t="shared" si="99"/>
        <v>2824.2666666666669</v>
      </c>
      <c r="T792" s="156" t="s">
        <v>1486</v>
      </c>
      <c r="U792" s="2"/>
      <c r="V792" s="2" t="s">
        <v>47</v>
      </c>
      <c r="W792" s="2" t="s">
        <v>1467</v>
      </c>
      <c r="X792" s="2" t="s">
        <v>1467</v>
      </c>
      <c r="Y792" s="488" t="s">
        <v>1486</v>
      </c>
      <c r="Z792" s="293">
        <f t="shared" si="100"/>
        <v>790.51134762113043</v>
      </c>
      <c r="AA792" s="293">
        <f t="shared" si="101"/>
        <v>949.33333333333348</v>
      </c>
    </row>
    <row r="793" spans="1:27" s="320" customFormat="1" x14ac:dyDescent="0.25">
      <c r="A793" s="220" t="s">
        <v>6021</v>
      </c>
      <c r="B793" s="221" t="s">
        <v>6022</v>
      </c>
      <c r="C793" s="223" t="s">
        <v>1645</v>
      </c>
      <c r="D793" s="220" t="s">
        <v>1646</v>
      </c>
      <c r="E793" s="222">
        <v>1</v>
      </c>
      <c r="F793" s="192">
        <v>1808</v>
      </c>
      <c r="G793" s="24">
        <v>0.2</v>
      </c>
      <c r="H793" s="24">
        <v>0.05</v>
      </c>
      <c r="I793" s="24">
        <v>0.05</v>
      </c>
      <c r="J793" s="24">
        <v>0</v>
      </c>
      <c r="K793" s="224">
        <f t="shared" si="102"/>
        <v>0.27800000000000014</v>
      </c>
      <c r="L793" s="225">
        <f t="shared" si="103"/>
        <v>2504.1551246537401</v>
      </c>
      <c r="M793" s="225">
        <f t="shared" si="104"/>
        <v>2504.1551246537401</v>
      </c>
      <c r="N793" s="226">
        <f t="shared" si="105"/>
        <v>2979.9445983379505</v>
      </c>
      <c r="O793" s="34">
        <v>0.3</v>
      </c>
      <c r="P793" s="226">
        <f t="shared" si="106"/>
        <v>3873.9279778393357</v>
      </c>
      <c r="Q793" s="107" t="s">
        <v>1486</v>
      </c>
      <c r="R793" s="34">
        <v>0.3</v>
      </c>
      <c r="S793" s="226">
        <f t="shared" si="99"/>
        <v>3073.6000000000004</v>
      </c>
      <c r="T793" s="156" t="s">
        <v>1486</v>
      </c>
      <c r="U793" s="2"/>
      <c r="V793" s="2" t="s">
        <v>47</v>
      </c>
      <c r="W793" s="2" t="s">
        <v>1467</v>
      </c>
      <c r="X793" s="2" t="s">
        <v>1467</v>
      </c>
      <c r="Y793" s="488" t="s">
        <v>1486</v>
      </c>
      <c r="Z793" s="293">
        <f t="shared" si="100"/>
        <v>696.15512465374013</v>
      </c>
      <c r="AA793" s="293">
        <f t="shared" si="101"/>
        <v>774.85714285714312</v>
      </c>
    </row>
    <row r="794" spans="1:27" s="320" customFormat="1" x14ac:dyDescent="0.25">
      <c r="A794" s="220" t="s">
        <v>6053</v>
      </c>
      <c r="B794" s="221" t="s">
        <v>6054</v>
      </c>
      <c r="C794" s="223" t="s">
        <v>5619</v>
      </c>
      <c r="D794" s="220" t="s">
        <v>1504</v>
      </c>
      <c r="E794" s="222">
        <v>1</v>
      </c>
      <c r="F794" s="192">
        <v>46250</v>
      </c>
      <c r="G794" s="24">
        <v>0.2</v>
      </c>
      <c r="H794" s="24">
        <v>0.05</v>
      </c>
      <c r="I794" s="24">
        <v>0.05</v>
      </c>
      <c r="J794" s="24">
        <v>0</v>
      </c>
      <c r="K794" s="224">
        <f t="shared" si="102"/>
        <v>0.27800000000000002</v>
      </c>
      <c r="L794" s="225">
        <f t="shared" si="103"/>
        <v>64058.171745152358</v>
      </c>
      <c r="M794" s="225">
        <f t="shared" si="104"/>
        <v>64058.171745152358</v>
      </c>
      <c r="N794" s="226">
        <f t="shared" si="105"/>
        <v>76229.224376731305</v>
      </c>
      <c r="O794" s="34">
        <v>0.3</v>
      </c>
      <c r="P794" s="226">
        <f t="shared" si="106"/>
        <v>99097.991689750706</v>
      </c>
      <c r="Q794" s="107" t="s">
        <v>1486</v>
      </c>
      <c r="R794" s="34">
        <v>0.4</v>
      </c>
      <c r="S794" s="226">
        <f t="shared" si="99"/>
        <v>91729.166666666672</v>
      </c>
      <c r="T794" s="156" t="s">
        <v>1486</v>
      </c>
      <c r="U794" s="2"/>
      <c r="V794" s="2" t="s">
        <v>47</v>
      </c>
      <c r="W794" s="2" t="s">
        <v>1467</v>
      </c>
      <c r="X794" s="2" t="s">
        <v>1467</v>
      </c>
      <c r="Y794" s="488" t="s">
        <v>1486</v>
      </c>
      <c r="Z794" s="293">
        <f t="shared" si="100"/>
        <v>17808.171745152358</v>
      </c>
      <c r="AA794" s="293">
        <f t="shared" si="101"/>
        <v>30833.333333333343</v>
      </c>
    </row>
    <row r="795" spans="1:27" s="320" customFormat="1" x14ac:dyDescent="0.25">
      <c r="A795" s="220" t="s">
        <v>6055</v>
      </c>
      <c r="B795" s="221" t="s">
        <v>6056</v>
      </c>
      <c r="C795" s="223" t="s">
        <v>5619</v>
      </c>
      <c r="D795" s="220" t="s">
        <v>1504</v>
      </c>
      <c r="E795" s="222">
        <v>1</v>
      </c>
      <c r="F795" s="192">
        <v>60000</v>
      </c>
      <c r="G795" s="24">
        <v>0.2</v>
      </c>
      <c r="H795" s="24">
        <v>0.05</v>
      </c>
      <c r="I795" s="24">
        <v>0.05</v>
      </c>
      <c r="J795" s="24">
        <v>0</v>
      </c>
      <c r="K795" s="224">
        <f t="shared" si="102"/>
        <v>0.27800000000000014</v>
      </c>
      <c r="L795" s="225">
        <f t="shared" si="103"/>
        <v>83102.493074792263</v>
      </c>
      <c r="M795" s="225">
        <f t="shared" si="104"/>
        <v>83102.493074792263</v>
      </c>
      <c r="N795" s="226">
        <f t="shared" si="105"/>
        <v>98891.966759002782</v>
      </c>
      <c r="O795" s="34">
        <v>0.3</v>
      </c>
      <c r="P795" s="226">
        <f t="shared" si="106"/>
        <v>128559.55678670362</v>
      </c>
      <c r="Q795" s="107" t="s">
        <v>1486</v>
      </c>
      <c r="R795" s="34">
        <v>0.4</v>
      </c>
      <c r="S795" s="226">
        <f t="shared" si="99"/>
        <v>119000</v>
      </c>
      <c r="T795" s="156" t="s">
        <v>1486</v>
      </c>
      <c r="U795" s="2"/>
      <c r="V795" s="2" t="s">
        <v>47</v>
      </c>
      <c r="W795" s="2" t="s">
        <v>1467</v>
      </c>
      <c r="X795" s="2" t="s">
        <v>1467</v>
      </c>
      <c r="Y795" s="488" t="s">
        <v>1486</v>
      </c>
      <c r="Z795" s="293">
        <f t="shared" si="100"/>
        <v>23102.493074792263</v>
      </c>
      <c r="AA795" s="293">
        <f t="shared" si="101"/>
        <v>40000</v>
      </c>
    </row>
    <row r="796" spans="1:27" s="320" customFormat="1" x14ac:dyDescent="0.25">
      <c r="A796" s="220" t="s">
        <v>6057</v>
      </c>
      <c r="B796" s="221" t="s">
        <v>6058</v>
      </c>
      <c r="C796" s="223" t="s">
        <v>5619</v>
      </c>
      <c r="D796" s="220" t="s">
        <v>1504</v>
      </c>
      <c r="E796" s="222">
        <v>1</v>
      </c>
      <c r="F796" s="192">
        <v>47500</v>
      </c>
      <c r="G796" s="24">
        <v>0.2</v>
      </c>
      <c r="H796" s="24">
        <v>0.05</v>
      </c>
      <c r="I796" s="24">
        <v>0.05</v>
      </c>
      <c r="J796" s="24">
        <v>0</v>
      </c>
      <c r="K796" s="224">
        <f t="shared" si="102"/>
        <v>0.27800000000000014</v>
      </c>
      <c r="L796" s="225">
        <f t="shared" si="103"/>
        <v>65789.473684210534</v>
      </c>
      <c r="M796" s="225">
        <f t="shared" si="104"/>
        <v>65789.473684210534</v>
      </c>
      <c r="N796" s="226">
        <f t="shared" si="105"/>
        <v>78289.473684210534</v>
      </c>
      <c r="O796" s="34">
        <v>0.3</v>
      </c>
      <c r="P796" s="226">
        <f t="shared" si="106"/>
        <v>101776.31578947369</v>
      </c>
      <c r="Q796" s="107" t="s">
        <v>1486</v>
      </c>
      <c r="R796" s="34">
        <v>0.4</v>
      </c>
      <c r="S796" s="226">
        <f t="shared" si="99"/>
        <v>94208.333333333328</v>
      </c>
      <c r="T796" s="156" t="s">
        <v>1486</v>
      </c>
      <c r="U796" s="2"/>
      <c r="V796" s="2" t="s">
        <v>47</v>
      </c>
      <c r="W796" s="2" t="s">
        <v>1467</v>
      </c>
      <c r="X796" s="2" t="s">
        <v>1467</v>
      </c>
      <c r="Y796" s="488" t="s">
        <v>1486</v>
      </c>
      <c r="Z796" s="293">
        <f t="shared" si="100"/>
        <v>18289.473684210534</v>
      </c>
      <c r="AA796" s="293">
        <f t="shared" si="101"/>
        <v>31666.666666666672</v>
      </c>
    </row>
    <row r="797" spans="1:27" s="320" customFormat="1" x14ac:dyDescent="0.25">
      <c r="A797" s="220" t="s">
        <v>6059</v>
      </c>
      <c r="B797" s="221" t="s">
        <v>6060</v>
      </c>
      <c r="C797" s="223" t="s">
        <v>5619</v>
      </c>
      <c r="D797" s="220" t="s">
        <v>1504</v>
      </c>
      <c r="E797" s="222">
        <v>1</v>
      </c>
      <c r="F797" s="192">
        <v>48750</v>
      </c>
      <c r="G797" s="24">
        <v>0.2</v>
      </c>
      <c r="H797" s="24">
        <v>0.05</v>
      </c>
      <c r="I797" s="24">
        <v>0.05</v>
      </c>
      <c r="J797" s="24">
        <v>0</v>
      </c>
      <c r="K797" s="224">
        <f t="shared" si="102"/>
        <v>0.27800000000000014</v>
      </c>
      <c r="L797" s="225">
        <f t="shared" si="103"/>
        <v>67520.77562326871</v>
      </c>
      <c r="M797" s="225">
        <f t="shared" si="104"/>
        <v>67520.77562326871</v>
      </c>
      <c r="N797" s="226">
        <f t="shared" si="105"/>
        <v>80349.722991689763</v>
      </c>
      <c r="O797" s="34">
        <v>0.3</v>
      </c>
      <c r="P797" s="226">
        <f t="shared" si="106"/>
        <v>104454.6398891967</v>
      </c>
      <c r="Q797" s="107" t="s">
        <v>1486</v>
      </c>
      <c r="R797" s="34">
        <v>0.4</v>
      </c>
      <c r="S797" s="226">
        <f t="shared" ref="S797:S860" si="107">+(F797/(1-R797))*1.19</f>
        <v>96687.5</v>
      </c>
      <c r="T797" s="156" t="s">
        <v>1486</v>
      </c>
      <c r="U797" s="2"/>
      <c r="V797" s="2" t="s">
        <v>47</v>
      </c>
      <c r="W797" s="2" t="s">
        <v>1467</v>
      </c>
      <c r="X797" s="2" t="s">
        <v>1467</v>
      </c>
      <c r="Y797" s="488" t="s">
        <v>1486</v>
      </c>
      <c r="Z797" s="293">
        <f t="shared" si="100"/>
        <v>18770.77562326871</v>
      </c>
      <c r="AA797" s="293">
        <f t="shared" si="101"/>
        <v>32500</v>
      </c>
    </row>
    <row r="798" spans="1:27" s="320" customFormat="1" x14ac:dyDescent="0.25">
      <c r="A798" s="220" t="s">
        <v>6061</v>
      </c>
      <c r="B798" s="221" t="s">
        <v>6062</v>
      </c>
      <c r="C798" s="223" t="s">
        <v>5619</v>
      </c>
      <c r="D798" s="220" t="s">
        <v>1504</v>
      </c>
      <c r="E798" s="222">
        <v>1</v>
      </c>
      <c r="F798" s="192">
        <v>29600</v>
      </c>
      <c r="G798" s="24">
        <v>0.2</v>
      </c>
      <c r="H798" s="24">
        <v>0.05</v>
      </c>
      <c r="I798" s="24">
        <v>0.05</v>
      </c>
      <c r="J798" s="24">
        <v>0</v>
      </c>
      <c r="K798" s="224">
        <f t="shared" si="102"/>
        <v>0.27800000000000002</v>
      </c>
      <c r="L798" s="225">
        <f t="shared" si="103"/>
        <v>40997.229916897508</v>
      </c>
      <c r="M798" s="225">
        <f t="shared" si="104"/>
        <v>40997.229916897508</v>
      </c>
      <c r="N798" s="226">
        <f t="shared" si="105"/>
        <v>48786.703601108034</v>
      </c>
      <c r="O798" s="34">
        <v>0.3</v>
      </c>
      <c r="P798" s="226">
        <f t="shared" si="106"/>
        <v>63422.714681440448</v>
      </c>
      <c r="Q798" s="107" t="s">
        <v>1486</v>
      </c>
      <c r="R798" s="34">
        <v>0.4</v>
      </c>
      <c r="S798" s="226">
        <f t="shared" si="107"/>
        <v>58706.666666666664</v>
      </c>
      <c r="T798" s="156" t="s">
        <v>1486</v>
      </c>
      <c r="U798" s="2"/>
      <c r="V798" s="2" t="s">
        <v>47</v>
      </c>
      <c r="W798" s="2" t="s">
        <v>1467</v>
      </c>
      <c r="X798" s="2" t="s">
        <v>1467</v>
      </c>
      <c r="Y798" s="488" t="s">
        <v>1486</v>
      </c>
      <c r="Z798" s="293">
        <f t="shared" si="100"/>
        <v>11397.229916897508</v>
      </c>
      <c r="AA798" s="293">
        <f t="shared" si="101"/>
        <v>19733.333333333336</v>
      </c>
    </row>
    <row r="799" spans="1:27" s="320" customFormat="1" x14ac:dyDescent="0.25">
      <c r="A799" s="220" t="s">
        <v>6094</v>
      </c>
      <c r="B799" s="221" t="s">
        <v>6095</v>
      </c>
      <c r="C799" s="223" t="s">
        <v>6089</v>
      </c>
      <c r="D799" s="220" t="s">
        <v>1504</v>
      </c>
      <c r="E799" s="222">
        <v>1</v>
      </c>
      <c r="F799" s="192">
        <v>7500</v>
      </c>
      <c r="G799" s="24">
        <v>0.3</v>
      </c>
      <c r="H799" s="24">
        <v>0.05</v>
      </c>
      <c r="I799" s="24">
        <v>0.05</v>
      </c>
      <c r="J799" s="24">
        <v>0.05</v>
      </c>
      <c r="K799" s="224">
        <f t="shared" si="102"/>
        <v>0.39983750000000018</v>
      </c>
      <c r="L799" s="225">
        <f t="shared" si="103"/>
        <v>12496.615499968762</v>
      </c>
      <c r="M799" s="225">
        <f t="shared" si="104"/>
        <v>12496.615499968762</v>
      </c>
      <c r="N799" s="226">
        <f t="shared" si="105"/>
        <v>14870.972444962827</v>
      </c>
      <c r="O799" s="34">
        <v>0.3</v>
      </c>
      <c r="P799" s="226">
        <f t="shared" si="106"/>
        <v>19332.264178451675</v>
      </c>
      <c r="Q799" s="107" t="s">
        <v>1486</v>
      </c>
      <c r="R799" s="34">
        <v>0.4</v>
      </c>
      <c r="S799" s="226">
        <f t="shared" si="107"/>
        <v>14875</v>
      </c>
      <c r="T799" s="156" t="s">
        <v>1486</v>
      </c>
      <c r="U799" s="2"/>
      <c r="V799" s="2" t="s">
        <v>47</v>
      </c>
      <c r="W799" s="2" t="s">
        <v>1467</v>
      </c>
      <c r="X799" s="2" t="s">
        <v>1467</v>
      </c>
      <c r="Y799" s="488" t="s">
        <v>1486</v>
      </c>
      <c r="Z799" s="293">
        <f t="shared" si="100"/>
        <v>4996.6154999687624</v>
      </c>
      <c r="AA799" s="293">
        <f t="shared" si="101"/>
        <v>5000</v>
      </c>
    </row>
    <row r="800" spans="1:27" s="320" customFormat="1" x14ac:dyDescent="0.25">
      <c r="A800" s="220" t="s">
        <v>6113</v>
      </c>
      <c r="B800" s="221" t="s">
        <v>6114</v>
      </c>
      <c r="C800" s="223" t="s">
        <v>1739</v>
      </c>
      <c r="D800" s="220" t="s">
        <v>661</v>
      </c>
      <c r="E800" s="222">
        <v>24</v>
      </c>
      <c r="F800" s="192">
        <v>300</v>
      </c>
      <c r="G800" s="24">
        <v>0.2</v>
      </c>
      <c r="H800" s="24">
        <v>0.05</v>
      </c>
      <c r="I800" s="24">
        <v>0.05</v>
      </c>
      <c r="J800" s="24">
        <v>0</v>
      </c>
      <c r="K800" s="224">
        <f t="shared" si="102"/>
        <v>0.27800000000000014</v>
      </c>
      <c r="L800" s="225">
        <f t="shared" si="103"/>
        <v>9972.2991689750706</v>
      </c>
      <c r="M800" s="225">
        <f t="shared" si="104"/>
        <v>415.51246537396128</v>
      </c>
      <c r="N800" s="226">
        <f t="shared" si="105"/>
        <v>494.45983379501388</v>
      </c>
      <c r="O800" s="34">
        <v>0.3</v>
      </c>
      <c r="P800" s="226">
        <f t="shared" si="106"/>
        <v>642.79778393351808</v>
      </c>
      <c r="Q800" s="107" t="s">
        <v>1486</v>
      </c>
      <c r="R800" s="34">
        <v>0.4</v>
      </c>
      <c r="S800" s="226">
        <f t="shared" si="107"/>
        <v>595</v>
      </c>
      <c r="T800" s="156" t="s">
        <v>1486</v>
      </c>
      <c r="U800" s="2"/>
      <c r="V800" s="2" t="s">
        <v>47</v>
      </c>
      <c r="W800" s="2" t="s">
        <v>1467</v>
      </c>
      <c r="X800" s="2" t="s">
        <v>1467</v>
      </c>
      <c r="Y800" s="488" t="s">
        <v>1486</v>
      </c>
      <c r="Z800" s="293">
        <f t="shared" si="100"/>
        <v>115.51246537396128</v>
      </c>
      <c r="AA800" s="293">
        <f t="shared" si="101"/>
        <v>200</v>
      </c>
    </row>
    <row r="801" spans="1:27" s="320" customFormat="1" x14ac:dyDescent="0.25">
      <c r="A801" s="220" t="s">
        <v>1812</v>
      </c>
      <c r="B801" s="221" t="s">
        <v>1832</v>
      </c>
      <c r="C801" s="223" t="s">
        <v>1546</v>
      </c>
      <c r="D801" s="220" t="s">
        <v>1833</v>
      </c>
      <c r="E801" s="222"/>
      <c r="F801" s="192">
        <v>2105</v>
      </c>
      <c r="G801" s="24">
        <v>0.2</v>
      </c>
      <c r="H801" s="24">
        <v>0.05</v>
      </c>
      <c r="I801" s="24">
        <v>0.05</v>
      </c>
      <c r="J801" s="24">
        <v>0</v>
      </c>
      <c r="K801" s="224">
        <f t="shared" si="102"/>
        <v>0.27800000000000014</v>
      </c>
      <c r="L801" s="225">
        <f t="shared" si="103"/>
        <v>0</v>
      </c>
      <c r="M801" s="225">
        <f t="shared" si="104"/>
        <v>2915.5124653739617</v>
      </c>
      <c r="N801" s="226">
        <f t="shared" si="105"/>
        <v>3469.4598337950142</v>
      </c>
      <c r="O801" s="34">
        <v>0.3</v>
      </c>
      <c r="P801" s="226">
        <f t="shared" si="106"/>
        <v>4510.297783933519</v>
      </c>
      <c r="Q801" s="107" t="s">
        <v>1486</v>
      </c>
      <c r="R801" s="34">
        <v>0.3</v>
      </c>
      <c r="S801" s="226">
        <f t="shared" si="107"/>
        <v>3578.5</v>
      </c>
      <c r="T801" s="156" t="s">
        <v>1486</v>
      </c>
      <c r="U801" s="2"/>
      <c r="V801" s="2" t="s">
        <v>47</v>
      </c>
      <c r="W801" s="2" t="s">
        <v>2900</v>
      </c>
      <c r="X801" s="2" t="s">
        <v>3541</v>
      </c>
      <c r="Y801" s="488" t="s">
        <v>1486</v>
      </c>
      <c r="Z801" s="293">
        <f t="shared" si="100"/>
        <v>810.51246537396173</v>
      </c>
      <c r="AA801" s="293">
        <f t="shared" si="101"/>
        <v>902.14285714285734</v>
      </c>
    </row>
    <row r="802" spans="1:27" s="320" customFormat="1" x14ac:dyDescent="0.25">
      <c r="A802" s="220" t="s">
        <v>1815</v>
      </c>
      <c r="B802" s="221" t="s">
        <v>1835</v>
      </c>
      <c r="C802" s="223" t="s">
        <v>1546</v>
      </c>
      <c r="D802" s="220" t="s">
        <v>1836</v>
      </c>
      <c r="E802" s="222"/>
      <c r="F802" s="192">
        <v>2105</v>
      </c>
      <c r="G802" s="24">
        <v>0.2</v>
      </c>
      <c r="H802" s="24">
        <v>0.05</v>
      </c>
      <c r="I802" s="24">
        <v>0.05</v>
      </c>
      <c r="J802" s="24">
        <v>0</v>
      </c>
      <c r="K802" s="224">
        <f t="shared" si="102"/>
        <v>0.27800000000000014</v>
      </c>
      <c r="L802" s="225">
        <f t="shared" si="103"/>
        <v>0</v>
      </c>
      <c r="M802" s="225">
        <f t="shared" si="104"/>
        <v>2915.5124653739617</v>
      </c>
      <c r="N802" s="226">
        <f t="shared" si="105"/>
        <v>3469.4598337950142</v>
      </c>
      <c r="O802" s="34">
        <v>0.3</v>
      </c>
      <c r="P802" s="226">
        <f t="shared" si="106"/>
        <v>4510.297783933519</v>
      </c>
      <c r="Q802" s="107" t="s">
        <v>1486</v>
      </c>
      <c r="R802" s="34">
        <v>0.3</v>
      </c>
      <c r="S802" s="226">
        <f t="shared" si="107"/>
        <v>3578.5</v>
      </c>
      <c r="T802" s="156" t="s">
        <v>1486</v>
      </c>
      <c r="U802" s="2"/>
      <c r="V802" s="2" t="s">
        <v>47</v>
      </c>
      <c r="W802" s="2"/>
      <c r="X802" s="2"/>
      <c r="Y802" s="488" t="s">
        <v>1486</v>
      </c>
      <c r="Z802" s="293">
        <f t="shared" si="100"/>
        <v>810.51246537396173</v>
      </c>
      <c r="AA802" s="293">
        <f t="shared" si="101"/>
        <v>902.14285714285734</v>
      </c>
    </row>
    <row r="803" spans="1:27" s="320" customFormat="1" x14ac:dyDescent="0.25">
      <c r="A803" s="220" t="s">
        <v>1831</v>
      </c>
      <c r="B803" s="221" t="s">
        <v>5315</v>
      </c>
      <c r="C803" s="223" t="s">
        <v>1561</v>
      </c>
      <c r="D803" s="220" t="s">
        <v>1845</v>
      </c>
      <c r="E803" s="222"/>
      <c r="F803" s="192">
        <v>4206</v>
      </c>
      <c r="G803" s="24">
        <v>0.2</v>
      </c>
      <c r="H803" s="24">
        <v>0.05</v>
      </c>
      <c r="I803" s="24">
        <v>0.05</v>
      </c>
      <c r="J803" s="24">
        <v>0</v>
      </c>
      <c r="K803" s="224">
        <f t="shared" si="102"/>
        <v>0.27800000000000014</v>
      </c>
      <c r="L803" s="225">
        <f t="shared" si="103"/>
        <v>0</v>
      </c>
      <c r="M803" s="225">
        <f t="shared" si="104"/>
        <v>5825.4847645429372</v>
      </c>
      <c r="N803" s="226">
        <f t="shared" si="105"/>
        <v>6932.3268698060947</v>
      </c>
      <c r="O803" s="34">
        <v>0.3</v>
      </c>
      <c r="P803" s="226">
        <f t="shared" si="106"/>
        <v>9012.0249307479226</v>
      </c>
      <c r="Q803" s="107" t="s">
        <v>1486</v>
      </c>
      <c r="R803" s="34">
        <v>0.3</v>
      </c>
      <c r="S803" s="226">
        <f t="shared" si="107"/>
        <v>7150.2000000000007</v>
      </c>
      <c r="T803" s="156" t="s">
        <v>1486</v>
      </c>
      <c r="U803" s="2" t="s">
        <v>50</v>
      </c>
      <c r="V803" s="2" t="s">
        <v>47</v>
      </c>
      <c r="W803" s="2" t="s">
        <v>5964</v>
      </c>
      <c r="X803" s="2"/>
      <c r="Y803" s="488" t="s">
        <v>1486</v>
      </c>
      <c r="Z803" s="293">
        <f t="shared" si="100"/>
        <v>1619.4847645429372</v>
      </c>
      <c r="AA803" s="293">
        <f t="shared" si="101"/>
        <v>1802.5714285714294</v>
      </c>
    </row>
    <row r="804" spans="1:27" s="320" customFormat="1" x14ac:dyDescent="0.25">
      <c r="A804" s="220" t="s">
        <v>1834</v>
      </c>
      <c r="B804" s="221" t="s">
        <v>1878</v>
      </c>
      <c r="C804" s="223" t="s">
        <v>1879</v>
      </c>
      <c r="D804" s="220" t="s">
        <v>1879</v>
      </c>
      <c r="E804" s="222"/>
      <c r="F804" s="192">
        <v>264.70588235294116</v>
      </c>
      <c r="G804" s="24">
        <v>0.2</v>
      </c>
      <c r="H804" s="24">
        <v>0.05</v>
      </c>
      <c r="I804" s="24">
        <v>0.05</v>
      </c>
      <c r="J804" s="24">
        <v>0</v>
      </c>
      <c r="K804" s="224">
        <f t="shared" si="102"/>
        <v>0.27800000000000002</v>
      </c>
      <c r="L804" s="225">
        <f t="shared" si="103"/>
        <v>0</v>
      </c>
      <c r="M804" s="225">
        <f t="shared" si="104"/>
        <v>366.62864591820107</v>
      </c>
      <c r="N804" s="226">
        <f t="shared" si="105"/>
        <v>436.28808864265926</v>
      </c>
      <c r="O804" s="34">
        <v>0.3</v>
      </c>
      <c r="P804" s="226">
        <f t="shared" si="106"/>
        <v>567.17451523545708</v>
      </c>
      <c r="Q804" s="107" t="s">
        <v>1486</v>
      </c>
      <c r="R804" s="34">
        <v>0.3</v>
      </c>
      <c r="S804" s="226">
        <f t="shared" si="107"/>
        <v>449.99999999999994</v>
      </c>
      <c r="T804" s="156" t="s">
        <v>1486</v>
      </c>
      <c r="U804" s="2"/>
      <c r="V804" s="2" t="s">
        <v>47</v>
      </c>
      <c r="W804" s="2"/>
      <c r="X804" s="2"/>
      <c r="Y804" s="488" t="s">
        <v>1486</v>
      </c>
      <c r="Z804" s="293">
        <f t="shared" si="100"/>
        <v>101.92276356525991</v>
      </c>
      <c r="AA804" s="293">
        <f t="shared" si="101"/>
        <v>113.44537815126051</v>
      </c>
    </row>
    <row r="805" spans="1:27" s="320" customFormat="1" x14ac:dyDescent="0.25">
      <c r="A805" s="220" t="s">
        <v>1844</v>
      </c>
      <c r="B805" s="221" t="s">
        <v>1883</v>
      </c>
      <c r="C805" s="223" t="s">
        <v>1879</v>
      </c>
      <c r="D805" s="220" t="s">
        <v>1879</v>
      </c>
      <c r="E805" s="222">
        <v>0</v>
      </c>
      <c r="F805" s="192">
        <v>0</v>
      </c>
      <c r="G805" s="24">
        <v>0.2</v>
      </c>
      <c r="H805" s="24">
        <v>0.05</v>
      </c>
      <c r="I805" s="24">
        <v>0.05</v>
      </c>
      <c r="J805" s="24">
        <v>0</v>
      </c>
      <c r="K805" s="224">
        <f t="shared" si="102"/>
        <v>0</v>
      </c>
      <c r="L805" s="225">
        <f t="shared" si="103"/>
        <v>0</v>
      </c>
      <c r="M805" s="225">
        <f t="shared" si="104"/>
        <v>0</v>
      </c>
      <c r="N805" s="226">
        <f t="shared" si="105"/>
        <v>0</v>
      </c>
      <c r="O805" s="34">
        <v>0.3</v>
      </c>
      <c r="P805" s="226">
        <f t="shared" si="106"/>
        <v>0</v>
      </c>
      <c r="Q805" s="107" t="s">
        <v>1486</v>
      </c>
      <c r="R805" s="34">
        <v>0.3</v>
      </c>
      <c r="S805" s="226">
        <f t="shared" si="107"/>
        <v>0</v>
      </c>
      <c r="T805" s="156" t="s">
        <v>1486</v>
      </c>
      <c r="U805" s="2"/>
      <c r="V805" s="2" t="s">
        <v>47</v>
      </c>
      <c r="W805" s="2"/>
      <c r="X805" s="2"/>
      <c r="Y805" s="488" t="s">
        <v>1486</v>
      </c>
      <c r="Z805" s="293">
        <f t="shared" si="100"/>
        <v>0</v>
      </c>
      <c r="AA805" s="293">
        <f t="shared" si="101"/>
        <v>0</v>
      </c>
    </row>
    <row r="806" spans="1:27" s="320" customFormat="1" x14ac:dyDescent="0.25">
      <c r="A806" s="220" t="s">
        <v>1877</v>
      </c>
      <c r="B806" s="221" t="s">
        <v>2522</v>
      </c>
      <c r="C806" s="223" t="s">
        <v>1561</v>
      </c>
      <c r="D806" s="220" t="s">
        <v>1887</v>
      </c>
      <c r="E806" s="222">
        <v>0</v>
      </c>
      <c r="F806" s="192">
        <v>0</v>
      </c>
      <c r="G806" s="24">
        <v>0.2</v>
      </c>
      <c r="H806" s="24">
        <v>0.05</v>
      </c>
      <c r="I806" s="24">
        <v>0.05</v>
      </c>
      <c r="J806" s="24">
        <v>0</v>
      </c>
      <c r="K806" s="224">
        <f t="shared" si="102"/>
        <v>0</v>
      </c>
      <c r="L806" s="225">
        <f t="shared" si="103"/>
        <v>0</v>
      </c>
      <c r="M806" s="225">
        <f t="shared" si="104"/>
        <v>0</v>
      </c>
      <c r="N806" s="226">
        <f t="shared" si="105"/>
        <v>0</v>
      </c>
      <c r="O806" s="34">
        <v>0.3</v>
      </c>
      <c r="P806" s="226">
        <f t="shared" si="106"/>
        <v>0</v>
      </c>
      <c r="Q806" s="107" t="s">
        <v>1486</v>
      </c>
      <c r="R806" s="34">
        <v>0.3</v>
      </c>
      <c r="S806" s="226">
        <f t="shared" si="107"/>
        <v>0</v>
      </c>
      <c r="T806" s="156" t="s">
        <v>1486</v>
      </c>
      <c r="U806" s="2" t="s">
        <v>109</v>
      </c>
      <c r="V806" s="2" t="s">
        <v>47</v>
      </c>
      <c r="W806" s="2" t="s">
        <v>5863</v>
      </c>
      <c r="X806" s="2" t="s">
        <v>5881</v>
      </c>
      <c r="Y806" s="488" t="s">
        <v>1486</v>
      </c>
      <c r="Z806" s="293">
        <f t="shared" si="100"/>
        <v>0</v>
      </c>
      <c r="AA806" s="293">
        <f t="shared" si="101"/>
        <v>0</v>
      </c>
    </row>
    <row r="807" spans="1:27" s="320" customFormat="1" x14ac:dyDescent="0.25">
      <c r="A807" s="220" t="s">
        <v>1882</v>
      </c>
      <c r="B807" s="221" t="s">
        <v>1889</v>
      </c>
      <c r="C807" s="223" t="s">
        <v>1879</v>
      </c>
      <c r="D807" s="220" t="s">
        <v>1879</v>
      </c>
      <c r="E807" s="222">
        <v>0</v>
      </c>
      <c r="F807" s="192">
        <v>0</v>
      </c>
      <c r="G807" s="24">
        <v>0.2</v>
      </c>
      <c r="H807" s="24">
        <v>0.05</v>
      </c>
      <c r="I807" s="24">
        <v>0.05</v>
      </c>
      <c r="J807" s="24">
        <v>0</v>
      </c>
      <c r="K807" s="224">
        <f t="shared" si="102"/>
        <v>0</v>
      </c>
      <c r="L807" s="225">
        <f t="shared" si="103"/>
        <v>0</v>
      </c>
      <c r="M807" s="225">
        <f t="shared" si="104"/>
        <v>0</v>
      </c>
      <c r="N807" s="226">
        <f t="shared" si="105"/>
        <v>0</v>
      </c>
      <c r="O807" s="34">
        <v>0.3</v>
      </c>
      <c r="P807" s="226">
        <f t="shared" si="106"/>
        <v>0</v>
      </c>
      <c r="Q807" s="107" t="s">
        <v>1486</v>
      </c>
      <c r="R807" s="34">
        <v>0.3</v>
      </c>
      <c r="S807" s="226">
        <f t="shared" si="107"/>
        <v>0</v>
      </c>
      <c r="T807" s="156" t="s">
        <v>1486</v>
      </c>
      <c r="U807" s="2"/>
      <c r="V807" s="2" t="s">
        <v>47</v>
      </c>
      <c r="W807" s="2"/>
      <c r="X807" s="2"/>
      <c r="Y807" s="488" t="s">
        <v>1486</v>
      </c>
      <c r="Z807" s="293">
        <f t="shared" si="100"/>
        <v>0</v>
      </c>
      <c r="AA807" s="293">
        <f t="shared" si="101"/>
        <v>0</v>
      </c>
    </row>
    <row r="808" spans="1:27" s="320" customFormat="1" x14ac:dyDescent="0.25">
      <c r="A808" s="220" t="s">
        <v>1886</v>
      </c>
      <c r="B808" s="221" t="s">
        <v>1891</v>
      </c>
      <c r="C808" s="223" t="s">
        <v>1879</v>
      </c>
      <c r="D808" s="220" t="s">
        <v>1879</v>
      </c>
      <c r="E808" s="222">
        <v>0</v>
      </c>
      <c r="F808" s="192">
        <v>176.47058823529409</v>
      </c>
      <c r="G808" s="24">
        <v>0.2</v>
      </c>
      <c r="H808" s="24">
        <v>0.05</v>
      </c>
      <c r="I808" s="24">
        <v>0.05</v>
      </c>
      <c r="J808" s="24">
        <v>0</v>
      </c>
      <c r="K808" s="224">
        <f t="shared" si="102"/>
        <v>0.27800000000000002</v>
      </c>
      <c r="L808" s="225">
        <f t="shared" si="103"/>
        <v>0</v>
      </c>
      <c r="M808" s="225">
        <f t="shared" si="104"/>
        <v>244.41909727880068</v>
      </c>
      <c r="N808" s="226">
        <f t="shared" si="105"/>
        <v>290.8587257617728</v>
      </c>
      <c r="O808" s="34">
        <v>0.3</v>
      </c>
      <c r="P808" s="226">
        <f t="shared" si="106"/>
        <v>378.11634349030464</v>
      </c>
      <c r="Q808" s="107" t="s">
        <v>1486</v>
      </c>
      <c r="R808" s="34">
        <v>0.3</v>
      </c>
      <c r="S808" s="226">
        <f t="shared" si="107"/>
        <v>299.99999999999994</v>
      </c>
      <c r="T808" s="156" t="s">
        <v>1486</v>
      </c>
      <c r="U808" s="2"/>
      <c r="V808" s="2" t="s">
        <v>47</v>
      </c>
      <c r="W808" s="2"/>
      <c r="X808" s="2"/>
      <c r="Y808" s="488" t="s">
        <v>1486</v>
      </c>
      <c r="Z808" s="293">
        <f t="shared" si="100"/>
        <v>67.94850904350659</v>
      </c>
      <c r="AA808" s="293">
        <f t="shared" si="101"/>
        <v>75.630252100840323</v>
      </c>
    </row>
    <row r="809" spans="1:27" s="320" customFormat="1" x14ac:dyDescent="0.25">
      <c r="A809" s="220" t="s">
        <v>1888</v>
      </c>
      <c r="B809" s="221" t="s">
        <v>3508</v>
      </c>
      <c r="C809" s="223" t="s">
        <v>1562</v>
      </c>
      <c r="D809" s="220" t="s">
        <v>1900</v>
      </c>
      <c r="E809" s="222">
        <v>12</v>
      </c>
      <c r="F809" s="192">
        <v>1297</v>
      </c>
      <c r="G809" s="24">
        <v>0.2</v>
      </c>
      <c r="H809" s="24">
        <v>0.05</v>
      </c>
      <c r="I809" s="24">
        <v>0.05</v>
      </c>
      <c r="J809" s="24">
        <v>0</v>
      </c>
      <c r="K809" s="224">
        <f t="shared" si="102"/>
        <v>0.27800000000000002</v>
      </c>
      <c r="L809" s="225">
        <f t="shared" si="103"/>
        <v>21556.786703601108</v>
      </c>
      <c r="M809" s="225">
        <f t="shared" si="104"/>
        <v>1796.398891966759</v>
      </c>
      <c r="N809" s="226">
        <f t="shared" si="105"/>
        <v>2137.7146814404432</v>
      </c>
      <c r="O809" s="34">
        <v>0.3</v>
      </c>
      <c r="P809" s="226">
        <f t="shared" si="106"/>
        <v>2779.0290858725762</v>
      </c>
      <c r="Q809" s="107" t="s">
        <v>1486</v>
      </c>
      <c r="R809" s="34">
        <v>0.3</v>
      </c>
      <c r="S809" s="226">
        <f t="shared" si="107"/>
        <v>2204.9</v>
      </c>
      <c r="T809" s="156" t="s">
        <v>1486</v>
      </c>
      <c r="U809" s="2"/>
      <c r="V809" s="2" t="s">
        <v>47</v>
      </c>
      <c r="W809" s="2"/>
      <c r="X809" s="2"/>
      <c r="Y809" s="488" t="s">
        <v>1486</v>
      </c>
      <c r="Z809" s="293">
        <f t="shared" si="100"/>
        <v>499.39889196675904</v>
      </c>
      <c r="AA809" s="293">
        <f t="shared" si="101"/>
        <v>555.85714285714312</v>
      </c>
    </row>
    <row r="810" spans="1:27" s="320" customFormat="1" x14ac:dyDescent="0.25">
      <c r="A810" s="220" t="s">
        <v>1890</v>
      </c>
      <c r="B810" s="221" t="s">
        <v>2047</v>
      </c>
      <c r="C810" s="223" t="s">
        <v>2044</v>
      </c>
      <c r="D810" s="220" t="s">
        <v>2048</v>
      </c>
      <c r="E810" s="222">
        <v>24</v>
      </c>
      <c r="F810" s="192">
        <v>1297</v>
      </c>
      <c r="G810" s="24">
        <v>0.2</v>
      </c>
      <c r="H810" s="24">
        <v>0.05</v>
      </c>
      <c r="I810" s="24">
        <v>0.05</v>
      </c>
      <c r="J810" s="24">
        <v>0</v>
      </c>
      <c r="K810" s="224">
        <f t="shared" si="102"/>
        <v>0.27800000000000002</v>
      </c>
      <c r="L810" s="225">
        <f t="shared" si="103"/>
        <v>43113.573407202217</v>
      </c>
      <c r="M810" s="225">
        <f t="shared" si="104"/>
        <v>1796.398891966759</v>
      </c>
      <c r="N810" s="226">
        <f t="shared" si="105"/>
        <v>2137.7146814404432</v>
      </c>
      <c r="O810" s="34">
        <v>0.3</v>
      </c>
      <c r="P810" s="226">
        <f t="shared" si="106"/>
        <v>2779.0290858725762</v>
      </c>
      <c r="Q810" s="107" t="s">
        <v>1486</v>
      </c>
      <c r="R810" s="34">
        <v>0.3</v>
      </c>
      <c r="S810" s="226">
        <f t="shared" si="107"/>
        <v>2204.9</v>
      </c>
      <c r="T810" s="156" t="s">
        <v>1486</v>
      </c>
      <c r="U810" s="2"/>
      <c r="V810" s="2" t="s">
        <v>47</v>
      </c>
      <c r="W810" s="2"/>
      <c r="X810" s="2"/>
      <c r="Y810" s="488" t="s">
        <v>1486</v>
      </c>
      <c r="Z810" s="293">
        <f t="shared" si="100"/>
        <v>499.39889196675904</v>
      </c>
      <c r="AA810" s="293">
        <f t="shared" si="101"/>
        <v>555.85714285714312</v>
      </c>
    </row>
    <row r="811" spans="1:27" s="320" customFormat="1" x14ac:dyDescent="0.25">
      <c r="A811" s="220" t="s">
        <v>1899</v>
      </c>
      <c r="B811" s="221" t="s">
        <v>2043</v>
      </c>
      <c r="C811" s="223" t="s">
        <v>2041</v>
      </c>
      <c r="D811" s="220" t="s">
        <v>1817</v>
      </c>
      <c r="E811" s="222">
        <v>12</v>
      </c>
      <c r="F811" s="192">
        <v>894</v>
      </c>
      <c r="G811" s="24">
        <v>0.2</v>
      </c>
      <c r="H811" s="24">
        <v>0.05</v>
      </c>
      <c r="I811" s="24">
        <v>0.05</v>
      </c>
      <c r="J811" s="24">
        <v>0</v>
      </c>
      <c r="K811" s="224">
        <f t="shared" si="102"/>
        <v>0.27800000000000002</v>
      </c>
      <c r="L811" s="225">
        <f t="shared" si="103"/>
        <v>14858.725761772854</v>
      </c>
      <c r="M811" s="225">
        <f t="shared" si="104"/>
        <v>1238.2271468144045</v>
      </c>
      <c r="N811" s="226">
        <f t="shared" si="105"/>
        <v>1473.4903047091414</v>
      </c>
      <c r="O811" s="34">
        <v>0.3</v>
      </c>
      <c r="P811" s="226">
        <f t="shared" si="106"/>
        <v>1915.5373961218838</v>
      </c>
      <c r="Q811" s="107" t="s">
        <v>1486</v>
      </c>
      <c r="R811" s="34">
        <v>0.3</v>
      </c>
      <c r="S811" s="226">
        <f t="shared" si="107"/>
        <v>1519.8</v>
      </c>
      <c r="T811" s="156" t="s">
        <v>1486</v>
      </c>
      <c r="U811" s="2"/>
      <c r="V811" s="2" t="s">
        <v>47</v>
      </c>
      <c r="W811" s="2"/>
      <c r="X811" s="2"/>
      <c r="Y811" s="488" t="s">
        <v>1486</v>
      </c>
      <c r="Z811" s="293">
        <f t="shared" si="100"/>
        <v>344.22714681440448</v>
      </c>
      <c r="AA811" s="293">
        <f t="shared" si="101"/>
        <v>383.14285714285711</v>
      </c>
    </row>
    <row r="812" spans="1:27" s="320" customFormat="1" x14ac:dyDescent="0.25">
      <c r="A812" s="220" t="s">
        <v>2046</v>
      </c>
      <c r="B812" s="221" t="s">
        <v>2141</v>
      </c>
      <c r="C812" s="223" t="s">
        <v>2755</v>
      </c>
      <c r="D812" s="220" t="s">
        <v>2792</v>
      </c>
      <c r="E812" s="222">
        <v>24</v>
      </c>
      <c r="F812" s="192">
        <v>499</v>
      </c>
      <c r="G812" s="24">
        <v>0.2</v>
      </c>
      <c r="H812" s="24">
        <v>0.05</v>
      </c>
      <c r="I812" s="24">
        <v>0.05</v>
      </c>
      <c r="J812" s="24">
        <v>0</v>
      </c>
      <c r="K812" s="224">
        <f t="shared" si="102"/>
        <v>0.27800000000000002</v>
      </c>
      <c r="L812" s="225">
        <f t="shared" si="103"/>
        <v>16587.25761772853</v>
      </c>
      <c r="M812" s="225">
        <f t="shared" si="104"/>
        <v>691.13573407202216</v>
      </c>
      <c r="N812" s="226">
        <f t="shared" si="105"/>
        <v>822.45152354570632</v>
      </c>
      <c r="O812" s="34">
        <v>0.3</v>
      </c>
      <c r="P812" s="226">
        <f t="shared" si="106"/>
        <v>1069.1869806094182</v>
      </c>
      <c r="Q812" s="107" t="s">
        <v>1486</v>
      </c>
      <c r="R812" s="34">
        <v>0.3</v>
      </c>
      <c r="S812" s="226">
        <f t="shared" si="107"/>
        <v>848.3</v>
      </c>
      <c r="T812" s="156" t="s">
        <v>1486</v>
      </c>
      <c r="U812" s="2">
        <v>23</v>
      </c>
      <c r="V812" s="2" t="s">
        <v>47</v>
      </c>
      <c r="W812" s="2" t="s">
        <v>2900</v>
      </c>
      <c r="X812" s="2" t="s">
        <v>2901</v>
      </c>
      <c r="Y812" s="488" t="s">
        <v>1486</v>
      </c>
      <c r="Z812" s="293">
        <f t="shared" si="100"/>
        <v>192.13573407202216</v>
      </c>
      <c r="AA812" s="293">
        <f t="shared" si="101"/>
        <v>213.85714285714289</v>
      </c>
    </row>
    <row r="813" spans="1:27" s="320" customFormat="1" x14ac:dyDescent="0.25">
      <c r="A813" s="220" t="s">
        <v>2049</v>
      </c>
      <c r="B813" s="221" t="s">
        <v>2184</v>
      </c>
      <c r="C813" s="223" t="s">
        <v>2178</v>
      </c>
      <c r="D813" s="220" t="s">
        <v>2185</v>
      </c>
      <c r="E813" s="222">
        <v>1</v>
      </c>
      <c r="F813" s="192">
        <v>12150</v>
      </c>
      <c r="G813" s="24">
        <v>0.2</v>
      </c>
      <c r="H813" s="24">
        <v>0.05</v>
      </c>
      <c r="I813" s="24">
        <v>0.05</v>
      </c>
      <c r="J813" s="24">
        <v>0</v>
      </c>
      <c r="K813" s="224">
        <f t="shared" si="102"/>
        <v>0.27800000000000014</v>
      </c>
      <c r="L813" s="225">
        <f t="shared" si="103"/>
        <v>16828.254847645432</v>
      </c>
      <c r="M813" s="225">
        <f t="shared" si="104"/>
        <v>16828.254847645432</v>
      </c>
      <c r="N813" s="226">
        <f t="shared" si="105"/>
        <v>20025.623268698062</v>
      </c>
      <c r="O813" s="34">
        <v>0.3</v>
      </c>
      <c r="P813" s="226">
        <f t="shared" si="106"/>
        <v>26033.31024930748</v>
      </c>
      <c r="Q813" s="107" t="s">
        <v>1486</v>
      </c>
      <c r="R813" s="34">
        <v>0.3</v>
      </c>
      <c r="S813" s="226">
        <f t="shared" si="107"/>
        <v>20655</v>
      </c>
      <c r="T813" s="156" t="s">
        <v>1486</v>
      </c>
      <c r="U813" s="2"/>
      <c r="V813" s="2" t="s">
        <v>47</v>
      </c>
      <c r="W813" s="2"/>
      <c r="X813" s="2"/>
      <c r="Y813" s="488" t="s">
        <v>1486</v>
      </c>
      <c r="Z813" s="293">
        <f t="shared" si="100"/>
        <v>4678.2548476454322</v>
      </c>
      <c r="AA813" s="293">
        <f t="shared" si="101"/>
        <v>5207.1428571428587</v>
      </c>
    </row>
    <row r="814" spans="1:27" s="320" customFormat="1" x14ac:dyDescent="0.25">
      <c r="A814" s="220" t="s">
        <v>2140</v>
      </c>
      <c r="B814" s="221" t="s">
        <v>3698</v>
      </c>
      <c r="C814" s="223" t="s">
        <v>1576</v>
      </c>
      <c r="D814" s="220" t="s">
        <v>2208</v>
      </c>
      <c r="E814" s="222">
        <v>1</v>
      </c>
      <c r="F814" s="192">
        <v>2529</v>
      </c>
      <c r="G814" s="24">
        <v>0.2</v>
      </c>
      <c r="H814" s="24">
        <v>0.05</v>
      </c>
      <c r="I814" s="24">
        <v>0.05</v>
      </c>
      <c r="J814" s="24">
        <v>0</v>
      </c>
      <c r="K814" s="224">
        <f t="shared" si="102"/>
        <v>0.27800000000000014</v>
      </c>
      <c r="L814" s="225">
        <f t="shared" si="103"/>
        <v>3502.7700831024936</v>
      </c>
      <c r="M814" s="225">
        <f t="shared" si="104"/>
        <v>3502.7700831024936</v>
      </c>
      <c r="N814" s="226">
        <f t="shared" si="105"/>
        <v>4168.2963988919673</v>
      </c>
      <c r="O814" s="34">
        <v>0.3</v>
      </c>
      <c r="P814" s="226">
        <f t="shared" si="106"/>
        <v>5418.7853185595577</v>
      </c>
      <c r="Q814" s="107" t="s">
        <v>1486</v>
      </c>
      <c r="R814" s="34">
        <v>0.3</v>
      </c>
      <c r="S814" s="226">
        <f t="shared" si="107"/>
        <v>4299.3</v>
      </c>
      <c r="T814" s="156" t="s">
        <v>1486</v>
      </c>
      <c r="U814" s="2"/>
      <c r="V814" s="2" t="s">
        <v>47</v>
      </c>
      <c r="W814" s="2" t="s">
        <v>1467</v>
      </c>
      <c r="X814" s="2" t="s">
        <v>1467</v>
      </c>
      <c r="Y814" s="488" t="s">
        <v>1486</v>
      </c>
      <c r="Z814" s="293">
        <f t="shared" si="100"/>
        <v>973.77008310249357</v>
      </c>
      <c r="AA814" s="293">
        <f t="shared" si="101"/>
        <v>1083.8571428571431</v>
      </c>
    </row>
    <row r="815" spans="1:27" s="320" customFormat="1" x14ac:dyDescent="0.25">
      <c r="A815" s="220" t="s">
        <v>2183</v>
      </c>
      <c r="B815" s="221" t="s">
        <v>5106</v>
      </c>
      <c r="C815" s="223" t="s">
        <v>1576</v>
      </c>
      <c r="D815" s="220" t="s">
        <v>2770</v>
      </c>
      <c r="E815" s="222">
        <v>36</v>
      </c>
      <c r="F815" s="192">
        <v>2539</v>
      </c>
      <c r="G815" s="24">
        <v>0.2</v>
      </c>
      <c r="H815" s="24">
        <v>0.05</v>
      </c>
      <c r="I815" s="24">
        <v>0.05</v>
      </c>
      <c r="J815" s="24">
        <v>0</v>
      </c>
      <c r="K815" s="224">
        <f t="shared" si="102"/>
        <v>0.27800000000000014</v>
      </c>
      <c r="L815" s="225">
        <f t="shared" si="103"/>
        <v>126598.33795013854</v>
      </c>
      <c r="M815" s="225">
        <f t="shared" si="104"/>
        <v>3516.6204986149592</v>
      </c>
      <c r="N815" s="226">
        <f t="shared" si="105"/>
        <v>4184.7783933518012</v>
      </c>
      <c r="O815" s="34">
        <v>0.3</v>
      </c>
      <c r="P815" s="226">
        <f t="shared" si="106"/>
        <v>5440.2119113573417</v>
      </c>
      <c r="Q815" s="107" t="s">
        <v>1486</v>
      </c>
      <c r="R815" s="34">
        <v>0.22527948830448583</v>
      </c>
      <c r="S815" s="226">
        <f t="shared" si="107"/>
        <v>3900.0000056633262</v>
      </c>
      <c r="T815" s="156" t="s">
        <v>1486</v>
      </c>
      <c r="U815" s="2"/>
      <c r="V815" s="2" t="s">
        <v>47</v>
      </c>
      <c r="W815" s="2" t="s">
        <v>1467</v>
      </c>
      <c r="X815" s="2" t="s">
        <v>1467</v>
      </c>
      <c r="Y815" s="488" t="s">
        <v>1486</v>
      </c>
      <c r="Z815" s="293">
        <f t="shared" si="100"/>
        <v>977.62049861495916</v>
      </c>
      <c r="AA815" s="293">
        <f t="shared" si="101"/>
        <v>738.3109291288456</v>
      </c>
    </row>
    <row r="816" spans="1:27" s="320" customFormat="1" x14ac:dyDescent="0.25">
      <c r="A816" s="220" t="s">
        <v>2207</v>
      </c>
      <c r="B816" s="221" t="s">
        <v>3697</v>
      </c>
      <c r="C816" s="223" t="s">
        <v>1562</v>
      </c>
      <c r="D816" s="220" t="s">
        <v>1900</v>
      </c>
      <c r="E816" s="222">
        <v>40</v>
      </c>
      <c r="F816" s="192">
        <v>327</v>
      </c>
      <c r="G816" s="24">
        <v>0.2</v>
      </c>
      <c r="H816" s="24">
        <v>0.05</v>
      </c>
      <c r="I816" s="24">
        <v>0.05</v>
      </c>
      <c r="J816" s="24">
        <v>0</v>
      </c>
      <c r="K816" s="224">
        <f t="shared" si="102"/>
        <v>0.27800000000000014</v>
      </c>
      <c r="L816" s="225">
        <f t="shared" si="103"/>
        <v>18116.343490304713</v>
      </c>
      <c r="M816" s="225">
        <f t="shared" si="104"/>
        <v>452.9085872576178</v>
      </c>
      <c r="N816" s="226">
        <f t="shared" si="105"/>
        <v>538.96121883656519</v>
      </c>
      <c r="O816" s="34">
        <v>0.3</v>
      </c>
      <c r="P816" s="226">
        <f t="shared" si="106"/>
        <v>700.64958448753475</v>
      </c>
      <c r="Q816" s="107" t="s">
        <v>1486</v>
      </c>
      <c r="R816" s="34">
        <v>0.3</v>
      </c>
      <c r="S816" s="226">
        <f t="shared" si="107"/>
        <v>555.9</v>
      </c>
      <c r="T816" s="156" t="s">
        <v>1486</v>
      </c>
      <c r="U816" s="2"/>
      <c r="V816" s="2" t="s">
        <v>47</v>
      </c>
      <c r="W816" s="2" t="s">
        <v>1467</v>
      </c>
      <c r="X816" s="2" t="s">
        <v>1467</v>
      </c>
      <c r="Y816" s="488" t="s">
        <v>1486</v>
      </c>
      <c r="Z816" s="293">
        <f t="shared" si="100"/>
        <v>125.9085872576178</v>
      </c>
      <c r="AA816" s="293">
        <f t="shared" si="101"/>
        <v>140.14285714285717</v>
      </c>
    </row>
    <row r="817" spans="1:27" s="320" customFormat="1" x14ac:dyDescent="0.25">
      <c r="A817" s="220" t="s">
        <v>2229</v>
      </c>
      <c r="B817" s="221" t="s">
        <v>2285</v>
      </c>
      <c r="C817" s="223" t="s">
        <v>1524</v>
      </c>
      <c r="D817" s="220" t="s">
        <v>1539</v>
      </c>
      <c r="E817" s="222">
        <v>12</v>
      </c>
      <c r="F817" s="192">
        <v>5043</v>
      </c>
      <c r="G817" s="24">
        <v>0.2</v>
      </c>
      <c r="H817" s="24">
        <v>0.05</v>
      </c>
      <c r="I817" s="24">
        <v>0.05</v>
      </c>
      <c r="J817" s="24">
        <v>0</v>
      </c>
      <c r="K817" s="224">
        <f t="shared" si="102"/>
        <v>0.27800000000000014</v>
      </c>
      <c r="L817" s="225">
        <f t="shared" si="103"/>
        <v>83817.174515235471</v>
      </c>
      <c r="M817" s="225">
        <f t="shared" si="104"/>
        <v>6984.7645429362892</v>
      </c>
      <c r="N817" s="226">
        <f t="shared" si="105"/>
        <v>8311.8698060941842</v>
      </c>
      <c r="O817" s="34">
        <v>0.3</v>
      </c>
      <c r="P817" s="226">
        <f t="shared" si="106"/>
        <v>10805.430747922441</v>
      </c>
      <c r="Q817" s="107" t="s">
        <v>1486</v>
      </c>
      <c r="R817" s="34">
        <v>0.1998440008285087</v>
      </c>
      <c r="S817" s="226">
        <f t="shared" si="107"/>
        <v>7500.0000077657551</v>
      </c>
      <c r="T817" s="156" t="s">
        <v>1486</v>
      </c>
      <c r="U817" s="2">
        <v>4</v>
      </c>
      <c r="V817" s="2" t="s">
        <v>47</v>
      </c>
      <c r="W817" s="2" t="s">
        <v>5883</v>
      </c>
      <c r="X817" s="2" t="s">
        <v>5965</v>
      </c>
      <c r="Y817" s="488" t="s">
        <v>1486</v>
      </c>
      <c r="Z817" s="293">
        <f t="shared" si="100"/>
        <v>1941.7645429362892</v>
      </c>
      <c r="AA817" s="293">
        <f t="shared" si="101"/>
        <v>1259.5210149292061</v>
      </c>
    </row>
    <row r="818" spans="1:27" s="320" customFormat="1" x14ac:dyDescent="0.25">
      <c r="A818" s="220" t="s">
        <v>2235</v>
      </c>
      <c r="B818" s="221" t="s">
        <v>2290</v>
      </c>
      <c r="C818" s="223" t="s">
        <v>1739</v>
      </c>
      <c r="D818" s="220" t="s">
        <v>733</v>
      </c>
      <c r="E818" s="222">
        <v>1</v>
      </c>
      <c r="F818" s="192">
        <v>10748</v>
      </c>
      <c r="G818" s="24">
        <v>0.2</v>
      </c>
      <c r="H818" s="24">
        <v>0.05</v>
      </c>
      <c r="I818" s="24">
        <v>0.05</v>
      </c>
      <c r="J818" s="24">
        <v>0</v>
      </c>
      <c r="K818" s="224">
        <f t="shared" si="102"/>
        <v>0.27800000000000002</v>
      </c>
      <c r="L818" s="225">
        <f t="shared" si="103"/>
        <v>14886.426592797785</v>
      </c>
      <c r="M818" s="225">
        <f t="shared" si="104"/>
        <v>14886.426592797785</v>
      </c>
      <c r="N818" s="226">
        <f t="shared" si="105"/>
        <v>17714.847645429363</v>
      </c>
      <c r="O818" s="34">
        <v>0.3</v>
      </c>
      <c r="P818" s="226">
        <f t="shared" si="106"/>
        <v>23029.301939058172</v>
      </c>
      <c r="Q818" s="107" t="s">
        <v>1486</v>
      </c>
      <c r="R818" s="34">
        <v>0.3</v>
      </c>
      <c r="S818" s="226">
        <f t="shared" si="107"/>
        <v>18271.600000000002</v>
      </c>
      <c r="T818" s="156" t="s">
        <v>1486</v>
      </c>
      <c r="U818" s="2" t="s">
        <v>109</v>
      </c>
      <c r="V818" s="2" t="s">
        <v>47</v>
      </c>
      <c r="W818" s="2" t="s">
        <v>5863</v>
      </c>
      <c r="X818" s="2" t="s">
        <v>5881</v>
      </c>
      <c r="Y818" s="488" t="s">
        <v>1486</v>
      </c>
      <c r="Z818" s="293">
        <f t="shared" si="100"/>
        <v>4138.4265927977849</v>
      </c>
      <c r="AA818" s="293">
        <f t="shared" si="101"/>
        <v>4606.2857142857174</v>
      </c>
    </row>
    <row r="819" spans="1:27" s="320" customFormat="1" x14ac:dyDescent="0.25">
      <c r="A819" s="220" t="s">
        <v>2284</v>
      </c>
      <c r="B819" s="221" t="s">
        <v>2523</v>
      </c>
      <c r="C819" s="223" t="s">
        <v>1561</v>
      </c>
      <c r="D819" s="220" t="s">
        <v>1887</v>
      </c>
      <c r="E819" s="222">
        <v>12</v>
      </c>
      <c r="F819" s="192">
        <v>16389</v>
      </c>
      <c r="G819" s="24">
        <v>0.2</v>
      </c>
      <c r="H819" s="24">
        <v>0.05</v>
      </c>
      <c r="I819" s="24">
        <v>0.05</v>
      </c>
      <c r="J819" s="24">
        <v>0</v>
      </c>
      <c r="K819" s="224">
        <f t="shared" si="102"/>
        <v>0.27800000000000014</v>
      </c>
      <c r="L819" s="225">
        <f t="shared" si="103"/>
        <v>272393.35180055408</v>
      </c>
      <c r="M819" s="225">
        <f t="shared" si="104"/>
        <v>22699.445983379504</v>
      </c>
      <c r="N819" s="226">
        <f t="shared" si="105"/>
        <v>27012.340720221608</v>
      </c>
      <c r="O819" s="34">
        <v>0.3</v>
      </c>
      <c r="P819" s="226">
        <f t="shared" si="106"/>
        <v>35116.04293628809</v>
      </c>
      <c r="Q819" s="107" t="s">
        <v>1486</v>
      </c>
      <c r="R819" s="34">
        <v>0.3</v>
      </c>
      <c r="S819" s="226">
        <f t="shared" si="107"/>
        <v>27861.300000000003</v>
      </c>
      <c r="T819" s="156" t="s">
        <v>1486</v>
      </c>
      <c r="U819" s="2" t="s">
        <v>109</v>
      </c>
      <c r="V819" s="2" t="s">
        <v>47</v>
      </c>
      <c r="W819" s="2" t="s">
        <v>5863</v>
      </c>
      <c r="X819" s="2" t="s">
        <v>5881</v>
      </c>
      <c r="Y819" s="488" t="s">
        <v>1486</v>
      </c>
      <c r="Z819" s="293">
        <f t="shared" si="100"/>
        <v>6310.4459833795045</v>
      </c>
      <c r="AA819" s="293">
        <f t="shared" si="101"/>
        <v>7023.8571428571449</v>
      </c>
    </row>
    <row r="820" spans="1:27" s="320" customFormat="1" x14ac:dyDescent="0.25">
      <c r="A820" s="220" t="s">
        <v>2289</v>
      </c>
      <c r="B820" s="221" t="s">
        <v>2620</v>
      </c>
      <c r="C820" s="223" t="s">
        <v>1524</v>
      </c>
      <c r="D820" s="220" t="s">
        <v>1539</v>
      </c>
      <c r="E820" s="222">
        <v>1</v>
      </c>
      <c r="F820" s="192">
        <v>16386</v>
      </c>
      <c r="G820" s="24">
        <v>0.2</v>
      </c>
      <c r="H820" s="24">
        <v>0.05</v>
      </c>
      <c r="I820" s="24">
        <v>0.05</v>
      </c>
      <c r="J820" s="24">
        <v>0</v>
      </c>
      <c r="K820" s="224">
        <f t="shared" si="102"/>
        <v>0.27800000000000002</v>
      </c>
      <c r="L820" s="225">
        <f t="shared" si="103"/>
        <v>22695.290858725763</v>
      </c>
      <c r="M820" s="225">
        <f t="shared" si="104"/>
        <v>22695.290858725763</v>
      </c>
      <c r="N820" s="226">
        <f t="shared" si="105"/>
        <v>27007.396121883656</v>
      </c>
      <c r="O820" s="34">
        <v>0.3</v>
      </c>
      <c r="P820" s="226">
        <f t="shared" si="106"/>
        <v>35109.61495844875</v>
      </c>
      <c r="Q820" s="107" t="s">
        <v>1486</v>
      </c>
      <c r="R820" s="34">
        <v>0.20410857112413588</v>
      </c>
      <c r="S820" s="226">
        <f t="shared" si="107"/>
        <v>24499.999990628534</v>
      </c>
      <c r="T820" s="156" t="s">
        <v>1486</v>
      </c>
      <c r="U820" s="2">
        <v>5</v>
      </c>
      <c r="V820" s="2" t="s">
        <v>47</v>
      </c>
      <c r="W820" s="2" t="s">
        <v>5883</v>
      </c>
      <c r="X820" s="2" t="s">
        <v>5965</v>
      </c>
      <c r="Y820" s="488" t="s">
        <v>1486</v>
      </c>
      <c r="Z820" s="293">
        <f t="shared" si="100"/>
        <v>6309.2908587257625</v>
      </c>
      <c r="AA820" s="293">
        <f t="shared" si="101"/>
        <v>4202.2352862424668</v>
      </c>
    </row>
    <row r="821" spans="1:27" s="320" customFormat="1" x14ac:dyDescent="0.25">
      <c r="A821" s="220" t="s">
        <v>2359</v>
      </c>
      <c r="B821" s="221" t="s">
        <v>2368</v>
      </c>
      <c r="C821" s="223" t="s">
        <v>1524</v>
      </c>
      <c r="D821" s="220" t="s">
        <v>1539</v>
      </c>
      <c r="E821" s="222">
        <v>12</v>
      </c>
      <c r="F821" s="192">
        <v>1849</v>
      </c>
      <c r="G821" s="24">
        <v>0.2</v>
      </c>
      <c r="H821" s="24">
        <v>0.05</v>
      </c>
      <c r="I821" s="24">
        <v>0.05</v>
      </c>
      <c r="J821" s="24">
        <v>0</v>
      </c>
      <c r="K821" s="224">
        <f t="shared" si="102"/>
        <v>0.27800000000000014</v>
      </c>
      <c r="L821" s="225">
        <f t="shared" si="103"/>
        <v>30731.301939058176</v>
      </c>
      <c r="M821" s="225">
        <f t="shared" si="104"/>
        <v>2560.9418282548481</v>
      </c>
      <c r="N821" s="226">
        <f t="shared" si="105"/>
        <v>3047.5207756232689</v>
      </c>
      <c r="O821" s="34">
        <v>0.3</v>
      </c>
      <c r="P821" s="226">
        <f t="shared" si="106"/>
        <v>3961.7770083102496</v>
      </c>
      <c r="Q821" s="107" t="s">
        <v>1486</v>
      </c>
      <c r="R821" s="34">
        <v>0.2</v>
      </c>
      <c r="S821" s="226">
        <f t="shared" si="107"/>
        <v>2750.3874999999998</v>
      </c>
      <c r="T821" s="156" t="s">
        <v>1486</v>
      </c>
      <c r="U821" s="2">
        <v>6</v>
      </c>
      <c r="V821" s="2" t="s">
        <v>47</v>
      </c>
      <c r="W821" s="2" t="s">
        <v>5883</v>
      </c>
      <c r="X821" s="2" t="s">
        <v>5965</v>
      </c>
      <c r="Y821" s="488" t="s">
        <v>1486</v>
      </c>
      <c r="Z821" s="293">
        <f t="shared" si="100"/>
        <v>711.94182825484813</v>
      </c>
      <c r="AA821" s="293">
        <f t="shared" si="101"/>
        <v>462.25</v>
      </c>
    </row>
    <row r="822" spans="1:27" s="320" customFormat="1" x14ac:dyDescent="0.25">
      <c r="A822" s="220" t="s">
        <v>2366</v>
      </c>
      <c r="B822" s="221" t="s">
        <v>2370</v>
      </c>
      <c r="C822" s="223" t="s">
        <v>1524</v>
      </c>
      <c r="D822" s="220" t="s">
        <v>1539</v>
      </c>
      <c r="E822" s="222">
        <v>12</v>
      </c>
      <c r="F822" s="192">
        <v>1849</v>
      </c>
      <c r="G822" s="24">
        <v>0.2</v>
      </c>
      <c r="H822" s="24">
        <v>0.05</v>
      </c>
      <c r="I822" s="24">
        <v>0.05</v>
      </c>
      <c r="J822" s="24">
        <v>0</v>
      </c>
      <c r="K822" s="224">
        <f t="shared" si="102"/>
        <v>0.27800000000000014</v>
      </c>
      <c r="L822" s="225">
        <f t="shared" si="103"/>
        <v>30731.301939058176</v>
      </c>
      <c r="M822" s="225">
        <f t="shared" si="104"/>
        <v>2560.9418282548481</v>
      </c>
      <c r="N822" s="226">
        <f t="shared" si="105"/>
        <v>3047.5207756232689</v>
      </c>
      <c r="O822" s="34">
        <v>0.3</v>
      </c>
      <c r="P822" s="226">
        <f t="shared" si="106"/>
        <v>3961.7770083102496</v>
      </c>
      <c r="Q822" s="107" t="s">
        <v>1486</v>
      </c>
      <c r="R822" s="34">
        <v>0.2</v>
      </c>
      <c r="S822" s="226">
        <f t="shared" si="107"/>
        <v>2750.3874999999998</v>
      </c>
      <c r="T822" s="156" t="s">
        <v>1486</v>
      </c>
      <c r="U822" s="2">
        <v>7</v>
      </c>
      <c r="V822" s="2" t="s">
        <v>47</v>
      </c>
      <c r="W822" s="2" t="s">
        <v>5883</v>
      </c>
      <c r="X822" s="2" t="s">
        <v>5965</v>
      </c>
      <c r="Y822" s="488" t="s">
        <v>1486</v>
      </c>
      <c r="Z822" s="293">
        <f t="shared" si="100"/>
        <v>711.94182825484813</v>
      </c>
      <c r="AA822" s="293">
        <f t="shared" si="101"/>
        <v>462.25</v>
      </c>
    </row>
    <row r="823" spans="1:27" s="320" customFormat="1" x14ac:dyDescent="0.25">
      <c r="A823" s="220" t="s">
        <v>2367</v>
      </c>
      <c r="B823" s="221" t="s">
        <v>2372</v>
      </c>
      <c r="C823" s="223" t="s">
        <v>1524</v>
      </c>
      <c r="D823" s="220" t="s">
        <v>1539</v>
      </c>
      <c r="E823" s="222">
        <v>12</v>
      </c>
      <c r="F823" s="192">
        <v>1429</v>
      </c>
      <c r="G823" s="24">
        <v>0.2</v>
      </c>
      <c r="H823" s="24">
        <v>0.05</v>
      </c>
      <c r="I823" s="24">
        <v>0.05</v>
      </c>
      <c r="J823" s="24">
        <v>0</v>
      </c>
      <c r="K823" s="224">
        <f t="shared" si="102"/>
        <v>0.27800000000000002</v>
      </c>
      <c r="L823" s="225">
        <f t="shared" si="103"/>
        <v>23750.692520775625</v>
      </c>
      <c r="M823" s="225">
        <f t="shared" si="104"/>
        <v>1979.2243767313021</v>
      </c>
      <c r="N823" s="226">
        <f t="shared" si="105"/>
        <v>2355.2770083102496</v>
      </c>
      <c r="O823" s="34">
        <v>0.3</v>
      </c>
      <c r="P823" s="226">
        <f t="shared" si="106"/>
        <v>3061.8601108033245</v>
      </c>
      <c r="Q823" s="107" t="s">
        <v>1486</v>
      </c>
      <c r="R823" s="34">
        <v>0.22704090886589975</v>
      </c>
      <c r="S823" s="226">
        <f t="shared" si="107"/>
        <v>2199.9999993595775</v>
      </c>
      <c r="T823" s="156" t="s">
        <v>1486</v>
      </c>
      <c r="U823" s="2">
        <v>2</v>
      </c>
      <c r="V823" s="2" t="s">
        <v>47</v>
      </c>
      <c r="W823" s="2" t="s">
        <v>5883</v>
      </c>
      <c r="X823" s="2" t="s">
        <v>5967</v>
      </c>
      <c r="Y823" s="488" t="s">
        <v>1486</v>
      </c>
      <c r="Z823" s="293">
        <f t="shared" si="100"/>
        <v>550.22437673130207</v>
      </c>
      <c r="AA823" s="293">
        <f t="shared" si="101"/>
        <v>419.73949526014917</v>
      </c>
    </row>
    <row r="824" spans="1:27" s="320" customFormat="1" x14ac:dyDescent="0.25">
      <c r="A824" s="220" t="s">
        <v>2369</v>
      </c>
      <c r="B824" s="221" t="s">
        <v>2409</v>
      </c>
      <c r="C824" s="223" t="s">
        <v>1556</v>
      </c>
      <c r="D824" s="220" t="s">
        <v>1817</v>
      </c>
      <c r="E824" s="222">
        <v>1</v>
      </c>
      <c r="F824" s="192">
        <v>186</v>
      </c>
      <c r="G824" s="24">
        <v>0.2</v>
      </c>
      <c r="H824" s="24">
        <v>0.05</v>
      </c>
      <c r="I824" s="24">
        <v>0.05</v>
      </c>
      <c r="J824" s="24">
        <v>0</v>
      </c>
      <c r="K824" s="224">
        <f t="shared" si="102"/>
        <v>0.27800000000000014</v>
      </c>
      <c r="L824" s="225">
        <f t="shared" si="103"/>
        <v>257.61772853185602</v>
      </c>
      <c r="M824" s="225">
        <f t="shared" si="104"/>
        <v>257.61772853185602</v>
      </c>
      <c r="N824" s="226">
        <f t="shared" si="105"/>
        <v>306.56509695290862</v>
      </c>
      <c r="O824" s="34">
        <v>0.3</v>
      </c>
      <c r="P824" s="226">
        <f t="shared" si="106"/>
        <v>398.5346260387812</v>
      </c>
      <c r="Q824" s="107" t="s">
        <v>1486</v>
      </c>
      <c r="R824" s="34">
        <v>0.3</v>
      </c>
      <c r="S824" s="226">
        <f t="shared" si="107"/>
        <v>316.2</v>
      </c>
      <c r="T824" s="156" t="s">
        <v>1486</v>
      </c>
      <c r="U824" s="2"/>
      <c r="V824" s="2" t="s">
        <v>47</v>
      </c>
      <c r="W824" s="2"/>
      <c r="X824" s="2"/>
      <c r="Y824" s="488" t="s">
        <v>1486</v>
      </c>
      <c r="Z824" s="293">
        <f t="shared" si="100"/>
        <v>71.617728531856017</v>
      </c>
      <c r="AA824" s="293">
        <f t="shared" si="101"/>
        <v>79.714285714285722</v>
      </c>
    </row>
    <row r="825" spans="1:27" s="320" customFormat="1" x14ac:dyDescent="0.25">
      <c r="A825" s="220" t="s">
        <v>2371</v>
      </c>
      <c r="B825" s="221" t="s">
        <v>2412</v>
      </c>
      <c r="C825" s="223" t="s">
        <v>1561</v>
      </c>
      <c r="D825" s="220" t="s">
        <v>2413</v>
      </c>
      <c r="E825" s="222">
        <v>12</v>
      </c>
      <c r="F825" s="192">
        <v>1101</v>
      </c>
      <c r="G825" s="24">
        <v>0.2</v>
      </c>
      <c r="H825" s="24">
        <v>0.05</v>
      </c>
      <c r="I825" s="24">
        <v>0.05</v>
      </c>
      <c r="J825" s="24">
        <v>0</v>
      </c>
      <c r="K825" s="224">
        <f t="shared" si="102"/>
        <v>0.27800000000000002</v>
      </c>
      <c r="L825" s="225">
        <f t="shared" si="103"/>
        <v>18299.168975069253</v>
      </c>
      <c r="M825" s="225">
        <f t="shared" si="104"/>
        <v>1524.9307479224378</v>
      </c>
      <c r="N825" s="226">
        <f t="shared" si="105"/>
        <v>1814.667590027701</v>
      </c>
      <c r="O825" s="34">
        <v>0.3</v>
      </c>
      <c r="P825" s="226">
        <f t="shared" si="106"/>
        <v>2359.0678670360112</v>
      </c>
      <c r="Q825" s="107" t="s">
        <v>1486</v>
      </c>
      <c r="R825" s="34">
        <v>0.3</v>
      </c>
      <c r="S825" s="226">
        <f t="shared" si="107"/>
        <v>1871.7</v>
      </c>
      <c r="T825" s="156" t="s">
        <v>1486</v>
      </c>
      <c r="U825" s="2" t="s">
        <v>50</v>
      </c>
      <c r="V825" s="2" t="s">
        <v>47</v>
      </c>
      <c r="W825" s="2" t="s">
        <v>5964</v>
      </c>
      <c r="X825" s="2"/>
      <c r="Y825" s="488" t="s">
        <v>1486</v>
      </c>
      <c r="Z825" s="293">
        <f t="shared" si="100"/>
        <v>423.93074792243783</v>
      </c>
      <c r="AA825" s="293">
        <f t="shared" si="101"/>
        <v>471.85714285714289</v>
      </c>
    </row>
    <row r="826" spans="1:27" s="320" customFormat="1" x14ac:dyDescent="0.25">
      <c r="A826" s="220" t="s">
        <v>2408</v>
      </c>
      <c r="B826" s="221" t="s">
        <v>2415</v>
      </c>
      <c r="C826" s="223" t="s">
        <v>1561</v>
      </c>
      <c r="D826" s="220" t="s">
        <v>426</v>
      </c>
      <c r="E826" s="222">
        <v>12</v>
      </c>
      <c r="F826" s="192">
        <v>1194</v>
      </c>
      <c r="G826" s="24">
        <v>0.2</v>
      </c>
      <c r="H826" s="24">
        <v>0.05</v>
      </c>
      <c r="I826" s="24">
        <v>0.05</v>
      </c>
      <c r="J826" s="24">
        <v>0</v>
      </c>
      <c r="K826" s="224">
        <f t="shared" si="102"/>
        <v>0.27800000000000014</v>
      </c>
      <c r="L826" s="225">
        <f t="shared" si="103"/>
        <v>19844.875346260393</v>
      </c>
      <c r="M826" s="225">
        <f t="shared" si="104"/>
        <v>1653.739612188366</v>
      </c>
      <c r="N826" s="226">
        <f t="shared" si="105"/>
        <v>1967.9501385041553</v>
      </c>
      <c r="O826" s="34">
        <v>0.3</v>
      </c>
      <c r="P826" s="226">
        <f t="shared" si="106"/>
        <v>2558.3351800554019</v>
      </c>
      <c r="Q826" s="107" t="s">
        <v>1486</v>
      </c>
      <c r="R826" s="34">
        <v>0.32396664131940778</v>
      </c>
      <c r="S826" s="226">
        <f t="shared" si="107"/>
        <v>2101.7601894277504</v>
      </c>
      <c r="T826" s="156" t="s">
        <v>1486</v>
      </c>
      <c r="U826" s="2" t="s">
        <v>50</v>
      </c>
      <c r="V826" s="2" t="s">
        <v>47</v>
      </c>
      <c r="W826" s="2" t="s">
        <v>2900</v>
      </c>
      <c r="X826" s="2" t="s">
        <v>2903</v>
      </c>
      <c r="Y826" s="488" t="s">
        <v>1486</v>
      </c>
      <c r="Z826" s="293">
        <f t="shared" si="100"/>
        <v>459.73961218836598</v>
      </c>
      <c r="AA826" s="293">
        <f t="shared" si="101"/>
        <v>572.18503313256338</v>
      </c>
    </row>
    <row r="827" spans="1:27" s="320" customFormat="1" x14ac:dyDescent="0.25">
      <c r="A827" s="220" t="s">
        <v>2411</v>
      </c>
      <c r="B827" s="221" t="s">
        <v>2424</v>
      </c>
      <c r="C827" s="223" t="s">
        <v>1561</v>
      </c>
      <c r="D827" s="220" t="s">
        <v>2425</v>
      </c>
      <c r="E827" s="222">
        <v>12</v>
      </c>
      <c r="F827" s="192">
        <v>466</v>
      </c>
      <c r="G827" s="24">
        <v>0.2</v>
      </c>
      <c r="H827" s="24">
        <v>0.05</v>
      </c>
      <c r="I827" s="24">
        <v>0.05</v>
      </c>
      <c r="J827" s="24">
        <v>0</v>
      </c>
      <c r="K827" s="224">
        <f t="shared" si="102"/>
        <v>0.27800000000000002</v>
      </c>
      <c r="L827" s="225">
        <f t="shared" si="103"/>
        <v>7745.1523545706368</v>
      </c>
      <c r="M827" s="225">
        <f t="shared" si="104"/>
        <v>645.4293628808864</v>
      </c>
      <c r="N827" s="226">
        <f t="shared" si="105"/>
        <v>768.06094182825473</v>
      </c>
      <c r="O827" s="34">
        <v>0.3</v>
      </c>
      <c r="P827" s="226">
        <f t="shared" si="106"/>
        <v>998.47922437673117</v>
      </c>
      <c r="Q827" s="107" t="s">
        <v>1486</v>
      </c>
      <c r="R827" s="34">
        <v>0.30682479218363112</v>
      </c>
      <c r="S827" s="226">
        <f t="shared" si="107"/>
        <v>799.9997601571821</v>
      </c>
      <c r="T827" s="156" t="s">
        <v>1486</v>
      </c>
      <c r="U827" s="2" t="s">
        <v>109</v>
      </c>
      <c r="V827" s="2" t="s">
        <v>5826</v>
      </c>
      <c r="W827" s="2"/>
      <c r="X827" s="2"/>
      <c r="Y827" s="488" t="s">
        <v>1486</v>
      </c>
      <c r="Z827" s="293">
        <f t="shared" si="100"/>
        <v>179.4293628808864</v>
      </c>
      <c r="AA827" s="293">
        <f t="shared" si="101"/>
        <v>206.26870601443875</v>
      </c>
    </row>
    <row r="828" spans="1:27" s="320" customFormat="1" x14ac:dyDescent="0.25">
      <c r="A828" s="220" t="s">
        <v>2414</v>
      </c>
      <c r="B828" s="221" t="s">
        <v>2453</v>
      </c>
      <c r="C828" s="223" t="s">
        <v>1561</v>
      </c>
      <c r="D828" s="220" t="s">
        <v>2454</v>
      </c>
      <c r="E828" s="222">
        <v>12</v>
      </c>
      <c r="F828" s="192">
        <v>2312</v>
      </c>
      <c r="G828" s="24">
        <v>0.2</v>
      </c>
      <c r="H828" s="24">
        <v>0.05</v>
      </c>
      <c r="I828" s="24">
        <v>0.05</v>
      </c>
      <c r="J828" s="24">
        <v>0</v>
      </c>
      <c r="K828" s="224">
        <f t="shared" si="102"/>
        <v>0.27800000000000014</v>
      </c>
      <c r="L828" s="225">
        <f t="shared" si="103"/>
        <v>38426.592797783938</v>
      </c>
      <c r="M828" s="225">
        <f t="shared" si="104"/>
        <v>3202.2160664819949</v>
      </c>
      <c r="N828" s="226">
        <f t="shared" si="105"/>
        <v>3810.6371191135736</v>
      </c>
      <c r="O828" s="34">
        <v>0.3</v>
      </c>
      <c r="P828" s="226">
        <f t="shared" si="106"/>
        <v>4953.8282548476454</v>
      </c>
      <c r="Q828" s="107" t="s">
        <v>1486</v>
      </c>
      <c r="R828" s="34">
        <v>0.3</v>
      </c>
      <c r="S828" s="226">
        <f t="shared" si="107"/>
        <v>3930.4</v>
      </c>
      <c r="T828" s="156" t="s">
        <v>1486</v>
      </c>
      <c r="U828" s="2" t="s">
        <v>50</v>
      </c>
      <c r="V828" s="2" t="s">
        <v>47</v>
      </c>
      <c r="W828" s="2" t="s">
        <v>5964</v>
      </c>
      <c r="X828" s="2" t="s">
        <v>2745</v>
      </c>
      <c r="Y828" s="488" t="s">
        <v>1486</v>
      </c>
      <c r="Z828" s="293">
        <f t="shared" si="100"/>
        <v>890.21606648199486</v>
      </c>
      <c r="AA828" s="293">
        <f t="shared" si="101"/>
        <v>990.85714285714312</v>
      </c>
    </row>
    <row r="829" spans="1:27" s="320" customFormat="1" ht="15" customHeight="1" x14ac:dyDescent="0.25">
      <c r="A829" s="220" t="s">
        <v>2423</v>
      </c>
      <c r="B829" s="221" t="s">
        <v>2456</v>
      </c>
      <c r="C829" s="223" t="s">
        <v>1561</v>
      </c>
      <c r="D829" s="220" t="s">
        <v>2457</v>
      </c>
      <c r="E829" s="222">
        <v>12</v>
      </c>
      <c r="F829" s="192">
        <v>2200</v>
      </c>
      <c r="G829" s="24">
        <v>0.2</v>
      </c>
      <c r="H829" s="24">
        <v>0.05</v>
      </c>
      <c r="I829" s="24">
        <v>0.05</v>
      </c>
      <c r="J829" s="24">
        <v>0</v>
      </c>
      <c r="K829" s="224">
        <f t="shared" si="102"/>
        <v>0.27800000000000002</v>
      </c>
      <c r="L829" s="225">
        <f t="shared" si="103"/>
        <v>36565.096952908592</v>
      </c>
      <c r="M829" s="225">
        <f t="shared" si="104"/>
        <v>3047.0914127423825</v>
      </c>
      <c r="N829" s="226">
        <f t="shared" si="105"/>
        <v>3626.038781163435</v>
      </c>
      <c r="O829" s="34">
        <v>0.3</v>
      </c>
      <c r="P829" s="226">
        <f t="shared" si="106"/>
        <v>4713.8504155124656</v>
      </c>
      <c r="Q829" s="107" t="s">
        <v>1486</v>
      </c>
      <c r="R829" s="34">
        <v>0.3</v>
      </c>
      <c r="S829" s="226">
        <f t="shared" si="107"/>
        <v>3740</v>
      </c>
      <c r="T829" s="156" t="s">
        <v>1486</v>
      </c>
      <c r="U829" s="2" t="s">
        <v>50</v>
      </c>
      <c r="V829" s="2" t="s">
        <v>47</v>
      </c>
      <c r="W829" s="2" t="s">
        <v>5964</v>
      </c>
      <c r="X829" s="2"/>
      <c r="Y829" s="488" t="s">
        <v>1486</v>
      </c>
      <c r="Z829" s="293">
        <f t="shared" si="100"/>
        <v>847.09141274238254</v>
      </c>
      <c r="AA829" s="293">
        <f t="shared" si="101"/>
        <v>942.85714285714312</v>
      </c>
    </row>
    <row r="830" spans="1:27" s="320" customFormat="1" ht="15" customHeight="1" x14ac:dyDescent="0.25">
      <c r="A830" s="220" t="s">
        <v>2452</v>
      </c>
      <c r="B830" s="221" t="s">
        <v>2463</v>
      </c>
      <c r="C830" s="223" t="s">
        <v>1561</v>
      </c>
      <c r="D830" s="220" t="s">
        <v>2464</v>
      </c>
      <c r="E830" s="222">
        <v>12</v>
      </c>
      <c r="F830" s="192">
        <v>2209</v>
      </c>
      <c r="G830" s="24">
        <v>0.2</v>
      </c>
      <c r="H830" s="24">
        <v>0.05</v>
      </c>
      <c r="I830" s="24">
        <v>0.05</v>
      </c>
      <c r="J830" s="24">
        <v>0</v>
      </c>
      <c r="K830" s="224">
        <f t="shared" si="102"/>
        <v>0.27800000000000014</v>
      </c>
      <c r="L830" s="225">
        <f t="shared" si="103"/>
        <v>36714.681440443223</v>
      </c>
      <c r="M830" s="225">
        <f t="shared" si="104"/>
        <v>3059.5567867036016</v>
      </c>
      <c r="N830" s="226">
        <f t="shared" si="105"/>
        <v>3640.8725761772857</v>
      </c>
      <c r="O830" s="34">
        <v>0.3</v>
      </c>
      <c r="P830" s="226">
        <f t="shared" si="106"/>
        <v>4733.1343490304716</v>
      </c>
      <c r="Q830" s="107" t="s">
        <v>1486</v>
      </c>
      <c r="R830" s="34">
        <v>0.3</v>
      </c>
      <c r="S830" s="226">
        <f t="shared" si="107"/>
        <v>3755.2999999999997</v>
      </c>
      <c r="T830" s="156" t="s">
        <v>1486</v>
      </c>
      <c r="U830" s="2" t="s">
        <v>50</v>
      </c>
      <c r="V830" s="2" t="s">
        <v>47</v>
      </c>
      <c r="W830" s="2" t="s">
        <v>5964</v>
      </c>
      <c r="X830" s="2" t="s">
        <v>1467</v>
      </c>
      <c r="Y830" s="488" t="s">
        <v>1486</v>
      </c>
      <c r="Z830" s="293">
        <f t="shared" si="100"/>
        <v>850.55678670360157</v>
      </c>
      <c r="AA830" s="293">
        <f t="shared" si="101"/>
        <v>946.71428571428578</v>
      </c>
    </row>
    <row r="831" spans="1:27" s="320" customFormat="1" ht="15" customHeight="1" x14ac:dyDescent="0.25">
      <c r="A831" s="220" t="s">
        <v>2455</v>
      </c>
      <c r="B831" s="221" t="s">
        <v>2466</v>
      </c>
      <c r="C831" s="223" t="s">
        <v>1561</v>
      </c>
      <c r="D831" s="220" t="s">
        <v>2464</v>
      </c>
      <c r="E831" s="222">
        <v>12</v>
      </c>
      <c r="F831" s="192">
        <v>2209</v>
      </c>
      <c r="G831" s="24">
        <v>0.2</v>
      </c>
      <c r="H831" s="24">
        <v>0.05</v>
      </c>
      <c r="I831" s="24">
        <v>0.05</v>
      </c>
      <c r="J831" s="24">
        <v>0</v>
      </c>
      <c r="K831" s="224">
        <f t="shared" si="102"/>
        <v>0.27800000000000014</v>
      </c>
      <c r="L831" s="225">
        <f t="shared" si="103"/>
        <v>36714.681440443223</v>
      </c>
      <c r="M831" s="225">
        <f t="shared" si="104"/>
        <v>3059.5567867036016</v>
      </c>
      <c r="N831" s="226">
        <f t="shared" si="105"/>
        <v>3640.8725761772857</v>
      </c>
      <c r="O831" s="34">
        <v>0.3</v>
      </c>
      <c r="P831" s="226">
        <f t="shared" si="106"/>
        <v>4733.1343490304716</v>
      </c>
      <c r="Q831" s="107" t="s">
        <v>1486</v>
      </c>
      <c r="R831" s="34">
        <v>0.3</v>
      </c>
      <c r="S831" s="226">
        <f t="shared" si="107"/>
        <v>3755.2999999999997</v>
      </c>
      <c r="T831" s="156" t="s">
        <v>1486</v>
      </c>
      <c r="U831" s="2" t="s">
        <v>50</v>
      </c>
      <c r="V831" s="2" t="s">
        <v>47</v>
      </c>
      <c r="W831" s="2" t="s">
        <v>5964</v>
      </c>
      <c r="X831" s="2" t="s">
        <v>1467</v>
      </c>
      <c r="Y831" s="488" t="s">
        <v>1486</v>
      </c>
      <c r="Z831" s="293">
        <f t="shared" si="100"/>
        <v>850.55678670360157</v>
      </c>
      <c r="AA831" s="293">
        <f t="shared" si="101"/>
        <v>946.71428571428578</v>
      </c>
    </row>
    <row r="832" spans="1:27" s="320" customFormat="1" ht="15" customHeight="1" x14ac:dyDescent="0.25">
      <c r="A832" s="220" t="s">
        <v>2462</v>
      </c>
      <c r="B832" s="221" t="s">
        <v>2514</v>
      </c>
      <c r="C832" s="223" t="s">
        <v>2509</v>
      </c>
      <c r="D832" s="220" t="s">
        <v>2515</v>
      </c>
      <c r="E832" s="222">
        <v>24</v>
      </c>
      <c r="F832" s="192">
        <v>355</v>
      </c>
      <c r="G832" s="24">
        <v>0.2</v>
      </c>
      <c r="H832" s="24">
        <v>0.05</v>
      </c>
      <c r="I832" s="24">
        <v>0.05</v>
      </c>
      <c r="J832" s="24">
        <v>0</v>
      </c>
      <c r="K832" s="224">
        <f t="shared" si="102"/>
        <v>0.27800000000000002</v>
      </c>
      <c r="L832" s="225">
        <f t="shared" si="103"/>
        <v>11800.554016620499</v>
      </c>
      <c r="M832" s="225">
        <f t="shared" si="104"/>
        <v>491.68975069252082</v>
      </c>
      <c r="N832" s="226">
        <f t="shared" si="105"/>
        <v>585.11080332409972</v>
      </c>
      <c r="O832" s="34">
        <v>0.3</v>
      </c>
      <c r="P832" s="226">
        <f t="shared" si="106"/>
        <v>760.64404432132972</v>
      </c>
      <c r="Q832" s="107" t="s">
        <v>1486</v>
      </c>
      <c r="R832" s="34">
        <v>0.3</v>
      </c>
      <c r="S832" s="226">
        <f t="shared" si="107"/>
        <v>603.5</v>
      </c>
      <c r="T832" s="156" t="s">
        <v>1486</v>
      </c>
      <c r="U832" s="2"/>
      <c r="V832" s="2" t="s">
        <v>47</v>
      </c>
      <c r="W832" s="2"/>
      <c r="X832" s="2"/>
      <c r="Y832" s="488" t="s">
        <v>1486</v>
      </c>
      <c r="Z832" s="293">
        <f t="shared" ref="Z832:Z871" si="108">+M832-F832</f>
        <v>136.68975069252082</v>
      </c>
      <c r="AA832" s="293">
        <f t="shared" ref="AA832:AA871" si="109">+(S832/1.19)-F832</f>
        <v>152.14285714285717</v>
      </c>
    </row>
    <row r="833" spans="1:27" s="320" customFormat="1" ht="15" customHeight="1" x14ac:dyDescent="0.25">
      <c r="A833" s="220" t="s">
        <v>2465</v>
      </c>
      <c r="B833" s="221" t="s">
        <v>2517</v>
      </c>
      <c r="C833" s="223" t="s">
        <v>2509</v>
      </c>
      <c r="D833" s="220" t="s">
        <v>2515</v>
      </c>
      <c r="E833" s="222">
        <v>24</v>
      </c>
      <c r="F833" s="192">
        <v>482</v>
      </c>
      <c r="G833" s="24">
        <v>0.2</v>
      </c>
      <c r="H833" s="24">
        <v>0.05</v>
      </c>
      <c r="I833" s="24">
        <v>0.05</v>
      </c>
      <c r="J833" s="24">
        <v>0</v>
      </c>
      <c r="K833" s="224">
        <f t="shared" si="102"/>
        <v>0.27800000000000014</v>
      </c>
      <c r="L833" s="225">
        <f t="shared" si="103"/>
        <v>16022.160664819947</v>
      </c>
      <c r="M833" s="225">
        <f t="shared" si="104"/>
        <v>667.59002770083111</v>
      </c>
      <c r="N833" s="226">
        <f t="shared" si="105"/>
        <v>794.43213296398903</v>
      </c>
      <c r="O833" s="34">
        <v>0.3</v>
      </c>
      <c r="P833" s="226">
        <f t="shared" si="106"/>
        <v>1032.7617728531857</v>
      </c>
      <c r="Q833" s="107" t="s">
        <v>1486</v>
      </c>
      <c r="R833" s="34">
        <v>0.3</v>
      </c>
      <c r="S833" s="226">
        <f t="shared" si="107"/>
        <v>819.40000000000009</v>
      </c>
      <c r="T833" s="156" t="s">
        <v>1486</v>
      </c>
      <c r="U833" s="2"/>
      <c r="V833" s="2" t="s">
        <v>47</v>
      </c>
      <c r="W833" s="2"/>
      <c r="X833" s="2"/>
      <c r="Y833" s="488" t="s">
        <v>1486</v>
      </c>
      <c r="Z833" s="293">
        <f t="shared" si="108"/>
        <v>185.59002770083111</v>
      </c>
      <c r="AA833" s="293">
        <f t="shared" si="109"/>
        <v>206.57142857142867</v>
      </c>
    </row>
    <row r="834" spans="1:27" s="320" customFormat="1" ht="15" customHeight="1" x14ac:dyDescent="0.25">
      <c r="A834" s="220" t="s">
        <v>2513</v>
      </c>
      <c r="B834" s="221" t="s">
        <v>2524</v>
      </c>
      <c r="C834" s="223" t="s">
        <v>1561</v>
      </c>
      <c r="D834" s="220" t="s">
        <v>1887</v>
      </c>
      <c r="E834" s="222">
        <v>12</v>
      </c>
      <c r="F834" s="192">
        <v>2471</v>
      </c>
      <c r="G834" s="24">
        <v>0.2</v>
      </c>
      <c r="H834" s="24">
        <v>0.05</v>
      </c>
      <c r="I834" s="24">
        <v>0.05</v>
      </c>
      <c r="J834" s="24">
        <v>0</v>
      </c>
      <c r="K834" s="224">
        <f t="shared" si="102"/>
        <v>0.27800000000000002</v>
      </c>
      <c r="L834" s="225">
        <f t="shared" si="103"/>
        <v>41069.252077562327</v>
      </c>
      <c r="M834" s="225">
        <f t="shared" si="104"/>
        <v>3422.4376731301941</v>
      </c>
      <c r="N834" s="226">
        <f t="shared" si="105"/>
        <v>4072.7008310249307</v>
      </c>
      <c r="O834" s="34">
        <v>0.3</v>
      </c>
      <c r="P834" s="226">
        <f t="shared" si="106"/>
        <v>5294.5110803324105</v>
      </c>
      <c r="Q834" s="107" t="s">
        <v>1486</v>
      </c>
      <c r="R834" s="34">
        <v>0.3</v>
      </c>
      <c r="S834" s="226">
        <f t="shared" si="107"/>
        <v>4200.7</v>
      </c>
      <c r="T834" s="156" t="s">
        <v>1486</v>
      </c>
      <c r="U834" s="2" t="s">
        <v>109</v>
      </c>
      <c r="V834" s="2" t="s">
        <v>47</v>
      </c>
      <c r="W834" s="2" t="s">
        <v>5863</v>
      </c>
      <c r="X834" s="2" t="s">
        <v>5881</v>
      </c>
      <c r="Y834" s="488" t="s">
        <v>1486</v>
      </c>
      <c r="Z834" s="293">
        <f t="shared" si="108"/>
        <v>951.43767313019407</v>
      </c>
      <c r="AA834" s="293">
        <f t="shared" si="109"/>
        <v>1059</v>
      </c>
    </row>
    <row r="835" spans="1:27" s="320" customFormat="1" ht="15" customHeight="1" x14ac:dyDescent="0.25">
      <c r="A835" s="220" t="s">
        <v>2516</v>
      </c>
      <c r="B835" s="221" t="s">
        <v>2530</v>
      </c>
      <c r="C835" s="223" t="s">
        <v>1546</v>
      </c>
      <c r="D835" s="220" t="s">
        <v>2531</v>
      </c>
      <c r="E835" s="222">
        <v>12</v>
      </c>
      <c r="F835" s="192">
        <v>717</v>
      </c>
      <c r="G835" s="24">
        <v>0.2</v>
      </c>
      <c r="H835" s="24">
        <v>0.05</v>
      </c>
      <c r="I835" s="24">
        <v>0.05</v>
      </c>
      <c r="J835" s="24">
        <v>0</v>
      </c>
      <c r="K835" s="224">
        <f t="shared" ref="K835:K898" si="110">IF(F835=0,0,1-(F835/M835))</f>
        <v>0.27800000000000002</v>
      </c>
      <c r="L835" s="225">
        <f t="shared" ref="L835:L898" si="111">+M835*E835</f>
        <v>11916.897506925208</v>
      </c>
      <c r="M835" s="225">
        <f t="shared" ref="M835:M898" si="112">+F835/(1-G835)/(1-H835)/(1-I835)/(1-J835)</f>
        <v>993.07479224376732</v>
      </c>
      <c r="N835" s="226">
        <f t="shared" ref="N835:N898" si="113">+M835*1.19</f>
        <v>1181.759002770083</v>
      </c>
      <c r="O835" s="34">
        <v>0.3</v>
      </c>
      <c r="P835" s="226">
        <f t="shared" ref="P835:P898" si="114">+N835*(1+O835)</f>
        <v>1536.286703601108</v>
      </c>
      <c r="Q835" s="107" t="s">
        <v>1486</v>
      </c>
      <c r="R835" s="34">
        <v>0.3</v>
      </c>
      <c r="S835" s="226">
        <f t="shared" si="107"/>
        <v>1218.9000000000001</v>
      </c>
      <c r="T835" s="156" t="s">
        <v>1486</v>
      </c>
      <c r="U835" s="2"/>
      <c r="V835" s="2" t="s">
        <v>47</v>
      </c>
      <c r="W835" s="2"/>
      <c r="X835" s="2"/>
      <c r="Y835" s="488" t="s">
        <v>1486</v>
      </c>
      <c r="Z835" s="293">
        <f t="shared" si="108"/>
        <v>276.07479224376732</v>
      </c>
      <c r="AA835" s="293">
        <f t="shared" si="109"/>
        <v>307.28571428571445</v>
      </c>
    </row>
    <row r="836" spans="1:27" s="320" customFormat="1" ht="15" customHeight="1" x14ac:dyDescent="0.25">
      <c r="A836" s="220" t="s">
        <v>2519</v>
      </c>
      <c r="B836" s="221" t="s">
        <v>2533</v>
      </c>
      <c r="C836" s="223" t="s">
        <v>1546</v>
      </c>
      <c r="D836" s="220" t="s">
        <v>2138</v>
      </c>
      <c r="E836" s="222">
        <v>48</v>
      </c>
      <c r="F836" s="192">
        <v>281</v>
      </c>
      <c r="G836" s="24">
        <v>0.2</v>
      </c>
      <c r="H836" s="24">
        <v>0.05</v>
      </c>
      <c r="I836" s="24">
        <v>0.05</v>
      </c>
      <c r="J836" s="24">
        <v>0</v>
      </c>
      <c r="K836" s="224">
        <f t="shared" si="110"/>
        <v>0.27800000000000014</v>
      </c>
      <c r="L836" s="225">
        <f t="shared" si="111"/>
        <v>18681.440443213298</v>
      </c>
      <c r="M836" s="225">
        <f t="shared" si="112"/>
        <v>389.19667590027706</v>
      </c>
      <c r="N836" s="226">
        <f t="shared" si="113"/>
        <v>463.14404432132966</v>
      </c>
      <c r="O836" s="34">
        <v>0.3</v>
      </c>
      <c r="P836" s="226">
        <f t="shared" si="114"/>
        <v>602.0872576177286</v>
      </c>
      <c r="Q836" s="107" t="s">
        <v>1486</v>
      </c>
      <c r="R836" s="34">
        <v>0.3</v>
      </c>
      <c r="S836" s="226">
        <f t="shared" si="107"/>
        <v>477.7</v>
      </c>
      <c r="T836" s="156" t="s">
        <v>1486</v>
      </c>
      <c r="U836" s="2"/>
      <c r="V836" s="2" t="s">
        <v>47</v>
      </c>
      <c r="W836" s="2"/>
      <c r="X836" s="2"/>
      <c r="Y836" s="488" t="s">
        <v>1486</v>
      </c>
      <c r="Z836" s="293">
        <f t="shared" si="108"/>
        <v>108.19667590027706</v>
      </c>
      <c r="AA836" s="293">
        <f t="shared" si="109"/>
        <v>120.42857142857144</v>
      </c>
    </row>
    <row r="837" spans="1:27" s="320" customFormat="1" ht="15" customHeight="1" x14ac:dyDescent="0.25">
      <c r="A837" s="220" t="s">
        <v>2529</v>
      </c>
      <c r="B837" s="221" t="s">
        <v>2538</v>
      </c>
      <c r="C837" s="223" t="s">
        <v>2509</v>
      </c>
      <c r="D837" s="220" t="s">
        <v>2539</v>
      </c>
      <c r="E837" s="222">
        <v>24</v>
      </c>
      <c r="F837" s="192">
        <v>558</v>
      </c>
      <c r="G837" s="24">
        <v>0.2</v>
      </c>
      <c r="H837" s="24">
        <v>0.05</v>
      </c>
      <c r="I837" s="24">
        <v>0.05</v>
      </c>
      <c r="J837" s="24">
        <v>0</v>
      </c>
      <c r="K837" s="224">
        <f t="shared" si="110"/>
        <v>0.27800000000000002</v>
      </c>
      <c r="L837" s="225">
        <f t="shared" si="111"/>
        <v>18548.476454293628</v>
      </c>
      <c r="M837" s="225">
        <f t="shared" si="112"/>
        <v>772.85318559556788</v>
      </c>
      <c r="N837" s="226">
        <f t="shared" si="113"/>
        <v>919.69529085872568</v>
      </c>
      <c r="O837" s="34">
        <v>0.3</v>
      </c>
      <c r="P837" s="226">
        <f t="shared" si="114"/>
        <v>1195.6038781163434</v>
      </c>
      <c r="Q837" s="107" t="s">
        <v>1486</v>
      </c>
      <c r="R837" s="34">
        <v>0.3</v>
      </c>
      <c r="S837" s="226">
        <f t="shared" si="107"/>
        <v>948.6</v>
      </c>
      <c r="T837" s="156" t="s">
        <v>1486</v>
      </c>
      <c r="U837" s="2"/>
      <c r="V837" s="2" t="s">
        <v>47</v>
      </c>
      <c r="W837" s="2"/>
      <c r="X837" s="2"/>
      <c r="Y837" s="488" t="s">
        <v>1486</v>
      </c>
      <c r="Z837" s="293">
        <f t="shared" si="108"/>
        <v>214.85318559556788</v>
      </c>
      <c r="AA837" s="293">
        <f t="shared" si="109"/>
        <v>239.14285714285722</v>
      </c>
    </row>
    <row r="838" spans="1:27" s="320" customFormat="1" ht="15" customHeight="1" x14ac:dyDescent="0.25">
      <c r="A838" s="220" t="s">
        <v>2532</v>
      </c>
      <c r="B838" s="221" t="s">
        <v>2541</v>
      </c>
      <c r="C838" s="223" t="s">
        <v>2509</v>
      </c>
      <c r="D838" s="220" t="s">
        <v>2515</v>
      </c>
      <c r="E838" s="222">
        <v>24</v>
      </c>
      <c r="F838" s="192">
        <v>692</v>
      </c>
      <c r="G838" s="24">
        <v>0.2</v>
      </c>
      <c r="H838" s="24">
        <v>0.05</v>
      </c>
      <c r="I838" s="24">
        <v>0.05</v>
      </c>
      <c r="J838" s="24">
        <v>0</v>
      </c>
      <c r="K838" s="224">
        <f t="shared" si="110"/>
        <v>0.27800000000000014</v>
      </c>
      <c r="L838" s="225">
        <f t="shared" si="111"/>
        <v>23002.770083102496</v>
      </c>
      <c r="M838" s="225">
        <f t="shared" si="112"/>
        <v>958.44875346260403</v>
      </c>
      <c r="N838" s="226">
        <f t="shared" si="113"/>
        <v>1140.5540166204987</v>
      </c>
      <c r="O838" s="34">
        <v>0.3</v>
      </c>
      <c r="P838" s="226">
        <f t="shared" si="114"/>
        <v>1482.7202216066485</v>
      </c>
      <c r="Q838" s="107" t="s">
        <v>1486</v>
      </c>
      <c r="R838" s="34">
        <v>0.3</v>
      </c>
      <c r="S838" s="226">
        <f t="shared" si="107"/>
        <v>1176.4000000000001</v>
      </c>
      <c r="T838" s="156" t="s">
        <v>1486</v>
      </c>
      <c r="U838" s="2"/>
      <c r="V838" s="2" t="s">
        <v>47</v>
      </c>
      <c r="W838" s="2"/>
      <c r="X838" s="2"/>
      <c r="Y838" s="488" t="s">
        <v>1486</v>
      </c>
      <c r="Z838" s="293">
        <f t="shared" si="108"/>
        <v>266.44875346260403</v>
      </c>
      <c r="AA838" s="293">
        <f t="shared" si="109"/>
        <v>296.57142857142867</v>
      </c>
    </row>
    <row r="839" spans="1:27" s="320" customFormat="1" ht="15" customHeight="1" x14ac:dyDescent="0.25">
      <c r="A839" s="220" t="s">
        <v>2537</v>
      </c>
      <c r="B839" s="221" t="s">
        <v>2543</v>
      </c>
      <c r="C839" s="223" t="s">
        <v>2509</v>
      </c>
      <c r="D839" s="220" t="s">
        <v>2515</v>
      </c>
      <c r="E839" s="222">
        <v>10</v>
      </c>
      <c r="F839" s="192">
        <v>2250</v>
      </c>
      <c r="G839" s="24">
        <v>0.2</v>
      </c>
      <c r="H839" s="24">
        <v>0.05</v>
      </c>
      <c r="I839" s="24">
        <v>0.05</v>
      </c>
      <c r="J839" s="24">
        <v>0</v>
      </c>
      <c r="K839" s="224">
        <f t="shared" si="110"/>
        <v>0.27800000000000014</v>
      </c>
      <c r="L839" s="225">
        <f t="shared" si="111"/>
        <v>31163.434903047095</v>
      </c>
      <c r="M839" s="225">
        <f t="shared" si="112"/>
        <v>3116.3434903047096</v>
      </c>
      <c r="N839" s="226">
        <f t="shared" si="113"/>
        <v>3708.4487534626041</v>
      </c>
      <c r="O839" s="34">
        <v>0.3</v>
      </c>
      <c r="P839" s="226">
        <f t="shared" si="114"/>
        <v>4820.9833795013856</v>
      </c>
      <c r="Q839" s="107" t="s">
        <v>1486</v>
      </c>
      <c r="R839" s="34">
        <v>0.40500000464679076</v>
      </c>
      <c r="S839" s="226">
        <f t="shared" si="107"/>
        <v>4500.0000351437957</v>
      </c>
      <c r="T839" s="156" t="s">
        <v>1486</v>
      </c>
      <c r="U839" s="2"/>
      <c r="V839" s="2" t="s">
        <v>47</v>
      </c>
      <c r="W839" s="2"/>
      <c r="X839" s="2"/>
      <c r="Y839" s="488" t="s">
        <v>1486</v>
      </c>
      <c r="Z839" s="293">
        <f t="shared" si="108"/>
        <v>866.34349030470958</v>
      </c>
      <c r="AA839" s="293">
        <f t="shared" si="109"/>
        <v>1531.5126345746185</v>
      </c>
    </row>
    <row r="840" spans="1:27" s="320" customFormat="1" ht="15" customHeight="1" x14ac:dyDescent="0.25">
      <c r="A840" s="220" t="s">
        <v>2540</v>
      </c>
      <c r="B840" s="221" t="s">
        <v>2545</v>
      </c>
      <c r="C840" s="223" t="s">
        <v>2509</v>
      </c>
      <c r="D840" s="220" t="s">
        <v>2515</v>
      </c>
      <c r="E840" s="222">
        <v>10</v>
      </c>
      <c r="F840" s="192">
        <v>2984</v>
      </c>
      <c r="G840" s="24">
        <v>0.2</v>
      </c>
      <c r="H840" s="24">
        <v>0.05</v>
      </c>
      <c r="I840" s="24">
        <v>0.05</v>
      </c>
      <c r="J840" s="24">
        <v>0</v>
      </c>
      <c r="K840" s="224">
        <f t="shared" si="110"/>
        <v>0.27800000000000002</v>
      </c>
      <c r="L840" s="225">
        <f t="shared" si="111"/>
        <v>41329.639889196682</v>
      </c>
      <c r="M840" s="225">
        <f t="shared" si="112"/>
        <v>4132.9639889196678</v>
      </c>
      <c r="N840" s="226">
        <f t="shared" si="113"/>
        <v>4918.2271468144045</v>
      </c>
      <c r="O840" s="34">
        <v>0.3</v>
      </c>
      <c r="P840" s="226">
        <f t="shared" si="114"/>
        <v>6393.6952908587264</v>
      </c>
      <c r="Q840" s="107" t="s">
        <v>1486</v>
      </c>
      <c r="R840" s="34">
        <v>0.4081733602856738</v>
      </c>
      <c r="S840" s="226">
        <f t="shared" si="107"/>
        <v>6000.0002732456305</v>
      </c>
      <c r="T840" s="156" t="s">
        <v>1486</v>
      </c>
      <c r="U840" s="2"/>
      <c r="V840" s="2" t="s">
        <v>47</v>
      </c>
      <c r="W840" s="2"/>
      <c r="X840" s="2"/>
      <c r="Y840" s="488" t="s">
        <v>1486</v>
      </c>
      <c r="Z840" s="293">
        <f t="shared" si="108"/>
        <v>1148.9639889196678</v>
      </c>
      <c r="AA840" s="293">
        <f t="shared" si="109"/>
        <v>2058.0170363408661</v>
      </c>
    </row>
    <row r="841" spans="1:27" s="320" customFormat="1" ht="15" customHeight="1" x14ac:dyDescent="0.25">
      <c r="A841" s="220" t="s">
        <v>2542</v>
      </c>
      <c r="B841" s="221" t="s">
        <v>2550</v>
      </c>
      <c r="C841" s="223" t="s">
        <v>2041</v>
      </c>
      <c r="D841" s="220" t="s">
        <v>2551</v>
      </c>
      <c r="E841" s="222">
        <v>12</v>
      </c>
      <c r="F841" s="192">
        <v>774</v>
      </c>
      <c r="G841" s="24">
        <v>0.2</v>
      </c>
      <c r="H841" s="24">
        <v>0.05</v>
      </c>
      <c r="I841" s="24">
        <v>0.05</v>
      </c>
      <c r="J841" s="24">
        <v>0</v>
      </c>
      <c r="K841" s="224">
        <f t="shared" si="110"/>
        <v>0.27800000000000002</v>
      </c>
      <c r="L841" s="225">
        <f t="shared" si="111"/>
        <v>12864.265927977838</v>
      </c>
      <c r="M841" s="225">
        <f t="shared" si="112"/>
        <v>1072.0221606648199</v>
      </c>
      <c r="N841" s="226">
        <f t="shared" si="113"/>
        <v>1275.7063711911358</v>
      </c>
      <c r="O841" s="34">
        <v>0.3</v>
      </c>
      <c r="P841" s="226">
        <f t="shared" si="114"/>
        <v>1658.4182825484766</v>
      </c>
      <c r="Q841" s="107" t="s">
        <v>1486</v>
      </c>
      <c r="R841" s="34">
        <v>0.3</v>
      </c>
      <c r="S841" s="226">
        <f t="shared" si="107"/>
        <v>1315.8</v>
      </c>
      <c r="T841" s="156" t="s">
        <v>1486</v>
      </c>
      <c r="U841" s="2"/>
      <c r="V841" s="2" t="s">
        <v>47</v>
      </c>
      <c r="W841" s="2"/>
      <c r="X841" s="2"/>
      <c r="Y841" s="488" t="s">
        <v>1486</v>
      </c>
      <c r="Z841" s="293">
        <f t="shared" si="108"/>
        <v>298.02216066481992</v>
      </c>
      <c r="AA841" s="293">
        <f t="shared" si="109"/>
        <v>331.71428571428578</v>
      </c>
    </row>
    <row r="842" spans="1:27" s="320" customFormat="1" ht="15" customHeight="1" x14ac:dyDescent="0.25">
      <c r="A842" s="220" t="s">
        <v>2544</v>
      </c>
      <c r="B842" s="221" t="s">
        <v>2568</v>
      </c>
      <c r="C842" s="223" t="s">
        <v>1879</v>
      </c>
      <c r="D842" s="220" t="s">
        <v>1879</v>
      </c>
      <c r="E842" s="222">
        <v>1</v>
      </c>
      <c r="F842" s="192">
        <v>16387</v>
      </c>
      <c r="G842" s="24">
        <v>0.2</v>
      </c>
      <c r="H842" s="24">
        <v>0.05</v>
      </c>
      <c r="I842" s="24">
        <v>0.05</v>
      </c>
      <c r="J842" s="24">
        <v>0</v>
      </c>
      <c r="K842" s="224">
        <f t="shared" si="110"/>
        <v>0.27800000000000014</v>
      </c>
      <c r="L842" s="225">
        <f t="shared" si="111"/>
        <v>22696.675900277012</v>
      </c>
      <c r="M842" s="225">
        <f t="shared" si="112"/>
        <v>22696.675900277012</v>
      </c>
      <c r="N842" s="226">
        <f t="shared" si="113"/>
        <v>27009.044321329642</v>
      </c>
      <c r="O842" s="34">
        <v>0.3</v>
      </c>
      <c r="P842" s="226">
        <f t="shared" si="114"/>
        <v>35111.757617728537</v>
      </c>
      <c r="Q842" s="107" t="s">
        <v>1486</v>
      </c>
      <c r="R842" s="34">
        <v>0.3</v>
      </c>
      <c r="S842" s="226">
        <f t="shared" si="107"/>
        <v>27857.899999999998</v>
      </c>
      <c r="T842" s="156" t="s">
        <v>1486</v>
      </c>
      <c r="U842" s="2"/>
      <c r="V842" s="2" t="s">
        <v>47</v>
      </c>
      <c r="W842" s="2"/>
      <c r="X842" s="2"/>
      <c r="Y842" s="488" t="s">
        <v>1486</v>
      </c>
      <c r="Z842" s="293">
        <f t="shared" si="108"/>
        <v>6309.6759002770123</v>
      </c>
      <c r="AA842" s="293">
        <f t="shared" si="109"/>
        <v>7023</v>
      </c>
    </row>
    <row r="843" spans="1:27" s="320" customFormat="1" ht="15" customHeight="1" x14ac:dyDescent="0.25">
      <c r="A843" s="220" t="s">
        <v>2549</v>
      </c>
      <c r="B843" s="221" t="s">
        <v>2622</v>
      </c>
      <c r="C843" s="223" t="s">
        <v>1524</v>
      </c>
      <c r="D843" s="220" t="s">
        <v>1539</v>
      </c>
      <c r="E843" s="222">
        <v>1</v>
      </c>
      <c r="F843" s="192">
        <v>16387</v>
      </c>
      <c r="G843" s="24">
        <v>0.2</v>
      </c>
      <c r="H843" s="24">
        <v>0.05</v>
      </c>
      <c r="I843" s="24">
        <v>0.05</v>
      </c>
      <c r="J843" s="24">
        <v>0</v>
      </c>
      <c r="K843" s="224">
        <f t="shared" si="110"/>
        <v>0.27800000000000014</v>
      </c>
      <c r="L843" s="225">
        <f t="shared" si="111"/>
        <v>22696.675900277012</v>
      </c>
      <c r="M843" s="225">
        <f t="shared" si="112"/>
        <v>22696.675900277012</v>
      </c>
      <c r="N843" s="226">
        <f t="shared" si="113"/>
        <v>27009.044321329642</v>
      </c>
      <c r="O843" s="34">
        <v>0.3</v>
      </c>
      <c r="P843" s="226">
        <f t="shared" si="114"/>
        <v>35111.757617728537</v>
      </c>
      <c r="Q843" s="107" t="s">
        <v>1486</v>
      </c>
      <c r="R843" s="34">
        <v>0.20405997280432692</v>
      </c>
      <c r="S843" s="226">
        <f t="shared" si="107"/>
        <v>24499.999162884178</v>
      </c>
      <c r="T843" s="156" t="s">
        <v>1486</v>
      </c>
      <c r="U843" s="2">
        <v>8</v>
      </c>
      <c r="V843" s="2" t="s">
        <v>47</v>
      </c>
      <c r="W843" s="2" t="s">
        <v>5883</v>
      </c>
      <c r="X843" s="2" t="s">
        <v>5965</v>
      </c>
      <c r="Y843" s="488" t="s">
        <v>1486</v>
      </c>
      <c r="Z843" s="293">
        <f t="shared" si="108"/>
        <v>6309.6759002770123</v>
      </c>
      <c r="AA843" s="293">
        <f t="shared" si="109"/>
        <v>4201.2345906589726</v>
      </c>
    </row>
    <row r="844" spans="1:27" s="320" customFormat="1" ht="15" customHeight="1" x14ac:dyDescent="0.25">
      <c r="A844" s="220" t="s">
        <v>2567</v>
      </c>
      <c r="B844" s="221" t="s">
        <v>2624</v>
      </c>
      <c r="C844" s="223" t="s">
        <v>1524</v>
      </c>
      <c r="D844" s="220" t="s">
        <v>1539</v>
      </c>
      <c r="E844" s="222">
        <v>1</v>
      </c>
      <c r="F844" s="192">
        <v>16387</v>
      </c>
      <c r="G844" s="24">
        <v>0.2</v>
      </c>
      <c r="H844" s="24">
        <v>0.05</v>
      </c>
      <c r="I844" s="24">
        <v>0.05</v>
      </c>
      <c r="J844" s="24">
        <v>0</v>
      </c>
      <c r="K844" s="224">
        <f t="shared" si="110"/>
        <v>0.27800000000000014</v>
      </c>
      <c r="L844" s="225">
        <f t="shared" si="111"/>
        <v>22696.675900277012</v>
      </c>
      <c r="M844" s="225">
        <f t="shared" si="112"/>
        <v>22696.675900277012</v>
      </c>
      <c r="N844" s="226">
        <f t="shared" si="113"/>
        <v>27009.044321329642</v>
      </c>
      <c r="O844" s="34">
        <v>0.3</v>
      </c>
      <c r="P844" s="226">
        <f t="shared" si="114"/>
        <v>35111.757617728537</v>
      </c>
      <c r="Q844" s="107" t="s">
        <v>1486</v>
      </c>
      <c r="R844" s="34">
        <v>0.20405997280432692</v>
      </c>
      <c r="S844" s="226">
        <f t="shared" si="107"/>
        <v>24499.999162884178</v>
      </c>
      <c r="T844" s="156" t="s">
        <v>1486</v>
      </c>
      <c r="U844" s="2">
        <v>9</v>
      </c>
      <c r="V844" s="2" t="s">
        <v>47</v>
      </c>
      <c r="W844" s="2" t="s">
        <v>5883</v>
      </c>
      <c r="X844" s="2" t="s">
        <v>5965</v>
      </c>
      <c r="Y844" s="488" t="s">
        <v>1486</v>
      </c>
      <c r="Z844" s="293">
        <f t="shared" si="108"/>
        <v>6309.6759002770123</v>
      </c>
      <c r="AA844" s="293">
        <f t="shared" si="109"/>
        <v>4201.2345906589726</v>
      </c>
    </row>
    <row r="845" spans="1:27" s="320" customFormat="1" ht="15" customHeight="1" x14ac:dyDescent="0.25">
      <c r="A845" s="220" t="s">
        <v>2621</v>
      </c>
      <c r="B845" s="221" t="s">
        <v>5978</v>
      </c>
      <c r="C845" s="223" t="s">
        <v>1524</v>
      </c>
      <c r="D845" s="220" t="s">
        <v>1539</v>
      </c>
      <c r="E845" s="222">
        <v>1</v>
      </c>
      <c r="F845" s="192">
        <v>1849</v>
      </c>
      <c r="G845" s="24">
        <v>0.2</v>
      </c>
      <c r="H845" s="24">
        <v>0.05</v>
      </c>
      <c r="I845" s="24">
        <v>0.05</v>
      </c>
      <c r="J845" s="24">
        <v>0</v>
      </c>
      <c r="K845" s="224">
        <f t="shared" si="110"/>
        <v>0.27800000000000014</v>
      </c>
      <c r="L845" s="225">
        <f t="shared" si="111"/>
        <v>2560.9418282548481</v>
      </c>
      <c r="M845" s="225">
        <f t="shared" si="112"/>
        <v>2560.9418282548481</v>
      </c>
      <c r="N845" s="226">
        <f t="shared" si="113"/>
        <v>3047.5207756232689</v>
      </c>
      <c r="O845" s="34">
        <v>0.3</v>
      </c>
      <c r="P845" s="226">
        <f t="shared" si="114"/>
        <v>3961.7770083102496</v>
      </c>
      <c r="Q845" s="107" t="s">
        <v>1486</v>
      </c>
      <c r="R845" s="34">
        <v>0.2</v>
      </c>
      <c r="S845" s="226">
        <f t="shared" si="107"/>
        <v>2750.3874999999998</v>
      </c>
      <c r="T845" s="156" t="s">
        <v>1486</v>
      </c>
      <c r="U845" s="2">
        <v>10</v>
      </c>
      <c r="V845" s="2" t="s">
        <v>47</v>
      </c>
      <c r="W845" s="2" t="s">
        <v>5883</v>
      </c>
      <c r="X845" s="2" t="s">
        <v>5965</v>
      </c>
      <c r="Y845" s="488" t="s">
        <v>1486</v>
      </c>
      <c r="Z845" s="293">
        <f t="shared" si="108"/>
        <v>711.94182825484813</v>
      </c>
      <c r="AA845" s="293">
        <f t="shared" si="109"/>
        <v>462.25</v>
      </c>
    </row>
    <row r="846" spans="1:27" s="320" customFormat="1" ht="15" customHeight="1" x14ac:dyDescent="0.25">
      <c r="A846" s="220" t="s">
        <v>2623</v>
      </c>
      <c r="B846" s="221" t="s">
        <v>2628</v>
      </c>
      <c r="C846" s="223" t="s">
        <v>1524</v>
      </c>
      <c r="D846" s="220" t="s">
        <v>1539</v>
      </c>
      <c r="E846" s="222">
        <v>1</v>
      </c>
      <c r="F846" s="192">
        <v>10924</v>
      </c>
      <c r="G846" s="24">
        <v>0.2</v>
      </c>
      <c r="H846" s="24">
        <v>0.05</v>
      </c>
      <c r="I846" s="24">
        <v>0.05</v>
      </c>
      <c r="J846" s="24">
        <v>0</v>
      </c>
      <c r="K846" s="224">
        <f t="shared" si="110"/>
        <v>0.27800000000000002</v>
      </c>
      <c r="L846" s="225">
        <f t="shared" si="111"/>
        <v>15130.193905817176</v>
      </c>
      <c r="M846" s="225">
        <f t="shared" si="112"/>
        <v>15130.193905817176</v>
      </c>
      <c r="N846" s="226">
        <f t="shared" si="113"/>
        <v>18004.930747922437</v>
      </c>
      <c r="O846" s="34">
        <v>0.3</v>
      </c>
      <c r="P846" s="226">
        <f t="shared" si="114"/>
        <v>23406.40997229917</v>
      </c>
      <c r="Q846" s="107" t="s">
        <v>1486</v>
      </c>
      <c r="R846" s="34">
        <v>0.20248098069269363</v>
      </c>
      <c r="S846" s="226">
        <f t="shared" si="107"/>
        <v>16299.999981556433</v>
      </c>
      <c r="T846" s="156" t="s">
        <v>1486</v>
      </c>
      <c r="U846" s="2">
        <v>11</v>
      </c>
      <c r="V846" s="2" t="s">
        <v>47</v>
      </c>
      <c r="W846" s="2" t="s">
        <v>5883</v>
      </c>
      <c r="X846" s="2" t="s">
        <v>5965</v>
      </c>
      <c r="Y846" s="488" t="s">
        <v>1486</v>
      </c>
      <c r="Z846" s="293">
        <f t="shared" si="108"/>
        <v>4206.1939058171756</v>
      </c>
      <c r="AA846" s="293">
        <f t="shared" si="109"/>
        <v>2773.4789760978438</v>
      </c>
    </row>
    <row r="847" spans="1:27" s="320" customFormat="1" ht="15" customHeight="1" x14ac:dyDescent="0.25">
      <c r="A847" s="220" t="s">
        <v>2625</v>
      </c>
      <c r="B847" s="221" t="s">
        <v>2679</v>
      </c>
      <c r="C847" s="223" t="s">
        <v>1576</v>
      </c>
      <c r="D847" s="220" t="s">
        <v>2680</v>
      </c>
      <c r="E847" s="222">
        <v>24</v>
      </c>
      <c r="F847" s="192">
        <v>1000</v>
      </c>
      <c r="G847" s="24">
        <v>0.2</v>
      </c>
      <c r="H847" s="24">
        <v>0.05</v>
      </c>
      <c r="I847" s="24">
        <v>0.05</v>
      </c>
      <c r="J847" s="24">
        <v>0</v>
      </c>
      <c r="K847" s="224">
        <f t="shared" si="110"/>
        <v>0.27800000000000014</v>
      </c>
      <c r="L847" s="225">
        <f t="shared" si="111"/>
        <v>33240.997229916902</v>
      </c>
      <c r="M847" s="225">
        <f t="shared" si="112"/>
        <v>1385.0415512465377</v>
      </c>
      <c r="N847" s="226">
        <f t="shared" si="113"/>
        <v>1648.1994459833797</v>
      </c>
      <c r="O847" s="34">
        <v>0.3</v>
      </c>
      <c r="P847" s="226">
        <f t="shared" si="114"/>
        <v>2142.6592797783937</v>
      </c>
      <c r="Q847" s="107" t="s">
        <v>1486</v>
      </c>
      <c r="R847" s="34">
        <v>0.3</v>
      </c>
      <c r="S847" s="226">
        <f t="shared" si="107"/>
        <v>1700</v>
      </c>
      <c r="T847" s="156" t="s">
        <v>1486</v>
      </c>
      <c r="U847" s="2"/>
      <c r="V847" s="2" t="s">
        <v>47</v>
      </c>
      <c r="W847" s="2"/>
      <c r="X847" s="2"/>
      <c r="Y847" s="488" t="s">
        <v>1486</v>
      </c>
      <c r="Z847" s="293">
        <f t="shared" si="108"/>
        <v>385.04155124653767</v>
      </c>
      <c r="AA847" s="293">
        <f t="shared" si="109"/>
        <v>428.57142857142867</v>
      </c>
    </row>
    <row r="848" spans="1:27" s="320" customFormat="1" ht="15" customHeight="1" x14ac:dyDescent="0.25">
      <c r="A848" s="220" t="s">
        <v>2627</v>
      </c>
      <c r="B848" s="221" t="s">
        <v>2682</v>
      </c>
      <c r="C848" s="223" t="s">
        <v>1576</v>
      </c>
      <c r="D848" s="220" t="s">
        <v>2683</v>
      </c>
      <c r="E848" s="222">
        <v>1</v>
      </c>
      <c r="F848" s="192">
        <v>4946</v>
      </c>
      <c r="G848" s="24">
        <v>0.2</v>
      </c>
      <c r="H848" s="24">
        <v>0.05</v>
      </c>
      <c r="I848" s="24">
        <v>0.05</v>
      </c>
      <c r="J848" s="24">
        <v>0</v>
      </c>
      <c r="K848" s="224">
        <f t="shared" si="110"/>
        <v>0.27800000000000014</v>
      </c>
      <c r="L848" s="225">
        <f t="shared" si="111"/>
        <v>6850.4155124653753</v>
      </c>
      <c r="M848" s="225">
        <f t="shared" si="112"/>
        <v>6850.4155124653753</v>
      </c>
      <c r="N848" s="226">
        <f t="shared" si="113"/>
        <v>8151.9944598337961</v>
      </c>
      <c r="O848" s="34">
        <v>0.3</v>
      </c>
      <c r="P848" s="226">
        <f t="shared" si="114"/>
        <v>10597.592797783935</v>
      </c>
      <c r="Q848" s="107" t="s">
        <v>1486</v>
      </c>
      <c r="R848" s="34">
        <v>0.20462967911940041</v>
      </c>
      <c r="S848" s="226">
        <f t="shared" si="107"/>
        <v>7399.9995291294799</v>
      </c>
      <c r="T848" s="156" t="s">
        <v>1486</v>
      </c>
      <c r="U848" s="2"/>
      <c r="V848" s="2" t="s">
        <v>47</v>
      </c>
      <c r="W848" s="2"/>
      <c r="X848" s="2"/>
      <c r="Y848" s="488" t="s">
        <v>1486</v>
      </c>
      <c r="Z848" s="293">
        <f t="shared" si="108"/>
        <v>1904.4155124653753</v>
      </c>
      <c r="AA848" s="293">
        <f t="shared" si="109"/>
        <v>1272.4869992684708</v>
      </c>
    </row>
    <row r="849" spans="1:27" s="320" customFormat="1" x14ac:dyDescent="0.25">
      <c r="A849" s="220" t="s">
        <v>2678</v>
      </c>
      <c r="B849" s="221" t="s">
        <v>2685</v>
      </c>
      <c r="C849" s="223" t="s">
        <v>1524</v>
      </c>
      <c r="D849" s="220" t="s">
        <v>1539</v>
      </c>
      <c r="E849" s="222">
        <v>1</v>
      </c>
      <c r="F849" s="192">
        <v>16387</v>
      </c>
      <c r="G849" s="24">
        <v>0.2</v>
      </c>
      <c r="H849" s="24">
        <v>0.05</v>
      </c>
      <c r="I849" s="24">
        <v>0.05</v>
      </c>
      <c r="J849" s="24">
        <v>0</v>
      </c>
      <c r="K849" s="224">
        <f t="shared" si="110"/>
        <v>0.27800000000000014</v>
      </c>
      <c r="L849" s="225">
        <f t="shared" si="111"/>
        <v>22696.675900277012</v>
      </c>
      <c r="M849" s="225">
        <f t="shared" si="112"/>
        <v>22696.675900277012</v>
      </c>
      <c r="N849" s="226">
        <f t="shared" si="113"/>
        <v>27009.044321329642</v>
      </c>
      <c r="O849" s="34">
        <v>0.3</v>
      </c>
      <c r="P849" s="226">
        <f t="shared" si="114"/>
        <v>35111.757617728537</v>
      </c>
      <c r="Q849" s="107" t="s">
        <v>1486</v>
      </c>
      <c r="R849" s="34">
        <v>0.20405997280432692</v>
      </c>
      <c r="S849" s="226">
        <f t="shared" si="107"/>
        <v>24499.999162884178</v>
      </c>
      <c r="T849" s="156" t="s">
        <v>1486</v>
      </c>
      <c r="U849" s="2">
        <v>12</v>
      </c>
      <c r="V849" s="2" t="s">
        <v>47</v>
      </c>
      <c r="W849" s="2" t="s">
        <v>5883</v>
      </c>
      <c r="X849" s="2" t="s">
        <v>5965</v>
      </c>
      <c r="Y849" s="488" t="s">
        <v>1486</v>
      </c>
      <c r="Z849" s="293">
        <f t="shared" si="108"/>
        <v>6309.6759002770123</v>
      </c>
      <c r="AA849" s="293">
        <f t="shared" si="109"/>
        <v>4201.2345906589726</v>
      </c>
    </row>
    <row r="850" spans="1:27" s="320" customFormat="1" ht="15" customHeight="1" x14ac:dyDescent="0.25">
      <c r="A850" s="220" t="s">
        <v>2681</v>
      </c>
      <c r="B850" s="221" t="s">
        <v>4109</v>
      </c>
      <c r="C850" s="223" t="s">
        <v>1562</v>
      </c>
      <c r="D850" s="220" t="s">
        <v>1900</v>
      </c>
      <c r="E850" s="222">
        <v>96</v>
      </c>
      <c r="F850" s="192">
        <v>92.18</v>
      </c>
      <c r="G850" s="24">
        <v>0.2</v>
      </c>
      <c r="H850" s="24">
        <v>0.05</v>
      </c>
      <c r="I850" s="24">
        <v>0.05</v>
      </c>
      <c r="J850" s="24">
        <v>0</v>
      </c>
      <c r="K850" s="224">
        <f t="shared" si="110"/>
        <v>0.27800000000000002</v>
      </c>
      <c r="L850" s="225">
        <f t="shared" si="111"/>
        <v>12256.620498614961</v>
      </c>
      <c r="M850" s="225">
        <f t="shared" si="112"/>
        <v>127.67313019390583</v>
      </c>
      <c r="N850" s="226">
        <f t="shared" si="113"/>
        <v>151.93102493074792</v>
      </c>
      <c r="O850" s="34">
        <v>0.3</v>
      </c>
      <c r="P850" s="226">
        <f t="shared" si="114"/>
        <v>197.51033240997231</v>
      </c>
      <c r="Q850" s="107" t="s">
        <v>1486</v>
      </c>
      <c r="R850" s="34">
        <v>0.3</v>
      </c>
      <c r="S850" s="226">
        <f t="shared" si="107"/>
        <v>156.70600000000002</v>
      </c>
      <c r="T850" s="156" t="s">
        <v>1486</v>
      </c>
      <c r="U850" s="2"/>
      <c r="V850" s="2" t="s">
        <v>47</v>
      </c>
      <c r="W850" s="2" t="s">
        <v>1467</v>
      </c>
      <c r="X850" s="2" t="s">
        <v>1467</v>
      </c>
      <c r="Y850" s="488" t="s">
        <v>1486</v>
      </c>
      <c r="Z850" s="293">
        <f t="shared" si="108"/>
        <v>35.493130193905827</v>
      </c>
      <c r="AA850" s="293">
        <f t="shared" si="109"/>
        <v>39.505714285714305</v>
      </c>
    </row>
    <row r="851" spans="1:27" s="320" customFormat="1" ht="15" customHeight="1" x14ac:dyDescent="0.25">
      <c r="A851" s="220" t="s">
        <v>2684</v>
      </c>
      <c r="B851" s="221" t="s">
        <v>2696</v>
      </c>
      <c r="C851" s="223" t="s">
        <v>1562</v>
      </c>
      <c r="D851" s="220" t="s">
        <v>1900</v>
      </c>
      <c r="E851" s="222">
        <v>1</v>
      </c>
      <c r="F851" s="192">
        <v>84</v>
      </c>
      <c r="G851" s="24">
        <v>0.2</v>
      </c>
      <c r="H851" s="24">
        <v>0.05</v>
      </c>
      <c r="I851" s="24">
        <v>0.05</v>
      </c>
      <c r="J851" s="24">
        <v>0</v>
      </c>
      <c r="K851" s="224">
        <f t="shared" si="110"/>
        <v>0.27800000000000002</v>
      </c>
      <c r="L851" s="225">
        <f t="shared" si="111"/>
        <v>116.34349030470915</v>
      </c>
      <c r="M851" s="225">
        <f t="shared" si="112"/>
        <v>116.34349030470915</v>
      </c>
      <c r="N851" s="226">
        <f t="shared" si="113"/>
        <v>138.44875346260389</v>
      </c>
      <c r="O851" s="34">
        <v>0.3</v>
      </c>
      <c r="P851" s="226">
        <f t="shared" si="114"/>
        <v>179.98337950138506</v>
      </c>
      <c r="Q851" s="107" t="s">
        <v>1486</v>
      </c>
      <c r="R851" s="34">
        <v>0.3</v>
      </c>
      <c r="S851" s="226">
        <f t="shared" si="107"/>
        <v>142.80000000000001</v>
      </c>
      <c r="T851" s="156" t="s">
        <v>1486</v>
      </c>
      <c r="U851" s="2"/>
      <c r="V851" s="2" t="s">
        <v>47</v>
      </c>
      <c r="W851" s="2"/>
      <c r="X851" s="2"/>
      <c r="Y851" s="488" t="s">
        <v>1486</v>
      </c>
      <c r="Z851" s="293">
        <f t="shared" si="108"/>
        <v>32.34349030470915</v>
      </c>
      <c r="AA851" s="293">
        <f t="shared" si="109"/>
        <v>36.000000000000014</v>
      </c>
    </row>
    <row r="852" spans="1:27" s="320" customFormat="1" ht="15" customHeight="1" x14ac:dyDescent="0.25">
      <c r="A852" s="220" t="s">
        <v>2694</v>
      </c>
      <c r="B852" s="221" t="s">
        <v>3595</v>
      </c>
      <c r="C852" s="223" t="s">
        <v>2706</v>
      </c>
      <c r="D852" s="220" t="s">
        <v>2711</v>
      </c>
      <c r="E852" s="222">
        <v>12</v>
      </c>
      <c r="F852" s="192">
        <v>5500</v>
      </c>
      <c r="G852" s="24">
        <v>0.2</v>
      </c>
      <c r="H852" s="24">
        <v>0.05</v>
      </c>
      <c r="I852" s="24">
        <v>0.05</v>
      </c>
      <c r="J852" s="24">
        <v>0</v>
      </c>
      <c r="K852" s="224">
        <f t="shared" si="110"/>
        <v>0.27800000000000002</v>
      </c>
      <c r="L852" s="225">
        <f t="shared" si="111"/>
        <v>91412.742382271477</v>
      </c>
      <c r="M852" s="225">
        <f t="shared" si="112"/>
        <v>7617.7285318559561</v>
      </c>
      <c r="N852" s="226">
        <f t="shared" si="113"/>
        <v>9065.0969529085869</v>
      </c>
      <c r="O852" s="34">
        <v>0.3</v>
      </c>
      <c r="P852" s="226">
        <f t="shared" si="114"/>
        <v>11784.626038781164</v>
      </c>
      <c r="Q852" s="107" t="s">
        <v>1486</v>
      </c>
      <c r="R852" s="34">
        <v>0.31105262228294339</v>
      </c>
      <c r="S852" s="226">
        <f t="shared" si="107"/>
        <v>9499.9998718159895</v>
      </c>
      <c r="T852" s="156" t="s">
        <v>1486</v>
      </c>
      <c r="U852" s="2" t="s">
        <v>109</v>
      </c>
      <c r="V852" s="2" t="s">
        <v>47</v>
      </c>
      <c r="W852" s="2" t="s">
        <v>5863</v>
      </c>
      <c r="X852" s="2" t="s">
        <v>5881</v>
      </c>
      <c r="Y852" s="488" t="s">
        <v>1486</v>
      </c>
      <c r="Z852" s="293">
        <f t="shared" si="108"/>
        <v>2117.7285318559561</v>
      </c>
      <c r="AA852" s="293">
        <f t="shared" si="109"/>
        <v>2483.193169593269</v>
      </c>
    </row>
    <row r="853" spans="1:27" s="320" customFormat="1" ht="15" customHeight="1" x14ac:dyDescent="0.25">
      <c r="A853" s="220" t="s">
        <v>2695</v>
      </c>
      <c r="B853" s="221" t="s">
        <v>2761</v>
      </c>
      <c r="C853" s="223" t="s">
        <v>1576</v>
      </c>
      <c r="D853" s="220" t="s">
        <v>2680</v>
      </c>
      <c r="E853" s="222"/>
      <c r="F853" s="192">
        <v>1750</v>
      </c>
      <c r="G853" s="24">
        <v>0.2</v>
      </c>
      <c r="H853" s="24">
        <v>0.05</v>
      </c>
      <c r="I853" s="24">
        <v>0.05</v>
      </c>
      <c r="J853" s="24">
        <v>0</v>
      </c>
      <c r="K853" s="224">
        <f t="shared" si="110"/>
        <v>0.27800000000000002</v>
      </c>
      <c r="L853" s="225">
        <f t="shared" si="111"/>
        <v>0</v>
      </c>
      <c r="M853" s="225">
        <f t="shared" si="112"/>
        <v>2423.8227146814406</v>
      </c>
      <c r="N853" s="226">
        <f t="shared" si="113"/>
        <v>2884.3490304709144</v>
      </c>
      <c r="O853" s="34">
        <v>0.3</v>
      </c>
      <c r="P853" s="226">
        <f t="shared" si="114"/>
        <v>3749.6537396121889</v>
      </c>
      <c r="Q853" s="107" t="s">
        <v>1486</v>
      </c>
      <c r="R853" s="34">
        <v>0.34921875017356585</v>
      </c>
      <c r="S853" s="226">
        <f t="shared" si="107"/>
        <v>3200.0000008534521</v>
      </c>
      <c r="T853" s="156" t="s">
        <v>1486</v>
      </c>
      <c r="U853" s="2"/>
      <c r="V853" s="2" t="s">
        <v>47</v>
      </c>
      <c r="W853" s="2"/>
      <c r="X853" s="2"/>
      <c r="Y853" s="488" t="s">
        <v>1486</v>
      </c>
      <c r="Z853" s="293">
        <f t="shared" si="108"/>
        <v>673.82271468144063</v>
      </c>
      <c r="AA853" s="293">
        <f t="shared" si="109"/>
        <v>939.07563096928743</v>
      </c>
    </row>
    <row r="854" spans="1:27" s="320" customFormat="1" ht="15" customHeight="1" x14ac:dyDescent="0.25">
      <c r="A854" s="220" t="s">
        <v>2712</v>
      </c>
      <c r="B854" s="221" t="s">
        <v>3699</v>
      </c>
      <c r="C854" s="223" t="s">
        <v>1576</v>
      </c>
      <c r="D854" s="220" t="s">
        <v>2763</v>
      </c>
      <c r="E854" s="222">
        <v>1</v>
      </c>
      <c r="F854" s="192">
        <v>24896</v>
      </c>
      <c r="G854" s="24">
        <v>0.2</v>
      </c>
      <c r="H854" s="24">
        <v>0.05</v>
      </c>
      <c r="I854" s="24">
        <v>0.05</v>
      </c>
      <c r="J854" s="24">
        <v>0</v>
      </c>
      <c r="K854" s="224">
        <f t="shared" si="110"/>
        <v>0.27800000000000002</v>
      </c>
      <c r="L854" s="225">
        <f t="shared" si="111"/>
        <v>34481.994459833797</v>
      </c>
      <c r="M854" s="225">
        <f t="shared" si="112"/>
        <v>34481.994459833797</v>
      </c>
      <c r="N854" s="226">
        <f t="shared" si="113"/>
        <v>41033.573407202217</v>
      </c>
      <c r="O854" s="34">
        <v>0.3</v>
      </c>
      <c r="P854" s="226">
        <f t="shared" si="114"/>
        <v>53343.645429362885</v>
      </c>
      <c r="Q854" s="107" t="s">
        <v>1486</v>
      </c>
      <c r="R854" s="34">
        <v>0.41</v>
      </c>
      <c r="S854" s="226">
        <f t="shared" si="107"/>
        <v>50213.966101694903</v>
      </c>
      <c r="T854" s="156" t="s">
        <v>1486</v>
      </c>
      <c r="U854" s="2"/>
      <c r="V854" s="2" t="s">
        <v>47</v>
      </c>
      <c r="W854" s="2" t="s">
        <v>1467</v>
      </c>
      <c r="X854" s="2" t="s">
        <v>1467</v>
      </c>
      <c r="Y854" s="488" t="s">
        <v>1486</v>
      </c>
      <c r="Z854" s="293">
        <f t="shared" si="108"/>
        <v>9585.994459833797</v>
      </c>
      <c r="AA854" s="293">
        <f t="shared" si="109"/>
        <v>17300.61016949152</v>
      </c>
    </row>
    <row r="855" spans="1:27" s="320" customFormat="1" ht="15" customHeight="1" x14ac:dyDescent="0.25">
      <c r="A855" s="220" t="s">
        <v>2760</v>
      </c>
      <c r="B855" s="221" t="s">
        <v>5105</v>
      </c>
      <c r="C855" s="223" t="s">
        <v>1576</v>
      </c>
      <c r="D855" s="220" t="s">
        <v>2765</v>
      </c>
      <c r="E855" s="222">
        <v>36</v>
      </c>
      <c r="F855" s="192">
        <v>2539</v>
      </c>
      <c r="G855" s="24">
        <v>0.2</v>
      </c>
      <c r="H855" s="24">
        <v>0.05</v>
      </c>
      <c r="I855" s="24">
        <v>0.05</v>
      </c>
      <c r="J855" s="24">
        <v>0</v>
      </c>
      <c r="K855" s="224">
        <f t="shared" si="110"/>
        <v>0.27800000000000014</v>
      </c>
      <c r="L855" s="225">
        <f t="shared" si="111"/>
        <v>126598.33795013854</v>
      </c>
      <c r="M855" s="225">
        <f t="shared" si="112"/>
        <v>3516.6204986149592</v>
      </c>
      <c r="N855" s="226">
        <f t="shared" si="113"/>
        <v>4184.7783933518012</v>
      </c>
      <c r="O855" s="34">
        <v>0.3</v>
      </c>
      <c r="P855" s="226">
        <f t="shared" si="114"/>
        <v>5440.2119113573417</v>
      </c>
      <c r="Q855" s="107" t="s">
        <v>1486</v>
      </c>
      <c r="R855" s="34">
        <v>0.24</v>
      </c>
      <c r="S855" s="226">
        <f t="shared" si="107"/>
        <v>3975.5394736842104</v>
      </c>
      <c r="T855" s="156" t="s">
        <v>1486</v>
      </c>
      <c r="U855" s="2"/>
      <c r="V855" s="2" t="s">
        <v>47</v>
      </c>
      <c r="W855" s="2" t="s">
        <v>1467</v>
      </c>
      <c r="X855" s="2" t="s">
        <v>1467</v>
      </c>
      <c r="Y855" s="488" t="s">
        <v>1486</v>
      </c>
      <c r="Z855" s="293">
        <f t="shared" si="108"/>
        <v>977.62049861495916</v>
      </c>
      <c r="AA855" s="293">
        <f t="shared" si="109"/>
        <v>801.78947368421041</v>
      </c>
    </row>
    <row r="856" spans="1:27" s="320" customFormat="1" ht="15" customHeight="1" x14ac:dyDescent="0.25">
      <c r="A856" s="220" t="s">
        <v>2762</v>
      </c>
      <c r="B856" s="221" t="s">
        <v>5107</v>
      </c>
      <c r="C856" s="223" t="s">
        <v>1576</v>
      </c>
      <c r="D856" s="220" t="s">
        <v>2765</v>
      </c>
      <c r="E856" s="222"/>
      <c r="F856" s="192">
        <v>2310</v>
      </c>
      <c r="G856" s="24">
        <v>0.2</v>
      </c>
      <c r="H856" s="24">
        <v>0.05</v>
      </c>
      <c r="I856" s="24">
        <v>0.05</v>
      </c>
      <c r="J856" s="24">
        <v>0</v>
      </c>
      <c r="K856" s="224">
        <f t="shared" si="110"/>
        <v>0.27800000000000002</v>
      </c>
      <c r="L856" s="225">
        <f t="shared" si="111"/>
        <v>0</v>
      </c>
      <c r="M856" s="225">
        <f t="shared" si="112"/>
        <v>3199.4459833795013</v>
      </c>
      <c r="N856" s="226">
        <f t="shared" si="113"/>
        <v>3807.3407202216063</v>
      </c>
      <c r="O856" s="34">
        <v>0.3</v>
      </c>
      <c r="P856" s="226">
        <f t="shared" si="114"/>
        <v>4949.5429362880886</v>
      </c>
      <c r="Q856" s="107" t="s">
        <v>1486</v>
      </c>
      <c r="R856" s="34">
        <v>0.31277494797995081</v>
      </c>
      <c r="S856" s="226">
        <f t="shared" si="107"/>
        <v>3999.9996972168055</v>
      </c>
      <c r="T856" s="156" t="s">
        <v>1486</v>
      </c>
      <c r="U856" s="2"/>
      <c r="V856" s="2" t="s">
        <v>47</v>
      </c>
      <c r="W856" s="2"/>
      <c r="X856" s="2"/>
      <c r="Y856" s="488" t="s">
        <v>1486</v>
      </c>
      <c r="Z856" s="293">
        <f t="shared" si="108"/>
        <v>889.44598337950129</v>
      </c>
      <c r="AA856" s="293">
        <f t="shared" si="109"/>
        <v>1051.3442833754671</v>
      </c>
    </row>
    <row r="857" spans="1:27" s="320" customFormat="1" ht="15" customHeight="1" x14ac:dyDescent="0.25">
      <c r="A857" s="220" t="s">
        <v>2764</v>
      </c>
      <c r="B857" s="221" t="s">
        <v>5077</v>
      </c>
      <c r="C857" s="223" t="s">
        <v>1576</v>
      </c>
      <c r="D857" s="220" t="s">
        <v>2765</v>
      </c>
      <c r="E857" s="222"/>
      <c r="F857" s="192">
        <v>2310</v>
      </c>
      <c r="G857" s="24">
        <v>0.2</v>
      </c>
      <c r="H857" s="24">
        <v>0.05</v>
      </c>
      <c r="I857" s="24">
        <v>0.05</v>
      </c>
      <c r="J857" s="24">
        <v>0</v>
      </c>
      <c r="K857" s="224">
        <f t="shared" si="110"/>
        <v>0.27800000000000002</v>
      </c>
      <c r="L857" s="225">
        <f t="shared" si="111"/>
        <v>0</v>
      </c>
      <c r="M857" s="225">
        <f t="shared" si="112"/>
        <v>3199.4459833795013</v>
      </c>
      <c r="N857" s="226">
        <f t="shared" si="113"/>
        <v>3807.3407202216063</v>
      </c>
      <c r="O857" s="34">
        <v>0.3</v>
      </c>
      <c r="P857" s="226">
        <f t="shared" si="114"/>
        <v>4949.5429362880886</v>
      </c>
      <c r="Q857" s="107" t="s">
        <v>1486</v>
      </c>
      <c r="R857" s="34">
        <v>0.31277494797995081</v>
      </c>
      <c r="S857" s="226">
        <f t="shared" si="107"/>
        <v>3999.9996972168055</v>
      </c>
      <c r="T857" s="156" t="s">
        <v>1486</v>
      </c>
      <c r="U857" s="2"/>
      <c r="V857" s="2" t="s">
        <v>47</v>
      </c>
      <c r="W857" s="2"/>
      <c r="X857" s="2"/>
      <c r="Y857" s="488" t="s">
        <v>1486</v>
      </c>
      <c r="Z857" s="293">
        <f t="shared" si="108"/>
        <v>889.44598337950129</v>
      </c>
      <c r="AA857" s="293">
        <f t="shared" si="109"/>
        <v>1051.3442833754671</v>
      </c>
    </row>
    <row r="858" spans="1:27" s="320" customFormat="1" ht="15" customHeight="1" x14ac:dyDescent="0.25">
      <c r="A858" s="220" t="s">
        <v>2766</v>
      </c>
      <c r="B858" s="221" t="s">
        <v>2769</v>
      </c>
      <c r="C858" s="223" t="s">
        <v>1576</v>
      </c>
      <c r="D858" s="220" t="s">
        <v>2770</v>
      </c>
      <c r="E858" s="222"/>
      <c r="F858" s="192">
        <v>2310</v>
      </c>
      <c r="G858" s="24">
        <v>0.2</v>
      </c>
      <c r="H858" s="24">
        <v>0.05</v>
      </c>
      <c r="I858" s="24">
        <v>0.05</v>
      </c>
      <c r="J858" s="24">
        <v>0</v>
      </c>
      <c r="K858" s="224">
        <f t="shared" si="110"/>
        <v>0.27800000000000002</v>
      </c>
      <c r="L858" s="225">
        <f t="shared" si="111"/>
        <v>0</v>
      </c>
      <c r="M858" s="225">
        <f t="shared" si="112"/>
        <v>3199.4459833795013</v>
      </c>
      <c r="N858" s="226">
        <f t="shared" si="113"/>
        <v>3807.3407202216063</v>
      </c>
      <c r="O858" s="34">
        <v>0.3</v>
      </c>
      <c r="P858" s="226">
        <f t="shared" si="114"/>
        <v>4949.5429362880886</v>
      </c>
      <c r="Q858" s="107" t="s">
        <v>1486</v>
      </c>
      <c r="R858" s="34">
        <v>0.31277494797995081</v>
      </c>
      <c r="S858" s="226">
        <f t="shared" si="107"/>
        <v>3999.9996972168055</v>
      </c>
      <c r="T858" s="156" t="s">
        <v>1486</v>
      </c>
      <c r="U858" s="2"/>
      <c r="V858" s="2" t="s">
        <v>47</v>
      </c>
      <c r="W858" s="2"/>
      <c r="X858" s="2"/>
      <c r="Y858" s="488" t="s">
        <v>1486</v>
      </c>
      <c r="Z858" s="293">
        <f t="shared" si="108"/>
        <v>889.44598337950129</v>
      </c>
      <c r="AA858" s="293">
        <f t="shared" si="109"/>
        <v>1051.3442833754671</v>
      </c>
    </row>
    <row r="859" spans="1:27" s="320" customFormat="1" ht="15" customHeight="1" x14ac:dyDescent="0.25">
      <c r="A859" s="220" t="s">
        <v>2767</v>
      </c>
      <c r="B859" s="221" t="s">
        <v>2772</v>
      </c>
      <c r="C859" s="223" t="s">
        <v>1576</v>
      </c>
      <c r="D859" s="220" t="s">
        <v>2770</v>
      </c>
      <c r="E859" s="222"/>
      <c r="F859" s="192">
        <v>2310</v>
      </c>
      <c r="G859" s="24">
        <v>0.2</v>
      </c>
      <c r="H859" s="24">
        <v>0.05</v>
      </c>
      <c r="I859" s="24">
        <v>0.05</v>
      </c>
      <c r="J859" s="24">
        <v>0</v>
      </c>
      <c r="K859" s="224">
        <f t="shared" si="110"/>
        <v>0.27800000000000002</v>
      </c>
      <c r="L859" s="225">
        <f t="shared" si="111"/>
        <v>0</v>
      </c>
      <c r="M859" s="225">
        <f t="shared" si="112"/>
        <v>3199.4459833795013</v>
      </c>
      <c r="N859" s="226">
        <f t="shared" si="113"/>
        <v>3807.3407202216063</v>
      </c>
      <c r="O859" s="34">
        <v>0.3</v>
      </c>
      <c r="P859" s="226">
        <f t="shared" si="114"/>
        <v>4949.5429362880886</v>
      </c>
      <c r="Q859" s="107" t="s">
        <v>1486</v>
      </c>
      <c r="R859" s="34">
        <v>0.31277494797995081</v>
      </c>
      <c r="S859" s="226">
        <f t="shared" si="107"/>
        <v>3999.9996972168055</v>
      </c>
      <c r="T859" s="156" t="s">
        <v>1486</v>
      </c>
      <c r="U859" s="2"/>
      <c r="V859" s="2" t="s">
        <v>47</v>
      </c>
      <c r="W859" s="2"/>
      <c r="X859" s="2"/>
      <c r="Y859" s="488" t="s">
        <v>1486</v>
      </c>
      <c r="Z859" s="293">
        <f t="shared" si="108"/>
        <v>889.44598337950129</v>
      </c>
      <c r="AA859" s="293">
        <f t="shared" si="109"/>
        <v>1051.3442833754671</v>
      </c>
    </row>
    <row r="860" spans="1:27" s="320" customFormat="1" ht="15" customHeight="1" x14ac:dyDescent="0.25">
      <c r="A860" s="220" t="s">
        <v>2768</v>
      </c>
      <c r="B860" s="221" t="s">
        <v>5108</v>
      </c>
      <c r="C860" s="223" t="s">
        <v>1576</v>
      </c>
      <c r="D860" s="220" t="s">
        <v>2765</v>
      </c>
      <c r="E860" s="222"/>
      <c r="F860" s="192">
        <v>2310</v>
      </c>
      <c r="G860" s="24">
        <v>0.2</v>
      </c>
      <c r="H860" s="24">
        <v>0.05</v>
      </c>
      <c r="I860" s="24">
        <v>0.05</v>
      </c>
      <c r="J860" s="24">
        <v>0</v>
      </c>
      <c r="K860" s="224">
        <f t="shared" si="110"/>
        <v>0.27800000000000002</v>
      </c>
      <c r="L860" s="225">
        <f t="shared" si="111"/>
        <v>0</v>
      </c>
      <c r="M860" s="225">
        <f t="shared" si="112"/>
        <v>3199.4459833795013</v>
      </c>
      <c r="N860" s="226">
        <f t="shared" si="113"/>
        <v>3807.3407202216063</v>
      </c>
      <c r="O860" s="34">
        <v>0.3</v>
      </c>
      <c r="P860" s="226">
        <f t="shared" si="114"/>
        <v>4949.5429362880886</v>
      </c>
      <c r="Q860" s="107" t="s">
        <v>1486</v>
      </c>
      <c r="R860" s="34">
        <v>0.31277494797995081</v>
      </c>
      <c r="S860" s="226">
        <f t="shared" si="107"/>
        <v>3999.9996972168055</v>
      </c>
      <c r="T860" s="156" t="s">
        <v>1486</v>
      </c>
      <c r="U860" s="2"/>
      <c r="V860" s="2" t="s">
        <v>47</v>
      </c>
      <c r="W860" s="2"/>
      <c r="X860" s="2"/>
      <c r="Y860" s="488" t="s">
        <v>1486</v>
      </c>
      <c r="Z860" s="293">
        <f t="shared" si="108"/>
        <v>889.44598337950129</v>
      </c>
      <c r="AA860" s="293">
        <f t="shared" si="109"/>
        <v>1051.3442833754671</v>
      </c>
    </row>
    <row r="861" spans="1:27" s="320" customFormat="1" ht="15" customHeight="1" x14ac:dyDescent="0.25">
      <c r="A861" s="220" t="s">
        <v>2771</v>
      </c>
      <c r="B861" s="221" t="s">
        <v>5109</v>
      </c>
      <c r="C861" s="223" t="s">
        <v>1576</v>
      </c>
      <c r="D861" s="220" t="s">
        <v>2765</v>
      </c>
      <c r="E861" s="222"/>
      <c r="F861" s="192">
        <v>2310</v>
      </c>
      <c r="G861" s="24">
        <v>0.2</v>
      </c>
      <c r="H861" s="24">
        <v>0.05</v>
      </c>
      <c r="I861" s="24">
        <v>0.05</v>
      </c>
      <c r="J861" s="24">
        <v>0</v>
      </c>
      <c r="K861" s="224">
        <f t="shared" si="110"/>
        <v>0.27800000000000002</v>
      </c>
      <c r="L861" s="225">
        <f t="shared" si="111"/>
        <v>0</v>
      </c>
      <c r="M861" s="225">
        <f t="shared" si="112"/>
        <v>3199.4459833795013</v>
      </c>
      <c r="N861" s="226">
        <f t="shared" si="113"/>
        <v>3807.3407202216063</v>
      </c>
      <c r="O861" s="34">
        <v>0.3</v>
      </c>
      <c r="P861" s="226">
        <f t="shared" si="114"/>
        <v>4949.5429362880886</v>
      </c>
      <c r="Q861" s="107" t="s">
        <v>1486</v>
      </c>
      <c r="R861" s="34">
        <v>0.31277494797995081</v>
      </c>
      <c r="S861" s="226">
        <f t="shared" ref="S861:S924" si="115">+(F861/(1-R861))*1.19</f>
        <v>3999.9996972168055</v>
      </c>
      <c r="T861" s="156" t="s">
        <v>1486</v>
      </c>
      <c r="U861" s="2"/>
      <c r="V861" s="2" t="s">
        <v>47</v>
      </c>
      <c r="W861" s="2"/>
      <c r="X861" s="2"/>
      <c r="Y861" s="488" t="s">
        <v>1486</v>
      </c>
      <c r="Z861" s="293">
        <f t="shared" si="108"/>
        <v>889.44598337950129</v>
      </c>
      <c r="AA861" s="293">
        <f t="shared" si="109"/>
        <v>1051.3442833754671</v>
      </c>
    </row>
    <row r="862" spans="1:27" s="320" customFormat="1" ht="15" customHeight="1" x14ac:dyDescent="0.25">
      <c r="A862" s="220" t="s">
        <v>2773</v>
      </c>
      <c r="B862" s="221" t="s">
        <v>5110</v>
      </c>
      <c r="C862" s="223" t="s">
        <v>1576</v>
      </c>
      <c r="D862" s="220" t="s">
        <v>2765</v>
      </c>
      <c r="E862" s="222"/>
      <c r="F862" s="192">
        <v>2310</v>
      </c>
      <c r="G862" s="24">
        <v>0.2</v>
      </c>
      <c r="H862" s="24">
        <v>0.05</v>
      </c>
      <c r="I862" s="24">
        <v>0.05</v>
      </c>
      <c r="J862" s="24">
        <v>0</v>
      </c>
      <c r="K862" s="224">
        <f t="shared" si="110"/>
        <v>0.27800000000000002</v>
      </c>
      <c r="L862" s="225">
        <f t="shared" si="111"/>
        <v>0</v>
      </c>
      <c r="M862" s="225">
        <f t="shared" si="112"/>
        <v>3199.4459833795013</v>
      </c>
      <c r="N862" s="226">
        <f t="shared" si="113"/>
        <v>3807.3407202216063</v>
      </c>
      <c r="O862" s="34">
        <v>0.3</v>
      </c>
      <c r="P862" s="226">
        <f t="shared" si="114"/>
        <v>4949.5429362880886</v>
      </c>
      <c r="Q862" s="107" t="s">
        <v>1486</v>
      </c>
      <c r="R862" s="34">
        <v>0.31277494797995081</v>
      </c>
      <c r="S862" s="226">
        <f t="shared" si="115"/>
        <v>3999.9996972168055</v>
      </c>
      <c r="T862" s="156" t="s">
        <v>1486</v>
      </c>
      <c r="U862" s="2"/>
      <c r="V862" s="2" t="s">
        <v>47</v>
      </c>
      <c r="W862" s="2"/>
      <c r="X862" s="2"/>
      <c r="Y862" s="488" t="s">
        <v>1486</v>
      </c>
      <c r="Z862" s="293">
        <f t="shared" si="108"/>
        <v>889.44598337950129</v>
      </c>
      <c r="AA862" s="293">
        <f t="shared" si="109"/>
        <v>1051.3442833754671</v>
      </c>
    </row>
    <row r="863" spans="1:27" s="320" customFormat="1" ht="15" customHeight="1" x14ac:dyDescent="0.25">
      <c r="A863" s="220" t="s">
        <v>2774</v>
      </c>
      <c r="B863" s="221" t="s">
        <v>2777</v>
      </c>
      <c r="C863" s="223" t="s">
        <v>1626</v>
      </c>
      <c r="D863" s="220" t="s">
        <v>332</v>
      </c>
      <c r="E863" s="222">
        <v>10</v>
      </c>
      <c r="F863" s="192">
        <v>621</v>
      </c>
      <c r="G863" s="24">
        <v>0.2</v>
      </c>
      <c r="H863" s="24">
        <v>0.05</v>
      </c>
      <c r="I863" s="24">
        <v>0.05</v>
      </c>
      <c r="J863" s="24">
        <v>0</v>
      </c>
      <c r="K863" s="224">
        <f t="shared" si="110"/>
        <v>0.27800000000000014</v>
      </c>
      <c r="L863" s="225">
        <f t="shared" si="111"/>
        <v>8601.1080332409983</v>
      </c>
      <c r="M863" s="225">
        <f t="shared" si="112"/>
        <v>860.11080332409983</v>
      </c>
      <c r="N863" s="226">
        <f t="shared" si="113"/>
        <v>1023.5318559556788</v>
      </c>
      <c r="O863" s="34">
        <v>0.3</v>
      </c>
      <c r="P863" s="226">
        <f t="shared" si="114"/>
        <v>1330.5914127423825</v>
      </c>
      <c r="Q863" s="107" t="s">
        <v>1486</v>
      </c>
      <c r="R863" s="34">
        <v>0.28515000140523278</v>
      </c>
      <c r="S863" s="226">
        <f t="shared" si="115"/>
        <v>1033.7693242675898</v>
      </c>
      <c r="T863" s="156" t="s">
        <v>1486</v>
      </c>
      <c r="U863" s="2">
        <v>1</v>
      </c>
      <c r="V863" s="2" t="s">
        <v>47</v>
      </c>
      <c r="W863" s="2" t="s">
        <v>5883</v>
      </c>
      <c r="X863" s="2"/>
      <c r="Y863" s="488" t="s">
        <v>1486</v>
      </c>
      <c r="Z863" s="293">
        <f t="shared" si="108"/>
        <v>239.11080332409983</v>
      </c>
      <c r="AA863" s="293">
        <f t="shared" si="109"/>
        <v>247.71371787192425</v>
      </c>
    </row>
    <row r="864" spans="1:27" s="320" customFormat="1" ht="15" customHeight="1" x14ac:dyDescent="0.25">
      <c r="A864" s="220" t="s">
        <v>2775</v>
      </c>
      <c r="B864" s="221" t="s">
        <v>2782</v>
      </c>
      <c r="C864" s="223" t="s">
        <v>1576</v>
      </c>
      <c r="D864" s="220" t="s">
        <v>2783</v>
      </c>
      <c r="E864" s="222"/>
      <c r="F864" s="192">
        <v>1212</v>
      </c>
      <c r="G864" s="24">
        <v>0.2</v>
      </c>
      <c r="H864" s="24">
        <v>0.05</v>
      </c>
      <c r="I864" s="24">
        <v>0.05</v>
      </c>
      <c r="J864" s="24">
        <v>0</v>
      </c>
      <c r="K864" s="224">
        <f t="shared" si="110"/>
        <v>0.27800000000000002</v>
      </c>
      <c r="L864" s="225">
        <f t="shared" si="111"/>
        <v>0</v>
      </c>
      <c r="M864" s="225">
        <f t="shared" si="112"/>
        <v>1678.6703601108034</v>
      </c>
      <c r="N864" s="226">
        <f t="shared" si="113"/>
        <v>1997.6177285318558</v>
      </c>
      <c r="O864" s="34">
        <v>0.3</v>
      </c>
      <c r="P864" s="226">
        <f t="shared" si="114"/>
        <v>2596.9030470914126</v>
      </c>
      <c r="Q864" s="107" t="s">
        <v>1486</v>
      </c>
      <c r="R864" s="34">
        <v>0.28515000140523278</v>
      </c>
      <c r="S864" s="226">
        <f t="shared" si="115"/>
        <v>2017.5981014691124</v>
      </c>
      <c r="T864" s="156" t="s">
        <v>1486</v>
      </c>
      <c r="U864" s="2"/>
      <c r="V864" s="2" t="s">
        <v>47</v>
      </c>
      <c r="W864" s="2"/>
      <c r="X864" s="2"/>
      <c r="Y864" s="488" t="s">
        <v>1486</v>
      </c>
      <c r="Z864" s="293">
        <f t="shared" si="108"/>
        <v>466.67036011080336</v>
      </c>
      <c r="AA864" s="293">
        <f t="shared" si="109"/>
        <v>483.46058946984249</v>
      </c>
    </row>
    <row r="865" spans="1:27" s="320" customFormat="1" ht="15" customHeight="1" x14ac:dyDescent="0.25">
      <c r="A865" s="220" t="s">
        <v>2776</v>
      </c>
      <c r="B865" s="221" t="s">
        <v>2785</v>
      </c>
      <c r="C865" s="223" t="s">
        <v>1576</v>
      </c>
      <c r="D865" s="220" t="s">
        <v>2786</v>
      </c>
      <c r="E865" s="222">
        <v>12</v>
      </c>
      <c r="F865" s="192">
        <v>1218</v>
      </c>
      <c r="G865" s="24">
        <v>0.2</v>
      </c>
      <c r="H865" s="24">
        <v>0.05</v>
      </c>
      <c r="I865" s="24">
        <v>0.05</v>
      </c>
      <c r="J865" s="24">
        <v>0</v>
      </c>
      <c r="K865" s="224">
        <f t="shared" si="110"/>
        <v>0.27800000000000002</v>
      </c>
      <c r="L865" s="225">
        <f t="shared" si="111"/>
        <v>20243.767313019394</v>
      </c>
      <c r="M865" s="225">
        <f t="shared" si="112"/>
        <v>1686.9806094182827</v>
      </c>
      <c r="N865" s="226">
        <f t="shared" si="113"/>
        <v>2007.5069252077562</v>
      </c>
      <c r="O865" s="34">
        <v>0.3</v>
      </c>
      <c r="P865" s="226">
        <f t="shared" si="114"/>
        <v>2609.759002770083</v>
      </c>
      <c r="Q865" s="107" t="s">
        <v>1486</v>
      </c>
      <c r="R865" s="34">
        <v>0.27529002264998642</v>
      </c>
      <c r="S865" s="226">
        <f t="shared" si="115"/>
        <v>2000.0000625077259</v>
      </c>
      <c r="T865" s="156" t="s">
        <v>1486</v>
      </c>
      <c r="U865" s="2"/>
      <c r="V865" s="2" t="s">
        <v>47</v>
      </c>
      <c r="W865" s="2"/>
      <c r="X865" s="2"/>
      <c r="Y865" s="488" t="s">
        <v>1486</v>
      </c>
      <c r="Z865" s="293">
        <f t="shared" si="108"/>
        <v>468.98060941828271</v>
      </c>
      <c r="AA865" s="293">
        <f t="shared" si="109"/>
        <v>462.67232143506385</v>
      </c>
    </row>
    <row r="866" spans="1:27" s="320" customFormat="1" ht="15" customHeight="1" x14ac:dyDescent="0.25">
      <c r="A866" s="220" t="s">
        <v>2781</v>
      </c>
      <c r="B866" s="221" t="s">
        <v>2791</v>
      </c>
      <c r="C866" s="223" t="s">
        <v>2755</v>
      </c>
      <c r="D866" s="220" t="s">
        <v>2792</v>
      </c>
      <c r="E866" s="222">
        <v>1</v>
      </c>
      <c r="F866" s="192">
        <v>1217</v>
      </c>
      <c r="G866" s="24">
        <v>0.2</v>
      </c>
      <c r="H866" s="24">
        <v>0.05</v>
      </c>
      <c r="I866" s="24">
        <v>0.05</v>
      </c>
      <c r="J866" s="24">
        <v>0</v>
      </c>
      <c r="K866" s="224">
        <f t="shared" si="110"/>
        <v>0.27800000000000014</v>
      </c>
      <c r="L866" s="225">
        <f t="shared" si="111"/>
        <v>1685.5955678670364</v>
      </c>
      <c r="M866" s="225">
        <f t="shared" si="112"/>
        <v>1685.5955678670364</v>
      </c>
      <c r="N866" s="226">
        <f t="shared" si="113"/>
        <v>2005.8587257617733</v>
      </c>
      <c r="O866" s="34">
        <v>0.3</v>
      </c>
      <c r="P866" s="226">
        <f t="shared" si="114"/>
        <v>2607.6163434903051</v>
      </c>
      <c r="Q866" s="107" t="s">
        <v>1486</v>
      </c>
      <c r="R866" s="34">
        <v>0.28515000140523278</v>
      </c>
      <c r="S866" s="226">
        <f t="shared" si="115"/>
        <v>2025.9215259801238</v>
      </c>
      <c r="T866" s="156" t="s">
        <v>1486</v>
      </c>
      <c r="U866" s="2">
        <v>13</v>
      </c>
      <c r="V866" s="2" t="s">
        <v>47</v>
      </c>
      <c r="W866" s="2" t="s">
        <v>2900</v>
      </c>
      <c r="X866" s="2" t="s">
        <v>2904</v>
      </c>
      <c r="Y866" s="488" t="s">
        <v>1486</v>
      </c>
      <c r="Z866" s="293">
        <f t="shared" si="108"/>
        <v>468.59556786703638</v>
      </c>
      <c r="AA866" s="293">
        <f t="shared" si="109"/>
        <v>485.45506384884357</v>
      </c>
    </row>
    <row r="867" spans="1:27" s="320" customFormat="1" ht="15" customHeight="1" x14ac:dyDescent="0.25">
      <c r="A867" s="220" t="s">
        <v>2784</v>
      </c>
      <c r="B867" s="221" t="s">
        <v>2797</v>
      </c>
      <c r="C867" s="223" t="s">
        <v>1546</v>
      </c>
      <c r="D867" s="220" t="s">
        <v>2138</v>
      </c>
      <c r="E867" s="222"/>
      <c r="F867" s="192">
        <v>0</v>
      </c>
      <c r="G867" s="24">
        <v>0.2</v>
      </c>
      <c r="H867" s="24">
        <v>0.05</v>
      </c>
      <c r="I867" s="24">
        <v>0.05</v>
      </c>
      <c r="J867" s="24">
        <v>0</v>
      </c>
      <c r="K867" s="224">
        <f t="shared" si="110"/>
        <v>0</v>
      </c>
      <c r="L867" s="225">
        <f t="shared" si="111"/>
        <v>0</v>
      </c>
      <c r="M867" s="225">
        <f t="shared" si="112"/>
        <v>0</v>
      </c>
      <c r="N867" s="226">
        <f t="shared" si="113"/>
        <v>0</v>
      </c>
      <c r="O867" s="34">
        <v>0.3</v>
      </c>
      <c r="P867" s="226">
        <f t="shared" si="114"/>
        <v>0</v>
      </c>
      <c r="Q867" s="107" t="s">
        <v>1486</v>
      </c>
      <c r="R867" s="34">
        <v>0.28515000140523278</v>
      </c>
      <c r="S867" s="226">
        <f t="shared" si="115"/>
        <v>0</v>
      </c>
      <c r="T867" s="156" t="s">
        <v>1486</v>
      </c>
      <c r="U867" s="2"/>
      <c r="V867" s="2" t="s">
        <v>47</v>
      </c>
      <c r="W867" s="2"/>
      <c r="X867" s="2"/>
      <c r="Y867" s="488" t="s">
        <v>1486</v>
      </c>
      <c r="Z867" s="293">
        <f t="shared" si="108"/>
        <v>0</v>
      </c>
      <c r="AA867" s="293">
        <f t="shared" si="109"/>
        <v>0</v>
      </c>
    </row>
    <row r="868" spans="1:27" s="320" customFormat="1" ht="15" customHeight="1" x14ac:dyDescent="0.25">
      <c r="A868" s="220" t="s">
        <v>2790</v>
      </c>
      <c r="B868" s="221" t="s">
        <v>3596</v>
      </c>
      <c r="C868" s="223" t="s">
        <v>2706</v>
      </c>
      <c r="D868" s="220" t="s">
        <v>2711</v>
      </c>
      <c r="E868" s="222">
        <v>12</v>
      </c>
      <c r="F868" s="192">
        <v>5500</v>
      </c>
      <c r="G868" s="24">
        <v>0.2</v>
      </c>
      <c r="H868" s="24">
        <v>0.05</v>
      </c>
      <c r="I868" s="24">
        <v>0.05</v>
      </c>
      <c r="J868" s="24">
        <v>0</v>
      </c>
      <c r="K868" s="224">
        <f t="shared" si="110"/>
        <v>0.27800000000000002</v>
      </c>
      <c r="L868" s="225">
        <f t="shared" si="111"/>
        <v>91412.742382271477</v>
      </c>
      <c r="M868" s="225">
        <f t="shared" si="112"/>
        <v>7617.7285318559561</v>
      </c>
      <c r="N868" s="226">
        <f t="shared" si="113"/>
        <v>9065.0969529085869</v>
      </c>
      <c r="O868" s="34">
        <v>0.3</v>
      </c>
      <c r="P868" s="226">
        <f t="shared" si="114"/>
        <v>11784.626038781164</v>
      </c>
      <c r="Q868" s="107" t="s">
        <v>1486</v>
      </c>
      <c r="R868" s="34">
        <v>0.31105262228294339</v>
      </c>
      <c r="S868" s="226">
        <f t="shared" si="115"/>
        <v>9499.9998718159895</v>
      </c>
      <c r="T868" s="156" t="s">
        <v>1486</v>
      </c>
      <c r="U868" s="2" t="s">
        <v>109</v>
      </c>
      <c r="V868" s="2" t="s">
        <v>47</v>
      </c>
      <c r="W868" s="2" t="s">
        <v>5863</v>
      </c>
      <c r="X868" s="2" t="s">
        <v>5881</v>
      </c>
      <c r="Y868" s="488" t="s">
        <v>1486</v>
      </c>
      <c r="Z868" s="293">
        <f t="shared" si="108"/>
        <v>2117.7285318559561</v>
      </c>
      <c r="AA868" s="293">
        <f t="shared" si="109"/>
        <v>2483.193169593269</v>
      </c>
    </row>
    <row r="869" spans="1:27" s="320" customFormat="1" ht="15" customHeight="1" x14ac:dyDescent="0.25">
      <c r="A869" s="220" t="s">
        <v>2796</v>
      </c>
      <c r="B869" s="221" t="s">
        <v>3597</v>
      </c>
      <c r="C869" s="223" t="s">
        <v>2706</v>
      </c>
      <c r="D869" s="220" t="s">
        <v>2711</v>
      </c>
      <c r="E869" s="222">
        <v>12</v>
      </c>
      <c r="F869" s="192">
        <v>10500</v>
      </c>
      <c r="G869" s="24">
        <v>0.2</v>
      </c>
      <c r="H869" s="24">
        <v>0.05</v>
      </c>
      <c r="I869" s="24">
        <v>0.05</v>
      </c>
      <c r="J869" s="24">
        <v>0</v>
      </c>
      <c r="K869" s="224">
        <f t="shared" si="110"/>
        <v>0.27800000000000002</v>
      </c>
      <c r="L869" s="225">
        <f t="shared" si="111"/>
        <v>174515.23545706371</v>
      </c>
      <c r="M869" s="225">
        <f t="shared" si="112"/>
        <v>14542.936288088644</v>
      </c>
      <c r="N869" s="226">
        <f t="shared" si="113"/>
        <v>17306.094182825484</v>
      </c>
      <c r="O869" s="34">
        <v>0.3</v>
      </c>
      <c r="P869" s="226">
        <f t="shared" si="114"/>
        <v>22497.922437673129</v>
      </c>
      <c r="Q869" s="107" t="s">
        <v>1486</v>
      </c>
      <c r="R869" s="34">
        <v>0.30583334317160238</v>
      </c>
      <c r="S869" s="226">
        <f t="shared" si="115"/>
        <v>18000.000255109982</v>
      </c>
      <c r="T869" s="156" t="s">
        <v>1486</v>
      </c>
      <c r="U869" s="2" t="s">
        <v>109</v>
      </c>
      <c r="V869" s="2" t="s">
        <v>47</v>
      </c>
      <c r="W869" s="2" t="s">
        <v>5863</v>
      </c>
      <c r="X869" s="2" t="s">
        <v>5881</v>
      </c>
      <c r="Y869" s="488" t="s">
        <v>1486</v>
      </c>
      <c r="Z869" s="293">
        <f t="shared" si="108"/>
        <v>4042.9362880886438</v>
      </c>
      <c r="AA869" s="293">
        <f t="shared" si="109"/>
        <v>4626.0506345462036</v>
      </c>
    </row>
    <row r="870" spans="1:27" s="320" customFormat="1" ht="15" customHeight="1" x14ac:dyDescent="0.25">
      <c r="A870" s="220" t="s">
        <v>2845</v>
      </c>
      <c r="B870" s="221" t="s">
        <v>2850</v>
      </c>
      <c r="C870" s="223" t="s">
        <v>2822</v>
      </c>
      <c r="D870" s="220" t="s">
        <v>188</v>
      </c>
      <c r="E870" s="222">
        <v>24</v>
      </c>
      <c r="F870" s="192">
        <v>490</v>
      </c>
      <c r="G870" s="24">
        <v>0.2</v>
      </c>
      <c r="H870" s="24">
        <v>0.05</v>
      </c>
      <c r="I870" s="24">
        <v>0.05</v>
      </c>
      <c r="J870" s="24">
        <v>0</v>
      </c>
      <c r="K870" s="224">
        <f t="shared" si="110"/>
        <v>0.27800000000000014</v>
      </c>
      <c r="L870" s="225">
        <f t="shared" si="111"/>
        <v>16288.088642659284</v>
      </c>
      <c r="M870" s="225">
        <f t="shared" si="112"/>
        <v>678.67036011080347</v>
      </c>
      <c r="N870" s="226">
        <f t="shared" si="113"/>
        <v>807.61772853185607</v>
      </c>
      <c r="O870" s="34">
        <v>0.3</v>
      </c>
      <c r="P870" s="226">
        <f t="shared" si="114"/>
        <v>1049.9030470914129</v>
      </c>
      <c r="Q870" s="107" t="s">
        <v>1486</v>
      </c>
      <c r="R870" s="34">
        <v>0.28515000140523278</v>
      </c>
      <c r="S870" s="226">
        <f t="shared" si="115"/>
        <v>815.69560207909672</v>
      </c>
      <c r="T870" s="156" t="s">
        <v>1486</v>
      </c>
      <c r="U870" s="2"/>
      <c r="V870" s="2" t="s">
        <v>47</v>
      </c>
      <c r="W870" s="2" t="s">
        <v>2900</v>
      </c>
      <c r="X870" s="2" t="s">
        <v>3541</v>
      </c>
      <c r="Y870" s="488" t="s">
        <v>1486</v>
      </c>
      <c r="Z870" s="293">
        <f t="shared" si="108"/>
        <v>188.67036011080347</v>
      </c>
      <c r="AA870" s="293">
        <f t="shared" si="109"/>
        <v>195.45848914209807</v>
      </c>
    </row>
    <row r="871" spans="1:27" s="320" customFormat="1" x14ac:dyDescent="0.25">
      <c r="A871" s="220" t="s">
        <v>2846</v>
      </c>
      <c r="B871" s="221" t="s">
        <v>2955</v>
      </c>
      <c r="C871" s="223" t="s">
        <v>2907</v>
      </c>
      <c r="D871" s="220" t="s">
        <v>2905</v>
      </c>
      <c r="E871" s="222">
        <v>6</v>
      </c>
      <c r="F871" s="192">
        <v>31611</v>
      </c>
      <c r="G871" s="24">
        <v>0.2</v>
      </c>
      <c r="H871" s="24">
        <v>0.05</v>
      </c>
      <c r="I871" s="24">
        <v>0.05</v>
      </c>
      <c r="J871" s="24">
        <v>0</v>
      </c>
      <c r="K871" s="224">
        <f t="shared" si="110"/>
        <v>0.27800000000000014</v>
      </c>
      <c r="L871" s="225">
        <f t="shared" si="111"/>
        <v>262695.29085872578</v>
      </c>
      <c r="M871" s="225">
        <f t="shared" si="112"/>
        <v>43782.5484764543</v>
      </c>
      <c r="N871" s="226">
        <f t="shared" si="113"/>
        <v>52101.232686980613</v>
      </c>
      <c r="O871" s="34">
        <v>1.3</v>
      </c>
      <c r="P871" s="226">
        <f t="shared" si="114"/>
        <v>119832.83518005539</v>
      </c>
      <c r="Q871" s="107" t="s">
        <v>1486</v>
      </c>
      <c r="R871" s="34">
        <v>0.28515000140523278</v>
      </c>
      <c r="S871" s="226">
        <f t="shared" si="115"/>
        <v>52622.354443514945</v>
      </c>
      <c r="T871" s="156" t="s">
        <v>1486</v>
      </c>
      <c r="U871" s="2"/>
      <c r="V871" s="2" t="s">
        <v>47</v>
      </c>
      <c r="W871" s="2"/>
      <c r="X871" s="2"/>
      <c r="Y871" s="488" t="s">
        <v>1486</v>
      </c>
      <c r="Z871" s="293">
        <f t="shared" si="108"/>
        <v>12171.5484764543</v>
      </c>
      <c r="AA871" s="293">
        <f t="shared" si="109"/>
        <v>12609.465918920127</v>
      </c>
    </row>
    <row r="872" spans="1:27" s="320" customFormat="1" x14ac:dyDescent="0.25">
      <c r="A872" s="220" t="s">
        <v>2849</v>
      </c>
      <c r="B872" s="221" t="s">
        <v>3615</v>
      </c>
      <c r="C872" s="223" t="s">
        <v>1562</v>
      </c>
      <c r="D872" s="220" t="s">
        <v>3616</v>
      </c>
      <c r="E872" s="222">
        <v>1</v>
      </c>
      <c r="F872" s="192">
        <v>84.292000000000002</v>
      </c>
      <c r="G872" s="24">
        <v>0.2</v>
      </c>
      <c r="H872" s="24">
        <v>0.05</v>
      </c>
      <c r="I872" s="24">
        <v>0.05</v>
      </c>
      <c r="J872" s="24">
        <v>0</v>
      </c>
      <c r="K872" s="224">
        <f t="shared" si="110"/>
        <v>0.27799999999999991</v>
      </c>
      <c r="L872" s="225">
        <f t="shared" si="111"/>
        <v>116.74792243767313</v>
      </c>
      <c r="M872" s="225">
        <f t="shared" si="112"/>
        <v>116.74792243767313</v>
      </c>
      <c r="N872" s="226">
        <f t="shared" si="113"/>
        <v>138.930027700831</v>
      </c>
      <c r="O872" s="34">
        <v>0.3</v>
      </c>
      <c r="P872" s="226">
        <f t="shared" si="114"/>
        <v>180.60903601108032</v>
      </c>
      <c r="Q872" s="107" t="s">
        <v>1486</v>
      </c>
      <c r="R872" s="34">
        <v>0.3</v>
      </c>
      <c r="S872" s="226">
        <f t="shared" si="115"/>
        <v>143.29640000000001</v>
      </c>
      <c r="T872" s="156" t="s">
        <v>1486</v>
      </c>
      <c r="U872" s="2"/>
      <c r="V872" s="2" t="s">
        <v>47</v>
      </c>
      <c r="W872" s="2" t="s">
        <v>1467</v>
      </c>
      <c r="X872" s="2" t="s">
        <v>1467</v>
      </c>
      <c r="Y872" s="488" t="s">
        <v>1486</v>
      </c>
      <c r="Z872" s="293"/>
      <c r="AA872" s="293"/>
    </row>
    <row r="873" spans="1:27" s="320" customFormat="1" x14ac:dyDescent="0.25">
      <c r="A873" s="220" t="s">
        <v>2906</v>
      </c>
      <c r="B873" s="221" t="s">
        <v>2921</v>
      </c>
      <c r="C873" s="223" t="s">
        <v>1626</v>
      </c>
      <c r="D873" s="220" t="s">
        <v>332</v>
      </c>
      <c r="E873" s="222">
        <v>12</v>
      </c>
      <c r="F873" s="192">
        <v>1324</v>
      </c>
      <c r="G873" s="24">
        <v>0.2</v>
      </c>
      <c r="H873" s="24">
        <v>0.05</v>
      </c>
      <c r="I873" s="24">
        <v>0.05</v>
      </c>
      <c r="J873" s="24">
        <v>0</v>
      </c>
      <c r="K873" s="224">
        <f t="shared" si="110"/>
        <v>0.27800000000000002</v>
      </c>
      <c r="L873" s="225">
        <f t="shared" si="111"/>
        <v>22005.540166204988</v>
      </c>
      <c r="M873" s="225">
        <f t="shared" si="112"/>
        <v>1833.7950138504157</v>
      </c>
      <c r="N873" s="226">
        <f t="shared" si="113"/>
        <v>2182.2160664819944</v>
      </c>
      <c r="O873" s="34">
        <v>0.3</v>
      </c>
      <c r="P873" s="226">
        <f t="shared" si="114"/>
        <v>2836.880886426593</v>
      </c>
      <c r="Q873" s="107" t="s">
        <v>1486</v>
      </c>
      <c r="R873" s="34">
        <v>0.33300522492672363</v>
      </c>
      <c r="S873" s="226">
        <f t="shared" si="115"/>
        <v>2362.1774245936308</v>
      </c>
      <c r="T873" s="156" t="s">
        <v>1486</v>
      </c>
      <c r="U873" s="2">
        <v>5</v>
      </c>
      <c r="V873" s="2" t="s">
        <v>47</v>
      </c>
      <c r="W873" s="2" t="s">
        <v>5883</v>
      </c>
      <c r="X873" s="2" t="s">
        <v>101</v>
      </c>
      <c r="Y873" s="488" t="s">
        <v>1486</v>
      </c>
      <c r="Z873" s="293">
        <f>+M873-F873</f>
        <v>509.79501385041567</v>
      </c>
      <c r="AA873" s="293">
        <f>+(S873/1.19)-F873</f>
        <v>661.02304587700087</v>
      </c>
    </row>
    <row r="874" spans="1:27" s="320" customFormat="1" ht="15" customHeight="1" x14ac:dyDescent="0.25">
      <c r="A874" s="220" t="s">
        <v>3614</v>
      </c>
      <c r="B874" s="221" t="s">
        <v>2958</v>
      </c>
      <c r="C874" s="223" t="s">
        <v>1546</v>
      </c>
      <c r="D874" s="220" t="s">
        <v>2957</v>
      </c>
      <c r="E874" s="222">
        <v>15</v>
      </c>
      <c r="F874" s="192">
        <v>1025</v>
      </c>
      <c r="G874" s="24">
        <v>0.2</v>
      </c>
      <c r="H874" s="24">
        <v>0.05</v>
      </c>
      <c r="I874" s="24">
        <v>0.05</v>
      </c>
      <c r="J874" s="24">
        <v>0</v>
      </c>
      <c r="K874" s="224">
        <f t="shared" si="110"/>
        <v>0.27800000000000002</v>
      </c>
      <c r="L874" s="225">
        <f t="shared" si="111"/>
        <v>21295.013850415515</v>
      </c>
      <c r="M874" s="225">
        <f t="shared" si="112"/>
        <v>1419.667590027701</v>
      </c>
      <c r="N874" s="226">
        <f t="shared" si="113"/>
        <v>1689.4044321329641</v>
      </c>
      <c r="O874" s="34">
        <v>1.3</v>
      </c>
      <c r="P874" s="226">
        <f t="shared" si="114"/>
        <v>3885.6301939058171</v>
      </c>
      <c r="Q874" s="107" t="s">
        <v>1486</v>
      </c>
      <c r="R874" s="34">
        <v>0.3</v>
      </c>
      <c r="S874" s="226">
        <f t="shared" si="115"/>
        <v>1742.5000000000002</v>
      </c>
      <c r="T874" s="156" t="s">
        <v>1486</v>
      </c>
      <c r="U874" s="2"/>
      <c r="V874" s="2" t="s">
        <v>47</v>
      </c>
      <c r="W874" s="2"/>
      <c r="X874" s="2"/>
      <c r="Y874" s="488" t="s">
        <v>1486</v>
      </c>
      <c r="Z874" s="293"/>
      <c r="AA874" s="293"/>
    </row>
    <row r="875" spans="1:27" s="320" customFormat="1" ht="15" customHeight="1" x14ac:dyDescent="0.25">
      <c r="A875" s="220" t="s">
        <v>2922</v>
      </c>
      <c r="B875" s="221" t="s">
        <v>2973</v>
      </c>
      <c r="C875" s="223" t="s">
        <v>2976</v>
      </c>
      <c r="D875" s="220" t="s">
        <v>2977</v>
      </c>
      <c r="E875" s="222">
        <v>12</v>
      </c>
      <c r="F875" s="192">
        <v>92</v>
      </c>
      <c r="G875" s="24">
        <v>0.2</v>
      </c>
      <c r="H875" s="24">
        <v>0.05</v>
      </c>
      <c r="I875" s="24">
        <v>0.05</v>
      </c>
      <c r="J875" s="24">
        <v>0</v>
      </c>
      <c r="K875" s="224">
        <f t="shared" si="110"/>
        <v>0.27800000000000002</v>
      </c>
      <c r="L875" s="225">
        <f t="shared" si="111"/>
        <v>1529.0858725761773</v>
      </c>
      <c r="M875" s="225">
        <f t="shared" si="112"/>
        <v>127.42382271468145</v>
      </c>
      <c r="N875" s="226">
        <f t="shared" si="113"/>
        <v>151.63434903047093</v>
      </c>
      <c r="O875" s="34">
        <v>0.3</v>
      </c>
      <c r="P875" s="226">
        <f t="shared" si="114"/>
        <v>197.12465373961223</v>
      </c>
      <c r="Q875" s="107" t="s">
        <v>1486</v>
      </c>
      <c r="R875" s="34">
        <v>0.3</v>
      </c>
      <c r="S875" s="226">
        <f t="shared" si="115"/>
        <v>156.4</v>
      </c>
      <c r="T875" s="156" t="s">
        <v>1486</v>
      </c>
      <c r="U875" s="2"/>
      <c r="V875" s="2" t="s">
        <v>47</v>
      </c>
      <c r="W875" s="2"/>
      <c r="X875" s="2"/>
      <c r="Y875" s="488" t="s">
        <v>1486</v>
      </c>
      <c r="Z875" s="293"/>
      <c r="AA875" s="293"/>
    </row>
    <row r="876" spans="1:27" s="320" customFormat="1" ht="15" customHeight="1" x14ac:dyDescent="0.25">
      <c r="A876" s="220" t="s">
        <v>2959</v>
      </c>
      <c r="B876" s="221" t="s">
        <v>2974</v>
      </c>
      <c r="C876" s="223" t="s">
        <v>2976</v>
      </c>
      <c r="D876" s="220" t="s">
        <v>2977</v>
      </c>
      <c r="E876" s="222">
        <v>12</v>
      </c>
      <c r="F876" s="192">
        <v>925</v>
      </c>
      <c r="G876" s="24">
        <v>0.2</v>
      </c>
      <c r="H876" s="24">
        <v>0.05</v>
      </c>
      <c r="I876" s="24">
        <v>0.05</v>
      </c>
      <c r="J876" s="24">
        <v>0</v>
      </c>
      <c r="K876" s="224">
        <f t="shared" si="110"/>
        <v>0.27800000000000002</v>
      </c>
      <c r="L876" s="225">
        <f t="shared" si="111"/>
        <v>15373.961218836565</v>
      </c>
      <c r="M876" s="225">
        <f t="shared" si="112"/>
        <v>1281.1634349030471</v>
      </c>
      <c r="N876" s="226">
        <f t="shared" si="113"/>
        <v>1524.5844875346261</v>
      </c>
      <c r="O876" s="34">
        <v>0.3</v>
      </c>
      <c r="P876" s="226">
        <f t="shared" si="114"/>
        <v>1981.959833795014</v>
      </c>
      <c r="Q876" s="107" t="s">
        <v>1486</v>
      </c>
      <c r="R876" s="34">
        <v>0.3</v>
      </c>
      <c r="S876" s="226">
        <f t="shared" si="115"/>
        <v>1572.5</v>
      </c>
      <c r="T876" s="156" t="s">
        <v>1486</v>
      </c>
      <c r="U876" s="2"/>
      <c r="V876" s="2" t="s">
        <v>47</v>
      </c>
      <c r="W876" s="2"/>
      <c r="X876" s="2"/>
      <c r="Y876" s="488" t="s">
        <v>1486</v>
      </c>
      <c r="Z876" s="293"/>
      <c r="AA876" s="293"/>
    </row>
    <row r="877" spans="1:27" s="320" customFormat="1" ht="15" customHeight="1" x14ac:dyDescent="0.25">
      <c r="A877" s="220" t="s">
        <v>2978</v>
      </c>
      <c r="B877" s="221" t="s">
        <v>2975</v>
      </c>
      <c r="C877" s="223" t="s">
        <v>2976</v>
      </c>
      <c r="D877" s="220" t="s">
        <v>2977</v>
      </c>
      <c r="E877" s="222">
        <v>12</v>
      </c>
      <c r="F877" s="192">
        <v>1205</v>
      </c>
      <c r="G877" s="24">
        <v>0.2</v>
      </c>
      <c r="H877" s="24">
        <v>0.05</v>
      </c>
      <c r="I877" s="24">
        <v>0.05</v>
      </c>
      <c r="J877" s="24">
        <v>0</v>
      </c>
      <c r="K877" s="224">
        <f t="shared" si="110"/>
        <v>0.27800000000000002</v>
      </c>
      <c r="L877" s="225">
        <f t="shared" si="111"/>
        <v>20027.700831024933</v>
      </c>
      <c r="M877" s="225">
        <f t="shared" si="112"/>
        <v>1668.9750692520777</v>
      </c>
      <c r="N877" s="226">
        <f t="shared" si="113"/>
        <v>1986.0803324099722</v>
      </c>
      <c r="O877" s="34">
        <v>0.3</v>
      </c>
      <c r="P877" s="226">
        <f t="shared" si="114"/>
        <v>2581.9044321329638</v>
      </c>
      <c r="Q877" s="107" t="s">
        <v>1486</v>
      </c>
      <c r="R877" s="34">
        <v>0.3</v>
      </c>
      <c r="S877" s="226">
        <f t="shared" si="115"/>
        <v>2048.5</v>
      </c>
      <c r="T877" s="156" t="s">
        <v>1486</v>
      </c>
      <c r="U877" s="2"/>
      <c r="V877" s="2" t="s">
        <v>47</v>
      </c>
      <c r="W877" s="2"/>
      <c r="X877" s="2"/>
      <c r="Y877" s="488" t="s">
        <v>1486</v>
      </c>
      <c r="Z877" s="293"/>
      <c r="AA877" s="293"/>
    </row>
    <row r="878" spans="1:27" s="320" customFormat="1" ht="15" customHeight="1" x14ac:dyDescent="0.25">
      <c r="A878" s="220" t="s">
        <v>2979</v>
      </c>
      <c r="B878" s="221" t="s">
        <v>2984</v>
      </c>
      <c r="C878" s="223" t="s">
        <v>1626</v>
      </c>
      <c r="D878" s="220" t="s">
        <v>2983</v>
      </c>
      <c r="E878" s="222">
        <v>12</v>
      </c>
      <c r="F878" s="192">
        <v>3175</v>
      </c>
      <c r="G878" s="24">
        <v>0.2</v>
      </c>
      <c r="H878" s="24">
        <v>0.05</v>
      </c>
      <c r="I878" s="24">
        <v>0.05</v>
      </c>
      <c r="J878" s="24">
        <v>0</v>
      </c>
      <c r="K878" s="224">
        <f t="shared" si="110"/>
        <v>0.27800000000000002</v>
      </c>
      <c r="L878" s="225">
        <f t="shared" si="111"/>
        <v>52770.083102493081</v>
      </c>
      <c r="M878" s="225">
        <f t="shared" si="112"/>
        <v>4397.5069252077565</v>
      </c>
      <c r="N878" s="226">
        <f t="shared" si="113"/>
        <v>5233.0332409972298</v>
      </c>
      <c r="O878" s="34">
        <v>0.3</v>
      </c>
      <c r="P878" s="226">
        <f t="shared" si="114"/>
        <v>6802.9432132963993</v>
      </c>
      <c r="Q878" s="107" t="s">
        <v>1486</v>
      </c>
      <c r="R878" s="34">
        <v>0.19776037891756085</v>
      </c>
      <c r="S878" s="226">
        <f t="shared" si="115"/>
        <v>4709.627772936612</v>
      </c>
      <c r="T878" s="156" t="s">
        <v>1486</v>
      </c>
      <c r="U878" s="2" t="s">
        <v>50</v>
      </c>
      <c r="V878" s="2" t="s">
        <v>47</v>
      </c>
      <c r="W878" s="2" t="s">
        <v>5963</v>
      </c>
      <c r="X878" s="2"/>
      <c r="Y878" s="488" t="s">
        <v>1486</v>
      </c>
      <c r="Z878" s="293"/>
      <c r="AA878" s="293"/>
    </row>
    <row r="879" spans="1:27" s="320" customFormat="1" ht="15" customHeight="1" x14ac:dyDescent="0.25">
      <c r="A879" s="220" t="s">
        <v>2980</v>
      </c>
      <c r="B879" s="221" t="s">
        <v>2985</v>
      </c>
      <c r="C879" s="223" t="s">
        <v>1626</v>
      </c>
      <c r="D879" s="220" t="s">
        <v>2983</v>
      </c>
      <c r="E879" s="222">
        <v>13</v>
      </c>
      <c r="F879" s="192">
        <v>1640</v>
      </c>
      <c r="G879" s="24">
        <v>0.2</v>
      </c>
      <c r="H879" s="24">
        <v>0.05</v>
      </c>
      <c r="I879" s="24">
        <v>0.05</v>
      </c>
      <c r="J879" s="24">
        <v>0</v>
      </c>
      <c r="K879" s="224">
        <f t="shared" si="110"/>
        <v>0.27800000000000002</v>
      </c>
      <c r="L879" s="225">
        <f t="shared" si="111"/>
        <v>29529.085872576179</v>
      </c>
      <c r="M879" s="225">
        <f t="shared" si="112"/>
        <v>2271.4681440443214</v>
      </c>
      <c r="N879" s="226">
        <f t="shared" si="113"/>
        <v>2703.0470914127422</v>
      </c>
      <c r="O879" s="34">
        <v>0.3</v>
      </c>
      <c r="P879" s="226">
        <f t="shared" si="114"/>
        <v>3513.961218836565</v>
      </c>
      <c r="Q879" s="107" t="s">
        <v>1486</v>
      </c>
      <c r="R879" s="34">
        <v>0.19776037891756085</v>
      </c>
      <c r="S879" s="226">
        <f t="shared" si="115"/>
        <v>2432.689621296392</v>
      </c>
      <c r="T879" s="156" t="s">
        <v>1486</v>
      </c>
      <c r="U879" s="2" t="s">
        <v>50</v>
      </c>
      <c r="V879" s="2" t="s">
        <v>47</v>
      </c>
      <c r="W879" s="2" t="s">
        <v>5963</v>
      </c>
      <c r="X879" s="2"/>
      <c r="Y879" s="488" t="s">
        <v>1486</v>
      </c>
      <c r="Z879" s="293"/>
      <c r="AA879" s="293"/>
    </row>
    <row r="880" spans="1:27" s="320" customFormat="1" ht="15" customHeight="1" x14ac:dyDescent="0.25">
      <c r="A880" s="220" t="s">
        <v>2986</v>
      </c>
      <c r="B880" s="221" t="s">
        <v>3309</v>
      </c>
      <c r="C880" s="223" t="s">
        <v>3024</v>
      </c>
      <c r="D880" s="220" t="s">
        <v>3023</v>
      </c>
      <c r="E880" s="222">
        <v>36</v>
      </c>
      <c r="F880" s="192">
        <v>552</v>
      </c>
      <c r="G880" s="24">
        <v>0.2</v>
      </c>
      <c r="H880" s="24">
        <v>0.05</v>
      </c>
      <c r="I880" s="24">
        <v>0.05</v>
      </c>
      <c r="J880" s="24">
        <v>0</v>
      </c>
      <c r="K880" s="224">
        <f t="shared" si="110"/>
        <v>0.27800000000000014</v>
      </c>
      <c r="L880" s="225">
        <f t="shared" si="111"/>
        <v>27523.545706371195</v>
      </c>
      <c r="M880" s="225">
        <f t="shared" si="112"/>
        <v>764.54293628808875</v>
      </c>
      <c r="N880" s="226">
        <f t="shared" si="113"/>
        <v>909.80609418282563</v>
      </c>
      <c r="O880" s="34">
        <v>0.3</v>
      </c>
      <c r="P880" s="226">
        <f t="shared" si="114"/>
        <v>1182.7479224376734</v>
      </c>
      <c r="Q880" s="107" t="s">
        <v>1486</v>
      </c>
      <c r="R880" s="34">
        <v>0.3</v>
      </c>
      <c r="S880" s="226">
        <f t="shared" si="115"/>
        <v>938.40000000000009</v>
      </c>
      <c r="T880" s="156" t="s">
        <v>1486</v>
      </c>
      <c r="U880" s="2"/>
      <c r="V880" s="2" t="s">
        <v>47</v>
      </c>
      <c r="W880" s="2" t="s">
        <v>5963</v>
      </c>
      <c r="X880" s="2"/>
      <c r="Y880" s="488" t="s">
        <v>1486</v>
      </c>
      <c r="Z880" s="293">
        <f t="shared" ref="Z880:Z900" si="116">+M880-F880</f>
        <v>212.54293628808875</v>
      </c>
      <c r="AA880" s="293">
        <f t="shared" ref="AA880:AA900" si="117">+(S880/1.19)-F880</f>
        <v>236.57142857142867</v>
      </c>
    </row>
    <row r="881" spans="1:27" s="320" customFormat="1" ht="15" customHeight="1" x14ac:dyDescent="0.25">
      <c r="A881" s="220" t="s">
        <v>2987</v>
      </c>
      <c r="B881" s="221" t="s">
        <v>3310</v>
      </c>
      <c r="C881" s="223" t="s">
        <v>3024</v>
      </c>
      <c r="D881" s="220" t="s">
        <v>3023</v>
      </c>
      <c r="E881" s="222">
        <v>48</v>
      </c>
      <c r="F881" s="192">
        <v>552</v>
      </c>
      <c r="G881" s="24">
        <v>0.2</v>
      </c>
      <c r="H881" s="24">
        <v>0.05</v>
      </c>
      <c r="I881" s="24">
        <v>0.05</v>
      </c>
      <c r="J881" s="24">
        <v>0</v>
      </c>
      <c r="K881" s="224">
        <f t="shared" si="110"/>
        <v>0.27800000000000014</v>
      </c>
      <c r="L881" s="225">
        <f t="shared" si="111"/>
        <v>36698.060941828262</v>
      </c>
      <c r="M881" s="225">
        <f t="shared" si="112"/>
        <v>764.54293628808875</v>
      </c>
      <c r="N881" s="226">
        <f t="shared" si="113"/>
        <v>909.80609418282563</v>
      </c>
      <c r="O881" s="34">
        <v>0.3</v>
      </c>
      <c r="P881" s="226">
        <f t="shared" si="114"/>
        <v>1182.7479224376734</v>
      </c>
      <c r="Q881" s="107" t="s">
        <v>1486</v>
      </c>
      <c r="R881" s="34">
        <v>0.3</v>
      </c>
      <c r="S881" s="226">
        <f t="shared" si="115"/>
        <v>938.40000000000009</v>
      </c>
      <c r="T881" s="156" t="s">
        <v>1486</v>
      </c>
      <c r="U881" s="2"/>
      <c r="V881" s="2" t="s">
        <v>47</v>
      </c>
      <c r="W881" s="2" t="s">
        <v>5963</v>
      </c>
      <c r="X881" s="2"/>
      <c r="Y881" s="488" t="s">
        <v>1486</v>
      </c>
      <c r="Z881" s="293">
        <f t="shared" si="116"/>
        <v>212.54293628808875</v>
      </c>
      <c r="AA881" s="293">
        <f t="shared" si="117"/>
        <v>236.57142857142867</v>
      </c>
    </row>
    <row r="882" spans="1:27" s="320" customFormat="1" ht="15" customHeight="1" x14ac:dyDescent="0.25">
      <c r="A882" s="220" t="s">
        <v>3084</v>
      </c>
      <c r="B882" s="221" t="s">
        <v>3027</v>
      </c>
      <c r="C882" s="223" t="s">
        <v>3024</v>
      </c>
      <c r="D882" s="220" t="s">
        <v>3023</v>
      </c>
      <c r="E882" s="222">
        <v>24</v>
      </c>
      <c r="F882" s="192">
        <v>0</v>
      </c>
      <c r="G882" s="24">
        <v>0.2</v>
      </c>
      <c r="H882" s="24">
        <v>0.05</v>
      </c>
      <c r="I882" s="24">
        <v>0.05</v>
      </c>
      <c r="J882" s="24">
        <v>0</v>
      </c>
      <c r="K882" s="224">
        <f t="shared" si="110"/>
        <v>0</v>
      </c>
      <c r="L882" s="225">
        <f t="shared" si="111"/>
        <v>0</v>
      </c>
      <c r="M882" s="225">
        <f t="shared" si="112"/>
        <v>0</v>
      </c>
      <c r="N882" s="226">
        <f t="shared" si="113"/>
        <v>0</v>
      </c>
      <c r="O882" s="34">
        <v>0.3</v>
      </c>
      <c r="P882" s="226">
        <f t="shared" si="114"/>
        <v>0</v>
      </c>
      <c r="Q882" s="107" t="s">
        <v>1486</v>
      </c>
      <c r="R882" s="34">
        <v>0.3</v>
      </c>
      <c r="S882" s="226">
        <f t="shared" si="115"/>
        <v>0</v>
      </c>
      <c r="T882" s="156" t="s">
        <v>1486</v>
      </c>
      <c r="U882" s="2"/>
      <c r="V882" s="2" t="s">
        <v>47</v>
      </c>
      <c r="W882" s="2" t="s">
        <v>5963</v>
      </c>
      <c r="X882" s="2"/>
      <c r="Y882" s="488" t="s">
        <v>1486</v>
      </c>
      <c r="Z882" s="293">
        <f t="shared" si="116"/>
        <v>0</v>
      </c>
      <c r="AA882" s="293">
        <f t="shared" si="117"/>
        <v>0</v>
      </c>
    </row>
    <row r="883" spans="1:27" s="320" customFormat="1" ht="15" customHeight="1" x14ac:dyDescent="0.25">
      <c r="A883" s="220" t="s">
        <v>3085</v>
      </c>
      <c r="B883" s="221" t="s">
        <v>3028</v>
      </c>
      <c r="C883" s="223" t="s">
        <v>3024</v>
      </c>
      <c r="D883" s="220" t="s">
        <v>3023</v>
      </c>
      <c r="E883" s="222">
        <v>16</v>
      </c>
      <c r="F883" s="192">
        <v>0</v>
      </c>
      <c r="G883" s="24">
        <v>0.2</v>
      </c>
      <c r="H883" s="24">
        <v>0.05</v>
      </c>
      <c r="I883" s="24">
        <v>0.05</v>
      </c>
      <c r="J883" s="24">
        <v>0</v>
      </c>
      <c r="K883" s="224">
        <f t="shared" si="110"/>
        <v>0</v>
      </c>
      <c r="L883" s="225">
        <f t="shared" si="111"/>
        <v>0</v>
      </c>
      <c r="M883" s="225">
        <f t="shared" si="112"/>
        <v>0</v>
      </c>
      <c r="N883" s="226">
        <f t="shared" si="113"/>
        <v>0</v>
      </c>
      <c r="O883" s="34">
        <v>0.3</v>
      </c>
      <c r="P883" s="226">
        <f t="shared" si="114"/>
        <v>0</v>
      </c>
      <c r="Q883" s="107" t="s">
        <v>1486</v>
      </c>
      <c r="R883" s="34">
        <v>0.3</v>
      </c>
      <c r="S883" s="226">
        <f t="shared" si="115"/>
        <v>0</v>
      </c>
      <c r="T883" s="156" t="s">
        <v>1486</v>
      </c>
      <c r="U883" s="2"/>
      <c r="V883" s="2" t="s">
        <v>47</v>
      </c>
      <c r="W883" s="2" t="s">
        <v>5963</v>
      </c>
      <c r="X883" s="2"/>
      <c r="Y883" s="488" t="s">
        <v>1486</v>
      </c>
      <c r="Z883" s="293">
        <f t="shared" si="116"/>
        <v>0</v>
      </c>
      <c r="AA883" s="293">
        <f t="shared" si="117"/>
        <v>0</v>
      </c>
    </row>
    <row r="884" spans="1:27" s="320" customFormat="1" ht="15" customHeight="1" x14ac:dyDescent="0.25">
      <c r="A884" s="220" t="s">
        <v>3086</v>
      </c>
      <c r="B884" s="221" t="s">
        <v>3029</v>
      </c>
      <c r="C884" s="223" t="s">
        <v>3024</v>
      </c>
      <c r="D884" s="220" t="s">
        <v>3023</v>
      </c>
      <c r="E884" s="222">
        <v>16</v>
      </c>
      <c r="F884" s="192">
        <v>0</v>
      </c>
      <c r="G884" s="24">
        <v>0.2</v>
      </c>
      <c r="H884" s="24">
        <v>0.05</v>
      </c>
      <c r="I884" s="24">
        <v>0.05</v>
      </c>
      <c r="J884" s="24">
        <v>0</v>
      </c>
      <c r="K884" s="224">
        <f t="shared" si="110"/>
        <v>0</v>
      </c>
      <c r="L884" s="225">
        <f t="shared" si="111"/>
        <v>0</v>
      </c>
      <c r="M884" s="225">
        <f t="shared" si="112"/>
        <v>0</v>
      </c>
      <c r="N884" s="226">
        <f t="shared" si="113"/>
        <v>0</v>
      </c>
      <c r="O884" s="34">
        <v>0.3</v>
      </c>
      <c r="P884" s="226">
        <f t="shared" si="114"/>
        <v>0</v>
      </c>
      <c r="Q884" s="107" t="s">
        <v>1486</v>
      </c>
      <c r="R884" s="34">
        <v>0.3</v>
      </c>
      <c r="S884" s="226">
        <f t="shared" si="115"/>
        <v>0</v>
      </c>
      <c r="T884" s="156" t="s">
        <v>1486</v>
      </c>
      <c r="U884" s="2"/>
      <c r="V884" s="2" t="s">
        <v>47</v>
      </c>
      <c r="W884" s="2" t="s">
        <v>5963</v>
      </c>
      <c r="X884" s="2"/>
      <c r="Y884" s="488" t="s">
        <v>1486</v>
      </c>
      <c r="Z884" s="293">
        <f t="shared" si="116"/>
        <v>0</v>
      </c>
      <c r="AA884" s="293">
        <f t="shared" si="117"/>
        <v>0</v>
      </c>
    </row>
    <row r="885" spans="1:27" s="320" customFormat="1" ht="15" customHeight="1" x14ac:dyDescent="0.25">
      <c r="A885" s="220" t="s">
        <v>3087</v>
      </c>
      <c r="B885" s="221" t="s">
        <v>3030</v>
      </c>
      <c r="C885" s="223" t="s">
        <v>3024</v>
      </c>
      <c r="D885" s="220" t="s">
        <v>3023</v>
      </c>
      <c r="E885" s="222">
        <v>12</v>
      </c>
      <c r="F885" s="192">
        <v>0</v>
      </c>
      <c r="G885" s="24">
        <v>0.2</v>
      </c>
      <c r="H885" s="24">
        <v>0.05</v>
      </c>
      <c r="I885" s="24">
        <v>0.05</v>
      </c>
      <c r="J885" s="24">
        <v>0</v>
      </c>
      <c r="K885" s="224">
        <f t="shared" si="110"/>
        <v>0</v>
      </c>
      <c r="L885" s="225">
        <f t="shared" si="111"/>
        <v>0</v>
      </c>
      <c r="M885" s="225">
        <f t="shared" si="112"/>
        <v>0</v>
      </c>
      <c r="N885" s="226">
        <f t="shared" si="113"/>
        <v>0</v>
      </c>
      <c r="O885" s="34">
        <v>0.3</v>
      </c>
      <c r="P885" s="226">
        <f t="shared" si="114"/>
        <v>0</v>
      </c>
      <c r="Q885" s="107" t="s">
        <v>1486</v>
      </c>
      <c r="R885" s="34">
        <v>0.3</v>
      </c>
      <c r="S885" s="226">
        <f t="shared" si="115"/>
        <v>0</v>
      </c>
      <c r="T885" s="156" t="s">
        <v>1486</v>
      </c>
      <c r="U885" s="2"/>
      <c r="V885" s="2" t="s">
        <v>47</v>
      </c>
      <c r="W885" s="2" t="s">
        <v>5963</v>
      </c>
      <c r="X885" s="2"/>
      <c r="Y885" s="488" t="s">
        <v>1486</v>
      </c>
      <c r="Z885" s="293">
        <f t="shared" si="116"/>
        <v>0</v>
      </c>
      <c r="AA885" s="293">
        <f t="shared" si="117"/>
        <v>0</v>
      </c>
    </row>
    <row r="886" spans="1:27" s="320" customFormat="1" ht="15" customHeight="1" x14ac:dyDescent="0.25">
      <c r="A886" s="220" t="s">
        <v>3088</v>
      </c>
      <c r="B886" s="221" t="s">
        <v>3031</v>
      </c>
      <c r="C886" s="223" t="s">
        <v>3024</v>
      </c>
      <c r="D886" s="220" t="s">
        <v>3023</v>
      </c>
      <c r="E886" s="222">
        <v>12</v>
      </c>
      <c r="F886" s="192">
        <v>0</v>
      </c>
      <c r="G886" s="24">
        <v>0.2</v>
      </c>
      <c r="H886" s="24">
        <v>0.05</v>
      </c>
      <c r="I886" s="24">
        <v>0.05</v>
      </c>
      <c r="J886" s="24">
        <v>0</v>
      </c>
      <c r="K886" s="224">
        <f t="shared" si="110"/>
        <v>0</v>
      </c>
      <c r="L886" s="225">
        <f t="shared" si="111"/>
        <v>0</v>
      </c>
      <c r="M886" s="225">
        <f t="shared" si="112"/>
        <v>0</v>
      </c>
      <c r="N886" s="226">
        <f t="shared" si="113"/>
        <v>0</v>
      </c>
      <c r="O886" s="34">
        <v>0.3</v>
      </c>
      <c r="P886" s="226">
        <f t="shared" si="114"/>
        <v>0</v>
      </c>
      <c r="Q886" s="107" t="s">
        <v>1486</v>
      </c>
      <c r="R886" s="34">
        <v>0.3</v>
      </c>
      <c r="S886" s="226">
        <f t="shared" si="115"/>
        <v>0</v>
      </c>
      <c r="T886" s="156" t="s">
        <v>1486</v>
      </c>
      <c r="U886" s="2"/>
      <c r="V886" s="2" t="s">
        <v>47</v>
      </c>
      <c r="W886" s="2" t="s">
        <v>5963</v>
      </c>
      <c r="X886" s="2"/>
      <c r="Y886" s="488" t="s">
        <v>1486</v>
      </c>
      <c r="Z886" s="293">
        <f t="shared" si="116"/>
        <v>0</v>
      </c>
      <c r="AA886" s="293">
        <f t="shared" si="117"/>
        <v>0</v>
      </c>
    </row>
    <row r="887" spans="1:27" s="320" customFormat="1" x14ac:dyDescent="0.25">
      <c r="A887" s="220" t="s">
        <v>3089</v>
      </c>
      <c r="B887" s="221" t="s">
        <v>3025</v>
      </c>
      <c r="C887" s="223" t="s">
        <v>3024</v>
      </c>
      <c r="D887" s="220" t="s">
        <v>3023</v>
      </c>
      <c r="E887" s="222">
        <v>6</v>
      </c>
      <c r="F887" s="192">
        <v>0</v>
      </c>
      <c r="G887" s="24">
        <v>0.2</v>
      </c>
      <c r="H887" s="24">
        <v>0.05</v>
      </c>
      <c r="I887" s="24">
        <v>0.05</v>
      </c>
      <c r="J887" s="24">
        <v>0</v>
      </c>
      <c r="K887" s="224">
        <f t="shared" si="110"/>
        <v>0</v>
      </c>
      <c r="L887" s="225">
        <f t="shared" si="111"/>
        <v>0</v>
      </c>
      <c r="M887" s="225">
        <f t="shared" si="112"/>
        <v>0</v>
      </c>
      <c r="N887" s="226">
        <f t="shared" si="113"/>
        <v>0</v>
      </c>
      <c r="O887" s="34">
        <v>0.3</v>
      </c>
      <c r="P887" s="226">
        <f t="shared" si="114"/>
        <v>0</v>
      </c>
      <c r="Q887" s="107" t="s">
        <v>1486</v>
      </c>
      <c r="R887" s="34">
        <v>0.3</v>
      </c>
      <c r="S887" s="226">
        <f t="shared" si="115"/>
        <v>0</v>
      </c>
      <c r="T887" s="156" t="s">
        <v>1486</v>
      </c>
      <c r="U887" s="2"/>
      <c r="V887" s="2" t="s">
        <v>47</v>
      </c>
      <c r="W887" s="2" t="s">
        <v>5963</v>
      </c>
      <c r="X887" s="2"/>
      <c r="Y887" s="488" t="s">
        <v>1486</v>
      </c>
      <c r="Z887" s="293">
        <f t="shared" si="116"/>
        <v>0</v>
      </c>
      <c r="AA887" s="293">
        <f t="shared" si="117"/>
        <v>0</v>
      </c>
    </row>
    <row r="888" spans="1:27" s="320" customFormat="1" ht="15" customHeight="1" x14ac:dyDescent="0.25">
      <c r="A888" s="220" t="s">
        <v>3090</v>
      </c>
      <c r="B888" s="221" t="s">
        <v>3026</v>
      </c>
      <c r="C888" s="223" t="s">
        <v>3024</v>
      </c>
      <c r="D888" s="220" t="s">
        <v>3023</v>
      </c>
      <c r="E888" s="222">
        <v>6</v>
      </c>
      <c r="F888" s="192">
        <v>0</v>
      </c>
      <c r="G888" s="24">
        <v>0.2</v>
      </c>
      <c r="H888" s="24">
        <v>0.05</v>
      </c>
      <c r="I888" s="24">
        <v>0.05</v>
      </c>
      <c r="J888" s="24">
        <v>0</v>
      </c>
      <c r="K888" s="224">
        <f t="shared" si="110"/>
        <v>0</v>
      </c>
      <c r="L888" s="225">
        <f t="shared" si="111"/>
        <v>0</v>
      </c>
      <c r="M888" s="225">
        <f t="shared" si="112"/>
        <v>0</v>
      </c>
      <c r="N888" s="226">
        <f t="shared" si="113"/>
        <v>0</v>
      </c>
      <c r="O888" s="34">
        <v>0.3</v>
      </c>
      <c r="P888" s="226">
        <f t="shared" si="114"/>
        <v>0</v>
      </c>
      <c r="Q888" s="107" t="s">
        <v>1486</v>
      </c>
      <c r="R888" s="34">
        <v>0.3</v>
      </c>
      <c r="S888" s="226">
        <f t="shared" si="115"/>
        <v>0</v>
      </c>
      <c r="T888" s="156" t="s">
        <v>1486</v>
      </c>
      <c r="U888" s="2"/>
      <c r="V888" s="2" t="s">
        <v>47</v>
      </c>
      <c r="W888" s="2" t="s">
        <v>5963</v>
      </c>
      <c r="X888" s="2"/>
      <c r="Y888" s="488" t="s">
        <v>1486</v>
      </c>
      <c r="Z888" s="293">
        <f t="shared" si="116"/>
        <v>0</v>
      </c>
      <c r="AA888" s="293">
        <f t="shared" si="117"/>
        <v>0</v>
      </c>
    </row>
    <row r="889" spans="1:27" s="320" customFormat="1" ht="15" customHeight="1" x14ac:dyDescent="0.25">
      <c r="A889" s="220" t="s">
        <v>3091</v>
      </c>
      <c r="B889" s="221" t="s">
        <v>3038</v>
      </c>
      <c r="C889" s="223" t="s">
        <v>3024</v>
      </c>
      <c r="D889" s="220" t="s">
        <v>3023</v>
      </c>
      <c r="E889" s="222">
        <v>24</v>
      </c>
      <c r="F889" s="192">
        <v>0</v>
      </c>
      <c r="G889" s="24">
        <v>0.2</v>
      </c>
      <c r="H889" s="24">
        <v>0.05</v>
      </c>
      <c r="I889" s="24">
        <v>0.05</v>
      </c>
      <c r="J889" s="24">
        <v>0</v>
      </c>
      <c r="K889" s="224">
        <f t="shared" si="110"/>
        <v>0</v>
      </c>
      <c r="L889" s="225">
        <f t="shared" si="111"/>
        <v>0</v>
      </c>
      <c r="M889" s="225">
        <f t="shared" si="112"/>
        <v>0</v>
      </c>
      <c r="N889" s="226">
        <f t="shared" si="113"/>
        <v>0</v>
      </c>
      <c r="O889" s="34">
        <v>0.3</v>
      </c>
      <c r="P889" s="226">
        <f t="shared" si="114"/>
        <v>0</v>
      </c>
      <c r="Q889" s="107" t="s">
        <v>1486</v>
      </c>
      <c r="R889" s="34">
        <v>0.3</v>
      </c>
      <c r="S889" s="226">
        <f t="shared" si="115"/>
        <v>0</v>
      </c>
      <c r="T889" s="156" t="s">
        <v>1486</v>
      </c>
      <c r="U889" s="2"/>
      <c r="V889" s="2" t="s">
        <v>47</v>
      </c>
      <c r="W889" s="2" t="s">
        <v>5963</v>
      </c>
      <c r="X889" s="2"/>
      <c r="Y889" s="488" t="s">
        <v>1486</v>
      </c>
      <c r="Z889" s="293">
        <f t="shared" si="116"/>
        <v>0</v>
      </c>
      <c r="AA889" s="293">
        <f t="shared" si="117"/>
        <v>0</v>
      </c>
    </row>
    <row r="890" spans="1:27" s="320" customFormat="1" ht="15" customHeight="1" x14ac:dyDescent="0.25">
      <c r="A890" s="220" t="s">
        <v>3092</v>
      </c>
      <c r="B890" s="221" t="s">
        <v>3037</v>
      </c>
      <c r="C890" s="223" t="s">
        <v>3024</v>
      </c>
      <c r="D890" s="220" t="s">
        <v>3023</v>
      </c>
      <c r="E890" s="222">
        <v>12</v>
      </c>
      <c r="F890" s="192">
        <v>0</v>
      </c>
      <c r="G890" s="24">
        <v>0.2</v>
      </c>
      <c r="H890" s="24">
        <v>0.05</v>
      </c>
      <c r="I890" s="24">
        <v>0.05</v>
      </c>
      <c r="J890" s="24">
        <v>0</v>
      </c>
      <c r="K890" s="224">
        <f t="shared" si="110"/>
        <v>0</v>
      </c>
      <c r="L890" s="225">
        <f t="shared" si="111"/>
        <v>0</v>
      </c>
      <c r="M890" s="225">
        <f t="shared" si="112"/>
        <v>0</v>
      </c>
      <c r="N890" s="226">
        <f t="shared" si="113"/>
        <v>0</v>
      </c>
      <c r="O890" s="34">
        <v>0.3</v>
      </c>
      <c r="P890" s="226">
        <f t="shared" si="114"/>
        <v>0</v>
      </c>
      <c r="Q890" s="107" t="s">
        <v>1486</v>
      </c>
      <c r="R890" s="34">
        <v>0.3</v>
      </c>
      <c r="S890" s="226">
        <f t="shared" si="115"/>
        <v>0</v>
      </c>
      <c r="T890" s="156" t="s">
        <v>1486</v>
      </c>
      <c r="U890" s="2"/>
      <c r="V890" s="2" t="s">
        <v>47</v>
      </c>
      <c r="W890" s="2" t="s">
        <v>5963</v>
      </c>
      <c r="X890" s="2"/>
      <c r="Y890" s="488" t="s">
        <v>1486</v>
      </c>
      <c r="Z890" s="293">
        <f t="shared" si="116"/>
        <v>0</v>
      </c>
      <c r="AA890" s="293">
        <f t="shared" si="117"/>
        <v>0</v>
      </c>
    </row>
    <row r="891" spans="1:27" s="320" customFormat="1" ht="15" customHeight="1" x14ac:dyDescent="0.25">
      <c r="A891" s="220" t="s">
        <v>3093</v>
      </c>
      <c r="B891" s="221" t="s">
        <v>3311</v>
      </c>
      <c r="C891" s="223" t="s">
        <v>3024</v>
      </c>
      <c r="D891" s="220" t="s">
        <v>3032</v>
      </c>
      <c r="E891" s="222">
        <v>48</v>
      </c>
      <c r="F891" s="192">
        <v>552</v>
      </c>
      <c r="G891" s="24">
        <v>0.2</v>
      </c>
      <c r="H891" s="24">
        <v>0.05</v>
      </c>
      <c r="I891" s="24">
        <v>0.05</v>
      </c>
      <c r="J891" s="24">
        <v>0</v>
      </c>
      <c r="K891" s="224">
        <f t="shared" si="110"/>
        <v>0.27800000000000014</v>
      </c>
      <c r="L891" s="225">
        <f t="shared" si="111"/>
        <v>36698.060941828262</v>
      </c>
      <c r="M891" s="225">
        <f t="shared" si="112"/>
        <v>764.54293628808875</v>
      </c>
      <c r="N891" s="226">
        <f t="shared" si="113"/>
        <v>909.80609418282563</v>
      </c>
      <c r="O891" s="34">
        <v>0.3</v>
      </c>
      <c r="P891" s="226">
        <f t="shared" si="114"/>
        <v>1182.7479224376734</v>
      </c>
      <c r="Q891" s="107" t="s">
        <v>1486</v>
      </c>
      <c r="R891" s="34">
        <v>0.3</v>
      </c>
      <c r="S891" s="226">
        <f t="shared" si="115"/>
        <v>938.40000000000009</v>
      </c>
      <c r="T891" s="156" t="s">
        <v>1486</v>
      </c>
      <c r="U891" s="2"/>
      <c r="V891" s="2" t="s">
        <v>47</v>
      </c>
      <c r="W891" s="2" t="s">
        <v>5963</v>
      </c>
      <c r="X891" s="2"/>
      <c r="Y891" s="488" t="s">
        <v>1486</v>
      </c>
      <c r="Z891" s="293">
        <f t="shared" si="116"/>
        <v>212.54293628808875</v>
      </c>
      <c r="AA891" s="293">
        <f t="shared" si="117"/>
        <v>236.57142857142867</v>
      </c>
    </row>
    <row r="892" spans="1:27" s="320" customFormat="1" ht="15" customHeight="1" x14ac:dyDescent="0.25">
      <c r="A892" s="220" t="s">
        <v>3094</v>
      </c>
      <c r="B892" s="221" t="s">
        <v>3033</v>
      </c>
      <c r="C892" s="223" t="s">
        <v>3024</v>
      </c>
      <c r="D892" s="220" t="s">
        <v>3032</v>
      </c>
      <c r="E892" s="222">
        <v>24</v>
      </c>
      <c r="F892" s="192">
        <v>0</v>
      </c>
      <c r="G892" s="24">
        <v>0.2</v>
      </c>
      <c r="H892" s="24">
        <v>0.05</v>
      </c>
      <c r="I892" s="24">
        <v>0.05</v>
      </c>
      <c r="J892" s="24">
        <v>0</v>
      </c>
      <c r="K892" s="224">
        <f t="shared" si="110"/>
        <v>0</v>
      </c>
      <c r="L892" s="225">
        <f t="shared" si="111"/>
        <v>0</v>
      </c>
      <c r="M892" s="225">
        <f t="shared" si="112"/>
        <v>0</v>
      </c>
      <c r="N892" s="226">
        <f t="shared" si="113"/>
        <v>0</v>
      </c>
      <c r="O892" s="34">
        <v>0.3</v>
      </c>
      <c r="P892" s="226">
        <f t="shared" si="114"/>
        <v>0</v>
      </c>
      <c r="Q892" s="107" t="s">
        <v>1486</v>
      </c>
      <c r="R892" s="34">
        <v>0.3</v>
      </c>
      <c r="S892" s="226">
        <f t="shared" si="115"/>
        <v>0</v>
      </c>
      <c r="T892" s="156" t="s">
        <v>1486</v>
      </c>
      <c r="U892" s="2"/>
      <c r="V892" s="2" t="s">
        <v>47</v>
      </c>
      <c r="W892" s="2" t="s">
        <v>5963</v>
      </c>
      <c r="X892" s="2"/>
      <c r="Y892" s="488" t="s">
        <v>1486</v>
      </c>
      <c r="Z892" s="293">
        <f t="shared" si="116"/>
        <v>0</v>
      </c>
      <c r="AA892" s="293">
        <f t="shared" si="117"/>
        <v>0</v>
      </c>
    </row>
    <row r="893" spans="1:27" s="320" customFormat="1" ht="15" customHeight="1" x14ac:dyDescent="0.25">
      <c r="A893" s="220" t="s">
        <v>3095</v>
      </c>
      <c r="B893" s="221" t="s">
        <v>3034</v>
      </c>
      <c r="C893" s="223" t="s">
        <v>3024</v>
      </c>
      <c r="D893" s="220" t="s">
        <v>3032</v>
      </c>
      <c r="E893" s="222">
        <v>24</v>
      </c>
      <c r="F893" s="192">
        <v>0</v>
      </c>
      <c r="G893" s="24">
        <v>0.2</v>
      </c>
      <c r="H893" s="24">
        <v>0.05</v>
      </c>
      <c r="I893" s="24">
        <v>0.05</v>
      </c>
      <c r="J893" s="24">
        <v>0</v>
      </c>
      <c r="K893" s="224">
        <f t="shared" si="110"/>
        <v>0</v>
      </c>
      <c r="L893" s="225">
        <f t="shared" si="111"/>
        <v>0</v>
      </c>
      <c r="M893" s="225">
        <f t="shared" si="112"/>
        <v>0</v>
      </c>
      <c r="N893" s="226">
        <f t="shared" si="113"/>
        <v>0</v>
      </c>
      <c r="O893" s="34">
        <v>0.3</v>
      </c>
      <c r="P893" s="226">
        <f t="shared" si="114"/>
        <v>0</v>
      </c>
      <c r="Q893" s="107" t="s">
        <v>1486</v>
      </c>
      <c r="R893" s="34">
        <v>0.3</v>
      </c>
      <c r="S893" s="226">
        <f t="shared" si="115"/>
        <v>0</v>
      </c>
      <c r="T893" s="156" t="s">
        <v>1486</v>
      </c>
      <c r="U893" s="2"/>
      <c r="V893" s="2" t="s">
        <v>47</v>
      </c>
      <c r="W893" s="2" t="s">
        <v>5963</v>
      </c>
      <c r="X893" s="2"/>
      <c r="Y893" s="488" t="s">
        <v>1486</v>
      </c>
      <c r="Z893" s="293">
        <f t="shared" si="116"/>
        <v>0</v>
      </c>
      <c r="AA893" s="293">
        <f t="shared" si="117"/>
        <v>0</v>
      </c>
    </row>
    <row r="894" spans="1:27" s="320" customFormat="1" ht="15" customHeight="1" x14ac:dyDescent="0.25">
      <c r="A894" s="220" t="s">
        <v>3096</v>
      </c>
      <c r="B894" s="221" t="s">
        <v>3036</v>
      </c>
      <c r="C894" s="223" t="s">
        <v>3024</v>
      </c>
      <c r="D894" s="220" t="s">
        <v>3032</v>
      </c>
      <c r="E894" s="222">
        <v>6</v>
      </c>
      <c r="F894" s="192">
        <v>0</v>
      </c>
      <c r="G894" s="24">
        <v>0.2</v>
      </c>
      <c r="H894" s="24">
        <v>0.05</v>
      </c>
      <c r="I894" s="24">
        <v>0.05</v>
      </c>
      <c r="J894" s="24">
        <v>0</v>
      </c>
      <c r="K894" s="224">
        <f t="shared" si="110"/>
        <v>0</v>
      </c>
      <c r="L894" s="225">
        <f t="shared" si="111"/>
        <v>0</v>
      </c>
      <c r="M894" s="225">
        <f t="shared" si="112"/>
        <v>0</v>
      </c>
      <c r="N894" s="226">
        <f t="shared" si="113"/>
        <v>0</v>
      </c>
      <c r="O894" s="34">
        <v>0.3</v>
      </c>
      <c r="P894" s="226">
        <f t="shared" si="114"/>
        <v>0</v>
      </c>
      <c r="Q894" s="107" t="s">
        <v>1486</v>
      </c>
      <c r="R894" s="34">
        <v>0.3</v>
      </c>
      <c r="S894" s="226">
        <f t="shared" si="115"/>
        <v>0</v>
      </c>
      <c r="T894" s="156" t="s">
        <v>1486</v>
      </c>
      <c r="U894" s="2"/>
      <c r="V894" s="2" t="s">
        <v>47</v>
      </c>
      <c r="W894" s="2" t="s">
        <v>5963</v>
      </c>
      <c r="X894" s="2"/>
      <c r="Y894" s="488" t="s">
        <v>1486</v>
      </c>
      <c r="Z894" s="293">
        <f t="shared" si="116"/>
        <v>0</v>
      </c>
      <c r="AA894" s="293">
        <f t="shared" si="117"/>
        <v>0</v>
      </c>
    </row>
    <row r="895" spans="1:27" s="320" customFormat="1" ht="15" customHeight="1" x14ac:dyDescent="0.25">
      <c r="A895" s="220" t="s">
        <v>3097</v>
      </c>
      <c r="B895" s="221" t="s">
        <v>3312</v>
      </c>
      <c r="C895" s="223" t="s">
        <v>3024</v>
      </c>
      <c r="D895" s="220" t="s">
        <v>3032</v>
      </c>
      <c r="E895" s="222">
        <v>24</v>
      </c>
      <c r="F895" s="192">
        <v>2880</v>
      </c>
      <c r="G895" s="24">
        <v>0.2</v>
      </c>
      <c r="H895" s="24">
        <v>0.05</v>
      </c>
      <c r="I895" s="24">
        <v>0.05</v>
      </c>
      <c r="J895" s="24">
        <v>0</v>
      </c>
      <c r="K895" s="224">
        <f t="shared" si="110"/>
        <v>0.27800000000000014</v>
      </c>
      <c r="L895" s="225">
        <f t="shared" si="111"/>
        <v>95734.07202216069</v>
      </c>
      <c r="M895" s="225">
        <f t="shared" si="112"/>
        <v>3988.9196675900284</v>
      </c>
      <c r="N895" s="226">
        <f t="shared" si="113"/>
        <v>4746.8144044321334</v>
      </c>
      <c r="O895" s="34">
        <v>0.3</v>
      </c>
      <c r="P895" s="226">
        <f t="shared" si="114"/>
        <v>6170.8587257617737</v>
      </c>
      <c r="Q895" s="107" t="s">
        <v>1486</v>
      </c>
      <c r="R895" s="34">
        <v>0.3</v>
      </c>
      <c r="S895" s="226">
        <f t="shared" si="115"/>
        <v>4896</v>
      </c>
      <c r="T895" s="156" t="s">
        <v>1486</v>
      </c>
      <c r="U895" s="2"/>
      <c r="V895" s="2" t="s">
        <v>47</v>
      </c>
      <c r="W895" s="2" t="s">
        <v>5963</v>
      </c>
      <c r="X895" s="2"/>
      <c r="Y895" s="488" t="s">
        <v>1486</v>
      </c>
      <c r="Z895" s="293">
        <f t="shared" si="116"/>
        <v>1108.9196675900284</v>
      </c>
      <c r="AA895" s="293">
        <f t="shared" si="117"/>
        <v>1234.2857142857147</v>
      </c>
    </row>
    <row r="896" spans="1:27" s="320" customFormat="1" ht="15" customHeight="1" x14ac:dyDescent="0.25">
      <c r="A896" s="220" t="s">
        <v>3098</v>
      </c>
      <c r="B896" s="221" t="s">
        <v>3035</v>
      </c>
      <c r="C896" s="223" t="s">
        <v>3024</v>
      </c>
      <c r="D896" s="220" t="s">
        <v>3032</v>
      </c>
      <c r="E896" s="222">
        <v>6</v>
      </c>
      <c r="F896" s="192">
        <v>0</v>
      </c>
      <c r="G896" s="24">
        <v>0.2</v>
      </c>
      <c r="H896" s="24">
        <v>0.05</v>
      </c>
      <c r="I896" s="24">
        <v>0.05</v>
      </c>
      <c r="J896" s="24">
        <v>0</v>
      </c>
      <c r="K896" s="224">
        <f t="shared" si="110"/>
        <v>0</v>
      </c>
      <c r="L896" s="225">
        <f t="shared" si="111"/>
        <v>0</v>
      </c>
      <c r="M896" s="225">
        <f t="shared" si="112"/>
        <v>0</v>
      </c>
      <c r="N896" s="226">
        <f t="shared" si="113"/>
        <v>0</v>
      </c>
      <c r="O896" s="34">
        <v>0.3</v>
      </c>
      <c r="P896" s="226">
        <f t="shared" si="114"/>
        <v>0</v>
      </c>
      <c r="Q896" s="107" t="s">
        <v>1486</v>
      </c>
      <c r="R896" s="34">
        <v>0.3</v>
      </c>
      <c r="S896" s="226">
        <f t="shared" si="115"/>
        <v>0</v>
      </c>
      <c r="T896" s="156" t="s">
        <v>1486</v>
      </c>
      <c r="U896" s="2"/>
      <c r="V896" s="2" t="s">
        <v>47</v>
      </c>
      <c r="W896" s="2" t="s">
        <v>5963</v>
      </c>
      <c r="X896" s="2"/>
      <c r="Y896" s="488" t="s">
        <v>1486</v>
      </c>
      <c r="Z896" s="293">
        <f t="shared" si="116"/>
        <v>0</v>
      </c>
      <c r="AA896" s="293">
        <f t="shared" si="117"/>
        <v>0</v>
      </c>
    </row>
    <row r="897" spans="1:27" s="320" customFormat="1" ht="15" customHeight="1" x14ac:dyDescent="0.25">
      <c r="A897" s="220" t="s">
        <v>3099</v>
      </c>
      <c r="B897" s="221" t="s">
        <v>3039</v>
      </c>
      <c r="C897" s="223" t="s">
        <v>3024</v>
      </c>
      <c r="D897" s="220" t="s">
        <v>3032</v>
      </c>
      <c r="E897" s="222">
        <v>12</v>
      </c>
      <c r="F897" s="192">
        <v>0</v>
      </c>
      <c r="G897" s="24">
        <v>0.2</v>
      </c>
      <c r="H897" s="24">
        <v>0.05</v>
      </c>
      <c r="I897" s="24">
        <v>0.05</v>
      </c>
      <c r="J897" s="24">
        <v>0</v>
      </c>
      <c r="K897" s="224">
        <f t="shared" si="110"/>
        <v>0</v>
      </c>
      <c r="L897" s="225">
        <f t="shared" si="111"/>
        <v>0</v>
      </c>
      <c r="M897" s="225">
        <f t="shared" si="112"/>
        <v>0</v>
      </c>
      <c r="N897" s="226">
        <f t="shared" si="113"/>
        <v>0</v>
      </c>
      <c r="O897" s="34">
        <v>0.3</v>
      </c>
      <c r="P897" s="226">
        <f t="shared" si="114"/>
        <v>0</v>
      </c>
      <c r="Q897" s="107" t="s">
        <v>1486</v>
      </c>
      <c r="R897" s="34">
        <v>0.3</v>
      </c>
      <c r="S897" s="226">
        <f t="shared" si="115"/>
        <v>0</v>
      </c>
      <c r="T897" s="156" t="s">
        <v>1486</v>
      </c>
      <c r="U897" s="2"/>
      <c r="V897" s="2" t="s">
        <v>47</v>
      </c>
      <c r="W897" s="2" t="s">
        <v>5963</v>
      </c>
      <c r="X897" s="2"/>
      <c r="Y897" s="488" t="s">
        <v>1486</v>
      </c>
      <c r="Z897" s="293">
        <f t="shared" si="116"/>
        <v>0</v>
      </c>
      <c r="AA897" s="293">
        <f t="shared" si="117"/>
        <v>0</v>
      </c>
    </row>
    <row r="898" spans="1:27" s="320" customFormat="1" ht="15" customHeight="1" x14ac:dyDescent="0.25">
      <c r="A898" s="220" t="s">
        <v>3100</v>
      </c>
      <c r="B898" s="221" t="s">
        <v>3313</v>
      </c>
      <c r="C898" s="223" t="s">
        <v>3024</v>
      </c>
      <c r="D898" s="220" t="s">
        <v>3040</v>
      </c>
      <c r="E898" s="222">
        <v>36</v>
      </c>
      <c r="F898" s="192">
        <v>552</v>
      </c>
      <c r="G898" s="24">
        <v>0.2</v>
      </c>
      <c r="H898" s="24">
        <v>0.05</v>
      </c>
      <c r="I898" s="24">
        <v>0.05</v>
      </c>
      <c r="J898" s="24">
        <v>0</v>
      </c>
      <c r="K898" s="224">
        <f t="shared" si="110"/>
        <v>0.27800000000000014</v>
      </c>
      <c r="L898" s="225">
        <f t="shared" si="111"/>
        <v>27523.545706371195</v>
      </c>
      <c r="M898" s="225">
        <f t="shared" si="112"/>
        <v>764.54293628808875</v>
      </c>
      <c r="N898" s="226">
        <f t="shared" si="113"/>
        <v>909.80609418282563</v>
      </c>
      <c r="O898" s="34">
        <v>0.3</v>
      </c>
      <c r="P898" s="226">
        <f t="shared" si="114"/>
        <v>1182.7479224376734</v>
      </c>
      <c r="Q898" s="107" t="s">
        <v>1486</v>
      </c>
      <c r="R898" s="34">
        <v>0.3</v>
      </c>
      <c r="S898" s="226">
        <f t="shared" si="115"/>
        <v>938.40000000000009</v>
      </c>
      <c r="T898" s="156" t="s">
        <v>1486</v>
      </c>
      <c r="U898" s="2"/>
      <c r="V898" s="2" t="s">
        <v>47</v>
      </c>
      <c r="W898" s="2" t="s">
        <v>5963</v>
      </c>
      <c r="X898" s="2"/>
      <c r="Y898" s="488" t="s">
        <v>1486</v>
      </c>
      <c r="Z898" s="293">
        <f t="shared" si="116"/>
        <v>212.54293628808875</v>
      </c>
      <c r="AA898" s="293">
        <f t="shared" si="117"/>
        <v>236.57142857142867</v>
      </c>
    </row>
    <row r="899" spans="1:27" s="320" customFormat="1" ht="15" customHeight="1" x14ac:dyDescent="0.25">
      <c r="A899" s="220" t="s">
        <v>3101</v>
      </c>
      <c r="B899" s="221" t="s">
        <v>3314</v>
      </c>
      <c r="C899" s="223" t="s">
        <v>3024</v>
      </c>
      <c r="D899" s="220" t="s">
        <v>3040</v>
      </c>
      <c r="E899" s="222">
        <v>6</v>
      </c>
      <c r="F899" s="192">
        <v>3312</v>
      </c>
      <c r="G899" s="24">
        <v>0.2</v>
      </c>
      <c r="H899" s="24">
        <v>0.05</v>
      </c>
      <c r="I899" s="24">
        <v>0.05</v>
      </c>
      <c r="J899" s="24">
        <v>0</v>
      </c>
      <c r="K899" s="224">
        <f t="shared" ref="K899:K962" si="118">IF(F899=0,0,1-(F899/M899))</f>
        <v>0.27800000000000014</v>
      </c>
      <c r="L899" s="225">
        <f t="shared" ref="L899:L962" si="119">+M899*E899</f>
        <v>27523.545706371195</v>
      </c>
      <c r="M899" s="225">
        <f t="shared" ref="M899:M962" si="120">+F899/(1-G899)/(1-H899)/(1-I899)/(1-J899)</f>
        <v>4587.2576177285328</v>
      </c>
      <c r="N899" s="226">
        <f t="shared" ref="N899:N962" si="121">+M899*1.19</f>
        <v>5458.8365650969536</v>
      </c>
      <c r="O899" s="34">
        <v>0.3</v>
      </c>
      <c r="P899" s="226">
        <f t="shared" ref="P899:P962" si="122">+N899*(1+O899)</f>
        <v>7096.4875346260396</v>
      </c>
      <c r="Q899" s="107" t="s">
        <v>1486</v>
      </c>
      <c r="R899" s="34">
        <v>0.3</v>
      </c>
      <c r="S899" s="226">
        <f t="shared" si="115"/>
        <v>5630.4</v>
      </c>
      <c r="T899" s="156" t="s">
        <v>1486</v>
      </c>
      <c r="U899" s="2"/>
      <c r="V899" s="2" t="s">
        <v>47</v>
      </c>
      <c r="W899" s="2" t="s">
        <v>5963</v>
      </c>
      <c r="X899" s="2"/>
      <c r="Y899" s="488" t="s">
        <v>1486</v>
      </c>
      <c r="Z899" s="293">
        <f t="shared" si="116"/>
        <v>1275.2576177285328</v>
      </c>
      <c r="AA899" s="293">
        <f t="shared" si="117"/>
        <v>1419.4285714285716</v>
      </c>
    </row>
    <row r="900" spans="1:27" s="320" customFormat="1" ht="15" customHeight="1" x14ac:dyDescent="0.25">
      <c r="A900" s="220" t="s">
        <v>3102</v>
      </c>
      <c r="B900" s="221" t="s">
        <v>3036</v>
      </c>
      <c r="C900" s="223" t="s">
        <v>3024</v>
      </c>
      <c r="D900" s="220" t="s">
        <v>3040</v>
      </c>
      <c r="E900" s="222">
        <v>6</v>
      </c>
      <c r="F900" s="192">
        <v>0</v>
      </c>
      <c r="G900" s="24">
        <v>0.2</v>
      </c>
      <c r="H900" s="24">
        <v>0.05</v>
      </c>
      <c r="I900" s="24">
        <v>0.05</v>
      </c>
      <c r="J900" s="24">
        <v>0</v>
      </c>
      <c r="K900" s="224">
        <f t="shared" si="118"/>
        <v>0</v>
      </c>
      <c r="L900" s="225">
        <f t="shared" si="119"/>
        <v>0</v>
      </c>
      <c r="M900" s="225">
        <f t="shared" si="120"/>
        <v>0</v>
      </c>
      <c r="N900" s="226">
        <f t="shared" si="121"/>
        <v>0</v>
      </c>
      <c r="O900" s="34">
        <v>0.3</v>
      </c>
      <c r="P900" s="226">
        <f t="shared" si="122"/>
        <v>0</v>
      </c>
      <c r="Q900" s="107" t="s">
        <v>1486</v>
      </c>
      <c r="R900" s="34">
        <v>0.3</v>
      </c>
      <c r="S900" s="226">
        <f t="shared" si="115"/>
        <v>0</v>
      </c>
      <c r="T900" s="156" t="s">
        <v>1486</v>
      </c>
      <c r="U900" s="2"/>
      <c r="V900" s="2" t="s">
        <v>47</v>
      </c>
      <c r="W900" s="2" t="s">
        <v>5963</v>
      </c>
      <c r="X900" s="2"/>
      <c r="Y900" s="488" t="s">
        <v>1486</v>
      </c>
      <c r="Z900" s="293">
        <f t="shared" si="116"/>
        <v>0</v>
      </c>
      <c r="AA900" s="293">
        <f t="shared" si="117"/>
        <v>0</v>
      </c>
    </row>
    <row r="901" spans="1:27" s="320" customFormat="1" ht="15" customHeight="1" x14ac:dyDescent="0.25">
      <c r="A901" s="220" t="s">
        <v>3103</v>
      </c>
      <c r="B901" s="221" t="s">
        <v>3171</v>
      </c>
      <c r="C901" s="223" t="s">
        <v>2976</v>
      </c>
      <c r="D901" s="220" t="s">
        <v>2977</v>
      </c>
      <c r="E901" s="222">
        <v>12</v>
      </c>
      <c r="F901" s="192">
        <v>11548</v>
      </c>
      <c r="G901" s="24">
        <v>0.2</v>
      </c>
      <c r="H901" s="24">
        <v>0.05</v>
      </c>
      <c r="I901" s="24">
        <v>0.05</v>
      </c>
      <c r="J901" s="24">
        <v>0</v>
      </c>
      <c r="K901" s="224">
        <f t="shared" si="118"/>
        <v>0.27800000000000002</v>
      </c>
      <c r="L901" s="225">
        <f t="shared" si="119"/>
        <v>191933.51800554019</v>
      </c>
      <c r="M901" s="225">
        <f t="shared" si="120"/>
        <v>15994.459833795016</v>
      </c>
      <c r="N901" s="226">
        <f t="shared" si="121"/>
        <v>19033.407202216069</v>
      </c>
      <c r="O901" s="34">
        <v>0.3</v>
      </c>
      <c r="P901" s="226">
        <f t="shared" si="122"/>
        <v>24743.429362880892</v>
      </c>
      <c r="Q901" s="107" t="s">
        <v>1486</v>
      </c>
      <c r="R901" s="34">
        <v>0.3</v>
      </c>
      <c r="S901" s="226">
        <f t="shared" si="115"/>
        <v>19631.600000000002</v>
      </c>
      <c r="T901" s="156" t="s">
        <v>1486</v>
      </c>
      <c r="U901" s="2"/>
      <c r="V901" s="2" t="s">
        <v>47</v>
      </c>
      <c r="W901" s="2"/>
      <c r="X901" s="2"/>
      <c r="Y901" s="488" t="s">
        <v>1486</v>
      </c>
      <c r="Z901" s="293"/>
      <c r="AA901" s="293"/>
    </row>
    <row r="902" spans="1:27" s="320" customFormat="1" ht="15" customHeight="1" x14ac:dyDescent="0.25">
      <c r="A902" s="220" t="s">
        <v>3104</v>
      </c>
      <c r="B902" s="221" t="s">
        <v>3172</v>
      </c>
      <c r="C902" s="223" t="s">
        <v>2976</v>
      </c>
      <c r="D902" s="220" t="s">
        <v>2977</v>
      </c>
      <c r="E902" s="222">
        <v>12</v>
      </c>
      <c r="F902" s="192">
        <v>0</v>
      </c>
      <c r="G902" s="24">
        <v>0.2</v>
      </c>
      <c r="H902" s="24">
        <v>0.05</v>
      </c>
      <c r="I902" s="24">
        <v>0.05</v>
      </c>
      <c r="J902" s="24">
        <v>0</v>
      </c>
      <c r="K902" s="224">
        <f t="shared" si="118"/>
        <v>0</v>
      </c>
      <c r="L902" s="225">
        <f t="shared" si="119"/>
        <v>0</v>
      </c>
      <c r="M902" s="225">
        <f t="shared" si="120"/>
        <v>0</v>
      </c>
      <c r="N902" s="226">
        <f t="shared" si="121"/>
        <v>0</v>
      </c>
      <c r="O902" s="34">
        <v>0.3</v>
      </c>
      <c r="P902" s="226">
        <f t="shared" si="122"/>
        <v>0</v>
      </c>
      <c r="Q902" s="107" t="s">
        <v>1486</v>
      </c>
      <c r="R902" s="34">
        <v>0.3</v>
      </c>
      <c r="S902" s="226">
        <f t="shared" si="115"/>
        <v>0</v>
      </c>
      <c r="T902" s="156" t="s">
        <v>1486</v>
      </c>
      <c r="U902" s="2"/>
      <c r="V902" s="2" t="s">
        <v>47</v>
      </c>
      <c r="W902" s="2"/>
      <c r="X902" s="2"/>
      <c r="Y902" s="488" t="s">
        <v>1486</v>
      </c>
      <c r="Z902" s="293"/>
      <c r="AA902" s="293"/>
    </row>
    <row r="903" spans="1:27" s="320" customFormat="1" ht="15" customHeight="1" x14ac:dyDescent="0.25">
      <c r="A903" s="220" t="s">
        <v>3173</v>
      </c>
      <c r="B903" s="221" t="s">
        <v>3221</v>
      </c>
      <c r="C903" s="223" t="s">
        <v>3024</v>
      </c>
      <c r="D903" s="220" t="s">
        <v>3220</v>
      </c>
      <c r="E903" s="222">
        <v>32</v>
      </c>
      <c r="F903" s="192">
        <v>103</v>
      </c>
      <c r="G903" s="24">
        <v>0.2</v>
      </c>
      <c r="H903" s="24">
        <v>0.05</v>
      </c>
      <c r="I903" s="24">
        <v>0.05</v>
      </c>
      <c r="J903" s="24">
        <v>0</v>
      </c>
      <c r="K903" s="224">
        <f t="shared" si="118"/>
        <v>0.27800000000000014</v>
      </c>
      <c r="L903" s="225">
        <f t="shared" si="119"/>
        <v>4565.0969529085878</v>
      </c>
      <c r="M903" s="225">
        <f t="shared" si="120"/>
        <v>142.65927977839337</v>
      </c>
      <c r="N903" s="226">
        <f t="shared" si="121"/>
        <v>169.76454293628811</v>
      </c>
      <c r="O903" s="34">
        <v>0.3</v>
      </c>
      <c r="P903" s="226">
        <f t="shared" si="122"/>
        <v>220.69390581717454</v>
      </c>
      <c r="Q903" s="107" t="s">
        <v>1486</v>
      </c>
      <c r="R903" s="34">
        <v>0.3</v>
      </c>
      <c r="S903" s="226">
        <f t="shared" si="115"/>
        <v>175.1</v>
      </c>
      <c r="T903" s="156" t="s">
        <v>1486</v>
      </c>
      <c r="U903" s="2"/>
      <c r="V903" s="2" t="s">
        <v>47</v>
      </c>
      <c r="W903" s="2" t="s">
        <v>5963</v>
      </c>
      <c r="X903" s="2"/>
      <c r="Y903" s="488" t="s">
        <v>1486</v>
      </c>
      <c r="Z903" s="293">
        <f t="shared" ref="Z903:Z909" si="123">+M903-F903</f>
        <v>39.659279778393369</v>
      </c>
      <c r="AA903" s="293">
        <f t="shared" ref="AA903:AA909" si="124">+(S903/1.19)-F903</f>
        <v>44.142857142857139</v>
      </c>
    </row>
    <row r="904" spans="1:27" s="320" customFormat="1" ht="15" customHeight="1" x14ac:dyDescent="0.25">
      <c r="A904" s="220" t="s">
        <v>3174</v>
      </c>
      <c r="B904" s="221" t="s">
        <v>3222</v>
      </c>
      <c r="C904" s="223" t="s">
        <v>3024</v>
      </c>
      <c r="D904" s="220" t="s">
        <v>3220</v>
      </c>
      <c r="E904" s="222">
        <v>32</v>
      </c>
      <c r="F904" s="192">
        <v>103</v>
      </c>
      <c r="G904" s="24">
        <v>0.2</v>
      </c>
      <c r="H904" s="24">
        <v>0.05</v>
      </c>
      <c r="I904" s="24">
        <v>0.05</v>
      </c>
      <c r="J904" s="24">
        <v>0</v>
      </c>
      <c r="K904" s="224">
        <f t="shared" si="118"/>
        <v>0.27800000000000014</v>
      </c>
      <c r="L904" s="225">
        <f t="shared" si="119"/>
        <v>4565.0969529085878</v>
      </c>
      <c r="M904" s="225">
        <f t="shared" si="120"/>
        <v>142.65927977839337</v>
      </c>
      <c r="N904" s="226">
        <f t="shared" si="121"/>
        <v>169.76454293628811</v>
      </c>
      <c r="O904" s="34">
        <v>0.3</v>
      </c>
      <c r="P904" s="226">
        <f t="shared" si="122"/>
        <v>220.69390581717454</v>
      </c>
      <c r="Q904" s="107" t="s">
        <v>1486</v>
      </c>
      <c r="R904" s="34">
        <v>0.3</v>
      </c>
      <c r="S904" s="226">
        <f t="shared" si="115"/>
        <v>175.1</v>
      </c>
      <c r="T904" s="156" t="s">
        <v>1486</v>
      </c>
      <c r="U904" s="2"/>
      <c r="V904" s="2" t="s">
        <v>47</v>
      </c>
      <c r="W904" s="2" t="s">
        <v>5963</v>
      </c>
      <c r="X904" s="2"/>
      <c r="Y904" s="488" t="s">
        <v>1486</v>
      </c>
      <c r="Z904" s="293">
        <f t="shared" si="123"/>
        <v>39.659279778393369</v>
      </c>
      <c r="AA904" s="293">
        <f t="shared" si="124"/>
        <v>44.142857142857139</v>
      </c>
    </row>
    <row r="905" spans="1:27" s="320" customFormat="1" ht="15" customHeight="1" x14ac:dyDescent="0.25">
      <c r="A905" s="220" t="s">
        <v>3229</v>
      </c>
      <c r="B905" s="221" t="s">
        <v>3223</v>
      </c>
      <c r="C905" s="223" t="s">
        <v>3024</v>
      </c>
      <c r="D905" s="220" t="s">
        <v>3220</v>
      </c>
      <c r="E905" s="222">
        <v>32</v>
      </c>
      <c r="F905" s="192">
        <v>103</v>
      </c>
      <c r="G905" s="24">
        <v>0.2</v>
      </c>
      <c r="H905" s="24">
        <v>0.05</v>
      </c>
      <c r="I905" s="24">
        <v>0.05</v>
      </c>
      <c r="J905" s="24">
        <v>0</v>
      </c>
      <c r="K905" s="224">
        <f t="shared" si="118"/>
        <v>0.27800000000000014</v>
      </c>
      <c r="L905" s="225">
        <f t="shared" si="119"/>
        <v>4565.0969529085878</v>
      </c>
      <c r="M905" s="225">
        <f t="shared" si="120"/>
        <v>142.65927977839337</v>
      </c>
      <c r="N905" s="226">
        <f t="shared" si="121"/>
        <v>169.76454293628811</v>
      </c>
      <c r="O905" s="34">
        <v>0.3</v>
      </c>
      <c r="P905" s="226">
        <f t="shared" si="122"/>
        <v>220.69390581717454</v>
      </c>
      <c r="Q905" s="107" t="s">
        <v>1486</v>
      </c>
      <c r="R905" s="34">
        <v>0.3</v>
      </c>
      <c r="S905" s="226">
        <f t="shared" si="115"/>
        <v>175.1</v>
      </c>
      <c r="T905" s="156" t="s">
        <v>1486</v>
      </c>
      <c r="U905" s="2"/>
      <c r="V905" s="2" t="s">
        <v>47</v>
      </c>
      <c r="W905" s="2" t="s">
        <v>5963</v>
      </c>
      <c r="X905" s="2"/>
      <c r="Y905" s="488" t="s">
        <v>1486</v>
      </c>
      <c r="Z905" s="293">
        <f t="shared" si="123"/>
        <v>39.659279778393369</v>
      </c>
      <c r="AA905" s="293">
        <f t="shared" si="124"/>
        <v>44.142857142857139</v>
      </c>
    </row>
    <row r="906" spans="1:27" s="320" customFormat="1" ht="15" customHeight="1" x14ac:dyDescent="0.25">
      <c r="A906" s="220" t="s">
        <v>3230</v>
      </c>
      <c r="B906" s="221" t="s">
        <v>3226</v>
      </c>
      <c r="C906" s="223" t="s">
        <v>3024</v>
      </c>
      <c r="D906" s="220" t="s">
        <v>3225</v>
      </c>
      <c r="E906" s="222">
        <v>30</v>
      </c>
      <c r="F906" s="192">
        <v>1630</v>
      </c>
      <c r="G906" s="24">
        <v>0.2</v>
      </c>
      <c r="H906" s="24">
        <v>0.05</v>
      </c>
      <c r="I906" s="24">
        <v>0.05</v>
      </c>
      <c r="J906" s="24">
        <v>0</v>
      </c>
      <c r="K906" s="224">
        <f t="shared" si="118"/>
        <v>0.27800000000000014</v>
      </c>
      <c r="L906" s="225">
        <f t="shared" si="119"/>
        <v>67728.531855955691</v>
      </c>
      <c r="M906" s="225">
        <f t="shared" si="120"/>
        <v>2257.6177285318563</v>
      </c>
      <c r="N906" s="226">
        <f t="shared" si="121"/>
        <v>2686.5650969529088</v>
      </c>
      <c r="O906" s="34">
        <v>0.3</v>
      </c>
      <c r="P906" s="226">
        <f t="shared" si="122"/>
        <v>3492.5346260387814</v>
      </c>
      <c r="Q906" s="107" t="s">
        <v>1486</v>
      </c>
      <c r="R906" s="34">
        <v>0.3</v>
      </c>
      <c r="S906" s="226">
        <f t="shared" si="115"/>
        <v>2771.0000000000005</v>
      </c>
      <c r="T906" s="156" t="s">
        <v>1486</v>
      </c>
      <c r="U906" s="2"/>
      <c r="V906" s="2" t="s">
        <v>47</v>
      </c>
      <c r="W906" s="2" t="s">
        <v>5963</v>
      </c>
      <c r="X906" s="2"/>
      <c r="Y906" s="488" t="s">
        <v>1486</v>
      </c>
      <c r="Z906" s="293">
        <f t="shared" si="123"/>
        <v>627.6177285318563</v>
      </c>
      <c r="AA906" s="293">
        <f t="shared" si="124"/>
        <v>698.5714285714289</v>
      </c>
    </row>
    <row r="907" spans="1:27" s="320" customFormat="1" ht="15" customHeight="1" x14ac:dyDescent="0.25">
      <c r="A907" s="220" t="s">
        <v>3231</v>
      </c>
      <c r="B907" s="221" t="s">
        <v>3224</v>
      </c>
      <c r="C907" s="223" t="s">
        <v>3024</v>
      </c>
      <c r="D907" s="220" t="s">
        <v>3225</v>
      </c>
      <c r="E907" s="222">
        <v>5</v>
      </c>
      <c r="F907" s="192">
        <v>2675</v>
      </c>
      <c r="G907" s="24">
        <v>0.2</v>
      </c>
      <c r="H907" s="24">
        <v>0.05</v>
      </c>
      <c r="I907" s="24">
        <v>0.05</v>
      </c>
      <c r="J907" s="24">
        <v>0</v>
      </c>
      <c r="K907" s="224">
        <f t="shared" si="118"/>
        <v>0.27800000000000014</v>
      </c>
      <c r="L907" s="225">
        <f t="shared" si="119"/>
        <v>18524.930747922441</v>
      </c>
      <c r="M907" s="225">
        <f t="shared" si="120"/>
        <v>3704.986149584488</v>
      </c>
      <c r="N907" s="226">
        <f t="shared" si="121"/>
        <v>4408.9335180055405</v>
      </c>
      <c r="O907" s="34">
        <v>0.3</v>
      </c>
      <c r="P907" s="226">
        <f t="shared" si="122"/>
        <v>5731.6135734072031</v>
      </c>
      <c r="Q907" s="107" t="s">
        <v>1486</v>
      </c>
      <c r="R907" s="34">
        <v>0.3</v>
      </c>
      <c r="S907" s="226">
        <f t="shared" si="115"/>
        <v>4547.5</v>
      </c>
      <c r="T907" s="156" t="s">
        <v>1486</v>
      </c>
      <c r="U907" s="2"/>
      <c r="V907" s="2" t="s">
        <v>47</v>
      </c>
      <c r="W907" s="2" t="s">
        <v>5963</v>
      </c>
      <c r="X907" s="2"/>
      <c r="Y907" s="488" t="s">
        <v>1486</v>
      </c>
      <c r="Z907" s="293">
        <f t="shared" si="123"/>
        <v>1029.986149584488</v>
      </c>
      <c r="AA907" s="293">
        <f t="shared" si="124"/>
        <v>1146.4285714285716</v>
      </c>
    </row>
    <row r="908" spans="1:27" s="320" customFormat="1" ht="15" customHeight="1" x14ac:dyDescent="0.3">
      <c r="A908" s="220" t="s">
        <v>3232</v>
      </c>
      <c r="B908" s="221" t="s">
        <v>3227</v>
      </c>
      <c r="C908" s="223" t="s">
        <v>3024</v>
      </c>
      <c r="D908" s="220" t="s">
        <v>3225</v>
      </c>
      <c r="E908" s="222">
        <v>30</v>
      </c>
      <c r="F908" s="192">
        <v>1655</v>
      </c>
      <c r="G908" s="24">
        <v>0.2</v>
      </c>
      <c r="H908" s="24">
        <v>0.05</v>
      </c>
      <c r="I908" s="24">
        <v>0.05</v>
      </c>
      <c r="J908" s="24">
        <v>0</v>
      </c>
      <c r="K908" s="224">
        <f t="shared" si="118"/>
        <v>0.27800000000000002</v>
      </c>
      <c r="L908" s="225">
        <f t="shared" si="119"/>
        <v>68767.313019390582</v>
      </c>
      <c r="M908" s="225">
        <f t="shared" si="120"/>
        <v>2292.2437673130194</v>
      </c>
      <c r="N908" s="226">
        <f t="shared" si="121"/>
        <v>2727.7700831024931</v>
      </c>
      <c r="O908" s="34">
        <v>0.3</v>
      </c>
      <c r="P908" s="226">
        <f t="shared" si="122"/>
        <v>3546.101108033241</v>
      </c>
      <c r="Q908" s="107" t="s">
        <v>1486</v>
      </c>
      <c r="R908" s="34">
        <v>0.3</v>
      </c>
      <c r="S908" s="226">
        <f t="shared" si="115"/>
        <v>2813.5</v>
      </c>
      <c r="T908" s="156" t="s">
        <v>1486</v>
      </c>
      <c r="U908" s="2"/>
      <c r="V908" s="2" t="s">
        <v>47</v>
      </c>
      <c r="W908" s="2" t="s">
        <v>5963</v>
      </c>
      <c r="X908" s="2"/>
      <c r="Y908" s="488" t="s">
        <v>1486</v>
      </c>
      <c r="Z908" s="293">
        <f t="shared" si="123"/>
        <v>637.24376731301936</v>
      </c>
      <c r="AA908" s="293">
        <f t="shared" si="124"/>
        <v>709.28571428571422</v>
      </c>
    </row>
    <row r="909" spans="1:27" s="320" customFormat="1" x14ac:dyDescent="0.25">
      <c r="A909" s="220" t="s">
        <v>3233</v>
      </c>
      <c r="B909" s="221" t="s">
        <v>3228</v>
      </c>
      <c r="C909" s="223" t="s">
        <v>3024</v>
      </c>
      <c r="D909" s="220" t="s">
        <v>3225</v>
      </c>
      <c r="E909" s="222">
        <v>10</v>
      </c>
      <c r="F909" s="192">
        <v>4684</v>
      </c>
      <c r="G909" s="24">
        <v>0.2</v>
      </c>
      <c r="H909" s="24">
        <v>0.05</v>
      </c>
      <c r="I909" s="24">
        <v>0.05</v>
      </c>
      <c r="J909" s="24">
        <v>0</v>
      </c>
      <c r="K909" s="224">
        <f t="shared" si="118"/>
        <v>0.27800000000000014</v>
      </c>
      <c r="L909" s="225">
        <f t="shared" si="119"/>
        <v>64875.346260387822</v>
      </c>
      <c r="M909" s="225">
        <f t="shared" si="120"/>
        <v>6487.5346260387823</v>
      </c>
      <c r="N909" s="226">
        <f t="shared" si="121"/>
        <v>7720.1662049861507</v>
      </c>
      <c r="O909" s="34">
        <v>0.3</v>
      </c>
      <c r="P909" s="226">
        <f t="shared" si="122"/>
        <v>10036.216066481997</v>
      </c>
      <c r="Q909" s="107" t="s">
        <v>1486</v>
      </c>
      <c r="R909" s="34">
        <v>0.3</v>
      </c>
      <c r="S909" s="226">
        <f t="shared" si="115"/>
        <v>7962.8</v>
      </c>
      <c r="T909" s="156" t="s">
        <v>1486</v>
      </c>
      <c r="U909" s="2"/>
      <c r="V909" s="2" t="s">
        <v>47</v>
      </c>
      <c r="W909" s="2" t="s">
        <v>5963</v>
      </c>
      <c r="X909" s="2"/>
      <c r="Y909" s="488" t="s">
        <v>1486</v>
      </c>
      <c r="Z909" s="293">
        <f t="shared" si="123"/>
        <v>1803.5346260387823</v>
      </c>
      <c r="AA909" s="293">
        <f t="shared" si="124"/>
        <v>2007.4285714285716</v>
      </c>
    </row>
    <row r="910" spans="1:27" s="320" customFormat="1" x14ac:dyDescent="0.25">
      <c r="A910" s="220" t="s">
        <v>3234</v>
      </c>
      <c r="B910" s="221" t="s">
        <v>3244</v>
      </c>
      <c r="C910" s="223" t="s">
        <v>3024</v>
      </c>
      <c r="D910" s="220" t="s">
        <v>3243</v>
      </c>
      <c r="E910" s="222">
        <v>24</v>
      </c>
      <c r="F910" s="192">
        <v>1272</v>
      </c>
      <c r="G910" s="24">
        <v>0.2</v>
      </c>
      <c r="H910" s="24">
        <v>0.05</v>
      </c>
      <c r="I910" s="24">
        <v>0.05</v>
      </c>
      <c r="J910" s="24">
        <v>0</v>
      </c>
      <c r="K910" s="224">
        <f t="shared" si="118"/>
        <v>0.27800000000000002</v>
      </c>
      <c r="L910" s="225">
        <f t="shared" si="119"/>
        <v>42282.5484764543</v>
      </c>
      <c r="M910" s="225">
        <f t="shared" si="120"/>
        <v>1761.7728531855957</v>
      </c>
      <c r="N910" s="226">
        <f t="shared" si="121"/>
        <v>2096.5096952908589</v>
      </c>
      <c r="O910" s="34">
        <v>0.3</v>
      </c>
      <c r="P910" s="226">
        <f t="shared" si="122"/>
        <v>2725.4626038781166</v>
      </c>
      <c r="Q910" s="107" t="s">
        <v>1486</v>
      </c>
      <c r="R910" s="34">
        <v>0.28786540584179066</v>
      </c>
      <c r="S910" s="226">
        <f t="shared" si="115"/>
        <v>2125.5532485249796</v>
      </c>
      <c r="T910" s="156" t="s">
        <v>1486</v>
      </c>
      <c r="U910" s="2"/>
      <c r="V910" s="2" t="s">
        <v>47</v>
      </c>
      <c r="W910" s="2"/>
      <c r="X910" s="2"/>
      <c r="Y910" s="488" t="s">
        <v>1486</v>
      </c>
      <c r="Z910" s="293"/>
      <c r="AA910" s="293"/>
    </row>
    <row r="911" spans="1:27" s="320" customFormat="1" x14ac:dyDescent="0.25">
      <c r="A911" s="220" t="s">
        <v>3235</v>
      </c>
      <c r="B911" s="221" t="s">
        <v>3245</v>
      </c>
      <c r="C911" s="223" t="s">
        <v>3024</v>
      </c>
      <c r="D911" s="220" t="s">
        <v>3243</v>
      </c>
      <c r="E911" s="222">
        <v>12</v>
      </c>
      <c r="F911" s="192">
        <v>1809.8526315789475</v>
      </c>
      <c r="G911" s="24">
        <v>0.2</v>
      </c>
      <c r="H911" s="24">
        <v>0.05</v>
      </c>
      <c r="I911" s="24">
        <v>0.05</v>
      </c>
      <c r="J911" s="24">
        <v>0</v>
      </c>
      <c r="K911" s="224">
        <f t="shared" si="118"/>
        <v>0.27800000000000002</v>
      </c>
      <c r="L911" s="225">
        <f t="shared" si="119"/>
        <v>30080.653156436802</v>
      </c>
      <c r="M911" s="225">
        <f t="shared" si="120"/>
        <v>2506.7210963697335</v>
      </c>
      <c r="N911" s="226">
        <f t="shared" si="121"/>
        <v>2982.9981046799826</v>
      </c>
      <c r="O911" s="34">
        <v>0.3</v>
      </c>
      <c r="P911" s="226">
        <f t="shared" si="122"/>
        <v>3877.8975360839777</v>
      </c>
      <c r="Q911" s="107" t="s">
        <v>1486</v>
      </c>
      <c r="R911" s="34">
        <v>0.28786540584179066</v>
      </c>
      <c r="S911" s="226">
        <f t="shared" si="115"/>
        <v>3024.3224374246188</v>
      </c>
      <c r="T911" s="156" t="s">
        <v>1486</v>
      </c>
      <c r="U911" s="2"/>
      <c r="V911" s="2" t="s">
        <v>47</v>
      </c>
      <c r="W911" s="2"/>
      <c r="X911" s="2"/>
      <c r="Y911" s="488" t="s">
        <v>1486</v>
      </c>
      <c r="Z911" s="293"/>
      <c r="AA911" s="293"/>
    </row>
    <row r="912" spans="1:27" s="320" customFormat="1" x14ac:dyDescent="0.25">
      <c r="A912" s="220" t="s">
        <v>3256</v>
      </c>
      <c r="B912" s="221" t="s">
        <v>3246</v>
      </c>
      <c r="C912" s="223" t="s">
        <v>3024</v>
      </c>
      <c r="D912" s="220" t="s">
        <v>3243</v>
      </c>
      <c r="E912" s="222">
        <v>60</v>
      </c>
      <c r="F912" s="192">
        <v>528.25263157894744</v>
      </c>
      <c r="G912" s="24">
        <v>0.2</v>
      </c>
      <c r="H912" s="24">
        <v>0.05</v>
      </c>
      <c r="I912" s="24">
        <v>0.05</v>
      </c>
      <c r="J912" s="24">
        <v>0</v>
      </c>
      <c r="K912" s="224">
        <f t="shared" si="118"/>
        <v>0.27800000000000002</v>
      </c>
      <c r="L912" s="225">
        <f t="shared" si="119"/>
        <v>43899.110657530255</v>
      </c>
      <c r="M912" s="225">
        <f t="shared" si="120"/>
        <v>731.65184429217095</v>
      </c>
      <c r="N912" s="226">
        <f t="shared" si="121"/>
        <v>870.66569470768343</v>
      </c>
      <c r="O912" s="34">
        <v>0.3</v>
      </c>
      <c r="P912" s="226">
        <f t="shared" si="122"/>
        <v>1131.8654031199885</v>
      </c>
      <c r="Q912" s="107" t="s">
        <v>1486</v>
      </c>
      <c r="R912" s="34">
        <v>0.28786540584179066</v>
      </c>
      <c r="S912" s="226">
        <f t="shared" si="115"/>
        <v>882.72727759001646</v>
      </c>
      <c r="T912" s="156" t="s">
        <v>1486</v>
      </c>
      <c r="U912" s="2"/>
      <c r="V912" s="2" t="s">
        <v>47</v>
      </c>
      <c r="W912" s="2"/>
      <c r="X912" s="2"/>
      <c r="Y912" s="488" t="s">
        <v>1486</v>
      </c>
      <c r="Z912" s="293"/>
      <c r="AA912" s="293"/>
    </row>
    <row r="913" spans="1:27" s="320" customFormat="1" x14ac:dyDescent="0.25">
      <c r="A913" s="220" t="s">
        <v>3257</v>
      </c>
      <c r="B913" s="221" t="s">
        <v>3271</v>
      </c>
      <c r="C913" s="223" t="s">
        <v>3024</v>
      </c>
      <c r="D913" s="220" t="s">
        <v>3243</v>
      </c>
      <c r="E913" s="222">
        <v>16</v>
      </c>
      <c r="F913" s="192">
        <v>1256.5894736842106</v>
      </c>
      <c r="G913" s="24">
        <v>0.2</v>
      </c>
      <c r="H913" s="24">
        <v>0.05</v>
      </c>
      <c r="I913" s="24">
        <v>0.05</v>
      </c>
      <c r="J913" s="24">
        <v>0</v>
      </c>
      <c r="K913" s="224">
        <f t="shared" si="118"/>
        <v>0.27800000000000002</v>
      </c>
      <c r="L913" s="225">
        <f t="shared" si="119"/>
        <v>27846.858142586385</v>
      </c>
      <c r="M913" s="225">
        <f t="shared" si="120"/>
        <v>1740.4286339116491</v>
      </c>
      <c r="N913" s="226">
        <f t="shared" si="121"/>
        <v>2071.1100743548623</v>
      </c>
      <c r="O913" s="34">
        <v>0.3</v>
      </c>
      <c r="P913" s="226">
        <f t="shared" si="122"/>
        <v>2692.4430966613209</v>
      </c>
      <c r="Q913" s="107" t="s">
        <v>1486</v>
      </c>
      <c r="R913" s="34">
        <v>0.28786540584179066</v>
      </c>
      <c r="S913" s="226">
        <f t="shared" si="115"/>
        <v>2099.8017593174282</v>
      </c>
      <c r="T913" s="156" t="s">
        <v>1486</v>
      </c>
      <c r="U913" s="2"/>
      <c r="V913" s="2" t="s">
        <v>47</v>
      </c>
      <c r="W913" s="2"/>
      <c r="X913" s="2"/>
      <c r="Y913" s="488" t="s">
        <v>1486</v>
      </c>
      <c r="Z913" s="293"/>
      <c r="AA913" s="293"/>
    </row>
    <row r="914" spans="1:27" s="320" customFormat="1" x14ac:dyDescent="0.25">
      <c r="A914" s="220" t="s">
        <v>3258</v>
      </c>
      <c r="B914" s="221" t="s">
        <v>3247</v>
      </c>
      <c r="C914" s="223" t="s">
        <v>3024</v>
      </c>
      <c r="D914" s="220" t="s">
        <v>3243</v>
      </c>
      <c r="E914" s="222">
        <v>1</v>
      </c>
      <c r="F914" s="192">
        <v>12079.439999999999</v>
      </c>
      <c r="G914" s="24">
        <v>0.2</v>
      </c>
      <c r="H914" s="24">
        <v>0.05</v>
      </c>
      <c r="I914" s="24">
        <v>0.05</v>
      </c>
      <c r="J914" s="24">
        <v>0</v>
      </c>
      <c r="K914" s="224">
        <f t="shared" si="118"/>
        <v>0.27800000000000002</v>
      </c>
      <c r="L914" s="225">
        <f t="shared" si="119"/>
        <v>16730.526315789473</v>
      </c>
      <c r="M914" s="225">
        <f t="shared" si="120"/>
        <v>16730.526315789473</v>
      </c>
      <c r="N914" s="226">
        <f t="shared" si="121"/>
        <v>19909.326315789473</v>
      </c>
      <c r="O914" s="34">
        <v>0.3</v>
      </c>
      <c r="P914" s="226">
        <f t="shared" si="122"/>
        <v>25882.124210526315</v>
      </c>
      <c r="Q914" s="107" t="s">
        <v>1486</v>
      </c>
      <c r="R914" s="34">
        <v>0.28786540584179066</v>
      </c>
      <c r="S914" s="226">
        <f t="shared" si="115"/>
        <v>20185.135953115234</v>
      </c>
      <c r="T914" s="156" t="s">
        <v>1486</v>
      </c>
      <c r="U914" s="2"/>
      <c r="V914" s="2" t="s">
        <v>47</v>
      </c>
      <c r="W914" s="2"/>
      <c r="X914" s="2"/>
      <c r="Y914" s="488" t="s">
        <v>1486</v>
      </c>
      <c r="Z914" s="293"/>
      <c r="AA914" s="293"/>
    </row>
    <row r="915" spans="1:27" s="320" customFormat="1" x14ac:dyDescent="0.25">
      <c r="A915" s="220" t="s">
        <v>3259</v>
      </c>
      <c r="B915" s="221" t="s">
        <v>3248</v>
      </c>
      <c r="C915" s="223" t="s">
        <v>3024</v>
      </c>
      <c r="D915" s="220" t="s">
        <v>3243</v>
      </c>
      <c r="E915" s="222">
        <v>6</v>
      </c>
      <c r="F915" s="192">
        <v>1861.3894736842105</v>
      </c>
      <c r="G915" s="24">
        <v>0.2</v>
      </c>
      <c r="H915" s="24">
        <v>0.05</v>
      </c>
      <c r="I915" s="24">
        <v>0.05</v>
      </c>
      <c r="J915" s="24">
        <v>0</v>
      </c>
      <c r="K915" s="224">
        <f t="shared" si="118"/>
        <v>0.27799999999999991</v>
      </c>
      <c r="L915" s="225">
        <f t="shared" si="119"/>
        <v>15468.610584633327</v>
      </c>
      <c r="M915" s="225">
        <f t="shared" si="120"/>
        <v>2578.1017641055546</v>
      </c>
      <c r="N915" s="226">
        <f t="shared" si="121"/>
        <v>3067.9410992856097</v>
      </c>
      <c r="O915" s="34">
        <v>0.3</v>
      </c>
      <c r="P915" s="226">
        <f t="shared" si="122"/>
        <v>3988.3234290712926</v>
      </c>
      <c r="Q915" s="107" t="s">
        <v>1486</v>
      </c>
      <c r="R915" s="34">
        <v>0.28786540584179066</v>
      </c>
      <c r="S915" s="226">
        <f t="shared" si="115"/>
        <v>3110.4421718236445</v>
      </c>
      <c r="T915" s="156" t="s">
        <v>1486</v>
      </c>
      <c r="U915" s="2"/>
      <c r="V915" s="2" t="s">
        <v>47</v>
      </c>
      <c r="W915" s="2"/>
      <c r="X915" s="2"/>
      <c r="Y915" s="488" t="s">
        <v>1486</v>
      </c>
      <c r="Z915" s="293"/>
      <c r="AA915" s="293"/>
    </row>
    <row r="916" spans="1:27" s="320" customFormat="1" x14ac:dyDescent="0.25">
      <c r="A916" s="220" t="s">
        <v>3260</v>
      </c>
      <c r="B916" s="221" t="s">
        <v>3249</v>
      </c>
      <c r="C916" s="223" t="s">
        <v>3024</v>
      </c>
      <c r="D916" s="220" t="s">
        <v>3243</v>
      </c>
      <c r="E916" s="222">
        <v>6</v>
      </c>
      <c r="F916" s="192">
        <v>2194.1052631578946</v>
      </c>
      <c r="G916" s="24">
        <v>0.2</v>
      </c>
      <c r="H916" s="24">
        <v>0.05</v>
      </c>
      <c r="I916" s="24">
        <v>0.05</v>
      </c>
      <c r="J916" s="24">
        <v>0</v>
      </c>
      <c r="K916" s="224">
        <f t="shared" si="118"/>
        <v>0.27800000000000002</v>
      </c>
      <c r="L916" s="225">
        <f t="shared" si="119"/>
        <v>18233.561743694416</v>
      </c>
      <c r="M916" s="225">
        <f t="shared" si="120"/>
        <v>3038.9269572824023</v>
      </c>
      <c r="N916" s="226">
        <f t="shared" si="121"/>
        <v>3616.3230791660585</v>
      </c>
      <c r="O916" s="34">
        <v>0.3</v>
      </c>
      <c r="P916" s="226">
        <f t="shared" si="122"/>
        <v>4701.2200029158766</v>
      </c>
      <c r="Q916" s="107" t="s">
        <v>1486</v>
      </c>
      <c r="R916" s="34">
        <v>0.28786540584179066</v>
      </c>
      <c r="S916" s="226">
        <f t="shared" si="115"/>
        <v>3666.4210453702976</v>
      </c>
      <c r="T916" s="156" t="s">
        <v>1486</v>
      </c>
      <c r="U916" s="2"/>
      <c r="V916" s="2" t="s">
        <v>47</v>
      </c>
      <c r="W916" s="2"/>
      <c r="X916" s="2"/>
      <c r="Y916" s="488" t="s">
        <v>1486</v>
      </c>
      <c r="Z916" s="293"/>
      <c r="AA916" s="293"/>
    </row>
    <row r="917" spans="1:27" s="320" customFormat="1" x14ac:dyDescent="0.25">
      <c r="A917" s="220" t="s">
        <v>3261</v>
      </c>
      <c r="B917" s="221" t="s">
        <v>3250</v>
      </c>
      <c r="C917" s="223" t="s">
        <v>3024</v>
      </c>
      <c r="D917" s="220" t="s">
        <v>3243</v>
      </c>
      <c r="E917" s="222">
        <v>6</v>
      </c>
      <c r="F917" s="192">
        <v>2194.1052631578946</v>
      </c>
      <c r="G917" s="24">
        <v>0.2</v>
      </c>
      <c r="H917" s="24">
        <v>0.05</v>
      </c>
      <c r="I917" s="24">
        <v>0.05</v>
      </c>
      <c r="J917" s="24">
        <v>0</v>
      </c>
      <c r="K917" s="224">
        <f t="shared" si="118"/>
        <v>0.27800000000000002</v>
      </c>
      <c r="L917" s="225">
        <f t="shared" si="119"/>
        <v>18233.561743694416</v>
      </c>
      <c r="M917" s="225">
        <f t="shared" si="120"/>
        <v>3038.9269572824023</v>
      </c>
      <c r="N917" s="226">
        <f t="shared" si="121"/>
        <v>3616.3230791660585</v>
      </c>
      <c r="O917" s="34">
        <v>0.3</v>
      </c>
      <c r="P917" s="226">
        <f t="shared" si="122"/>
        <v>4701.2200029158766</v>
      </c>
      <c r="Q917" s="107" t="s">
        <v>1486</v>
      </c>
      <c r="R917" s="34">
        <v>0.28786540584179066</v>
      </c>
      <c r="S917" s="226">
        <f t="shared" si="115"/>
        <v>3666.4210453702976</v>
      </c>
      <c r="T917" s="156" t="s">
        <v>1486</v>
      </c>
      <c r="U917" s="2"/>
      <c r="V917" s="2" t="s">
        <v>47</v>
      </c>
      <c r="W917" s="2"/>
      <c r="X917" s="2"/>
      <c r="Y917" s="488" t="s">
        <v>1486</v>
      </c>
      <c r="Z917" s="293"/>
      <c r="AA917" s="293"/>
    </row>
    <row r="918" spans="1:27" s="320" customFormat="1" x14ac:dyDescent="0.25">
      <c r="A918" s="220" t="s">
        <v>3262</v>
      </c>
      <c r="B918" s="221" t="s">
        <v>3251</v>
      </c>
      <c r="C918" s="223" t="s">
        <v>3024</v>
      </c>
      <c r="D918" s="220" t="s">
        <v>3243</v>
      </c>
      <c r="E918" s="222">
        <v>6</v>
      </c>
      <c r="F918" s="192">
        <v>3277.136842105263</v>
      </c>
      <c r="G918" s="24">
        <v>0.2</v>
      </c>
      <c r="H918" s="24">
        <v>0.05</v>
      </c>
      <c r="I918" s="24">
        <v>0.05</v>
      </c>
      <c r="J918" s="24">
        <v>0</v>
      </c>
      <c r="K918" s="224">
        <f t="shared" si="118"/>
        <v>0.27799999999999991</v>
      </c>
      <c r="L918" s="225">
        <f t="shared" si="119"/>
        <v>27233.824172619912</v>
      </c>
      <c r="M918" s="225">
        <f t="shared" si="120"/>
        <v>4538.970695436652</v>
      </c>
      <c r="N918" s="226">
        <f t="shared" si="121"/>
        <v>5401.3751275696159</v>
      </c>
      <c r="O918" s="34">
        <v>0.3</v>
      </c>
      <c r="P918" s="226">
        <f t="shared" si="122"/>
        <v>7021.7876658405012</v>
      </c>
      <c r="Q918" s="107" t="s">
        <v>1486</v>
      </c>
      <c r="R918" s="34">
        <v>0.28786540584179066</v>
      </c>
      <c r="S918" s="226">
        <f t="shared" si="115"/>
        <v>5476.2019344321825</v>
      </c>
      <c r="T918" s="156" t="s">
        <v>1486</v>
      </c>
      <c r="U918" s="2"/>
      <c r="V918" s="2" t="s">
        <v>47</v>
      </c>
      <c r="W918" s="2"/>
      <c r="X918" s="2"/>
      <c r="Y918" s="488" t="s">
        <v>1486</v>
      </c>
      <c r="Z918" s="293"/>
      <c r="AA918" s="293"/>
    </row>
    <row r="919" spans="1:27" s="320" customFormat="1" x14ac:dyDescent="0.25">
      <c r="A919" s="220" t="s">
        <v>3263</v>
      </c>
      <c r="B919" s="221" t="s">
        <v>3252</v>
      </c>
      <c r="C919" s="223" t="s">
        <v>3024</v>
      </c>
      <c r="D919" s="220" t="s">
        <v>3243</v>
      </c>
      <c r="E919" s="222">
        <v>1000</v>
      </c>
      <c r="F919" s="192">
        <v>20.88</v>
      </c>
      <c r="G919" s="24">
        <v>0.2</v>
      </c>
      <c r="H919" s="24">
        <v>0.05</v>
      </c>
      <c r="I919" s="24">
        <v>0.05</v>
      </c>
      <c r="J919" s="24">
        <v>0</v>
      </c>
      <c r="K919" s="224">
        <f t="shared" si="118"/>
        <v>0.27800000000000002</v>
      </c>
      <c r="L919" s="225">
        <f t="shared" si="119"/>
        <v>28919.6675900277</v>
      </c>
      <c r="M919" s="225">
        <f t="shared" si="120"/>
        <v>28.9196675900277</v>
      </c>
      <c r="N919" s="226">
        <f t="shared" si="121"/>
        <v>34.414404432132962</v>
      </c>
      <c r="O919" s="34">
        <v>0.3</v>
      </c>
      <c r="P919" s="226">
        <f t="shared" si="122"/>
        <v>44.738725761772855</v>
      </c>
      <c r="Q919" s="107" t="s">
        <v>1486</v>
      </c>
      <c r="R919" s="34">
        <v>0.28786540584179066</v>
      </c>
      <c r="S919" s="226">
        <f t="shared" si="115"/>
        <v>34.891157098428913</v>
      </c>
      <c r="T919" s="156" t="s">
        <v>1486</v>
      </c>
      <c r="U919" s="2"/>
      <c r="V919" s="2" t="s">
        <v>47</v>
      </c>
      <c r="W919" s="2"/>
      <c r="X919" s="2"/>
      <c r="Y919" s="488" t="s">
        <v>1486</v>
      </c>
      <c r="Z919" s="293"/>
      <c r="AA919" s="293"/>
    </row>
    <row r="920" spans="1:27" s="320" customFormat="1" x14ac:dyDescent="0.25">
      <c r="A920" s="220" t="s">
        <v>3264</v>
      </c>
      <c r="B920" s="221" t="s">
        <v>3253</v>
      </c>
      <c r="C920" s="223" t="s">
        <v>3024</v>
      </c>
      <c r="D920" s="220" t="s">
        <v>3243</v>
      </c>
      <c r="E920" s="222">
        <v>24</v>
      </c>
      <c r="F920" s="192">
        <v>578.84210526315792</v>
      </c>
      <c r="G920" s="24">
        <v>0.2</v>
      </c>
      <c r="H920" s="24">
        <v>0.05</v>
      </c>
      <c r="I920" s="24">
        <v>0.05</v>
      </c>
      <c r="J920" s="24">
        <v>0</v>
      </c>
      <c r="K920" s="224">
        <f t="shared" si="118"/>
        <v>0.27800000000000002</v>
      </c>
      <c r="L920" s="225">
        <f t="shared" si="119"/>
        <v>19241.288817611898</v>
      </c>
      <c r="M920" s="225">
        <f t="shared" si="120"/>
        <v>801.72036740049577</v>
      </c>
      <c r="N920" s="226">
        <f t="shared" si="121"/>
        <v>954.0472372065899</v>
      </c>
      <c r="O920" s="34">
        <v>0.3</v>
      </c>
      <c r="P920" s="226">
        <f t="shared" si="122"/>
        <v>1240.2614083685669</v>
      </c>
      <c r="Q920" s="107" t="s">
        <v>1486</v>
      </c>
      <c r="R920" s="34">
        <v>0.28786540584179066</v>
      </c>
      <c r="S920" s="226">
        <f t="shared" si="115"/>
        <v>967.2639286361192</v>
      </c>
      <c r="T920" s="156" t="s">
        <v>1486</v>
      </c>
      <c r="U920" s="2"/>
      <c r="V920" s="2" t="s">
        <v>47</v>
      </c>
      <c r="W920" s="2"/>
      <c r="X920" s="2"/>
      <c r="Y920" s="488" t="s">
        <v>1486</v>
      </c>
      <c r="Z920" s="293"/>
      <c r="AA920" s="293"/>
    </row>
    <row r="921" spans="1:27" s="320" customFormat="1" x14ac:dyDescent="0.25">
      <c r="A921" s="220" t="s">
        <v>3265</v>
      </c>
      <c r="B921" s="221" t="s">
        <v>3254</v>
      </c>
      <c r="C921" s="223" t="s">
        <v>3024</v>
      </c>
      <c r="D921" s="220" t="s">
        <v>3243</v>
      </c>
      <c r="E921" s="222">
        <v>12</v>
      </c>
      <c r="F921" s="192">
        <v>1036</v>
      </c>
      <c r="G921" s="24">
        <v>0.2</v>
      </c>
      <c r="H921" s="24">
        <v>0.05</v>
      </c>
      <c r="I921" s="24">
        <v>0.05</v>
      </c>
      <c r="J921" s="24">
        <v>0</v>
      </c>
      <c r="K921" s="224">
        <f t="shared" si="118"/>
        <v>0.27800000000000002</v>
      </c>
      <c r="L921" s="225">
        <f t="shared" si="119"/>
        <v>17218.836565096954</v>
      </c>
      <c r="M921" s="225">
        <f t="shared" si="120"/>
        <v>1434.9030470914129</v>
      </c>
      <c r="N921" s="226">
        <f t="shared" si="121"/>
        <v>1707.5346260387812</v>
      </c>
      <c r="O921" s="34">
        <v>0.3</v>
      </c>
      <c r="P921" s="226">
        <f t="shared" si="122"/>
        <v>2219.7950138504157</v>
      </c>
      <c r="Q921" s="107" t="s">
        <v>1486</v>
      </c>
      <c r="R921" s="34">
        <v>0.28786540584179066</v>
      </c>
      <c r="S921" s="226">
        <f t="shared" si="115"/>
        <v>1731.1895954967601</v>
      </c>
      <c r="T921" s="156" t="s">
        <v>1486</v>
      </c>
      <c r="U921" s="2"/>
      <c r="V921" s="2" t="s">
        <v>47</v>
      </c>
      <c r="W921" s="2"/>
      <c r="X921" s="2"/>
      <c r="Y921" s="488" t="s">
        <v>1486</v>
      </c>
      <c r="Z921" s="293"/>
      <c r="AA921" s="293"/>
    </row>
    <row r="922" spans="1:27" s="320" customFormat="1" x14ac:dyDescent="0.25">
      <c r="A922" s="220" t="s">
        <v>3266</v>
      </c>
      <c r="B922" s="221" t="s">
        <v>3369</v>
      </c>
      <c r="C922" s="223" t="s">
        <v>3024</v>
      </c>
      <c r="D922" s="220" t="s">
        <v>3243</v>
      </c>
      <c r="E922" s="222">
        <v>6</v>
      </c>
      <c r="F922" s="192">
        <v>253</v>
      </c>
      <c r="G922" s="24">
        <v>0.2</v>
      </c>
      <c r="H922" s="24">
        <v>0.05</v>
      </c>
      <c r="I922" s="24">
        <v>0.05</v>
      </c>
      <c r="J922" s="24">
        <v>0</v>
      </c>
      <c r="K922" s="224">
        <f t="shared" si="118"/>
        <v>0.27800000000000002</v>
      </c>
      <c r="L922" s="225">
        <f t="shared" si="119"/>
        <v>2102.493074792244</v>
      </c>
      <c r="M922" s="225">
        <f t="shared" si="120"/>
        <v>350.41551246537398</v>
      </c>
      <c r="N922" s="226">
        <f t="shared" si="121"/>
        <v>416.99445983379502</v>
      </c>
      <c r="O922" s="34">
        <v>0.3</v>
      </c>
      <c r="P922" s="226">
        <f t="shared" si="122"/>
        <v>542.09279778393352</v>
      </c>
      <c r="Q922" s="107" t="s">
        <v>1486</v>
      </c>
      <c r="R922" s="34">
        <v>0.28786540584179066</v>
      </c>
      <c r="S922" s="226">
        <f t="shared" si="115"/>
        <v>422.77120430567601</v>
      </c>
      <c r="T922" s="156" t="s">
        <v>1486</v>
      </c>
      <c r="U922" s="2"/>
      <c r="V922" s="2" t="s">
        <v>47</v>
      </c>
      <c r="W922" s="2"/>
      <c r="X922" s="2"/>
      <c r="Y922" s="488" t="s">
        <v>1486</v>
      </c>
      <c r="Z922" s="293"/>
      <c r="AA922" s="293"/>
    </row>
    <row r="923" spans="1:27" s="320" customFormat="1" x14ac:dyDescent="0.25">
      <c r="A923" s="220" t="s">
        <v>3267</v>
      </c>
      <c r="B923" s="221" t="s">
        <v>3370</v>
      </c>
      <c r="C923" s="223" t="s">
        <v>3024</v>
      </c>
      <c r="D923" s="220" t="s">
        <v>3243</v>
      </c>
      <c r="E923" s="222">
        <v>24</v>
      </c>
      <c r="F923" s="192">
        <v>375</v>
      </c>
      <c r="G923" s="24">
        <v>0.2</v>
      </c>
      <c r="H923" s="24">
        <v>0.05</v>
      </c>
      <c r="I923" s="24">
        <v>0.05</v>
      </c>
      <c r="J923" s="24">
        <v>0</v>
      </c>
      <c r="K923" s="224">
        <f t="shared" si="118"/>
        <v>0.27800000000000014</v>
      </c>
      <c r="L923" s="225">
        <f t="shared" si="119"/>
        <v>12465.373961218838</v>
      </c>
      <c r="M923" s="225">
        <f t="shared" si="120"/>
        <v>519.3905817174516</v>
      </c>
      <c r="N923" s="226">
        <f t="shared" si="121"/>
        <v>618.07479224376732</v>
      </c>
      <c r="O923" s="34">
        <v>0.3</v>
      </c>
      <c r="P923" s="226">
        <f t="shared" si="122"/>
        <v>803.4972299168976</v>
      </c>
      <c r="Q923" s="107" t="s">
        <v>1486</v>
      </c>
      <c r="R923" s="34">
        <v>0.28786540584179066</v>
      </c>
      <c r="S923" s="226">
        <f t="shared" si="115"/>
        <v>626.63716053212841</v>
      </c>
      <c r="T923" s="156" t="s">
        <v>1486</v>
      </c>
      <c r="U923" s="2"/>
      <c r="V923" s="2" t="s">
        <v>47</v>
      </c>
      <c r="W923" s="2"/>
      <c r="X923" s="2"/>
      <c r="Y923" s="488" t="s">
        <v>1486</v>
      </c>
      <c r="Z923" s="293"/>
      <c r="AA923" s="293"/>
    </row>
    <row r="924" spans="1:27" s="320" customFormat="1" x14ac:dyDescent="0.25">
      <c r="A924" s="220" t="s">
        <v>3268</v>
      </c>
      <c r="B924" s="221" t="s">
        <v>3255</v>
      </c>
      <c r="C924" s="223" t="s">
        <v>3024</v>
      </c>
      <c r="D924" s="220" t="s">
        <v>3243</v>
      </c>
      <c r="E924" s="222">
        <v>12</v>
      </c>
      <c r="F924" s="192">
        <v>1080</v>
      </c>
      <c r="G924" s="24">
        <v>0.2</v>
      </c>
      <c r="H924" s="24">
        <v>0.05</v>
      </c>
      <c r="I924" s="24">
        <v>0.05</v>
      </c>
      <c r="J924" s="24">
        <v>0</v>
      </c>
      <c r="K924" s="224">
        <f t="shared" si="118"/>
        <v>0.27800000000000002</v>
      </c>
      <c r="L924" s="225">
        <f t="shared" si="119"/>
        <v>17950.138504155126</v>
      </c>
      <c r="M924" s="225">
        <f t="shared" si="120"/>
        <v>1495.8448753462606</v>
      </c>
      <c r="N924" s="226">
        <f t="shared" si="121"/>
        <v>1780.0554016620499</v>
      </c>
      <c r="O924" s="34">
        <v>0.3</v>
      </c>
      <c r="P924" s="226">
        <f t="shared" si="122"/>
        <v>2314.0720221606648</v>
      </c>
      <c r="Q924" s="107" t="s">
        <v>1486</v>
      </c>
      <c r="R924" s="34">
        <v>0.28786540584179066</v>
      </c>
      <c r="S924" s="226">
        <f t="shared" si="115"/>
        <v>1804.71502233253</v>
      </c>
      <c r="T924" s="156" t="s">
        <v>1486</v>
      </c>
      <c r="U924" s="2"/>
      <c r="V924" s="2" t="s">
        <v>47</v>
      </c>
      <c r="W924" s="2"/>
      <c r="X924" s="2"/>
      <c r="Y924" s="488" t="s">
        <v>1486</v>
      </c>
      <c r="Z924" s="293"/>
      <c r="AA924" s="293"/>
    </row>
    <row r="925" spans="1:27" s="320" customFormat="1" x14ac:dyDescent="0.25">
      <c r="A925" s="220" t="s">
        <v>3269</v>
      </c>
      <c r="B925" s="221" t="s">
        <v>3286</v>
      </c>
      <c r="C925" s="223" t="s">
        <v>3024</v>
      </c>
      <c r="D925" s="220" t="s">
        <v>3243</v>
      </c>
      <c r="E925" s="222">
        <v>12</v>
      </c>
      <c r="F925" s="192">
        <v>1227.7894736842106</v>
      </c>
      <c r="G925" s="24">
        <v>0.2</v>
      </c>
      <c r="H925" s="24">
        <v>0.05</v>
      </c>
      <c r="I925" s="24">
        <v>0.05</v>
      </c>
      <c r="J925" s="24">
        <v>0</v>
      </c>
      <c r="K925" s="224">
        <f t="shared" si="118"/>
        <v>0.27800000000000002</v>
      </c>
      <c r="L925" s="225">
        <f t="shared" si="119"/>
        <v>20406.473246828988</v>
      </c>
      <c r="M925" s="225">
        <f t="shared" si="120"/>
        <v>1700.5394372357489</v>
      </c>
      <c r="N925" s="226">
        <f t="shared" si="121"/>
        <v>2023.6419303105411</v>
      </c>
      <c r="O925" s="34">
        <v>0.3</v>
      </c>
      <c r="P925" s="226">
        <f t="shared" si="122"/>
        <v>2630.7345094037037</v>
      </c>
      <c r="Q925" s="107" t="s">
        <v>1486</v>
      </c>
      <c r="R925" s="34">
        <v>0.28786540584179066</v>
      </c>
      <c r="S925" s="226">
        <f t="shared" ref="S925:S988" si="125">+(F925/(1-R925))*1.19</f>
        <v>2051.6760253885604</v>
      </c>
      <c r="T925" s="156" t="s">
        <v>1486</v>
      </c>
      <c r="U925" s="2"/>
      <c r="V925" s="2" t="s">
        <v>47</v>
      </c>
      <c r="W925" s="2"/>
      <c r="X925" s="2"/>
      <c r="Y925" s="488" t="s">
        <v>1486</v>
      </c>
      <c r="Z925" s="293"/>
      <c r="AA925" s="293"/>
    </row>
    <row r="926" spans="1:27" s="320" customFormat="1" x14ac:dyDescent="0.25">
      <c r="A926" s="220" t="s">
        <v>3270</v>
      </c>
      <c r="B926" s="221" t="s">
        <v>3287</v>
      </c>
      <c r="C926" s="223" t="s">
        <v>3024</v>
      </c>
      <c r="D926" s="220" t="s">
        <v>3243</v>
      </c>
      <c r="E926" s="222">
        <v>12</v>
      </c>
      <c r="F926" s="192">
        <v>1788.6315789473683</v>
      </c>
      <c r="G926" s="24">
        <v>0.2</v>
      </c>
      <c r="H926" s="24">
        <v>0.05</v>
      </c>
      <c r="I926" s="24">
        <v>0.05</v>
      </c>
      <c r="J926" s="24">
        <v>0</v>
      </c>
      <c r="K926" s="224">
        <f t="shared" si="118"/>
        <v>0.27800000000000002</v>
      </c>
      <c r="L926" s="225">
        <f t="shared" si="119"/>
        <v>29727.948680565678</v>
      </c>
      <c r="M926" s="225">
        <f t="shared" si="120"/>
        <v>2477.3290567138065</v>
      </c>
      <c r="N926" s="226">
        <f t="shared" si="121"/>
        <v>2948.0215774894295</v>
      </c>
      <c r="O926" s="34">
        <v>0.3</v>
      </c>
      <c r="P926" s="226">
        <f t="shared" si="122"/>
        <v>3832.4280507362587</v>
      </c>
      <c r="Q926" s="107" t="s">
        <v>1486</v>
      </c>
      <c r="R926" s="34">
        <v>0.28786540584179066</v>
      </c>
      <c r="S926" s="226">
        <f t="shared" si="125"/>
        <v>2988.8613703191372</v>
      </c>
      <c r="T926" s="156" t="s">
        <v>1486</v>
      </c>
      <c r="U926" s="2"/>
      <c r="V926" s="2" t="s">
        <v>47</v>
      </c>
      <c r="W926" s="2"/>
      <c r="X926" s="2"/>
      <c r="Y926" s="488" t="s">
        <v>1486</v>
      </c>
      <c r="Z926" s="293"/>
      <c r="AA926" s="293"/>
    </row>
    <row r="927" spans="1:27" s="320" customFormat="1" x14ac:dyDescent="0.25">
      <c r="A927" s="220" t="s">
        <v>3272</v>
      </c>
      <c r="B927" s="221" t="s">
        <v>3288</v>
      </c>
      <c r="C927" s="223" t="s">
        <v>3024</v>
      </c>
      <c r="D927" s="220" t="s">
        <v>3243</v>
      </c>
      <c r="E927" s="222">
        <v>12</v>
      </c>
      <c r="F927" s="192">
        <v>1788.6315789473683</v>
      </c>
      <c r="G927" s="24">
        <v>0.2</v>
      </c>
      <c r="H927" s="24">
        <v>0.05</v>
      </c>
      <c r="I927" s="24">
        <v>0.05</v>
      </c>
      <c r="J927" s="24">
        <v>0</v>
      </c>
      <c r="K927" s="224">
        <f t="shared" si="118"/>
        <v>0.27800000000000002</v>
      </c>
      <c r="L927" s="225">
        <f t="shared" si="119"/>
        <v>29727.948680565678</v>
      </c>
      <c r="M927" s="225">
        <f t="shared" si="120"/>
        <v>2477.3290567138065</v>
      </c>
      <c r="N927" s="226">
        <f t="shared" si="121"/>
        <v>2948.0215774894295</v>
      </c>
      <c r="O927" s="34">
        <v>0.3</v>
      </c>
      <c r="P927" s="226">
        <f t="shared" si="122"/>
        <v>3832.4280507362587</v>
      </c>
      <c r="Q927" s="107" t="s">
        <v>1486</v>
      </c>
      <c r="R927" s="34">
        <v>0.28786540584179066</v>
      </c>
      <c r="S927" s="226">
        <f t="shared" si="125"/>
        <v>2988.8613703191372</v>
      </c>
      <c r="T927" s="156" t="s">
        <v>1486</v>
      </c>
      <c r="U927" s="2"/>
      <c r="V927" s="2" t="s">
        <v>47</v>
      </c>
      <c r="W927" s="2"/>
      <c r="X927" s="2"/>
      <c r="Y927" s="488" t="s">
        <v>1486</v>
      </c>
      <c r="Z927" s="293"/>
      <c r="AA927" s="293"/>
    </row>
    <row r="928" spans="1:27" s="320" customFormat="1" x14ac:dyDescent="0.25">
      <c r="A928" s="220" t="s">
        <v>3273</v>
      </c>
      <c r="B928" s="221" t="s">
        <v>3289</v>
      </c>
      <c r="C928" s="223" t="s">
        <v>3024</v>
      </c>
      <c r="D928" s="220" t="s">
        <v>3243</v>
      </c>
      <c r="E928" s="222">
        <v>60</v>
      </c>
      <c r="F928" s="192">
        <v>528.25263157894744</v>
      </c>
      <c r="G928" s="24">
        <v>0.2</v>
      </c>
      <c r="H928" s="24">
        <v>0.05</v>
      </c>
      <c r="I928" s="24">
        <v>0.05</v>
      </c>
      <c r="J928" s="24">
        <v>0</v>
      </c>
      <c r="K928" s="224">
        <f t="shared" si="118"/>
        <v>0.27800000000000002</v>
      </c>
      <c r="L928" s="225">
        <f t="shared" si="119"/>
        <v>43899.110657530255</v>
      </c>
      <c r="M928" s="225">
        <f t="shared" si="120"/>
        <v>731.65184429217095</v>
      </c>
      <c r="N928" s="226">
        <f t="shared" si="121"/>
        <v>870.66569470768343</v>
      </c>
      <c r="O928" s="34">
        <v>0.3</v>
      </c>
      <c r="P928" s="226">
        <f t="shared" si="122"/>
        <v>1131.8654031199885</v>
      </c>
      <c r="Q928" s="107" t="s">
        <v>1486</v>
      </c>
      <c r="R928" s="34">
        <v>0.28786540584179066</v>
      </c>
      <c r="S928" s="226">
        <f t="shared" si="125"/>
        <v>882.72727759001646</v>
      </c>
      <c r="T928" s="156" t="s">
        <v>1486</v>
      </c>
      <c r="U928" s="2"/>
      <c r="V928" s="2" t="s">
        <v>47</v>
      </c>
      <c r="W928" s="2"/>
      <c r="X928" s="2"/>
      <c r="Y928" s="488" t="s">
        <v>1486</v>
      </c>
      <c r="Z928" s="293"/>
      <c r="AA928" s="293"/>
    </row>
    <row r="929" spans="1:27" s="320" customFormat="1" x14ac:dyDescent="0.25">
      <c r="A929" s="220" t="s">
        <v>3274</v>
      </c>
      <c r="B929" s="221" t="s">
        <v>3290</v>
      </c>
      <c r="C929" s="223" t="s">
        <v>3024</v>
      </c>
      <c r="D929" s="220" t="s">
        <v>3243</v>
      </c>
      <c r="E929" s="222">
        <v>12</v>
      </c>
      <c r="F929" s="192">
        <v>716</v>
      </c>
      <c r="G929" s="24">
        <v>0.2</v>
      </c>
      <c r="H929" s="24">
        <v>0.05</v>
      </c>
      <c r="I929" s="24">
        <v>0.05</v>
      </c>
      <c r="J929" s="24">
        <v>0</v>
      </c>
      <c r="K929" s="224">
        <f t="shared" si="118"/>
        <v>0.27800000000000002</v>
      </c>
      <c r="L929" s="225">
        <f t="shared" si="119"/>
        <v>11900.277008310251</v>
      </c>
      <c r="M929" s="225">
        <f t="shared" si="120"/>
        <v>991.68975069252087</v>
      </c>
      <c r="N929" s="226">
        <f t="shared" si="121"/>
        <v>1180.1108033240998</v>
      </c>
      <c r="O929" s="34">
        <v>0.3</v>
      </c>
      <c r="P929" s="226">
        <f t="shared" si="122"/>
        <v>1534.1440443213298</v>
      </c>
      <c r="Q929" s="107" t="s">
        <v>1486</v>
      </c>
      <c r="R929" s="34">
        <v>0.28786540584179066</v>
      </c>
      <c r="S929" s="226">
        <f t="shared" si="125"/>
        <v>1196.4592185093441</v>
      </c>
      <c r="T929" s="156" t="s">
        <v>1486</v>
      </c>
      <c r="U929" s="2"/>
      <c r="V929" s="2" t="s">
        <v>47</v>
      </c>
      <c r="W929" s="2"/>
      <c r="X929" s="2"/>
      <c r="Y929" s="488" t="s">
        <v>1486</v>
      </c>
      <c r="Z929" s="293"/>
      <c r="AA929" s="293"/>
    </row>
    <row r="930" spans="1:27" s="320" customFormat="1" x14ac:dyDescent="0.25">
      <c r="A930" s="220" t="s">
        <v>3275</v>
      </c>
      <c r="B930" s="221" t="s">
        <v>3291</v>
      </c>
      <c r="C930" s="223" t="s">
        <v>3024</v>
      </c>
      <c r="D930" s="220" t="s">
        <v>3243</v>
      </c>
      <c r="E930" s="222">
        <v>6</v>
      </c>
      <c r="F930" s="192">
        <v>1490.3999999999999</v>
      </c>
      <c r="G930" s="24">
        <v>0.2</v>
      </c>
      <c r="H930" s="24">
        <v>0.05</v>
      </c>
      <c r="I930" s="24">
        <v>0.05</v>
      </c>
      <c r="J930" s="24">
        <v>0</v>
      </c>
      <c r="K930" s="224">
        <f t="shared" si="118"/>
        <v>0.27800000000000014</v>
      </c>
      <c r="L930" s="225">
        <f t="shared" si="119"/>
        <v>12385.595567867036</v>
      </c>
      <c r="M930" s="225">
        <f t="shared" si="120"/>
        <v>2064.2659279778395</v>
      </c>
      <c r="N930" s="226">
        <f t="shared" si="121"/>
        <v>2456.4764542936291</v>
      </c>
      <c r="O930" s="34">
        <v>0.3</v>
      </c>
      <c r="P930" s="226">
        <f t="shared" si="122"/>
        <v>3193.4193905817178</v>
      </c>
      <c r="Q930" s="107" t="s">
        <v>1486</v>
      </c>
      <c r="R930" s="34">
        <v>0.28786540584179066</v>
      </c>
      <c r="S930" s="226">
        <f t="shared" si="125"/>
        <v>2490.5067308188909</v>
      </c>
      <c r="T930" s="156" t="s">
        <v>1486</v>
      </c>
      <c r="U930" s="2"/>
      <c r="V930" s="2" t="s">
        <v>47</v>
      </c>
      <c r="W930" s="2"/>
      <c r="X930" s="2"/>
      <c r="Y930" s="488" t="s">
        <v>1486</v>
      </c>
      <c r="Z930" s="293"/>
      <c r="AA930" s="293"/>
    </row>
    <row r="931" spans="1:27" s="320" customFormat="1" x14ac:dyDescent="0.25">
      <c r="A931" s="220" t="s">
        <v>3276</v>
      </c>
      <c r="B931" s="221" t="s">
        <v>3292</v>
      </c>
      <c r="C931" s="223" t="s">
        <v>3024</v>
      </c>
      <c r="D931" s="220" t="s">
        <v>3243</v>
      </c>
      <c r="E931" s="222">
        <v>24</v>
      </c>
      <c r="F931" s="192">
        <v>494</v>
      </c>
      <c r="G931" s="24">
        <v>0.2</v>
      </c>
      <c r="H931" s="24">
        <v>0.05</v>
      </c>
      <c r="I931" s="24">
        <v>0.05</v>
      </c>
      <c r="J931" s="24">
        <v>0</v>
      </c>
      <c r="K931" s="224">
        <f t="shared" si="118"/>
        <v>0.27800000000000002</v>
      </c>
      <c r="L931" s="225">
        <f t="shared" si="119"/>
        <v>16421.052631578947</v>
      </c>
      <c r="M931" s="225">
        <f t="shared" si="120"/>
        <v>684.21052631578948</v>
      </c>
      <c r="N931" s="226">
        <f t="shared" si="121"/>
        <v>814.21052631578948</v>
      </c>
      <c r="O931" s="34">
        <v>0.3</v>
      </c>
      <c r="P931" s="226">
        <f t="shared" si="122"/>
        <v>1058.4736842105265</v>
      </c>
      <c r="Q931" s="107" t="s">
        <v>1486</v>
      </c>
      <c r="R931" s="34">
        <v>0.28786540584179066</v>
      </c>
      <c r="S931" s="226">
        <f t="shared" si="125"/>
        <v>825.49001947432396</v>
      </c>
      <c r="T931" s="156" t="s">
        <v>1486</v>
      </c>
      <c r="U931" s="2"/>
      <c r="V931" s="2" t="s">
        <v>47</v>
      </c>
      <c r="W931" s="2"/>
      <c r="X931" s="2"/>
      <c r="Y931" s="488" t="s">
        <v>1486</v>
      </c>
      <c r="Z931" s="293"/>
      <c r="AA931" s="293"/>
    </row>
    <row r="932" spans="1:27" s="320" customFormat="1" x14ac:dyDescent="0.25">
      <c r="A932" s="220" t="s">
        <v>3277</v>
      </c>
      <c r="B932" s="221" t="s">
        <v>3293</v>
      </c>
      <c r="C932" s="223" t="s">
        <v>3024</v>
      </c>
      <c r="D932" s="220" t="s">
        <v>3243</v>
      </c>
      <c r="E932" s="222">
        <v>1000</v>
      </c>
      <c r="F932" s="192">
        <v>16</v>
      </c>
      <c r="G932" s="24">
        <v>0.2</v>
      </c>
      <c r="H932" s="24">
        <v>0.05</v>
      </c>
      <c r="I932" s="24">
        <v>0.05</v>
      </c>
      <c r="J932" s="24">
        <v>0</v>
      </c>
      <c r="K932" s="224">
        <f t="shared" si="118"/>
        <v>0.27800000000000002</v>
      </c>
      <c r="L932" s="225">
        <f t="shared" si="119"/>
        <v>22160.664819944599</v>
      </c>
      <c r="M932" s="225">
        <f t="shared" si="120"/>
        <v>22.1606648199446</v>
      </c>
      <c r="N932" s="226">
        <f t="shared" si="121"/>
        <v>26.371191135734072</v>
      </c>
      <c r="O932" s="34">
        <v>0.3</v>
      </c>
      <c r="P932" s="226">
        <f t="shared" si="122"/>
        <v>34.282548476454295</v>
      </c>
      <c r="Q932" s="107" t="s">
        <v>1486</v>
      </c>
      <c r="R932" s="34">
        <v>0.28786540584179066</v>
      </c>
      <c r="S932" s="226">
        <f t="shared" si="125"/>
        <v>26.736518849370814</v>
      </c>
      <c r="T932" s="156" t="s">
        <v>1486</v>
      </c>
      <c r="U932" s="2"/>
      <c r="V932" s="2" t="s">
        <v>47</v>
      </c>
      <c r="W932" s="2"/>
      <c r="X932" s="2"/>
      <c r="Y932" s="488" t="s">
        <v>1486</v>
      </c>
      <c r="Z932" s="293"/>
      <c r="AA932" s="293"/>
    </row>
    <row r="933" spans="1:27" s="320" customFormat="1" x14ac:dyDescent="0.25">
      <c r="A933" s="220" t="s">
        <v>3278</v>
      </c>
      <c r="B933" s="221" t="s">
        <v>3294</v>
      </c>
      <c r="C933" s="223" t="s">
        <v>3024</v>
      </c>
      <c r="D933" s="220" t="s">
        <v>3243</v>
      </c>
      <c r="E933" s="222">
        <v>12</v>
      </c>
      <c r="F933" s="192">
        <v>1914.4421052631581</v>
      </c>
      <c r="G933" s="24">
        <v>0.2</v>
      </c>
      <c r="H933" s="24">
        <v>0.05</v>
      </c>
      <c r="I933" s="24">
        <v>0.05</v>
      </c>
      <c r="J933" s="24">
        <v>0</v>
      </c>
      <c r="K933" s="224">
        <f t="shared" si="118"/>
        <v>0.27800000000000002</v>
      </c>
      <c r="L933" s="225">
        <f t="shared" si="119"/>
        <v>31818.982358944457</v>
      </c>
      <c r="M933" s="225">
        <f t="shared" si="120"/>
        <v>2651.5818632453716</v>
      </c>
      <c r="N933" s="226">
        <f t="shared" si="121"/>
        <v>3155.382417261992</v>
      </c>
      <c r="O933" s="34">
        <v>0.3</v>
      </c>
      <c r="P933" s="226">
        <f t="shared" si="122"/>
        <v>4101.9971424405894</v>
      </c>
      <c r="Q933" s="107" t="s">
        <v>1486</v>
      </c>
      <c r="R933" s="34">
        <v>0.28786540584179066</v>
      </c>
      <c r="S933" s="226">
        <f t="shared" si="125"/>
        <v>3199.0948395873479</v>
      </c>
      <c r="T933" s="156" t="s">
        <v>1486</v>
      </c>
      <c r="U933" s="2"/>
      <c r="V933" s="2" t="s">
        <v>47</v>
      </c>
      <c r="W933" s="2"/>
      <c r="X933" s="2"/>
      <c r="Y933" s="488" t="s">
        <v>1486</v>
      </c>
      <c r="Z933" s="293"/>
      <c r="AA933" s="293"/>
    </row>
    <row r="934" spans="1:27" s="320" customFormat="1" x14ac:dyDescent="0.25">
      <c r="A934" s="220" t="s">
        <v>3279</v>
      </c>
      <c r="B934" s="221" t="s">
        <v>3281</v>
      </c>
      <c r="C934" s="223" t="s">
        <v>3024</v>
      </c>
      <c r="D934" s="220" t="s">
        <v>3243</v>
      </c>
      <c r="E934" s="222">
        <v>8</v>
      </c>
      <c r="F934" s="192">
        <v>1421</v>
      </c>
      <c r="G934" s="24">
        <v>0.2</v>
      </c>
      <c r="H934" s="24">
        <v>0.05</v>
      </c>
      <c r="I934" s="24">
        <v>0.05</v>
      </c>
      <c r="J934" s="24">
        <v>0</v>
      </c>
      <c r="K934" s="224">
        <f t="shared" si="118"/>
        <v>0.27800000000000002</v>
      </c>
      <c r="L934" s="225">
        <f t="shared" si="119"/>
        <v>15745.152354570639</v>
      </c>
      <c r="M934" s="225">
        <f t="shared" si="120"/>
        <v>1968.1440443213298</v>
      </c>
      <c r="N934" s="226">
        <f t="shared" si="121"/>
        <v>2342.0914127423825</v>
      </c>
      <c r="O934" s="34">
        <v>0.3</v>
      </c>
      <c r="P934" s="226">
        <f t="shared" si="122"/>
        <v>3044.7188365650973</v>
      </c>
      <c r="Q934" s="107" t="s">
        <v>1486</v>
      </c>
      <c r="R934" s="34">
        <v>0.28786540584179066</v>
      </c>
      <c r="S934" s="226">
        <f t="shared" si="125"/>
        <v>2374.5370803097453</v>
      </c>
      <c r="T934" s="156" t="s">
        <v>1486</v>
      </c>
      <c r="U934" s="2"/>
      <c r="V934" s="2" t="s">
        <v>47</v>
      </c>
      <c r="W934" s="2"/>
      <c r="X934" s="2"/>
      <c r="Y934" s="488" t="s">
        <v>1486</v>
      </c>
      <c r="Z934" s="293"/>
      <c r="AA934" s="293"/>
    </row>
    <row r="935" spans="1:27" s="320" customFormat="1" x14ac:dyDescent="0.25">
      <c r="A935" s="220" t="s">
        <v>3280</v>
      </c>
      <c r="B935" s="221" t="s">
        <v>3371</v>
      </c>
      <c r="C935" s="223" t="s">
        <v>3024</v>
      </c>
      <c r="D935" s="220" t="s">
        <v>3243</v>
      </c>
      <c r="E935" s="222">
        <v>8</v>
      </c>
      <c r="F935" s="192">
        <v>1421</v>
      </c>
      <c r="G935" s="24">
        <v>0.2</v>
      </c>
      <c r="H935" s="24">
        <v>0.05</v>
      </c>
      <c r="I935" s="24">
        <v>0.05</v>
      </c>
      <c r="J935" s="24">
        <v>0</v>
      </c>
      <c r="K935" s="224">
        <f t="shared" si="118"/>
        <v>0.27800000000000002</v>
      </c>
      <c r="L935" s="225">
        <f t="shared" si="119"/>
        <v>15745.152354570639</v>
      </c>
      <c r="M935" s="225">
        <f t="shared" si="120"/>
        <v>1968.1440443213298</v>
      </c>
      <c r="N935" s="226">
        <f t="shared" si="121"/>
        <v>2342.0914127423825</v>
      </c>
      <c r="O935" s="34">
        <v>0.3</v>
      </c>
      <c r="P935" s="226">
        <f t="shared" si="122"/>
        <v>3044.7188365650973</v>
      </c>
      <c r="Q935" s="107" t="s">
        <v>1486</v>
      </c>
      <c r="R935" s="34">
        <v>0.28786540584179066</v>
      </c>
      <c r="S935" s="226">
        <f t="shared" si="125"/>
        <v>2374.5370803097453</v>
      </c>
      <c r="T935" s="156" t="s">
        <v>1486</v>
      </c>
      <c r="U935" s="2"/>
      <c r="V935" s="2" t="s">
        <v>47</v>
      </c>
      <c r="W935" s="2"/>
      <c r="X935" s="2"/>
      <c r="Y935" s="488" t="s">
        <v>1486</v>
      </c>
      <c r="Z935" s="293"/>
      <c r="AA935" s="293"/>
    </row>
    <row r="936" spans="1:27" s="320" customFormat="1" x14ac:dyDescent="0.25">
      <c r="A936" s="220" t="s">
        <v>3296</v>
      </c>
      <c r="B936" s="221" t="s">
        <v>3282</v>
      </c>
      <c r="C936" s="223" t="s">
        <v>3024</v>
      </c>
      <c r="D936" s="220" t="s">
        <v>3243</v>
      </c>
      <c r="E936" s="222">
        <v>10</v>
      </c>
      <c r="F936" s="192">
        <v>819</v>
      </c>
      <c r="G936" s="24">
        <v>0.2</v>
      </c>
      <c r="H936" s="24">
        <v>0.05</v>
      </c>
      <c r="I936" s="24">
        <v>0.05</v>
      </c>
      <c r="J936" s="24">
        <v>0</v>
      </c>
      <c r="K936" s="224">
        <f t="shared" si="118"/>
        <v>0.27800000000000014</v>
      </c>
      <c r="L936" s="225">
        <f t="shared" si="119"/>
        <v>11343.490304709143</v>
      </c>
      <c r="M936" s="225">
        <f t="shared" si="120"/>
        <v>1134.3490304709144</v>
      </c>
      <c r="N936" s="226">
        <f t="shared" si="121"/>
        <v>1349.8753462603881</v>
      </c>
      <c r="O936" s="34">
        <v>0.3</v>
      </c>
      <c r="P936" s="226">
        <f t="shared" si="122"/>
        <v>1754.8379501385045</v>
      </c>
      <c r="Q936" s="107" t="s">
        <v>1486</v>
      </c>
      <c r="R936" s="34">
        <v>0.28786540584179066</v>
      </c>
      <c r="S936" s="226">
        <f t="shared" si="125"/>
        <v>1368.5755586021687</v>
      </c>
      <c r="T936" s="156" t="s">
        <v>1486</v>
      </c>
      <c r="U936" s="2"/>
      <c r="V936" s="2" t="s">
        <v>47</v>
      </c>
      <c r="W936" s="2"/>
      <c r="X936" s="2"/>
      <c r="Y936" s="488" t="s">
        <v>1486</v>
      </c>
      <c r="Z936" s="293"/>
      <c r="AA936" s="293"/>
    </row>
    <row r="937" spans="1:27" s="320" customFormat="1" x14ac:dyDescent="0.25">
      <c r="A937" s="220" t="s">
        <v>3297</v>
      </c>
      <c r="B937" s="221" t="s">
        <v>3283</v>
      </c>
      <c r="C937" s="223" t="s">
        <v>3024</v>
      </c>
      <c r="D937" s="220" t="s">
        <v>3243</v>
      </c>
      <c r="E937" s="222">
        <v>10</v>
      </c>
      <c r="F937" s="192">
        <v>1118</v>
      </c>
      <c r="G937" s="24">
        <v>0.2</v>
      </c>
      <c r="H937" s="24">
        <v>0.05</v>
      </c>
      <c r="I937" s="24">
        <v>0.05</v>
      </c>
      <c r="J937" s="24">
        <v>0</v>
      </c>
      <c r="K937" s="224">
        <f t="shared" si="118"/>
        <v>0.27800000000000014</v>
      </c>
      <c r="L937" s="225">
        <f t="shared" si="119"/>
        <v>15484.764542936291</v>
      </c>
      <c r="M937" s="225">
        <f t="shared" si="120"/>
        <v>1548.4764542936291</v>
      </c>
      <c r="N937" s="226">
        <f t="shared" si="121"/>
        <v>1842.6869806094185</v>
      </c>
      <c r="O937" s="34">
        <v>0.3</v>
      </c>
      <c r="P937" s="226">
        <f t="shared" si="122"/>
        <v>2395.493074792244</v>
      </c>
      <c r="Q937" s="107" t="s">
        <v>1486</v>
      </c>
      <c r="R937" s="34">
        <v>0.28786540584179066</v>
      </c>
      <c r="S937" s="226">
        <f t="shared" si="125"/>
        <v>1868.2142545997856</v>
      </c>
      <c r="T937" s="156" t="s">
        <v>1486</v>
      </c>
      <c r="U937" s="2"/>
      <c r="V937" s="2" t="s">
        <v>47</v>
      </c>
      <c r="W937" s="2"/>
      <c r="X937" s="2"/>
      <c r="Y937" s="488" t="s">
        <v>1486</v>
      </c>
      <c r="Z937" s="293"/>
      <c r="AA937" s="293"/>
    </row>
    <row r="938" spans="1:27" s="320" customFormat="1" x14ac:dyDescent="0.25">
      <c r="A938" s="220" t="s">
        <v>3298</v>
      </c>
      <c r="B938" s="221" t="s">
        <v>3284</v>
      </c>
      <c r="C938" s="223" t="s">
        <v>3024</v>
      </c>
      <c r="D938" s="220" t="s">
        <v>3243</v>
      </c>
      <c r="E938" s="222">
        <v>10</v>
      </c>
      <c r="F938" s="192">
        <v>1555.2</v>
      </c>
      <c r="G938" s="24">
        <v>0.2</v>
      </c>
      <c r="H938" s="24">
        <v>0.05</v>
      </c>
      <c r="I938" s="24">
        <v>0.05</v>
      </c>
      <c r="J938" s="24">
        <v>0</v>
      </c>
      <c r="K938" s="224">
        <f t="shared" si="118"/>
        <v>0.27800000000000014</v>
      </c>
      <c r="L938" s="225">
        <f t="shared" si="119"/>
        <v>21540.166204986155</v>
      </c>
      <c r="M938" s="225">
        <f t="shared" si="120"/>
        <v>2154.0166204986153</v>
      </c>
      <c r="N938" s="226">
        <f t="shared" si="121"/>
        <v>2563.279778393352</v>
      </c>
      <c r="O938" s="34">
        <v>0.3</v>
      </c>
      <c r="P938" s="226">
        <f t="shared" si="122"/>
        <v>3332.2637119113579</v>
      </c>
      <c r="Q938" s="107" t="s">
        <v>1486</v>
      </c>
      <c r="R938" s="34">
        <v>0.28786540584179066</v>
      </c>
      <c r="S938" s="226">
        <f t="shared" si="125"/>
        <v>2598.7896321588432</v>
      </c>
      <c r="T938" s="156" t="s">
        <v>1486</v>
      </c>
      <c r="U938" s="2"/>
      <c r="V938" s="2" t="s">
        <v>47</v>
      </c>
      <c r="W938" s="2"/>
      <c r="X938" s="2"/>
      <c r="Y938" s="488" t="s">
        <v>1486</v>
      </c>
      <c r="Z938" s="293"/>
      <c r="AA938" s="293"/>
    </row>
    <row r="939" spans="1:27" s="320" customFormat="1" x14ac:dyDescent="0.25">
      <c r="A939" s="220" t="s">
        <v>3299</v>
      </c>
      <c r="B939" s="221" t="s">
        <v>3285</v>
      </c>
      <c r="C939" s="223" t="s">
        <v>3024</v>
      </c>
      <c r="D939" s="220" t="s">
        <v>3243</v>
      </c>
      <c r="E939" s="222">
        <v>60</v>
      </c>
      <c r="F939" s="192">
        <v>629.05263157894728</v>
      </c>
      <c r="G939" s="24">
        <v>0.2</v>
      </c>
      <c r="H939" s="24">
        <v>0.05</v>
      </c>
      <c r="I939" s="24">
        <v>0.05</v>
      </c>
      <c r="J939" s="24">
        <v>0</v>
      </c>
      <c r="K939" s="224">
        <f t="shared" si="118"/>
        <v>0.27800000000000002</v>
      </c>
      <c r="L939" s="225">
        <f t="shared" si="119"/>
        <v>52275.841959469304</v>
      </c>
      <c r="M939" s="225">
        <f t="shared" si="120"/>
        <v>871.26403265782176</v>
      </c>
      <c r="N939" s="226">
        <f t="shared" si="121"/>
        <v>1036.8041988628079</v>
      </c>
      <c r="O939" s="34">
        <v>0.3</v>
      </c>
      <c r="P939" s="226">
        <f t="shared" si="122"/>
        <v>1347.8454585216502</v>
      </c>
      <c r="Q939" s="107" t="s">
        <v>1486</v>
      </c>
      <c r="R939" s="34">
        <v>0.28786540584179066</v>
      </c>
      <c r="S939" s="226">
        <f t="shared" si="125"/>
        <v>1051.1673463410523</v>
      </c>
      <c r="T939" s="156" t="s">
        <v>1486</v>
      </c>
      <c r="U939" s="2"/>
      <c r="V939" s="2" t="s">
        <v>47</v>
      </c>
      <c r="W939" s="2"/>
      <c r="X939" s="2"/>
      <c r="Y939" s="488" t="s">
        <v>1486</v>
      </c>
      <c r="Z939" s="293"/>
      <c r="AA939" s="293"/>
    </row>
    <row r="940" spans="1:27" s="320" customFormat="1" x14ac:dyDescent="0.25">
      <c r="A940" s="220" t="s">
        <v>3300</v>
      </c>
      <c r="B940" s="221" t="s">
        <v>3295</v>
      </c>
      <c r="C940" s="223" t="s">
        <v>3024</v>
      </c>
      <c r="D940" s="220" t="s">
        <v>3243</v>
      </c>
      <c r="E940" s="222">
        <v>500</v>
      </c>
      <c r="F940" s="192">
        <v>59.183999999999997</v>
      </c>
      <c r="G940" s="24">
        <v>0.2</v>
      </c>
      <c r="H940" s="24">
        <v>0.05</v>
      </c>
      <c r="I940" s="24">
        <v>0.05</v>
      </c>
      <c r="J940" s="24">
        <v>0</v>
      </c>
      <c r="K940" s="224">
        <f t="shared" si="118"/>
        <v>0.27800000000000002</v>
      </c>
      <c r="L940" s="225">
        <f t="shared" si="119"/>
        <v>40986.149584487532</v>
      </c>
      <c r="M940" s="225">
        <f t="shared" si="120"/>
        <v>81.97229916897507</v>
      </c>
      <c r="N940" s="226">
        <f t="shared" si="121"/>
        <v>97.547036011080323</v>
      </c>
      <c r="O940" s="34">
        <v>0.3</v>
      </c>
      <c r="P940" s="226">
        <f t="shared" si="122"/>
        <v>126.81114681440442</v>
      </c>
      <c r="Q940" s="107" t="s">
        <v>1486</v>
      </c>
      <c r="R940" s="34">
        <v>0.28786540584179066</v>
      </c>
      <c r="S940" s="226">
        <f t="shared" si="125"/>
        <v>98.898383223822634</v>
      </c>
      <c r="T940" s="156" t="s">
        <v>1486</v>
      </c>
      <c r="U940" s="2"/>
      <c r="V940" s="2" t="s">
        <v>47</v>
      </c>
      <c r="W940" s="2"/>
      <c r="X940" s="2"/>
      <c r="Y940" s="488" t="s">
        <v>1486</v>
      </c>
      <c r="Z940" s="293"/>
      <c r="AA940" s="293"/>
    </row>
    <row r="941" spans="1:27" s="320" customFormat="1" x14ac:dyDescent="0.25">
      <c r="A941" s="220" t="s">
        <v>3301</v>
      </c>
      <c r="B941" s="221" t="s">
        <v>3317</v>
      </c>
      <c r="C941" s="223" t="s">
        <v>3024</v>
      </c>
      <c r="D941" s="220" t="s">
        <v>3315</v>
      </c>
      <c r="E941" s="222">
        <v>6</v>
      </c>
      <c r="F941" s="192">
        <v>5552</v>
      </c>
      <c r="G941" s="24">
        <v>0.2</v>
      </c>
      <c r="H941" s="24">
        <v>0.05</v>
      </c>
      <c r="I941" s="24">
        <v>0.05</v>
      </c>
      <c r="J941" s="24">
        <v>0</v>
      </c>
      <c r="K941" s="224">
        <f t="shared" si="118"/>
        <v>0.27800000000000014</v>
      </c>
      <c r="L941" s="225">
        <f t="shared" si="119"/>
        <v>46138.504155124661</v>
      </c>
      <c r="M941" s="225">
        <f t="shared" si="120"/>
        <v>7689.7506925207772</v>
      </c>
      <c r="N941" s="226">
        <f t="shared" si="121"/>
        <v>9150.8033240997247</v>
      </c>
      <c r="O941" s="34">
        <v>0.3</v>
      </c>
      <c r="P941" s="226">
        <f t="shared" si="122"/>
        <v>11896.044321329642</v>
      </c>
      <c r="Q941" s="107" t="s">
        <v>1486</v>
      </c>
      <c r="R941" s="34">
        <v>0.28786540584179066</v>
      </c>
      <c r="S941" s="226">
        <f t="shared" si="125"/>
        <v>9277.572040731673</v>
      </c>
      <c r="T941" s="156" t="s">
        <v>1486</v>
      </c>
      <c r="U941" s="2"/>
      <c r="V941" s="2" t="s">
        <v>47</v>
      </c>
      <c r="W941" s="2" t="s">
        <v>5963</v>
      </c>
      <c r="X941" s="2"/>
      <c r="Y941" s="488" t="s">
        <v>1486</v>
      </c>
      <c r="Z941" s="293"/>
      <c r="AA941" s="293"/>
    </row>
    <row r="942" spans="1:27" s="320" customFormat="1" x14ac:dyDescent="0.25">
      <c r="A942" s="220" t="s">
        <v>3302</v>
      </c>
      <c r="B942" s="221" t="s">
        <v>3325</v>
      </c>
      <c r="C942" s="223" t="s">
        <v>3024</v>
      </c>
      <c r="D942" s="220" t="s">
        <v>3315</v>
      </c>
      <c r="E942" s="222">
        <v>6</v>
      </c>
      <c r="F942" s="192">
        <v>4125.420000000001</v>
      </c>
      <c r="G942" s="24">
        <v>0.2</v>
      </c>
      <c r="H942" s="24">
        <v>0.05</v>
      </c>
      <c r="I942" s="24">
        <v>0.05</v>
      </c>
      <c r="J942" s="24">
        <v>0</v>
      </c>
      <c r="K942" s="224">
        <f t="shared" si="118"/>
        <v>0.27800000000000002</v>
      </c>
      <c r="L942" s="225">
        <f t="shared" si="119"/>
        <v>34283.268698060951</v>
      </c>
      <c r="M942" s="225">
        <f t="shared" si="120"/>
        <v>5713.8781163434915</v>
      </c>
      <c r="N942" s="226">
        <f t="shared" si="121"/>
        <v>6799.5149584487544</v>
      </c>
      <c r="O942" s="34">
        <v>0.3</v>
      </c>
      <c r="P942" s="226">
        <f t="shared" si="122"/>
        <v>8839.3694459833805</v>
      </c>
      <c r="Q942" s="107" t="s">
        <v>1486</v>
      </c>
      <c r="R942" s="34">
        <v>0.28786540584179066</v>
      </c>
      <c r="S942" s="226">
        <f t="shared" si="125"/>
        <v>6893.710599473211</v>
      </c>
      <c r="T942" s="156" t="s">
        <v>1486</v>
      </c>
      <c r="U942" s="2"/>
      <c r="V942" s="2" t="s">
        <v>47</v>
      </c>
      <c r="W942" s="2" t="s">
        <v>5963</v>
      </c>
      <c r="X942" s="2"/>
      <c r="Y942" s="488" t="s">
        <v>1486</v>
      </c>
      <c r="Z942" s="293"/>
      <c r="AA942" s="293"/>
    </row>
    <row r="943" spans="1:27" s="320" customFormat="1" x14ac:dyDescent="0.25">
      <c r="A943" s="220" t="s">
        <v>3326</v>
      </c>
      <c r="B943" s="221" t="s">
        <v>3318</v>
      </c>
      <c r="C943" s="223" t="s">
        <v>3024</v>
      </c>
      <c r="D943" s="220" t="s">
        <v>3315</v>
      </c>
      <c r="E943" s="222">
        <v>6</v>
      </c>
      <c r="F943" s="192">
        <v>5157.3600000000006</v>
      </c>
      <c r="G943" s="24">
        <v>0.2</v>
      </c>
      <c r="H943" s="24">
        <v>0.05</v>
      </c>
      <c r="I943" s="24">
        <v>0.05</v>
      </c>
      <c r="J943" s="24">
        <v>0</v>
      </c>
      <c r="K943" s="224">
        <f t="shared" si="118"/>
        <v>0.27800000000000002</v>
      </c>
      <c r="L943" s="225">
        <f t="shared" si="119"/>
        <v>42858.947368421061</v>
      </c>
      <c r="M943" s="225">
        <f t="shared" si="120"/>
        <v>7143.1578947368434</v>
      </c>
      <c r="N943" s="226">
        <f t="shared" si="121"/>
        <v>8500.3578947368442</v>
      </c>
      <c r="O943" s="34">
        <v>0.3</v>
      </c>
      <c r="P943" s="226">
        <f t="shared" si="122"/>
        <v>11050.465263157897</v>
      </c>
      <c r="Q943" s="107" t="s">
        <v>1486</v>
      </c>
      <c r="R943" s="34">
        <v>0.28786540584179066</v>
      </c>
      <c r="S943" s="226">
        <f t="shared" si="125"/>
        <v>8618.1158033119427</v>
      </c>
      <c r="T943" s="156" t="s">
        <v>1486</v>
      </c>
      <c r="U943" s="2"/>
      <c r="V943" s="2" t="s">
        <v>47</v>
      </c>
      <c r="W943" s="2" t="s">
        <v>5963</v>
      </c>
      <c r="X943" s="2"/>
      <c r="Y943" s="488" t="s">
        <v>1486</v>
      </c>
      <c r="Z943" s="293"/>
      <c r="AA943" s="293"/>
    </row>
    <row r="944" spans="1:27" s="320" customFormat="1" x14ac:dyDescent="0.25">
      <c r="A944" s="220" t="s">
        <v>3327</v>
      </c>
      <c r="B944" s="221" t="s">
        <v>3319</v>
      </c>
      <c r="C944" s="223" t="s">
        <v>3024</v>
      </c>
      <c r="D944" s="220" t="s">
        <v>3315</v>
      </c>
      <c r="E944" s="222">
        <v>6</v>
      </c>
      <c r="F944" s="192">
        <v>6900</v>
      </c>
      <c r="G944" s="24">
        <v>0.2</v>
      </c>
      <c r="H944" s="24">
        <v>0.05</v>
      </c>
      <c r="I944" s="24">
        <v>0.05</v>
      </c>
      <c r="J944" s="24">
        <v>0</v>
      </c>
      <c r="K944" s="224">
        <f t="shared" si="118"/>
        <v>0.27800000000000002</v>
      </c>
      <c r="L944" s="225">
        <f t="shared" si="119"/>
        <v>57340.720221606651</v>
      </c>
      <c r="M944" s="225">
        <f t="shared" si="120"/>
        <v>9556.7867036011085</v>
      </c>
      <c r="N944" s="226">
        <f t="shared" si="121"/>
        <v>11372.576177285318</v>
      </c>
      <c r="O944" s="34">
        <v>0.3</v>
      </c>
      <c r="P944" s="226">
        <f t="shared" si="122"/>
        <v>14784.349030470914</v>
      </c>
      <c r="Q944" s="107" t="s">
        <v>1486</v>
      </c>
      <c r="R944" s="34">
        <v>0.28786540584179066</v>
      </c>
      <c r="S944" s="226">
        <f t="shared" si="125"/>
        <v>11530.123753791164</v>
      </c>
      <c r="T944" s="156" t="s">
        <v>1486</v>
      </c>
      <c r="U944" s="2"/>
      <c r="V944" s="2" t="s">
        <v>47</v>
      </c>
      <c r="W944" s="2" t="s">
        <v>5963</v>
      </c>
      <c r="X944" s="2"/>
      <c r="Y944" s="488" t="s">
        <v>1486</v>
      </c>
      <c r="Z944" s="293"/>
      <c r="AA944" s="293"/>
    </row>
    <row r="945" spans="1:27" s="320" customFormat="1" x14ac:dyDescent="0.25">
      <c r="A945" s="220" t="s">
        <v>3328</v>
      </c>
      <c r="B945" s="221" t="s">
        <v>3320</v>
      </c>
      <c r="C945" s="223" t="s">
        <v>3024</v>
      </c>
      <c r="D945" s="220" t="s">
        <v>3315</v>
      </c>
      <c r="E945" s="222">
        <v>12</v>
      </c>
      <c r="F945" s="192">
        <v>690</v>
      </c>
      <c r="G945" s="24">
        <v>0.2</v>
      </c>
      <c r="H945" s="24">
        <v>0.05</v>
      </c>
      <c r="I945" s="24">
        <v>0.05</v>
      </c>
      <c r="J945" s="24">
        <v>0</v>
      </c>
      <c r="K945" s="224">
        <f t="shared" si="118"/>
        <v>0.27800000000000014</v>
      </c>
      <c r="L945" s="225">
        <f t="shared" si="119"/>
        <v>11468.144044321331</v>
      </c>
      <c r="M945" s="225">
        <f t="shared" si="120"/>
        <v>955.67867036011091</v>
      </c>
      <c r="N945" s="226">
        <f t="shared" si="121"/>
        <v>1137.2576177285318</v>
      </c>
      <c r="O945" s="34">
        <v>0.3</v>
      </c>
      <c r="P945" s="226">
        <f t="shared" si="122"/>
        <v>1478.4349030470914</v>
      </c>
      <c r="Q945" s="107" t="s">
        <v>1486</v>
      </c>
      <c r="R945" s="34">
        <v>0.28786540584179066</v>
      </c>
      <c r="S945" s="226">
        <f t="shared" si="125"/>
        <v>1153.0123753791163</v>
      </c>
      <c r="T945" s="156" t="s">
        <v>1486</v>
      </c>
      <c r="U945" s="2"/>
      <c r="V945" s="2" t="s">
        <v>47</v>
      </c>
      <c r="W945" s="2" t="s">
        <v>5963</v>
      </c>
      <c r="X945" s="2"/>
      <c r="Y945" s="488" t="s">
        <v>1486</v>
      </c>
      <c r="Z945" s="293"/>
      <c r="AA945" s="293"/>
    </row>
    <row r="946" spans="1:27" s="320" customFormat="1" x14ac:dyDescent="0.25">
      <c r="A946" s="220" t="s">
        <v>3329</v>
      </c>
      <c r="B946" s="221" t="s">
        <v>3321</v>
      </c>
      <c r="C946" s="223" t="s">
        <v>3024</v>
      </c>
      <c r="D946" s="220" t="s">
        <v>3315</v>
      </c>
      <c r="E946" s="222">
        <v>6</v>
      </c>
      <c r="F946" s="192">
        <v>4249</v>
      </c>
      <c r="G946" s="24">
        <v>0.2</v>
      </c>
      <c r="H946" s="24">
        <v>0.05</v>
      </c>
      <c r="I946" s="24">
        <v>0.05</v>
      </c>
      <c r="J946" s="24">
        <v>0</v>
      </c>
      <c r="K946" s="224">
        <f t="shared" si="118"/>
        <v>0.27800000000000002</v>
      </c>
      <c r="L946" s="225">
        <f t="shared" si="119"/>
        <v>35310.249307479229</v>
      </c>
      <c r="M946" s="225">
        <f t="shared" si="120"/>
        <v>5885.0415512465379</v>
      </c>
      <c r="N946" s="226">
        <f t="shared" si="121"/>
        <v>7003.1994459833795</v>
      </c>
      <c r="O946" s="34">
        <v>0.3</v>
      </c>
      <c r="P946" s="226">
        <f t="shared" si="122"/>
        <v>9104.1592797783942</v>
      </c>
      <c r="Q946" s="107" t="s">
        <v>1486</v>
      </c>
      <c r="R946" s="34">
        <v>0.28786540584179066</v>
      </c>
      <c r="S946" s="226">
        <f t="shared" si="125"/>
        <v>7100.2167869360364</v>
      </c>
      <c r="T946" s="156" t="s">
        <v>1486</v>
      </c>
      <c r="U946" s="2"/>
      <c r="V946" s="2" t="s">
        <v>47</v>
      </c>
      <c r="W946" s="2" t="s">
        <v>5963</v>
      </c>
      <c r="X946" s="2"/>
      <c r="Y946" s="488" t="s">
        <v>1486</v>
      </c>
      <c r="Z946" s="293"/>
      <c r="AA946" s="293"/>
    </row>
    <row r="947" spans="1:27" s="320" customFormat="1" x14ac:dyDescent="0.25">
      <c r="A947" s="220" t="s">
        <v>3330</v>
      </c>
      <c r="B947" s="221" t="s">
        <v>3322</v>
      </c>
      <c r="C947" s="223" t="s">
        <v>3024</v>
      </c>
      <c r="D947" s="220" t="s">
        <v>3315</v>
      </c>
      <c r="E947" s="222">
        <v>2</v>
      </c>
      <c r="F947" s="192">
        <v>4249</v>
      </c>
      <c r="G947" s="24">
        <v>0.2</v>
      </c>
      <c r="H947" s="24">
        <v>0.05</v>
      </c>
      <c r="I947" s="24">
        <v>0.05</v>
      </c>
      <c r="J947" s="24">
        <v>0</v>
      </c>
      <c r="K947" s="224">
        <f t="shared" si="118"/>
        <v>0.27800000000000002</v>
      </c>
      <c r="L947" s="225">
        <f t="shared" si="119"/>
        <v>11770.083102493076</v>
      </c>
      <c r="M947" s="225">
        <f t="shared" si="120"/>
        <v>5885.0415512465379</v>
      </c>
      <c r="N947" s="226">
        <f t="shared" si="121"/>
        <v>7003.1994459833795</v>
      </c>
      <c r="O947" s="34">
        <v>0.3</v>
      </c>
      <c r="P947" s="226">
        <f t="shared" si="122"/>
        <v>9104.1592797783942</v>
      </c>
      <c r="Q947" s="107" t="s">
        <v>1486</v>
      </c>
      <c r="R947" s="34">
        <v>0.28786540584179066</v>
      </c>
      <c r="S947" s="226">
        <f t="shared" si="125"/>
        <v>7100.2167869360364</v>
      </c>
      <c r="T947" s="156" t="s">
        <v>1486</v>
      </c>
      <c r="U947" s="2"/>
      <c r="V947" s="2" t="s">
        <v>47</v>
      </c>
      <c r="W947" s="2" t="s">
        <v>5963</v>
      </c>
      <c r="X947" s="2"/>
      <c r="Y947" s="488" t="s">
        <v>1486</v>
      </c>
      <c r="Z947" s="293"/>
      <c r="AA947" s="293"/>
    </row>
    <row r="948" spans="1:27" s="320" customFormat="1" x14ac:dyDescent="0.25">
      <c r="A948" s="220" t="s">
        <v>3331</v>
      </c>
      <c r="B948" s="221" t="s">
        <v>3323</v>
      </c>
      <c r="C948" s="223" t="s">
        <v>3024</v>
      </c>
      <c r="D948" s="220" t="s">
        <v>3315</v>
      </c>
      <c r="E948" s="222">
        <v>2</v>
      </c>
      <c r="F948" s="192">
        <v>4249</v>
      </c>
      <c r="G948" s="24">
        <v>0.2</v>
      </c>
      <c r="H948" s="24">
        <v>0.05</v>
      </c>
      <c r="I948" s="24">
        <v>0.05</v>
      </c>
      <c r="J948" s="24">
        <v>0</v>
      </c>
      <c r="K948" s="224">
        <f t="shared" si="118"/>
        <v>0.27800000000000002</v>
      </c>
      <c r="L948" s="225">
        <f t="shared" si="119"/>
        <v>11770.083102493076</v>
      </c>
      <c r="M948" s="225">
        <f t="shared" si="120"/>
        <v>5885.0415512465379</v>
      </c>
      <c r="N948" s="226">
        <f t="shared" si="121"/>
        <v>7003.1994459833795</v>
      </c>
      <c r="O948" s="34">
        <v>0.3</v>
      </c>
      <c r="P948" s="226">
        <f t="shared" si="122"/>
        <v>9104.1592797783942</v>
      </c>
      <c r="Q948" s="107" t="s">
        <v>1486</v>
      </c>
      <c r="R948" s="34">
        <v>0.28786540584179066</v>
      </c>
      <c r="S948" s="226">
        <f t="shared" si="125"/>
        <v>7100.2167869360364</v>
      </c>
      <c r="T948" s="156" t="s">
        <v>1486</v>
      </c>
      <c r="U948" s="2"/>
      <c r="V948" s="2" t="s">
        <v>47</v>
      </c>
      <c r="W948" s="2" t="s">
        <v>5963</v>
      </c>
      <c r="X948" s="2"/>
      <c r="Y948" s="488" t="s">
        <v>1486</v>
      </c>
      <c r="Z948" s="293"/>
      <c r="AA948" s="293"/>
    </row>
    <row r="949" spans="1:27" s="320" customFormat="1" x14ac:dyDescent="0.25">
      <c r="A949" s="220" t="s">
        <v>3332</v>
      </c>
      <c r="B949" s="221" t="s">
        <v>3324</v>
      </c>
      <c r="C949" s="223" t="s">
        <v>3024</v>
      </c>
      <c r="D949" s="220" t="s">
        <v>3316</v>
      </c>
      <c r="E949" s="222">
        <v>6</v>
      </c>
      <c r="F949" s="192">
        <v>567</v>
      </c>
      <c r="G949" s="24">
        <v>0.2</v>
      </c>
      <c r="H949" s="24">
        <v>0.05</v>
      </c>
      <c r="I949" s="24">
        <v>0.05</v>
      </c>
      <c r="J949" s="24">
        <v>0</v>
      </c>
      <c r="K949" s="224">
        <f t="shared" si="118"/>
        <v>0.27800000000000014</v>
      </c>
      <c r="L949" s="225">
        <f t="shared" si="119"/>
        <v>4711.9113573407212</v>
      </c>
      <c r="M949" s="225">
        <f t="shared" si="120"/>
        <v>785.31855955678679</v>
      </c>
      <c r="N949" s="226">
        <f t="shared" si="121"/>
        <v>934.52908587257627</v>
      </c>
      <c r="O949" s="34">
        <v>0.3</v>
      </c>
      <c r="P949" s="226">
        <f t="shared" si="122"/>
        <v>1214.8878116343492</v>
      </c>
      <c r="Q949" s="107" t="s">
        <v>1486</v>
      </c>
      <c r="R949" s="34">
        <v>0.28786540584179066</v>
      </c>
      <c r="S949" s="226">
        <f t="shared" si="125"/>
        <v>947.47538672457824</v>
      </c>
      <c r="T949" s="156" t="s">
        <v>1486</v>
      </c>
      <c r="U949" s="2"/>
      <c r="V949" s="2" t="s">
        <v>47</v>
      </c>
      <c r="W949" s="2" t="s">
        <v>5963</v>
      </c>
      <c r="X949" s="2"/>
      <c r="Y949" s="488" t="s">
        <v>1486</v>
      </c>
      <c r="Z949" s="293"/>
      <c r="AA949" s="293"/>
    </row>
    <row r="950" spans="1:27" s="320" customFormat="1" x14ac:dyDescent="0.25">
      <c r="A950" s="220" t="s">
        <v>3333</v>
      </c>
      <c r="B950" s="221" t="s">
        <v>3341</v>
      </c>
      <c r="C950" s="223" t="s">
        <v>1576</v>
      </c>
      <c r="D950" s="220" t="s">
        <v>3342</v>
      </c>
      <c r="E950" s="222">
        <v>10</v>
      </c>
      <c r="F950" s="192">
        <v>1041</v>
      </c>
      <c r="G950" s="24">
        <v>0.2</v>
      </c>
      <c r="H950" s="24">
        <v>0.05</v>
      </c>
      <c r="I950" s="24">
        <v>0.05</v>
      </c>
      <c r="J950" s="24">
        <v>0</v>
      </c>
      <c r="K950" s="224">
        <f t="shared" si="118"/>
        <v>0.27800000000000002</v>
      </c>
      <c r="L950" s="225">
        <f t="shared" si="119"/>
        <v>14418.282548476454</v>
      </c>
      <c r="M950" s="225">
        <f t="shared" si="120"/>
        <v>1441.8282548476454</v>
      </c>
      <c r="N950" s="226">
        <f t="shared" si="121"/>
        <v>1715.7756232686979</v>
      </c>
      <c r="O950" s="34">
        <v>1.3</v>
      </c>
      <c r="P950" s="226">
        <f t="shared" si="122"/>
        <v>3946.2839335180051</v>
      </c>
      <c r="Q950" s="107" t="s">
        <v>1486</v>
      </c>
      <c r="R950" s="34">
        <v>0.28786540584179066</v>
      </c>
      <c r="S950" s="226">
        <f t="shared" si="125"/>
        <v>1739.5447576371887</v>
      </c>
      <c r="T950" s="156" t="s">
        <v>1486</v>
      </c>
      <c r="U950" s="2"/>
      <c r="V950" s="2" t="s">
        <v>47</v>
      </c>
      <c r="W950" s="2"/>
      <c r="X950" s="2"/>
      <c r="Y950" s="488" t="s">
        <v>1486</v>
      </c>
      <c r="Z950" s="293"/>
      <c r="AA950" s="293"/>
    </row>
    <row r="951" spans="1:27" s="320" customFormat="1" x14ac:dyDescent="0.25">
      <c r="A951" s="220" t="s">
        <v>3334</v>
      </c>
      <c r="B951" s="221" t="s">
        <v>3344</v>
      </c>
      <c r="C951" s="223" t="s">
        <v>1576</v>
      </c>
      <c r="D951" s="220" t="s">
        <v>3342</v>
      </c>
      <c r="E951" s="222">
        <v>10</v>
      </c>
      <c r="F951" s="192">
        <v>1041</v>
      </c>
      <c r="G951" s="24">
        <v>0.2</v>
      </c>
      <c r="H951" s="24">
        <v>0.05</v>
      </c>
      <c r="I951" s="24">
        <v>0.05</v>
      </c>
      <c r="J951" s="24">
        <v>0</v>
      </c>
      <c r="K951" s="224">
        <f t="shared" si="118"/>
        <v>0.27800000000000002</v>
      </c>
      <c r="L951" s="225">
        <f t="shared" si="119"/>
        <v>14418.282548476454</v>
      </c>
      <c r="M951" s="225">
        <f t="shared" si="120"/>
        <v>1441.8282548476454</v>
      </c>
      <c r="N951" s="226">
        <f t="shared" si="121"/>
        <v>1715.7756232686979</v>
      </c>
      <c r="O951" s="34">
        <v>2.2999999999999998</v>
      </c>
      <c r="P951" s="226">
        <f t="shared" si="122"/>
        <v>5662.0595567867031</v>
      </c>
      <c r="Q951" s="107" t="s">
        <v>1486</v>
      </c>
      <c r="R951" s="34">
        <v>0.28786540584179066</v>
      </c>
      <c r="S951" s="226">
        <f t="shared" si="125"/>
        <v>1739.5447576371887</v>
      </c>
      <c r="T951" s="156" t="s">
        <v>1486</v>
      </c>
      <c r="U951" s="2"/>
      <c r="V951" s="2" t="s">
        <v>47</v>
      </c>
      <c r="W951" s="2"/>
      <c r="X951" s="2"/>
      <c r="Y951" s="488" t="s">
        <v>1486</v>
      </c>
      <c r="Z951" s="293"/>
      <c r="AA951" s="293"/>
    </row>
    <row r="952" spans="1:27" s="320" customFormat="1" x14ac:dyDescent="0.25">
      <c r="A952" s="220" t="s">
        <v>3340</v>
      </c>
      <c r="B952" s="221" t="s">
        <v>3346</v>
      </c>
      <c r="C952" s="223" t="s">
        <v>1576</v>
      </c>
      <c r="D952" s="220" t="s">
        <v>3342</v>
      </c>
      <c r="E952" s="222">
        <v>10</v>
      </c>
      <c r="F952" s="192">
        <v>1041</v>
      </c>
      <c r="G952" s="24">
        <v>0.2</v>
      </c>
      <c r="H952" s="24">
        <v>0.05</v>
      </c>
      <c r="I952" s="24">
        <v>0.05</v>
      </c>
      <c r="J952" s="24">
        <v>0</v>
      </c>
      <c r="K952" s="224">
        <f t="shared" si="118"/>
        <v>0.27800000000000002</v>
      </c>
      <c r="L952" s="225">
        <f t="shared" si="119"/>
        <v>14418.282548476454</v>
      </c>
      <c r="M952" s="225">
        <f t="shared" si="120"/>
        <v>1441.8282548476454</v>
      </c>
      <c r="N952" s="226">
        <f t="shared" si="121"/>
        <v>1715.7756232686979</v>
      </c>
      <c r="O952" s="34">
        <v>3.3</v>
      </c>
      <c r="P952" s="226">
        <f t="shared" si="122"/>
        <v>7377.835180055401</v>
      </c>
      <c r="Q952" s="107" t="s">
        <v>1486</v>
      </c>
      <c r="R952" s="34">
        <v>0.28786540584179066</v>
      </c>
      <c r="S952" s="226">
        <f t="shared" si="125"/>
        <v>1739.5447576371887</v>
      </c>
      <c r="T952" s="156" t="s">
        <v>1486</v>
      </c>
      <c r="U952" s="2"/>
      <c r="V952" s="2" t="s">
        <v>47</v>
      </c>
      <c r="W952" s="2"/>
      <c r="X952" s="2"/>
      <c r="Y952" s="488" t="s">
        <v>1486</v>
      </c>
      <c r="Z952" s="293"/>
      <c r="AA952" s="293"/>
    </row>
    <row r="953" spans="1:27" s="320" customFormat="1" x14ac:dyDescent="0.25">
      <c r="A953" s="220" t="s">
        <v>3343</v>
      </c>
      <c r="B953" s="221" t="s">
        <v>3348</v>
      </c>
      <c r="C953" s="223" t="s">
        <v>1576</v>
      </c>
      <c r="D953" s="220" t="s">
        <v>3342</v>
      </c>
      <c r="E953" s="222">
        <v>10</v>
      </c>
      <c r="F953" s="192">
        <v>1496.0810801643056</v>
      </c>
      <c r="G953" s="24">
        <v>0.2</v>
      </c>
      <c r="H953" s="24">
        <v>0.05</v>
      </c>
      <c r="I953" s="24">
        <v>0.05</v>
      </c>
      <c r="J953" s="24">
        <v>0</v>
      </c>
      <c r="K953" s="224">
        <f t="shared" si="118"/>
        <v>0.27800000000000002</v>
      </c>
      <c r="L953" s="225">
        <f t="shared" si="119"/>
        <v>20721.344600613651</v>
      </c>
      <c r="M953" s="225">
        <f t="shared" si="120"/>
        <v>2072.1344600613652</v>
      </c>
      <c r="N953" s="226">
        <f t="shared" si="121"/>
        <v>2465.8400074730243</v>
      </c>
      <c r="O953" s="34">
        <v>4.3</v>
      </c>
      <c r="P953" s="226">
        <f t="shared" si="122"/>
        <v>13068.952039607029</v>
      </c>
      <c r="Q953" s="107" t="s">
        <v>1486</v>
      </c>
      <c r="R953" s="34">
        <v>0.28786540584179066</v>
      </c>
      <c r="S953" s="226">
        <f t="shared" si="125"/>
        <v>2500</v>
      </c>
      <c r="T953" s="156" t="s">
        <v>1486</v>
      </c>
      <c r="U953" s="2"/>
      <c r="V953" s="2" t="s">
        <v>47</v>
      </c>
      <c r="W953" s="2"/>
      <c r="X953" s="2"/>
      <c r="Y953" s="488" t="s">
        <v>1486</v>
      </c>
      <c r="Z953" s="293"/>
      <c r="AA953" s="293"/>
    </row>
    <row r="954" spans="1:27" s="320" customFormat="1" x14ac:dyDescent="0.25">
      <c r="A954" s="220" t="s">
        <v>3345</v>
      </c>
      <c r="B954" s="221" t="s">
        <v>3350</v>
      </c>
      <c r="C954" s="223" t="s">
        <v>1879</v>
      </c>
      <c r="D954" s="220" t="s">
        <v>1879</v>
      </c>
      <c r="E954" s="222">
        <v>20</v>
      </c>
      <c r="F954" s="192">
        <v>359.05945923943364</v>
      </c>
      <c r="G954" s="24">
        <v>0.2</v>
      </c>
      <c r="H954" s="24">
        <v>0.05</v>
      </c>
      <c r="I954" s="24">
        <v>0.05</v>
      </c>
      <c r="J954" s="24">
        <v>0</v>
      </c>
      <c r="K954" s="224">
        <f t="shared" si="118"/>
        <v>0.27800000000000002</v>
      </c>
      <c r="L954" s="225">
        <f t="shared" si="119"/>
        <v>9946.2454082945605</v>
      </c>
      <c r="M954" s="225">
        <f t="shared" si="120"/>
        <v>497.31227041472806</v>
      </c>
      <c r="N954" s="226">
        <f t="shared" si="121"/>
        <v>591.8016017935264</v>
      </c>
      <c r="O954" s="34">
        <v>1.3</v>
      </c>
      <c r="P954" s="226">
        <f t="shared" si="122"/>
        <v>1361.1436841251107</v>
      </c>
      <c r="Q954" s="107" t="s">
        <v>1486</v>
      </c>
      <c r="R954" s="34">
        <v>0.28786540584179066</v>
      </c>
      <c r="S954" s="226">
        <f t="shared" si="125"/>
        <v>600.00000000000057</v>
      </c>
      <c r="T954" s="156" t="s">
        <v>1486</v>
      </c>
      <c r="U954" s="2"/>
      <c r="V954" s="2" t="s">
        <v>47</v>
      </c>
      <c r="W954" s="2"/>
      <c r="X954" s="2"/>
      <c r="Y954" s="488" t="s">
        <v>1486</v>
      </c>
      <c r="Z954" s="293"/>
      <c r="AA954" s="293"/>
    </row>
    <row r="955" spans="1:27" s="320" customFormat="1" x14ac:dyDescent="0.25">
      <c r="A955" s="220" t="s">
        <v>3347</v>
      </c>
      <c r="B955" s="221" t="s">
        <v>3664</v>
      </c>
      <c r="C955" s="223" t="s">
        <v>1561</v>
      </c>
      <c r="D955" s="220" t="s">
        <v>1887</v>
      </c>
      <c r="E955" s="222">
        <v>24</v>
      </c>
      <c r="F955" s="192">
        <v>777.96216168543867</v>
      </c>
      <c r="G955" s="24">
        <v>0.2</v>
      </c>
      <c r="H955" s="24">
        <v>0.05</v>
      </c>
      <c r="I955" s="24">
        <v>0.05</v>
      </c>
      <c r="J955" s="24">
        <v>0</v>
      </c>
      <c r="K955" s="224">
        <f t="shared" si="118"/>
        <v>0.27799999999999991</v>
      </c>
      <c r="L955" s="225">
        <f t="shared" si="119"/>
        <v>25860.238061565826</v>
      </c>
      <c r="M955" s="225">
        <f t="shared" si="120"/>
        <v>1077.5099192319094</v>
      </c>
      <c r="N955" s="226">
        <f t="shared" si="121"/>
        <v>1282.2368038859722</v>
      </c>
      <c r="O955" s="34">
        <v>2.2999999999999998</v>
      </c>
      <c r="P955" s="226">
        <f t="shared" si="122"/>
        <v>4231.3814528237081</v>
      </c>
      <c r="Q955" s="107" t="s">
        <v>1486</v>
      </c>
      <c r="R955" s="34">
        <v>0.28786540584179066</v>
      </c>
      <c r="S955" s="226">
        <f t="shared" si="125"/>
        <v>1299.9999999999998</v>
      </c>
      <c r="T955" s="156" t="s">
        <v>1486</v>
      </c>
      <c r="U955" s="2" t="s">
        <v>109</v>
      </c>
      <c r="V955" s="2" t="s">
        <v>47</v>
      </c>
      <c r="W955" s="2" t="s">
        <v>5863</v>
      </c>
      <c r="X955" s="2" t="s">
        <v>5881</v>
      </c>
      <c r="Y955" s="488" t="s">
        <v>1486</v>
      </c>
      <c r="Z955" s="293"/>
      <c r="AA955" s="293"/>
    </row>
    <row r="956" spans="1:27" s="320" customFormat="1" x14ac:dyDescent="0.25">
      <c r="A956" s="220" t="s">
        <v>3349</v>
      </c>
      <c r="B956" s="221" t="s">
        <v>3665</v>
      </c>
      <c r="C956" s="223" t="s">
        <v>1561</v>
      </c>
      <c r="D956" s="220" t="s">
        <v>1887</v>
      </c>
      <c r="E956" s="222">
        <v>24</v>
      </c>
      <c r="F956" s="192">
        <v>777.96216168543867</v>
      </c>
      <c r="G956" s="24">
        <v>0.2</v>
      </c>
      <c r="H956" s="24">
        <v>0.05</v>
      </c>
      <c r="I956" s="24">
        <v>0.05</v>
      </c>
      <c r="J956" s="24">
        <v>0</v>
      </c>
      <c r="K956" s="224">
        <f t="shared" si="118"/>
        <v>0.27799999999999991</v>
      </c>
      <c r="L956" s="225">
        <f t="shared" si="119"/>
        <v>25860.238061565826</v>
      </c>
      <c r="M956" s="225">
        <f t="shared" si="120"/>
        <v>1077.5099192319094</v>
      </c>
      <c r="N956" s="226">
        <f t="shared" si="121"/>
        <v>1282.2368038859722</v>
      </c>
      <c r="O956" s="34">
        <v>3.3</v>
      </c>
      <c r="P956" s="226">
        <f t="shared" si="122"/>
        <v>5513.6182567096803</v>
      </c>
      <c r="Q956" s="107" t="s">
        <v>1486</v>
      </c>
      <c r="R956" s="34">
        <v>0.28786540584179066</v>
      </c>
      <c r="S956" s="226">
        <f t="shared" si="125"/>
        <v>1299.9999999999998</v>
      </c>
      <c r="T956" s="156" t="s">
        <v>1486</v>
      </c>
      <c r="U956" s="2" t="s">
        <v>109</v>
      </c>
      <c r="V956" s="2" t="s">
        <v>47</v>
      </c>
      <c r="W956" s="2" t="s">
        <v>5863</v>
      </c>
      <c r="X956" s="2" t="s">
        <v>5881</v>
      </c>
      <c r="Y956" s="488" t="s">
        <v>1486</v>
      </c>
      <c r="Z956" s="293"/>
      <c r="AA956" s="293"/>
    </row>
    <row r="957" spans="1:27" s="320" customFormat="1" x14ac:dyDescent="0.25">
      <c r="A957" s="220" t="s">
        <v>3351</v>
      </c>
      <c r="B957" s="221" t="s">
        <v>3666</v>
      </c>
      <c r="C957" s="223" t="s">
        <v>1561</v>
      </c>
      <c r="D957" s="220" t="s">
        <v>1887</v>
      </c>
      <c r="E957" s="222">
        <v>24</v>
      </c>
      <c r="F957" s="192">
        <v>1077.1783777182998</v>
      </c>
      <c r="G957" s="24">
        <v>0.2</v>
      </c>
      <c r="H957" s="24">
        <v>0.05</v>
      </c>
      <c r="I957" s="24">
        <v>0.05</v>
      </c>
      <c r="J957" s="24">
        <v>0</v>
      </c>
      <c r="K957" s="224">
        <f t="shared" si="118"/>
        <v>0.27799999999999991</v>
      </c>
      <c r="L957" s="225">
        <f t="shared" si="119"/>
        <v>35806.483469860374</v>
      </c>
      <c r="M957" s="225">
        <f t="shared" si="120"/>
        <v>1491.9368112441823</v>
      </c>
      <c r="N957" s="226">
        <f t="shared" si="121"/>
        <v>1775.4048053805768</v>
      </c>
      <c r="O957" s="34">
        <v>4.3</v>
      </c>
      <c r="P957" s="226">
        <f t="shared" si="122"/>
        <v>9409.6454685170575</v>
      </c>
      <c r="Q957" s="107" t="s">
        <v>1486</v>
      </c>
      <c r="R957" s="34">
        <v>0.28786540584179066</v>
      </c>
      <c r="S957" s="226">
        <f t="shared" si="125"/>
        <v>1799.9999999999998</v>
      </c>
      <c r="T957" s="156" t="s">
        <v>1486</v>
      </c>
      <c r="U957" s="2" t="s">
        <v>109</v>
      </c>
      <c r="V957" s="2" t="s">
        <v>47</v>
      </c>
      <c r="W957" s="2" t="s">
        <v>5863</v>
      </c>
      <c r="X957" s="2" t="s">
        <v>5881</v>
      </c>
      <c r="Y957" s="488" t="s">
        <v>1486</v>
      </c>
      <c r="Z957" s="293"/>
      <c r="AA957" s="293"/>
    </row>
    <row r="958" spans="1:27" s="320" customFormat="1" x14ac:dyDescent="0.25">
      <c r="A958" s="220" t="s">
        <v>3352</v>
      </c>
      <c r="B958" s="221" t="s">
        <v>3354</v>
      </c>
      <c r="C958" s="223" t="s">
        <v>1879</v>
      </c>
      <c r="D958" s="220" t="s">
        <v>1879</v>
      </c>
      <c r="E958" s="222">
        <v>20</v>
      </c>
      <c r="F958" s="192">
        <v>382.5</v>
      </c>
      <c r="G958" s="24">
        <v>0.2</v>
      </c>
      <c r="H958" s="24">
        <v>0.05</v>
      </c>
      <c r="I958" s="24">
        <v>0.05</v>
      </c>
      <c r="J958" s="24">
        <v>0</v>
      </c>
      <c r="K958" s="224">
        <f t="shared" si="118"/>
        <v>0.27800000000000014</v>
      </c>
      <c r="L958" s="225">
        <f t="shared" si="119"/>
        <v>10595.567867036014</v>
      </c>
      <c r="M958" s="225">
        <f t="shared" si="120"/>
        <v>529.77839335180067</v>
      </c>
      <c r="N958" s="226">
        <f t="shared" si="121"/>
        <v>630.43628808864275</v>
      </c>
      <c r="O958" s="34">
        <v>1.3</v>
      </c>
      <c r="P958" s="226">
        <f t="shared" si="122"/>
        <v>1450.0034626038782</v>
      </c>
      <c r="Q958" s="107" t="s">
        <v>1486</v>
      </c>
      <c r="R958" s="34">
        <v>0.3</v>
      </c>
      <c r="S958" s="226">
        <f t="shared" si="125"/>
        <v>650.25</v>
      </c>
      <c r="T958" s="156" t="s">
        <v>1486</v>
      </c>
      <c r="U958" s="2"/>
      <c r="V958" s="2" t="s">
        <v>47</v>
      </c>
      <c r="W958" s="2"/>
      <c r="X958" s="2"/>
      <c r="Y958" s="488" t="s">
        <v>1486</v>
      </c>
      <c r="Z958" s="293">
        <f>+M958-F958</f>
        <v>147.27839335180067</v>
      </c>
      <c r="AA958" s="293">
        <f>+(S958/1.19)-F958</f>
        <v>163.92857142857144</v>
      </c>
    </row>
    <row r="959" spans="1:27" s="320" customFormat="1" x14ac:dyDescent="0.25">
      <c r="A959" s="220" t="s">
        <v>3353</v>
      </c>
      <c r="B959" s="221" t="s">
        <v>3357</v>
      </c>
      <c r="C959" s="223" t="s">
        <v>1524</v>
      </c>
      <c r="D959" s="220" t="s">
        <v>1539</v>
      </c>
      <c r="E959" s="222">
        <v>12</v>
      </c>
      <c r="F959" s="192">
        <v>5043</v>
      </c>
      <c r="G959" s="24">
        <v>0.2</v>
      </c>
      <c r="H959" s="24">
        <v>0.05</v>
      </c>
      <c r="I959" s="24">
        <v>0.05</v>
      </c>
      <c r="J959" s="24">
        <v>0</v>
      </c>
      <c r="K959" s="224">
        <f t="shared" si="118"/>
        <v>0.27800000000000014</v>
      </c>
      <c r="L959" s="225">
        <f t="shared" si="119"/>
        <v>83817.174515235471</v>
      </c>
      <c r="M959" s="225">
        <f t="shared" si="120"/>
        <v>6984.7645429362892</v>
      </c>
      <c r="N959" s="226">
        <f t="shared" si="121"/>
        <v>8311.8698060941842</v>
      </c>
      <c r="O959" s="34">
        <v>0.3</v>
      </c>
      <c r="P959" s="226">
        <f t="shared" si="122"/>
        <v>10805.430747922441</v>
      </c>
      <c r="Q959" s="107" t="s">
        <v>1486</v>
      </c>
      <c r="R959" s="34">
        <v>0.1998440008285087</v>
      </c>
      <c r="S959" s="226">
        <f t="shared" si="125"/>
        <v>7500.0000077657551</v>
      </c>
      <c r="T959" s="156" t="s">
        <v>1486</v>
      </c>
      <c r="U959" s="2">
        <v>13</v>
      </c>
      <c r="V959" s="2" t="s">
        <v>47</v>
      </c>
      <c r="W959" s="2" t="s">
        <v>5883</v>
      </c>
      <c r="X959" s="2" t="s">
        <v>5965</v>
      </c>
      <c r="Y959" s="488" t="s">
        <v>1486</v>
      </c>
      <c r="Z959" s="293"/>
      <c r="AA959" s="293"/>
    </row>
    <row r="960" spans="1:27" s="320" customFormat="1" x14ac:dyDescent="0.25">
      <c r="A960" s="220" t="s">
        <v>3355</v>
      </c>
      <c r="B960" s="221" t="s">
        <v>3358</v>
      </c>
      <c r="C960" s="223" t="s">
        <v>1546</v>
      </c>
      <c r="D960" s="220" t="s">
        <v>3359</v>
      </c>
      <c r="E960" s="222">
        <v>6</v>
      </c>
      <c r="F960" s="192">
        <v>5497</v>
      </c>
      <c r="G960" s="24">
        <v>0.2</v>
      </c>
      <c r="H960" s="24">
        <v>0.05</v>
      </c>
      <c r="I960" s="24">
        <v>0.05</v>
      </c>
      <c r="J960" s="24">
        <v>0</v>
      </c>
      <c r="K960" s="224">
        <f t="shared" si="118"/>
        <v>0.27800000000000002</v>
      </c>
      <c r="L960" s="225">
        <f t="shared" si="119"/>
        <v>45681.440443213301</v>
      </c>
      <c r="M960" s="225">
        <f t="shared" si="120"/>
        <v>7613.5734072022169</v>
      </c>
      <c r="N960" s="226">
        <f t="shared" si="121"/>
        <v>9060.1523545706368</v>
      </c>
      <c r="O960" s="34">
        <v>0.3</v>
      </c>
      <c r="P960" s="226">
        <f t="shared" si="122"/>
        <v>11778.198060941828</v>
      </c>
      <c r="Q960" s="107" t="s">
        <v>1486</v>
      </c>
      <c r="R960" s="34">
        <v>0.27317444444832661</v>
      </c>
      <c r="S960" s="226">
        <f t="shared" si="125"/>
        <v>9000.0000000480704</v>
      </c>
      <c r="T960" s="156" t="s">
        <v>1486</v>
      </c>
      <c r="U960" s="2"/>
      <c r="V960" s="2" t="s">
        <v>47</v>
      </c>
      <c r="W960" s="2" t="s">
        <v>5964</v>
      </c>
      <c r="X960" s="2"/>
      <c r="Y960" s="488" t="s">
        <v>1486</v>
      </c>
      <c r="Z960" s="293"/>
      <c r="AA960" s="293"/>
    </row>
    <row r="961" spans="1:27" s="320" customFormat="1" x14ac:dyDescent="0.25">
      <c r="A961" s="220" t="s">
        <v>3356</v>
      </c>
      <c r="B961" s="221" t="s">
        <v>5905</v>
      </c>
      <c r="C961" s="223" t="s">
        <v>1561</v>
      </c>
      <c r="D961" s="220" t="s">
        <v>782</v>
      </c>
      <c r="E961" s="222">
        <v>12</v>
      </c>
      <c r="F961" s="192">
        <v>1231</v>
      </c>
      <c r="G961" s="24">
        <v>0.2</v>
      </c>
      <c r="H961" s="24">
        <v>0.05</v>
      </c>
      <c r="I961" s="24">
        <v>0.05</v>
      </c>
      <c r="J961" s="24">
        <v>0</v>
      </c>
      <c r="K961" s="224">
        <f t="shared" si="118"/>
        <v>0.27800000000000002</v>
      </c>
      <c r="L961" s="225">
        <f t="shared" si="119"/>
        <v>20459.833795013852</v>
      </c>
      <c r="M961" s="225">
        <f t="shared" si="120"/>
        <v>1704.9861495844875</v>
      </c>
      <c r="N961" s="226">
        <f t="shared" si="121"/>
        <v>2028.93351800554</v>
      </c>
      <c r="O961" s="34">
        <v>0.3</v>
      </c>
      <c r="P961" s="226">
        <f t="shared" si="122"/>
        <v>2637.6135734072022</v>
      </c>
      <c r="Q961" s="107" t="s">
        <v>1486</v>
      </c>
      <c r="R961" s="34">
        <v>0.29314020456527418</v>
      </c>
      <c r="S961" s="226">
        <f t="shared" si="125"/>
        <v>2072.3911721405489</v>
      </c>
      <c r="T961" s="156" t="s">
        <v>1486</v>
      </c>
      <c r="U961" s="2">
        <v>8</v>
      </c>
      <c r="V961" s="2" t="s">
        <v>47</v>
      </c>
      <c r="W961" s="2" t="s">
        <v>5863</v>
      </c>
      <c r="X961" s="2" t="s">
        <v>3470</v>
      </c>
      <c r="Y961" s="488" t="s">
        <v>1486</v>
      </c>
      <c r="Z961" s="293">
        <f t="shared" ref="Z961:Z976" si="126">+M961-F961</f>
        <v>473.98614958448752</v>
      </c>
      <c r="AA961" s="293">
        <f t="shared" ref="AA961:AA976" si="127">+(S961/1.19)-F961</f>
        <v>510.50518667273013</v>
      </c>
    </row>
    <row r="962" spans="1:27" s="320" customFormat="1" x14ac:dyDescent="0.25">
      <c r="A962" s="220" t="s">
        <v>3360</v>
      </c>
      <c r="B962" s="221" t="s">
        <v>5907</v>
      </c>
      <c r="C962" s="223" t="s">
        <v>1561</v>
      </c>
      <c r="D962" s="220" t="s">
        <v>782</v>
      </c>
      <c r="E962" s="222">
        <v>12</v>
      </c>
      <c r="F962" s="192">
        <v>1232</v>
      </c>
      <c r="G962" s="24">
        <v>0.2</v>
      </c>
      <c r="H962" s="24">
        <v>0.05</v>
      </c>
      <c r="I962" s="24">
        <v>0.05</v>
      </c>
      <c r="J962" s="24">
        <v>0</v>
      </c>
      <c r="K962" s="224">
        <f t="shared" si="118"/>
        <v>0.27800000000000014</v>
      </c>
      <c r="L962" s="225">
        <f t="shared" si="119"/>
        <v>20476.454293628813</v>
      </c>
      <c r="M962" s="225">
        <f t="shared" si="120"/>
        <v>1706.3711911357343</v>
      </c>
      <c r="N962" s="226">
        <f t="shared" si="121"/>
        <v>2030.5817174515237</v>
      </c>
      <c r="O962" s="34">
        <v>0.3</v>
      </c>
      <c r="P962" s="226">
        <f t="shared" si="122"/>
        <v>2639.7562326869806</v>
      </c>
      <c r="Q962" s="107" t="s">
        <v>1486</v>
      </c>
      <c r="R962" s="34">
        <v>0.29314020456527418</v>
      </c>
      <c r="S962" s="226">
        <f t="shared" si="125"/>
        <v>2074.0746743112559</v>
      </c>
      <c r="T962" s="156" t="s">
        <v>1486</v>
      </c>
      <c r="U962" s="2">
        <v>9</v>
      </c>
      <c r="V962" s="2" t="s">
        <v>47</v>
      </c>
      <c r="W962" s="2" t="s">
        <v>5863</v>
      </c>
      <c r="X962" s="2" t="s">
        <v>3470</v>
      </c>
      <c r="Y962" s="488" t="s">
        <v>1486</v>
      </c>
      <c r="Z962" s="293">
        <f t="shared" si="126"/>
        <v>474.37119113573431</v>
      </c>
      <c r="AA962" s="293">
        <f t="shared" si="127"/>
        <v>510.91989437920665</v>
      </c>
    </row>
    <row r="963" spans="1:27" s="320" customFormat="1" x14ac:dyDescent="0.25">
      <c r="A963" s="220" t="s">
        <v>3375</v>
      </c>
      <c r="B963" s="221" t="s">
        <v>5906</v>
      </c>
      <c r="C963" s="223" t="s">
        <v>1561</v>
      </c>
      <c r="D963" s="220" t="s">
        <v>782</v>
      </c>
      <c r="E963" s="222">
        <v>12</v>
      </c>
      <c r="F963" s="192">
        <v>1164.75</v>
      </c>
      <c r="G963" s="24">
        <v>0.2</v>
      </c>
      <c r="H963" s="24">
        <v>0.05</v>
      </c>
      <c r="I963" s="24">
        <v>0.05</v>
      </c>
      <c r="J963" s="24">
        <v>0</v>
      </c>
      <c r="K963" s="224">
        <f t="shared" ref="K963:K1026" si="128">IF(F963=0,0,1-(F963/M963))</f>
        <v>0.27800000000000014</v>
      </c>
      <c r="L963" s="225">
        <f t="shared" ref="L963:L1026" si="129">+M963*E963</f>
        <v>19358.725761772857</v>
      </c>
      <c r="M963" s="225">
        <f t="shared" ref="M963:M1026" si="130">+F963/(1-G963)/(1-H963)/(1-I963)/(1-J963)</f>
        <v>1613.2271468144047</v>
      </c>
      <c r="N963" s="226">
        <f t="shared" ref="N963:N970" si="131">+M963*1.19</f>
        <v>1919.7403047091416</v>
      </c>
      <c r="O963" s="34">
        <v>0.3</v>
      </c>
      <c r="P963" s="226">
        <f t="shared" ref="P963:P1026" si="132">+N963*(1+O963)</f>
        <v>2495.6623961218843</v>
      </c>
      <c r="Q963" s="107" t="s">
        <v>1486</v>
      </c>
      <c r="R963" s="34">
        <v>0.30697352071898987</v>
      </c>
      <c r="S963" s="226">
        <f t="shared" si="125"/>
        <v>1999.9993383196256</v>
      </c>
      <c r="T963" s="156" t="s">
        <v>1486</v>
      </c>
      <c r="U963" s="2">
        <v>10</v>
      </c>
      <c r="V963" s="2" t="s">
        <v>47</v>
      </c>
      <c r="W963" s="2" t="s">
        <v>5863</v>
      </c>
      <c r="X963" s="2" t="s">
        <v>3470</v>
      </c>
      <c r="Y963" s="488" t="s">
        <v>1486</v>
      </c>
      <c r="Z963" s="293">
        <f t="shared" si="126"/>
        <v>448.4771468144047</v>
      </c>
      <c r="AA963" s="293">
        <f t="shared" si="127"/>
        <v>515.92171287363499</v>
      </c>
    </row>
    <row r="964" spans="1:27" s="320" customFormat="1" x14ac:dyDescent="0.25">
      <c r="A964" s="220" t="s">
        <v>3376</v>
      </c>
      <c r="B964" s="221" t="s">
        <v>5908</v>
      </c>
      <c r="C964" s="223" t="s">
        <v>1561</v>
      </c>
      <c r="D964" s="220" t="s">
        <v>782</v>
      </c>
      <c r="E964" s="222">
        <v>12</v>
      </c>
      <c r="F964" s="192">
        <v>89</v>
      </c>
      <c r="G964" s="24">
        <v>0.2</v>
      </c>
      <c r="H964" s="24">
        <v>0.05</v>
      </c>
      <c r="I964" s="24">
        <v>0.05</v>
      </c>
      <c r="J964" s="24">
        <v>0</v>
      </c>
      <c r="K964" s="224">
        <f t="shared" si="128"/>
        <v>0.27800000000000014</v>
      </c>
      <c r="L964" s="225">
        <f t="shared" si="129"/>
        <v>1479.2243767313021</v>
      </c>
      <c r="M964" s="225">
        <f t="shared" si="130"/>
        <v>123.26869806094184</v>
      </c>
      <c r="N964" s="226">
        <f t="shared" si="131"/>
        <v>146.68975069252079</v>
      </c>
      <c r="O964" s="34">
        <v>0.3</v>
      </c>
      <c r="P964" s="226">
        <f t="shared" si="132"/>
        <v>190.69667590027703</v>
      </c>
      <c r="Q964" s="107" t="s">
        <v>1486</v>
      </c>
      <c r="R964" s="34">
        <v>0.30697352071898987</v>
      </c>
      <c r="S964" s="226">
        <f t="shared" si="125"/>
        <v>152.82244353762326</v>
      </c>
      <c r="T964" s="156" t="s">
        <v>1486</v>
      </c>
      <c r="U964" s="2">
        <v>11</v>
      </c>
      <c r="V964" s="2" t="s">
        <v>47</v>
      </c>
      <c r="W964" s="2" t="s">
        <v>5863</v>
      </c>
      <c r="X964" s="2" t="s">
        <v>3470</v>
      </c>
      <c r="Y964" s="488" t="s">
        <v>1486</v>
      </c>
      <c r="Z964" s="293">
        <f t="shared" si="126"/>
        <v>34.268698060941844</v>
      </c>
      <c r="AA964" s="293">
        <f t="shared" si="127"/>
        <v>39.422221460187615</v>
      </c>
    </row>
    <row r="965" spans="1:27" s="320" customFormat="1" x14ac:dyDescent="0.25">
      <c r="A965" s="220" t="s">
        <v>3377</v>
      </c>
      <c r="B965" s="221" t="s">
        <v>3407</v>
      </c>
      <c r="C965" s="223" t="s">
        <v>2755</v>
      </c>
      <c r="D965" s="220" t="s">
        <v>2792</v>
      </c>
      <c r="E965" s="222">
        <v>6</v>
      </c>
      <c r="F965" s="192">
        <v>4923</v>
      </c>
      <c r="G965" s="24">
        <v>0.2</v>
      </c>
      <c r="H965" s="24">
        <v>0.05</v>
      </c>
      <c r="I965" s="24">
        <v>0.05</v>
      </c>
      <c r="J965" s="24">
        <v>0</v>
      </c>
      <c r="K965" s="224">
        <f t="shared" si="128"/>
        <v>0.27800000000000002</v>
      </c>
      <c r="L965" s="225">
        <f t="shared" si="129"/>
        <v>40911.35734072022</v>
      </c>
      <c r="M965" s="225">
        <f t="shared" si="130"/>
        <v>6818.559556786704</v>
      </c>
      <c r="N965" s="226">
        <f t="shared" si="131"/>
        <v>8114.0858725761773</v>
      </c>
      <c r="O965" s="34">
        <v>0.3</v>
      </c>
      <c r="P965" s="226">
        <f t="shared" si="132"/>
        <v>10548.311634349031</v>
      </c>
      <c r="Q965" s="107" t="s">
        <v>1486</v>
      </c>
      <c r="R965" s="34">
        <v>0.28515000140523278</v>
      </c>
      <c r="S965" s="226">
        <f t="shared" si="125"/>
        <v>8195.2437735416188</v>
      </c>
      <c r="T965" s="156" t="s">
        <v>1486</v>
      </c>
      <c r="U965" s="2">
        <v>24</v>
      </c>
      <c r="V965" s="2" t="s">
        <v>47</v>
      </c>
      <c r="W965" s="2" t="s">
        <v>2900</v>
      </c>
      <c r="X965" s="2" t="s">
        <v>2901</v>
      </c>
      <c r="Y965" s="488" t="s">
        <v>1486</v>
      </c>
      <c r="Z965" s="293">
        <f t="shared" si="126"/>
        <v>1895.559556786704</v>
      </c>
      <c r="AA965" s="293">
        <f t="shared" si="127"/>
        <v>1963.7594735643861</v>
      </c>
    </row>
    <row r="966" spans="1:27" s="320" customFormat="1" x14ac:dyDescent="0.25">
      <c r="A966" s="220" t="s">
        <v>3378</v>
      </c>
      <c r="B966" s="221" t="s">
        <v>3408</v>
      </c>
      <c r="C966" s="223" t="s">
        <v>2755</v>
      </c>
      <c r="D966" s="220" t="s">
        <v>2792</v>
      </c>
      <c r="E966" s="222">
        <v>6</v>
      </c>
      <c r="F966" s="192">
        <v>6034</v>
      </c>
      <c r="G966" s="24">
        <v>0.2</v>
      </c>
      <c r="H966" s="24">
        <v>0.05</v>
      </c>
      <c r="I966" s="24">
        <v>0.05</v>
      </c>
      <c r="J966" s="24">
        <v>0</v>
      </c>
      <c r="K966" s="224">
        <f t="shared" si="128"/>
        <v>0.27800000000000014</v>
      </c>
      <c r="L966" s="225">
        <f t="shared" si="129"/>
        <v>50144.044321329646</v>
      </c>
      <c r="M966" s="225">
        <f t="shared" si="130"/>
        <v>8357.3407202216076</v>
      </c>
      <c r="N966" s="226">
        <f t="shared" si="131"/>
        <v>9945.2354570637126</v>
      </c>
      <c r="O966" s="34">
        <v>0.3</v>
      </c>
      <c r="P966" s="226">
        <f t="shared" si="132"/>
        <v>12928.806094182826</v>
      </c>
      <c r="Q966" s="107" t="s">
        <v>1486</v>
      </c>
      <c r="R966" s="34">
        <v>0.28515000140523278</v>
      </c>
      <c r="S966" s="226">
        <f t="shared" si="125"/>
        <v>10044.708699888304</v>
      </c>
      <c r="T966" s="156" t="s">
        <v>1486</v>
      </c>
      <c r="U966" s="2">
        <v>25</v>
      </c>
      <c r="V966" s="2" t="s">
        <v>47</v>
      </c>
      <c r="W966" s="2" t="s">
        <v>2900</v>
      </c>
      <c r="X966" s="2" t="s">
        <v>2901</v>
      </c>
      <c r="Y966" s="488" t="s">
        <v>1486</v>
      </c>
      <c r="Z966" s="293">
        <f t="shared" si="126"/>
        <v>2323.3407202216076</v>
      </c>
      <c r="AA966" s="293">
        <f t="shared" si="127"/>
        <v>2406.9316805784074</v>
      </c>
    </row>
    <row r="967" spans="1:27" s="320" customFormat="1" x14ac:dyDescent="0.25">
      <c r="A967" s="220" t="s">
        <v>3414</v>
      </c>
      <c r="B967" s="221" t="s">
        <v>3409</v>
      </c>
      <c r="C967" s="223" t="s">
        <v>2755</v>
      </c>
      <c r="D967" s="220" t="s">
        <v>2792</v>
      </c>
      <c r="E967" s="222">
        <v>6</v>
      </c>
      <c r="F967" s="192">
        <v>2806</v>
      </c>
      <c r="G967" s="24">
        <v>0.2</v>
      </c>
      <c r="H967" s="24">
        <v>0.05</v>
      </c>
      <c r="I967" s="24">
        <v>0.05</v>
      </c>
      <c r="J967" s="24">
        <v>0</v>
      </c>
      <c r="K967" s="224">
        <f t="shared" si="128"/>
        <v>0.27800000000000014</v>
      </c>
      <c r="L967" s="225">
        <f t="shared" si="129"/>
        <v>23318.559556786706</v>
      </c>
      <c r="M967" s="225">
        <f t="shared" si="130"/>
        <v>3886.4265927977845</v>
      </c>
      <c r="N967" s="226">
        <f t="shared" si="131"/>
        <v>4624.8476454293632</v>
      </c>
      <c r="O967" s="34">
        <v>0.3</v>
      </c>
      <c r="P967" s="226">
        <f t="shared" si="132"/>
        <v>6012.3019390581721</v>
      </c>
      <c r="Q967" s="107" t="s">
        <v>1486</v>
      </c>
      <c r="R967" s="34">
        <v>0.28515000140523278</v>
      </c>
      <c r="S967" s="226">
        <f t="shared" si="125"/>
        <v>4671.1058355794803</v>
      </c>
      <c r="T967" s="156" t="s">
        <v>1486</v>
      </c>
      <c r="U967" s="2">
        <v>26</v>
      </c>
      <c r="V967" s="2" t="s">
        <v>47</v>
      </c>
      <c r="W967" s="2" t="s">
        <v>2900</v>
      </c>
      <c r="X967" s="2" t="s">
        <v>2901</v>
      </c>
      <c r="Y967" s="488" t="s">
        <v>1486</v>
      </c>
      <c r="Z967" s="293">
        <f t="shared" si="126"/>
        <v>1080.4265927977845</v>
      </c>
      <c r="AA967" s="293">
        <f t="shared" si="127"/>
        <v>1119.2990214953616</v>
      </c>
    </row>
    <row r="968" spans="1:27" s="320" customFormat="1" x14ac:dyDescent="0.25">
      <c r="A968" s="220" t="s">
        <v>3415</v>
      </c>
      <c r="B968" s="221" t="s">
        <v>3410</v>
      </c>
      <c r="C968" s="223" t="s">
        <v>2755</v>
      </c>
      <c r="D968" s="220" t="s">
        <v>2792</v>
      </c>
      <c r="E968" s="222">
        <v>6</v>
      </c>
      <c r="F968" s="192">
        <v>2418</v>
      </c>
      <c r="G968" s="24">
        <v>0.2</v>
      </c>
      <c r="H968" s="24">
        <v>0.05</v>
      </c>
      <c r="I968" s="24">
        <v>0.05</v>
      </c>
      <c r="J968" s="24">
        <v>0</v>
      </c>
      <c r="K968" s="224">
        <f t="shared" si="128"/>
        <v>0.27800000000000014</v>
      </c>
      <c r="L968" s="225">
        <f t="shared" si="129"/>
        <v>20094.182825484768</v>
      </c>
      <c r="M968" s="225">
        <f t="shared" si="130"/>
        <v>3349.0304709141278</v>
      </c>
      <c r="N968" s="226">
        <f t="shared" si="131"/>
        <v>3985.346260387812</v>
      </c>
      <c r="O968" s="34">
        <v>0.3</v>
      </c>
      <c r="P968" s="226">
        <f t="shared" si="132"/>
        <v>5180.9501385041558</v>
      </c>
      <c r="Q968" s="107" t="s">
        <v>1486</v>
      </c>
      <c r="R968" s="34">
        <v>0.28515000140523278</v>
      </c>
      <c r="S968" s="226">
        <f t="shared" si="125"/>
        <v>4025.2080935250115</v>
      </c>
      <c r="T968" s="156" t="s">
        <v>1486</v>
      </c>
      <c r="U968" s="2">
        <v>27</v>
      </c>
      <c r="V968" s="2" t="s">
        <v>47</v>
      </c>
      <c r="W968" s="2" t="s">
        <v>2900</v>
      </c>
      <c r="X968" s="2" t="s">
        <v>2901</v>
      </c>
      <c r="Y968" s="488" t="s">
        <v>1486</v>
      </c>
      <c r="Z968" s="293">
        <f t="shared" si="126"/>
        <v>931.03047091412782</v>
      </c>
      <c r="AA968" s="293">
        <f t="shared" si="127"/>
        <v>964.52780968488378</v>
      </c>
    </row>
    <row r="969" spans="1:27" s="320" customFormat="1" x14ac:dyDescent="0.25">
      <c r="A969" s="220" t="s">
        <v>3416</v>
      </c>
      <c r="B969" s="221" t="s">
        <v>3411</v>
      </c>
      <c r="C969" s="223" t="s">
        <v>2755</v>
      </c>
      <c r="D969" s="220" t="s">
        <v>2792</v>
      </c>
      <c r="E969" s="222">
        <v>6</v>
      </c>
      <c r="F969" s="192">
        <v>2418</v>
      </c>
      <c r="G969" s="24">
        <v>0.2</v>
      </c>
      <c r="H969" s="24">
        <v>0.05</v>
      </c>
      <c r="I969" s="24">
        <v>0.05</v>
      </c>
      <c r="J969" s="24">
        <v>0</v>
      </c>
      <c r="K969" s="224">
        <f t="shared" si="128"/>
        <v>0.27800000000000014</v>
      </c>
      <c r="L969" s="225">
        <f t="shared" si="129"/>
        <v>20094.182825484768</v>
      </c>
      <c r="M969" s="225">
        <f t="shared" si="130"/>
        <v>3349.0304709141278</v>
      </c>
      <c r="N969" s="226">
        <f t="shared" si="131"/>
        <v>3985.346260387812</v>
      </c>
      <c r="O969" s="34">
        <v>0.3</v>
      </c>
      <c r="P969" s="226">
        <f t="shared" si="132"/>
        <v>5180.9501385041558</v>
      </c>
      <c r="Q969" s="107" t="s">
        <v>1486</v>
      </c>
      <c r="R969" s="34">
        <v>0.28515000140523278</v>
      </c>
      <c r="S969" s="226">
        <f t="shared" si="125"/>
        <v>4025.2080935250115</v>
      </c>
      <c r="T969" s="156" t="s">
        <v>1486</v>
      </c>
      <c r="U969" s="2">
        <v>28</v>
      </c>
      <c r="V969" s="2" t="s">
        <v>47</v>
      </c>
      <c r="W969" s="2" t="s">
        <v>2900</v>
      </c>
      <c r="X969" s="2" t="s">
        <v>2901</v>
      </c>
      <c r="Y969" s="488" t="s">
        <v>1486</v>
      </c>
      <c r="Z969" s="293">
        <f t="shared" si="126"/>
        <v>931.03047091412782</v>
      </c>
      <c r="AA969" s="293">
        <f t="shared" si="127"/>
        <v>964.52780968488378</v>
      </c>
    </row>
    <row r="970" spans="1:27" s="320" customFormat="1" x14ac:dyDescent="0.25">
      <c r="A970" s="220" t="s">
        <v>3417</v>
      </c>
      <c r="B970" s="221" t="s">
        <v>3412</v>
      </c>
      <c r="C970" s="223" t="s">
        <v>2755</v>
      </c>
      <c r="D970" s="220" t="s">
        <v>2792</v>
      </c>
      <c r="E970" s="222">
        <v>6</v>
      </c>
      <c r="F970" s="192">
        <v>4355</v>
      </c>
      <c r="G970" s="24">
        <v>0.2</v>
      </c>
      <c r="H970" s="24">
        <v>0.05</v>
      </c>
      <c r="I970" s="24">
        <v>0.05</v>
      </c>
      <c r="J970" s="24">
        <v>0</v>
      </c>
      <c r="K970" s="224">
        <f t="shared" si="128"/>
        <v>0.27800000000000014</v>
      </c>
      <c r="L970" s="225">
        <f t="shared" si="129"/>
        <v>36191.135734072028</v>
      </c>
      <c r="M970" s="225">
        <f t="shared" si="130"/>
        <v>6031.8559556786713</v>
      </c>
      <c r="N970" s="226">
        <f t="shared" si="131"/>
        <v>7177.9085872576188</v>
      </c>
      <c r="O970" s="34">
        <v>0.3</v>
      </c>
      <c r="P970" s="226">
        <f t="shared" si="132"/>
        <v>9331.2811634349055</v>
      </c>
      <c r="Q970" s="107" t="s">
        <v>1486</v>
      </c>
      <c r="R970" s="34">
        <v>0.28515000140523278</v>
      </c>
      <c r="S970" s="226">
        <f t="shared" si="125"/>
        <v>7249.7027490907458</v>
      </c>
      <c r="T970" s="156" t="s">
        <v>1486</v>
      </c>
      <c r="U970" s="2">
        <v>29</v>
      </c>
      <c r="V970" s="2" t="s">
        <v>47</v>
      </c>
      <c r="W970" s="2" t="s">
        <v>2900</v>
      </c>
      <c r="X970" s="2" t="s">
        <v>2901</v>
      </c>
      <c r="Y970" s="488" t="s">
        <v>1486</v>
      </c>
      <c r="Z970" s="293">
        <f t="shared" si="126"/>
        <v>1676.8559556786713</v>
      </c>
      <c r="AA970" s="293">
        <f t="shared" si="127"/>
        <v>1737.1871841098709</v>
      </c>
    </row>
    <row r="971" spans="1:27" s="320" customFormat="1" x14ac:dyDescent="0.25">
      <c r="A971" s="220" t="s">
        <v>3418</v>
      </c>
      <c r="B971" s="221" t="s">
        <v>3413</v>
      </c>
      <c r="C971" s="223" t="s">
        <v>2755</v>
      </c>
      <c r="D971" s="220" t="s">
        <v>2792</v>
      </c>
      <c r="E971" s="222">
        <v>6</v>
      </c>
      <c r="F971" s="192">
        <v>4069</v>
      </c>
      <c r="G971" s="24">
        <v>0.2</v>
      </c>
      <c r="H971" s="24">
        <v>0.05</v>
      </c>
      <c r="I971" s="24">
        <v>0.05</v>
      </c>
      <c r="J971" s="24">
        <v>0</v>
      </c>
      <c r="K971" s="224">
        <f t="shared" si="128"/>
        <v>0.27800000000000002</v>
      </c>
      <c r="L971" s="225">
        <f t="shared" si="129"/>
        <v>33814.404432132964</v>
      </c>
      <c r="M971" s="225">
        <f t="shared" si="130"/>
        <v>5635.7340720221609</v>
      </c>
      <c r="N971" s="226" t="s">
        <v>4027</v>
      </c>
      <c r="O971" s="34">
        <v>0.3</v>
      </c>
      <c r="P971" s="226" t="e">
        <f t="shared" si="132"/>
        <v>#VALUE!</v>
      </c>
      <c r="Q971" s="107" t="s">
        <v>1486</v>
      </c>
      <c r="R971" s="34">
        <v>0.28515000140523278</v>
      </c>
      <c r="S971" s="226">
        <f t="shared" si="125"/>
        <v>6773.6028670609066</v>
      </c>
      <c r="T971" s="156" t="s">
        <v>1486</v>
      </c>
      <c r="U971" s="2">
        <v>30</v>
      </c>
      <c r="V971" s="2" t="s">
        <v>47</v>
      </c>
      <c r="W971" s="2" t="s">
        <v>2900</v>
      </c>
      <c r="X971" s="2" t="s">
        <v>2901</v>
      </c>
      <c r="Y971" s="488" t="s">
        <v>1486</v>
      </c>
      <c r="Z971" s="293">
        <f t="shared" si="126"/>
        <v>1566.7340720221609</v>
      </c>
      <c r="AA971" s="293">
        <f t="shared" si="127"/>
        <v>1623.1032496310145</v>
      </c>
    </row>
    <row r="972" spans="1:27" s="320" customFormat="1" x14ac:dyDescent="0.25">
      <c r="A972" s="220" t="s">
        <v>3419</v>
      </c>
      <c r="B972" s="221" t="s">
        <v>3454</v>
      </c>
      <c r="C972" s="223" t="s">
        <v>3024</v>
      </c>
      <c r="D972" s="220" t="s">
        <v>3243</v>
      </c>
      <c r="E972" s="222">
        <v>24</v>
      </c>
      <c r="F972" s="192">
        <v>1650</v>
      </c>
      <c r="G972" s="24">
        <v>0.2</v>
      </c>
      <c r="H972" s="24">
        <v>0.05</v>
      </c>
      <c r="I972" s="24">
        <v>0.05</v>
      </c>
      <c r="J972" s="24">
        <v>0</v>
      </c>
      <c r="K972" s="224">
        <f t="shared" si="128"/>
        <v>0.27800000000000014</v>
      </c>
      <c r="L972" s="225">
        <f t="shared" si="129"/>
        <v>54847.645429362892</v>
      </c>
      <c r="M972" s="225">
        <f t="shared" si="130"/>
        <v>2285.318559556787</v>
      </c>
      <c r="N972" s="226">
        <f t="shared" ref="N972:N1035" si="133">+M972*1.19</f>
        <v>2719.5290858725766</v>
      </c>
      <c r="O972" s="34">
        <v>0.3</v>
      </c>
      <c r="P972" s="226">
        <f t="shared" si="132"/>
        <v>3535.3878116343499</v>
      </c>
      <c r="Q972" s="107" t="s">
        <v>1486</v>
      </c>
      <c r="R972" s="34">
        <v>0.22371661021846093</v>
      </c>
      <c r="S972" s="226">
        <f t="shared" si="125"/>
        <v>2529.3598006168422</v>
      </c>
      <c r="T972" s="156" t="s">
        <v>1486</v>
      </c>
      <c r="U972" s="2"/>
      <c r="V972" s="2" t="s">
        <v>47</v>
      </c>
      <c r="W972" s="2" t="s">
        <v>5886</v>
      </c>
      <c r="X972" s="2"/>
      <c r="Y972" s="488" t="s">
        <v>1486</v>
      </c>
      <c r="Z972" s="293">
        <f t="shared" si="126"/>
        <v>635.31855955678702</v>
      </c>
      <c r="AA972" s="293">
        <f t="shared" si="127"/>
        <v>475.51243749314472</v>
      </c>
    </row>
    <row r="973" spans="1:27" s="320" customFormat="1" x14ac:dyDescent="0.25">
      <c r="A973" s="220" t="s">
        <v>3420</v>
      </c>
      <c r="B973" s="221" t="s">
        <v>3519</v>
      </c>
      <c r="C973" s="223" t="s">
        <v>1561</v>
      </c>
      <c r="D973" s="220" t="s">
        <v>409</v>
      </c>
      <c r="E973" s="222">
        <v>48</v>
      </c>
      <c r="F973" s="192">
        <v>1328</v>
      </c>
      <c r="G973" s="24">
        <v>0.2</v>
      </c>
      <c r="H973" s="24">
        <v>0.05</v>
      </c>
      <c r="I973" s="24">
        <v>0.05</v>
      </c>
      <c r="J973" s="24">
        <v>0</v>
      </c>
      <c r="K973" s="224">
        <f t="shared" si="128"/>
        <v>0.27800000000000014</v>
      </c>
      <c r="L973" s="225">
        <f t="shared" si="129"/>
        <v>88288.088642659292</v>
      </c>
      <c r="M973" s="225">
        <f t="shared" si="130"/>
        <v>1839.3351800554019</v>
      </c>
      <c r="N973" s="226">
        <f t="shared" si="133"/>
        <v>2188.8088642659282</v>
      </c>
      <c r="O973" s="34">
        <v>0.3</v>
      </c>
      <c r="P973" s="226">
        <f t="shared" si="132"/>
        <v>2845.4515235457066</v>
      </c>
      <c r="Q973" s="107" t="s">
        <v>1486</v>
      </c>
      <c r="R973" s="34">
        <v>0.31290434710018</v>
      </c>
      <c r="S973" s="226">
        <f t="shared" si="125"/>
        <v>2299.9999975700821</v>
      </c>
      <c r="T973" s="156" t="s">
        <v>1486</v>
      </c>
      <c r="U973" s="2" t="s">
        <v>50</v>
      </c>
      <c r="V973" s="2" t="s">
        <v>47</v>
      </c>
      <c r="W973" s="2" t="s">
        <v>2900</v>
      </c>
      <c r="X973" s="2" t="s">
        <v>3541</v>
      </c>
      <c r="Y973" s="488" t="s">
        <v>1486</v>
      </c>
      <c r="Z973" s="293">
        <f t="shared" si="126"/>
        <v>511.33518005540191</v>
      </c>
      <c r="AA973" s="293">
        <f t="shared" si="127"/>
        <v>604.77310720174978</v>
      </c>
    </row>
    <row r="974" spans="1:27" s="320" customFormat="1" x14ac:dyDescent="0.25">
      <c r="A974" s="220" t="s">
        <v>3455</v>
      </c>
      <c r="B974" s="221" t="s">
        <v>3576</v>
      </c>
      <c r="C974" s="223" t="s">
        <v>3577</v>
      </c>
      <c r="D974" s="220" t="s">
        <v>3578</v>
      </c>
      <c r="E974" s="222">
        <v>1</v>
      </c>
      <c r="F974" s="192">
        <v>3584</v>
      </c>
      <c r="G974" s="24">
        <v>0.2</v>
      </c>
      <c r="H974" s="24">
        <v>0.05</v>
      </c>
      <c r="I974" s="24">
        <v>0.05</v>
      </c>
      <c r="J974" s="24">
        <v>0</v>
      </c>
      <c r="K974" s="224">
        <f t="shared" si="128"/>
        <v>0.27800000000000002</v>
      </c>
      <c r="L974" s="225">
        <f t="shared" si="129"/>
        <v>4963.9889196675904</v>
      </c>
      <c r="M974" s="225">
        <f t="shared" si="130"/>
        <v>4963.9889196675904</v>
      </c>
      <c r="N974" s="226">
        <f t="shared" si="133"/>
        <v>5907.146814404432</v>
      </c>
      <c r="O974" s="34">
        <v>0.3</v>
      </c>
      <c r="P974" s="226">
        <f t="shared" si="132"/>
        <v>7679.2908587257616</v>
      </c>
      <c r="Q974" s="107" t="s">
        <v>1486</v>
      </c>
      <c r="R974" s="34">
        <v>0.30717376511837169</v>
      </c>
      <c r="S974" s="226">
        <f t="shared" si="125"/>
        <v>6155.8869818615958</v>
      </c>
      <c r="T974" s="156" t="s">
        <v>1486</v>
      </c>
      <c r="U974" s="2"/>
      <c r="V974" s="2" t="s">
        <v>47</v>
      </c>
      <c r="W974" s="2" t="s">
        <v>5964</v>
      </c>
      <c r="X974" s="2" t="s">
        <v>3579</v>
      </c>
      <c r="Y974" s="488" t="s">
        <v>1486</v>
      </c>
      <c r="Z974" s="293">
        <f t="shared" si="126"/>
        <v>1379.9889196675904</v>
      </c>
      <c r="AA974" s="293">
        <f t="shared" si="127"/>
        <v>1589.0142704719292</v>
      </c>
    </row>
    <row r="975" spans="1:27" s="320" customFormat="1" x14ac:dyDescent="0.25">
      <c r="A975" s="220" t="s">
        <v>3520</v>
      </c>
      <c r="B975" s="221" t="s">
        <v>2847</v>
      </c>
      <c r="C975" s="223" t="s">
        <v>2822</v>
      </c>
      <c r="D975" s="220" t="s">
        <v>188</v>
      </c>
      <c r="E975" s="222">
        <v>24</v>
      </c>
      <c r="F975" s="192">
        <v>483</v>
      </c>
      <c r="G975" s="24">
        <v>0.2</v>
      </c>
      <c r="H975" s="24">
        <v>0.05</v>
      </c>
      <c r="I975" s="24">
        <v>0.05</v>
      </c>
      <c r="J975" s="24">
        <v>0</v>
      </c>
      <c r="K975" s="224">
        <f t="shared" si="128"/>
        <v>0.27800000000000014</v>
      </c>
      <c r="L975" s="225">
        <f t="shared" si="129"/>
        <v>16055.401662049864</v>
      </c>
      <c r="M975" s="225">
        <f t="shared" si="130"/>
        <v>668.97506925207767</v>
      </c>
      <c r="N975" s="226">
        <f t="shared" si="133"/>
        <v>796.08033240997236</v>
      </c>
      <c r="O975" s="34">
        <v>0.3</v>
      </c>
      <c r="P975" s="226">
        <f t="shared" si="132"/>
        <v>1034.9044321329641</v>
      </c>
      <c r="Q975" s="107" t="s">
        <v>1486</v>
      </c>
      <c r="R975" s="34">
        <v>0.28515000140523278</v>
      </c>
      <c r="S975" s="226">
        <f t="shared" si="125"/>
        <v>804.04280776368091</v>
      </c>
      <c r="T975" s="156" t="s">
        <v>1486</v>
      </c>
      <c r="U975" s="2"/>
      <c r="V975" s="2" t="s">
        <v>47</v>
      </c>
      <c r="W975" s="2" t="s">
        <v>2900</v>
      </c>
      <c r="X975" s="2" t="s">
        <v>2903</v>
      </c>
      <c r="Y975" s="488" t="s">
        <v>1486</v>
      </c>
      <c r="Z975" s="293">
        <f t="shared" si="126"/>
        <v>185.97506925207767</v>
      </c>
      <c r="AA975" s="293">
        <f t="shared" si="127"/>
        <v>192.66622501149664</v>
      </c>
    </row>
    <row r="976" spans="1:27" s="320" customFormat="1" x14ac:dyDescent="0.25">
      <c r="A976" s="220" t="s">
        <v>3575</v>
      </c>
      <c r="B976" s="221" t="s">
        <v>2848</v>
      </c>
      <c r="C976" s="223" t="s">
        <v>2822</v>
      </c>
      <c r="D976" s="220" t="s">
        <v>188</v>
      </c>
      <c r="E976" s="222">
        <v>24</v>
      </c>
      <c r="F976" s="192">
        <v>410</v>
      </c>
      <c r="G976" s="24">
        <v>0.2</v>
      </c>
      <c r="H976" s="24">
        <v>0.05</v>
      </c>
      <c r="I976" s="24">
        <v>0.05</v>
      </c>
      <c r="J976" s="24">
        <v>0</v>
      </c>
      <c r="K976" s="224">
        <f t="shared" si="128"/>
        <v>0.27800000000000002</v>
      </c>
      <c r="L976" s="225">
        <f t="shared" si="129"/>
        <v>13628.808864265928</v>
      </c>
      <c r="M976" s="225">
        <f t="shared" si="130"/>
        <v>567.86703601108036</v>
      </c>
      <c r="N976" s="226">
        <f t="shared" si="133"/>
        <v>675.76177285318556</v>
      </c>
      <c r="O976" s="34">
        <v>0.3</v>
      </c>
      <c r="P976" s="226">
        <f t="shared" si="132"/>
        <v>878.49030470914124</v>
      </c>
      <c r="Q976" s="107" t="s">
        <v>1486</v>
      </c>
      <c r="R976" s="34">
        <v>0.28515000140523278</v>
      </c>
      <c r="S976" s="226">
        <f t="shared" si="125"/>
        <v>682.52080990291756</v>
      </c>
      <c r="T976" s="156" t="s">
        <v>1486</v>
      </c>
      <c r="U976" s="2"/>
      <c r="V976" s="2" t="s">
        <v>47</v>
      </c>
      <c r="W976" s="2" t="s">
        <v>2900</v>
      </c>
      <c r="X976" s="2" t="s">
        <v>2903</v>
      </c>
      <c r="Y976" s="488" t="s">
        <v>1486</v>
      </c>
      <c r="Z976" s="293">
        <f t="shared" si="126"/>
        <v>157.86703601108036</v>
      </c>
      <c r="AA976" s="293">
        <f t="shared" si="127"/>
        <v>163.54689907808199</v>
      </c>
    </row>
    <row r="977" spans="1:27" s="320" customFormat="1" x14ac:dyDescent="0.25">
      <c r="A977" s="220" t="s">
        <v>3624</v>
      </c>
      <c r="B977" s="221" t="s">
        <v>3574</v>
      </c>
      <c r="C977" s="223" t="s">
        <v>1546</v>
      </c>
      <c r="D977" s="220" t="s">
        <v>2720</v>
      </c>
      <c r="E977" s="222">
        <v>8</v>
      </c>
      <c r="F977" s="192">
        <v>1428</v>
      </c>
      <c r="G977" s="24">
        <v>0.2</v>
      </c>
      <c r="H977" s="24">
        <v>0.05</v>
      </c>
      <c r="I977" s="24">
        <v>0.05</v>
      </c>
      <c r="J977" s="24">
        <v>0</v>
      </c>
      <c r="K977" s="224">
        <f t="shared" si="128"/>
        <v>0.27800000000000002</v>
      </c>
      <c r="L977" s="225">
        <f t="shared" si="129"/>
        <v>15822.714681440444</v>
      </c>
      <c r="M977" s="225">
        <f t="shared" si="130"/>
        <v>1977.8393351800555</v>
      </c>
      <c r="N977" s="226">
        <f t="shared" si="133"/>
        <v>2353.6288088642659</v>
      </c>
      <c r="O977" s="34">
        <v>0.3</v>
      </c>
      <c r="P977" s="226">
        <f t="shared" si="132"/>
        <v>3059.7174515235456</v>
      </c>
      <c r="Q977" s="107" t="s">
        <v>1486</v>
      </c>
      <c r="R977" s="34">
        <v>0.3</v>
      </c>
      <c r="S977" s="226">
        <f t="shared" si="125"/>
        <v>2427.6000000000004</v>
      </c>
      <c r="T977" s="156" t="s">
        <v>1486</v>
      </c>
      <c r="U977" s="2"/>
      <c r="V977" s="2" t="s">
        <v>47</v>
      </c>
      <c r="W977" s="2" t="s">
        <v>1467</v>
      </c>
      <c r="X977" s="2" t="s">
        <v>1467</v>
      </c>
      <c r="Y977" s="488" t="s">
        <v>1486</v>
      </c>
      <c r="Z977" s="293"/>
      <c r="AA977" s="293"/>
    </row>
    <row r="978" spans="1:27" s="320" customFormat="1" x14ac:dyDescent="0.25">
      <c r="A978" s="220" t="s">
        <v>3625</v>
      </c>
      <c r="B978" s="221" t="s">
        <v>3628</v>
      </c>
      <c r="C978" s="223" t="s">
        <v>1561</v>
      </c>
      <c r="D978" s="220" t="s">
        <v>2786</v>
      </c>
      <c r="E978" s="222">
        <v>1</v>
      </c>
      <c r="F978" s="192">
        <v>34293</v>
      </c>
      <c r="G978" s="24">
        <v>0.2</v>
      </c>
      <c r="H978" s="24">
        <v>0.05</v>
      </c>
      <c r="I978" s="24">
        <v>0.05</v>
      </c>
      <c r="J978" s="24">
        <v>0</v>
      </c>
      <c r="K978" s="224">
        <f t="shared" si="128"/>
        <v>0.27800000000000002</v>
      </c>
      <c r="L978" s="225">
        <f t="shared" si="129"/>
        <v>47497.229916897508</v>
      </c>
      <c r="M978" s="225">
        <f t="shared" si="130"/>
        <v>47497.229916897508</v>
      </c>
      <c r="N978" s="226">
        <f t="shared" si="133"/>
        <v>56521.703601108034</v>
      </c>
      <c r="O978" s="34">
        <v>0.3</v>
      </c>
      <c r="P978" s="226">
        <f t="shared" si="132"/>
        <v>73478.21468144044</v>
      </c>
      <c r="Q978" s="107" t="s">
        <v>1486</v>
      </c>
      <c r="R978" s="34">
        <v>0.3</v>
      </c>
      <c r="S978" s="226">
        <f t="shared" si="125"/>
        <v>58298.1</v>
      </c>
      <c r="T978" s="156" t="s">
        <v>1486</v>
      </c>
      <c r="U978" s="2" t="s">
        <v>50</v>
      </c>
      <c r="V978" s="2" t="s">
        <v>47</v>
      </c>
      <c r="W978" s="2" t="s">
        <v>5886</v>
      </c>
      <c r="X978" s="2" t="s">
        <v>1467</v>
      </c>
      <c r="Y978" s="488" t="s">
        <v>1486</v>
      </c>
      <c r="Z978" s="293"/>
      <c r="AA978" s="293"/>
    </row>
    <row r="979" spans="1:27" s="320" customFormat="1" x14ac:dyDescent="0.25">
      <c r="A979" s="220" t="s">
        <v>3626</v>
      </c>
      <c r="B979" s="221" t="s">
        <v>3652</v>
      </c>
      <c r="C979" s="223" t="s">
        <v>1561</v>
      </c>
      <c r="D979" s="220" t="s">
        <v>3653</v>
      </c>
      <c r="E979" s="222">
        <v>6</v>
      </c>
      <c r="F979" s="192">
        <v>4443</v>
      </c>
      <c r="G979" s="24">
        <v>0.2</v>
      </c>
      <c r="H979" s="24">
        <v>0.05</v>
      </c>
      <c r="I979" s="24">
        <v>0.05</v>
      </c>
      <c r="J979" s="24">
        <v>0</v>
      </c>
      <c r="K979" s="224">
        <f t="shared" si="128"/>
        <v>0.27800000000000002</v>
      </c>
      <c r="L979" s="225">
        <f t="shared" si="129"/>
        <v>36922.437673130196</v>
      </c>
      <c r="M979" s="225">
        <f t="shared" si="130"/>
        <v>6153.7396121883658</v>
      </c>
      <c r="N979" s="226">
        <f t="shared" si="133"/>
        <v>7322.9501385041549</v>
      </c>
      <c r="O979" s="34">
        <v>0.3</v>
      </c>
      <c r="P979" s="226">
        <f t="shared" si="132"/>
        <v>9519.835180055401</v>
      </c>
      <c r="Q979" s="107" t="s">
        <v>1486</v>
      </c>
      <c r="R979" s="34">
        <v>0.3</v>
      </c>
      <c r="S979" s="226">
        <f t="shared" si="125"/>
        <v>7553.1</v>
      </c>
      <c r="T979" s="156" t="s">
        <v>1486</v>
      </c>
      <c r="U979" s="2" t="s">
        <v>50</v>
      </c>
      <c r="V979" s="2" t="s">
        <v>47</v>
      </c>
      <c r="W979" s="2" t="s">
        <v>5964</v>
      </c>
      <c r="X979" s="2" t="s">
        <v>1467</v>
      </c>
      <c r="Y979" s="488" t="s">
        <v>1486</v>
      </c>
      <c r="Z979" s="293"/>
      <c r="AA979" s="293"/>
    </row>
    <row r="980" spans="1:27" s="320" customFormat="1" x14ac:dyDescent="0.25">
      <c r="A980" s="220" t="s">
        <v>3627</v>
      </c>
      <c r="B980" s="221" t="s">
        <v>3655</v>
      </c>
      <c r="C980" s="223" t="s">
        <v>1561</v>
      </c>
      <c r="D980" s="220" t="s">
        <v>3656</v>
      </c>
      <c r="E980" s="222">
        <v>12</v>
      </c>
      <c r="F980" s="192">
        <v>7426</v>
      </c>
      <c r="G980" s="24">
        <v>0.2</v>
      </c>
      <c r="H980" s="24">
        <v>0.05</v>
      </c>
      <c r="I980" s="24">
        <v>0.05</v>
      </c>
      <c r="J980" s="24">
        <v>0</v>
      </c>
      <c r="K980" s="224">
        <f t="shared" si="128"/>
        <v>0.27800000000000014</v>
      </c>
      <c r="L980" s="225">
        <f t="shared" si="129"/>
        <v>123423.82271468146</v>
      </c>
      <c r="M980" s="225">
        <f t="shared" si="130"/>
        <v>10285.318559556788</v>
      </c>
      <c r="N980" s="226">
        <f t="shared" si="133"/>
        <v>12239.529085872578</v>
      </c>
      <c r="O980" s="34">
        <v>0.3</v>
      </c>
      <c r="P980" s="226">
        <f t="shared" si="132"/>
        <v>15911.387811634353</v>
      </c>
      <c r="Q980" s="107" t="s">
        <v>1486</v>
      </c>
      <c r="R980" s="34">
        <v>0.3</v>
      </c>
      <c r="S980" s="226">
        <f t="shared" si="125"/>
        <v>12624.2</v>
      </c>
      <c r="T980" s="156" t="s">
        <v>1486</v>
      </c>
      <c r="U980" s="2" t="s">
        <v>50</v>
      </c>
      <c r="V980" s="2" t="s">
        <v>47</v>
      </c>
      <c r="W980" s="2" t="s">
        <v>5964</v>
      </c>
      <c r="X980" s="2" t="s">
        <v>1467</v>
      </c>
      <c r="Y980" s="488" t="s">
        <v>1486</v>
      </c>
      <c r="Z980" s="293"/>
      <c r="AA980" s="293"/>
    </row>
    <row r="981" spans="1:27" s="320" customFormat="1" x14ac:dyDescent="0.25">
      <c r="A981" s="220" t="s">
        <v>3651</v>
      </c>
      <c r="B981" s="221" t="s">
        <v>3658</v>
      </c>
      <c r="C981" s="223" t="s">
        <v>1561</v>
      </c>
      <c r="D981" s="220" t="s">
        <v>3656</v>
      </c>
      <c r="E981" s="222">
        <v>6</v>
      </c>
      <c r="F981" s="192">
        <v>21022</v>
      </c>
      <c r="G981" s="24">
        <v>0.2</v>
      </c>
      <c r="H981" s="24">
        <v>0.05</v>
      </c>
      <c r="I981" s="24">
        <v>0.05</v>
      </c>
      <c r="J981" s="24">
        <v>0</v>
      </c>
      <c r="K981" s="224">
        <f t="shared" si="128"/>
        <v>0.27800000000000002</v>
      </c>
      <c r="L981" s="225">
        <f t="shared" si="129"/>
        <v>174698.06094182824</v>
      </c>
      <c r="M981" s="225">
        <f t="shared" si="130"/>
        <v>29116.343490304709</v>
      </c>
      <c r="N981" s="226">
        <f t="shared" si="133"/>
        <v>34648.448753462602</v>
      </c>
      <c r="O981" s="34">
        <v>0.3</v>
      </c>
      <c r="P981" s="226">
        <f t="shared" si="132"/>
        <v>45042.983379501384</v>
      </c>
      <c r="Q981" s="107" t="s">
        <v>1486</v>
      </c>
      <c r="R981" s="34">
        <v>0.3</v>
      </c>
      <c r="S981" s="226">
        <f t="shared" si="125"/>
        <v>35737.4</v>
      </c>
      <c r="T981" s="156" t="s">
        <v>1486</v>
      </c>
      <c r="U981" s="2" t="s">
        <v>50</v>
      </c>
      <c r="V981" s="2" t="s">
        <v>47</v>
      </c>
      <c r="W981" s="2" t="s">
        <v>5964</v>
      </c>
      <c r="X981" s="2" t="s">
        <v>1467</v>
      </c>
      <c r="Y981" s="488" t="s">
        <v>1486</v>
      </c>
      <c r="Z981" s="293"/>
      <c r="AA981" s="293"/>
    </row>
    <row r="982" spans="1:27" s="320" customFormat="1" x14ac:dyDescent="0.25">
      <c r="A982" s="220" t="s">
        <v>3654</v>
      </c>
      <c r="B982" s="221" t="s">
        <v>3660</v>
      </c>
      <c r="C982" s="223" t="s">
        <v>1561</v>
      </c>
      <c r="D982" s="220" t="s">
        <v>3661</v>
      </c>
      <c r="E982" s="222">
        <v>12</v>
      </c>
      <c r="F982" s="192">
        <v>1067</v>
      </c>
      <c r="G982" s="24">
        <v>0.2</v>
      </c>
      <c r="H982" s="24">
        <v>0.05</v>
      </c>
      <c r="I982" s="24">
        <v>0.05</v>
      </c>
      <c r="J982" s="24">
        <v>0</v>
      </c>
      <c r="K982" s="224">
        <f t="shared" si="128"/>
        <v>0.27800000000000002</v>
      </c>
      <c r="L982" s="225">
        <f t="shared" si="129"/>
        <v>17734.072022160668</v>
      </c>
      <c r="M982" s="225">
        <f t="shared" si="130"/>
        <v>1477.8393351800555</v>
      </c>
      <c r="N982" s="226">
        <f t="shared" si="133"/>
        <v>1758.6288088642659</v>
      </c>
      <c r="O982" s="34">
        <v>0.3</v>
      </c>
      <c r="P982" s="226">
        <f t="shared" si="132"/>
        <v>2286.2174515235456</v>
      </c>
      <c r="Q982" s="107" t="s">
        <v>1486</v>
      </c>
      <c r="R982" s="34">
        <v>0.3</v>
      </c>
      <c r="S982" s="226">
        <f t="shared" si="125"/>
        <v>1813.9</v>
      </c>
      <c r="T982" s="156" t="s">
        <v>1486</v>
      </c>
      <c r="U982" s="2" t="s">
        <v>50</v>
      </c>
      <c r="V982" s="2" t="s">
        <v>47</v>
      </c>
      <c r="W982" s="2" t="s">
        <v>5964</v>
      </c>
      <c r="X982" s="2" t="s">
        <v>1467</v>
      </c>
      <c r="Y982" s="488" t="s">
        <v>1486</v>
      </c>
      <c r="Z982" s="293"/>
      <c r="AA982" s="293"/>
    </row>
    <row r="983" spans="1:27" s="320" customFormat="1" x14ac:dyDescent="0.25">
      <c r="A983" s="220" t="s">
        <v>3657</v>
      </c>
      <c r="B983" s="221" t="s">
        <v>5158</v>
      </c>
      <c r="C983" s="223" t="s">
        <v>1546</v>
      </c>
      <c r="D983" s="220" t="s">
        <v>3669</v>
      </c>
      <c r="E983" s="222">
        <v>24</v>
      </c>
      <c r="F983" s="192">
        <v>1041</v>
      </c>
      <c r="G983" s="24">
        <v>0.2</v>
      </c>
      <c r="H983" s="24">
        <v>0.05</v>
      </c>
      <c r="I983" s="24">
        <v>0.05</v>
      </c>
      <c r="J983" s="24">
        <v>0</v>
      </c>
      <c r="K983" s="224">
        <f t="shared" si="128"/>
        <v>0.27800000000000002</v>
      </c>
      <c r="L983" s="225">
        <f t="shared" si="129"/>
        <v>34603.878116343491</v>
      </c>
      <c r="M983" s="225">
        <f t="shared" si="130"/>
        <v>1441.8282548476454</v>
      </c>
      <c r="N983" s="226">
        <f t="shared" si="133"/>
        <v>1715.7756232686979</v>
      </c>
      <c r="O983" s="34">
        <v>0.3</v>
      </c>
      <c r="P983" s="226">
        <f t="shared" si="132"/>
        <v>2230.5083102493072</v>
      </c>
      <c r="Q983" s="107" t="s">
        <v>1486</v>
      </c>
      <c r="R983" s="34">
        <v>0.3</v>
      </c>
      <c r="S983" s="226">
        <f t="shared" si="125"/>
        <v>1769.7</v>
      </c>
      <c r="T983" s="156" t="s">
        <v>1486</v>
      </c>
      <c r="U983" s="2"/>
      <c r="V983" s="2" t="s">
        <v>47</v>
      </c>
      <c r="W983" s="2" t="s">
        <v>2900</v>
      </c>
      <c r="X983" s="2" t="s">
        <v>3541</v>
      </c>
      <c r="Y983" s="488" t="s">
        <v>1486</v>
      </c>
      <c r="Z983" s="293"/>
      <c r="AA983" s="293"/>
    </row>
    <row r="984" spans="1:27" s="320" customFormat="1" x14ac:dyDescent="0.25">
      <c r="A984" s="220" t="s">
        <v>3659</v>
      </c>
      <c r="B984" s="221" t="s">
        <v>3671</v>
      </c>
      <c r="C984" s="223" t="s">
        <v>1546</v>
      </c>
      <c r="D984" s="220" t="s">
        <v>3672</v>
      </c>
      <c r="E984" s="222">
        <v>6</v>
      </c>
      <c r="F984" s="192">
        <v>385</v>
      </c>
      <c r="G984" s="24">
        <v>0.2</v>
      </c>
      <c r="H984" s="24">
        <v>0.05</v>
      </c>
      <c r="I984" s="24">
        <v>0.05</v>
      </c>
      <c r="J984" s="24">
        <v>0</v>
      </c>
      <c r="K984" s="224">
        <f t="shared" si="128"/>
        <v>0.27800000000000002</v>
      </c>
      <c r="L984" s="225">
        <f t="shared" si="129"/>
        <v>3199.4459833795017</v>
      </c>
      <c r="M984" s="225">
        <f t="shared" si="130"/>
        <v>533.24099722991696</v>
      </c>
      <c r="N984" s="226">
        <f t="shared" si="133"/>
        <v>634.55678670360112</v>
      </c>
      <c r="O984" s="34">
        <v>0.3</v>
      </c>
      <c r="P984" s="226">
        <f t="shared" si="132"/>
        <v>824.92382271468148</v>
      </c>
      <c r="Q984" s="107" t="s">
        <v>1486</v>
      </c>
      <c r="R984" s="34">
        <v>0.3</v>
      </c>
      <c r="S984" s="226">
        <f t="shared" si="125"/>
        <v>654.5</v>
      </c>
      <c r="T984" s="156" t="s">
        <v>1486</v>
      </c>
      <c r="U984" s="2"/>
      <c r="V984" s="2" t="s">
        <v>47</v>
      </c>
      <c r="W984" s="2" t="s">
        <v>1467</v>
      </c>
      <c r="X984" s="2" t="s">
        <v>1467</v>
      </c>
      <c r="Y984" s="488" t="s">
        <v>1486</v>
      </c>
      <c r="Z984" s="293"/>
      <c r="AA984" s="293"/>
    </row>
    <row r="985" spans="1:27" s="320" customFormat="1" x14ac:dyDescent="0.25">
      <c r="A985" s="220" t="s">
        <v>3668</v>
      </c>
      <c r="B985" s="221" t="s">
        <v>3715</v>
      </c>
      <c r="C985" s="223" t="s">
        <v>3708</v>
      </c>
      <c r="D985" s="220" t="s">
        <v>3713</v>
      </c>
      <c r="E985" s="222">
        <v>20</v>
      </c>
      <c r="F985" s="192">
        <v>1428</v>
      </c>
      <c r="G985" s="24">
        <v>0.2</v>
      </c>
      <c r="H985" s="24">
        <v>0.05</v>
      </c>
      <c r="I985" s="24">
        <v>0.05</v>
      </c>
      <c r="J985" s="24">
        <v>0</v>
      </c>
      <c r="K985" s="224">
        <f t="shared" si="128"/>
        <v>0.27800000000000002</v>
      </c>
      <c r="L985" s="225">
        <f t="shared" si="129"/>
        <v>39556.786703601108</v>
      </c>
      <c r="M985" s="225">
        <f t="shared" si="130"/>
        <v>1977.8393351800555</v>
      </c>
      <c r="N985" s="226">
        <f t="shared" si="133"/>
        <v>2353.6288088642659</v>
      </c>
      <c r="O985" s="34">
        <v>0.3</v>
      </c>
      <c r="P985" s="226">
        <f t="shared" si="132"/>
        <v>3059.7174515235456</v>
      </c>
      <c r="Q985" s="107" t="s">
        <v>1486</v>
      </c>
      <c r="R985" s="34">
        <v>0.3</v>
      </c>
      <c r="S985" s="226">
        <f t="shared" si="125"/>
        <v>2427.6000000000004</v>
      </c>
      <c r="T985" s="156" t="s">
        <v>1486</v>
      </c>
      <c r="U985" s="2"/>
      <c r="V985" s="2" t="s">
        <v>47</v>
      </c>
      <c r="W985" s="2" t="s">
        <v>3716</v>
      </c>
      <c r="X985" s="2" t="s">
        <v>1467</v>
      </c>
      <c r="Y985" s="488" t="s">
        <v>1486</v>
      </c>
      <c r="Z985" s="293"/>
      <c r="AA985" s="293"/>
    </row>
    <row r="986" spans="1:27" s="320" customFormat="1" x14ac:dyDescent="0.25">
      <c r="A986" s="220" t="s">
        <v>3670</v>
      </c>
      <c r="B986" s="221" t="s">
        <v>3966</v>
      </c>
      <c r="C986" s="223" t="s">
        <v>1576</v>
      </c>
      <c r="D986" s="220" t="s">
        <v>3734</v>
      </c>
      <c r="E986" s="222">
        <v>1</v>
      </c>
      <c r="F986" s="192">
        <v>6093</v>
      </c>
      <c r="G986" s="24">
        <v>0.2</v>
      </c>
      <c r="H986" s="24">
        <v>0.05</v>
      </c>
      <c r="I986" s="24">
        <v>0.05</v>
      </c>
      <c r="J986" s="24">
        <v>0</v>
      </c>
      <c r="K986" s="224">
        <f t="shared" si="128"/>
        <v>0.27800000000000002</v>
      </c>
      <c r="L986" s="225">
        <f t="shared" si="129"/>
        <v>8439.0581717451532</v>
      </c>
      <c r="M986" s="225">
        <f t="shared" si="130"/>
        <v>8439.0581717451532</v>
      </c>
      <c r="N986" s="226">
        <f t="shared" si="133"/>
        <v>10042.479224376732</v>
      </c>
      <c r="O986" s="34">
        <v>0.3</v>
      </c>
      <c r="P986" s="226">
        <f t="shared" si="132"/>
        <v>13055.222991689752</v>
      </c>
      <c r="Q986" s="107" t="s">
        <v>1486</v>
      </c>
      <c r="R986" s="34">
        <v>0.3</v>
      </c>
      <c r="S986" s="226">
        <f t="shared" si="125"/>
        <v>10358.1</v>
      </c>
      <c r="T986" s="156" t="s">
        <v>1486</v>
      </c>
      <c r="U986" s="2"/>
      <c r="V986" s="2" t="s">
        <v>47</v>
      </c>
      <c r="W986" s="2" t="s">
        <v>1467</v>
      </c>
      <c r="X986" s="2" t="s">
        <v>1467</v>
      </c>
      <c r="Y986" s="488" t="s">
        <v>1486</v>
      </c>
      <c r="Z986" s="293">
        <f>+M986-F986</f>
        <v>2346.0581717451532</v>
      </c>
      <c r="AA986" s="293">
        <f>+(S986/1.19)-F986</f>
        <v>2611.2857142857156</v>
      </c>
    </row>
    <row r="987" spans="1:27" s="320" customFormat="1" x14ac:dyDescent="0.25">
      <c r="A987" s="220" t="s">
        <v>3714</v>
      </c>
      <c r="B987" s="221" t="s">
        <v>3745</v>
      </c>
      <c r="C987" s="223" t="s">
        <v>3934</v>
      </c>
      <c r="D987" s="220" t="s">
        <v>1646</v>
      </c>
      <c r="E987" s="222">
        <v>1</v>
      </c>
      <c r="F987" s="192">
        <v>11824</v>
      </c>
      <c r="G987" s="24">
        <v>0.2</v>
      </c>
      <c r="H987" s="24">
        <v>0.05</v>
      </c>
      <c r="I987" s="24">
        <v>0.05</v>
      </c>
      <c r="J987" s="24">
        <v>0</v>
      </c>
      <c r="K987" s="224">
        <f t="shared" si="128"/>
        <v>0.27800000000000014</v>
      </c>
      <c r="L987" s="225">
        <f t="shared" si="129"/>
        <v>16376.73130193906</v>
      </c>
      <c r="M987" s="225">
        <f t="shared" si="130"/>
        <v>16376.73130193906</v>
      </c>
      <c r="N987" s="226">
        <f t="shared" si="133"/>
        <v>19488.31024930748</v>
      </c>
      <c r="O987" s="34">
        <v>0.3</v>
      </c>
      <c r="P987" s="226">
        <f t="shared" si="132"/>
        <v>25334.803324099725</v>
      </c>
      <c r="Q987" s="107" t="s">
        <v>1486</v>
      </c>
      <c r="R987" s="34">
        <v>0.3</v>
      </c>
      <c r="S987" s="226">
        <f t="shared" si="125"/>
        <v>20100.8</v>
      </c>
      <c r="T987" s="156" t="s">
        <v>1486</v>
      </c>
      <c r="U987" s="2" t="s">
        <v>50</v>
      </c>
      <c r="V987" s="2" t="s">
        <v>47</v>
      </c>
      <c r="W987" s="2" t="s">
        <v>3965</v>
      </c>
      <c r="X987" s="2"/>
      <c r="Y987" s="488" t="s">
        <v>1486</v>
      </c>
      <c r="Z987" s="293">
        <f>+M987-F987</f>
        <v>4552.7313019390604</v>
      </c>
      <c r="AA987" s="293">
        <f>+(S987/1.19)-F987</f>
        <v>5067.4285714285725</v>
      </c>
    </row>
    <row r="988" spans="1:27" s="320" customFormat="1" x14ac:dyDescent="0.25">
      <c r="A988" s="220" t="s">
        <v>3733</v>
      </c>
      <c r="B988" s="221" t="s">
        <v>3743</v>
      </c>
      <c r="C988" s="223" t="s">
        <v>3934</v>
      </c>
      <c r="D988" s="220" t="s">
        <v>1646</v>
      </c>
      <c r="E988" s="222">
        <v>30</v>
      </c>
      <c r="F988" s="192">
        <v>1348</v>
      </c>
      <c r="G988" s="24">
        <v>0.2</v>
      </c>
      <c r="H988" s="24">
        <v>0.05</v>
      </c>
      <c r="I988" s="24">
        <v>0.05</v>
      </c>
      <c r="J988" s="24">
        <v>0</v>
      </c>
      <c r="K988" s="224">
        <f t="shared" si="128"/>
        <v>0.27800000000000014</v>
      </c>
      <c r="L988" s="225">
        <f t="shared" si="129"/>
        <v>56011.080332409976</v>
      </c>
      <c r="M988" s="225">
        <f t="shared" si="130"/>
        <v>1867.0360110803326</v>
      </c>
      <c r="N988" s="226">
        <f t="shared" si="133"/>
        <v>2221.7728531855955</v>
      </c>
      <c r="O988" s="34">
        <v>0.3</v>
      </c>
      <c r="P988" s="226">
        <f t="shared" si="132"/>
        <v>2888.3047091412741</v>
      </c>
      <c r="Q988" s="107" t="s">
        <v>1486</v>
      </c>
      <c r="R988" s="34">
        <v>0.3</v>
      </c>
      <c r="S988" s="226">
        <f t="shared" si="125"/>
        <v>2291.6</v>
      </c>
      <c r="T988" s="156" t="s">
        <v>1486</v>
      </c>
      <c r="U988" s="2" t="s">
        <v>50</v>
      </c>
      <c r="V988" s="2" t="s">
        <v>47</v>
      </c>
      <c r="W988" s="2" t="s">
        <v>3965</v>
      </c>
      <c r="X988" s="2"/>
      <c r="Y988" s="488" t="s">
        <v>1486</v>
      </c>
      <c r="Z988" s="293"/>
      <c r="AA988" s="293"/>
    </row>
    <row r="989" spans="1:27" s="320" customFormat="1" x14ac:dyDescent="0.25">
      <c r="A989" s="220" t="s">
        <v>3837</v>
      </c>
      <c r="B989" s="221" t="s">
        <v>3746</v>
      </c>
      <c r="C989" s="223" t="s">
        <v>3934</v>
      </c>
      <c r="D989" s="220" t="s">
        <v>1646</v>
      </c>
      <c r="E989" s="222">
        <v>1</v>
      </c>
      <c r="F989" s="192">
        <v>25074</v>
      </c>
      <c r="G989" s="24">
        <v>0.2</v>
      </c>
      <c r="H989" s="24">
        <v>0.05</v>
      </c>
      <c r="I989" s="24">
        <v>0.05</v>
      </c>
      <c r="J989" s="24">
        <v>0</v>
      </c>
      <c r="K989" s="224">
        <f t="shared" si="128"/>
        <v>0.27799999999999991</v>
      </c>
      <c r="L989" s="225">
        <f t="shared" si="129"/>
        <v>34728.531855955676</v>
      </c>
      <c r="M989" s="225">
        <f t="shared" si="130"/>
        <v>34728.531855955676</v>
      </c>
      <c r="N989" s="226">
        <f t="shared" si="133"/>
        <v>41326.952908587256</v>
      </c>
      <c r="O989" s="34">
        <v>0.3</v>
      </c>
      <c r="P989" s="226">
        <f t="shared" si="132"/>
        <v>53725.038781163435</v>
      </c>
      <c r="Q989" s="107" t="s">
        <v>1486</v>
      </c>
      <c r="R989" s="34">
        <v>0.3</v>
      </c>
      <c r="S989" s="226">
        <f t="shared" ref="S989:S1052" si="134">+(F989/(1-R989))*1.19</f>
        <v>42625.799999999996</v>
      </c>
      <c r="T989" s="156" t="s">
        <v>1486</v>
      </c>
      <c r="U989" s="2" t="s">
        <v>50</v>
      </c>
      <c r="V989" s="2" t="s">
        <v>47</v>
      </c>
      <c r="W989" s="2" t="s">
        <v>3965</v>
      </c>
      <c r="X989" s="2"/>
      <c r="Y989" s="488" t="s">
        <v>1486</v>
      </c>
      <c r="Z989" s="293"/>
      <c r="AA989" s="293"/>
    </row>
    <row r="990" spans="1:27" s="320" customFormat="1" x14ac:dyDescent="0.25">
      <c r="A990" s="220" t="s">
        <v>3838</v>
      </c>
      <c r="B990" s="221" t="s">
        <v>3752</v>
      </c>
      <c r="C990" s="223" t="s">
        <v>3934</v>
      </c>
      <c r="D990" s="220" t="s">
        <v>1646</v>
      </c>
      <c r="E990" s="222">
        <v>1</v>
      </c>
      <c r="F990" s="192">
        <v>7368</v>
      </c>
      <c r="G990" s="24">
        <v>0.2</v>
      </c>
      <c r="H990" s="24">
        <v>0.05</v>
      </c>
      <c r="I990" s="24">
        <v>0.05</v>
      </c>
      <c r="J990" s="24">
        <v>0</v>
      </c>
      <c r="K990" s="224">
        <f t="shared" si="128"/>
        <v>0.27800000000000014</v>
      </c>
      <c r="L990" s="225">
        <f t="shared" si="129"/>
        <v>10204.986149584489</v>
      </c>
      <c r="M990" s="225">
        <f t="shared" si="130"/>
        <v>10204.986149584489</v>
      </c>
      <c r="N990" s="226">
        <f t="shared" si="133"/>
        <v>12143.93351800554</v>
      </c>
      <c r="O990" s="34">
        <v>0.3</v>
      </c>
      <c r="P990" s="226">
        <f t="shared" si="132"/>
        <v>15787.113573407203</v>
      </c>
      <c r="Q990" s="107" t="s">
        <v>1486</v>
      </c>
      <c r="R990" s="34">
        <v>0.3</v>
      </c>
      <c r="S990" s="226">
        <f t="shared" si="134"/>
        <v>12525.6</v>
      </c>
      <c r="T990" s="156" t="s">
        <v>1486</v>
      </c>
      <c r="U990" s="2" t="s">
        <v>50</v>
      </c>
      <c r="V990" s="2" t="s">
        <v>47</v>
      </c>
      <c r="W990" s="2" t="s">
        <v>3965</v>
      </c>
      <c r="X990" s="2"/>
      <c r="Y990" s="488" t="s">
        <v>1486</v>
      </c>
      <c r="Z990" s="293"/>
      <c r="AA990" s="293"/>
    </row>
    <row r="991" spans="1:27" s="320" customFormat="1" x14ac:dyDescent="0.25">
      <c r="A991" s="220" t="s">
        <v>3839</v>
      </c>
      <c r="B991" s="221" t="s">
        <v>3747</v>
      </c>
      <c r="C991" s="223" t="s">
        <v>3934</v>
      </c>
      <c r="D991" s="220" t="s">
        <v>1646</v>
      </c>
      <c r="E991" s="222">
        <v>1</v>
      </c>
      <c r="F991" s="192">
        <v>49408</v>
      </c>
      <c r="G991" s="24">
        <v>0.2</v>
      </c>
      <c r="H991" s="24">
        <v>0.05</v>
      </c>
      <c r="I991" s="24">
        <v>0.05</v>
      </c>
      <c r="J991" s="24">
        <v>0</v>
      </c>
      <c r="K991" s="224">
        <f t="shared" si="128"/>
        <v>0.27799999999999991</v>
      </c>
      <c r="L991" s="225">
        <f t="shared" si="129"/>
        <v>68432.132963988915</v>
      </c>
      <c r="M991" s="225">
        <f t="shared" si="130"/>
        <v>68432.132963988915</v>
      </c>
      <c r="N991" s="226">
        <f t="shared" si="133"/>
        <v>81434.238227146809</v>
      </c>
      <c r="O991" s="34">
        <v>0.3</v>
      </c>
      <c r="P991" s="226">
        <f t="shared" si="132"/>
        <v>105864.50969529085</v>
      </c>
      <c r="Q991" s="107" t="s">
        <v>1486</v>
      </c>
      <c r="R991" s="34">
        <v>0.3</v>
      </c>
      <c r="S991" s="226">
        <f t="shared" si="134"/>
        <v>83993.600000000006</v>
      </c>
      <c r="T991" s="156" t="s">
        <v>1486</v>
      </c>
      <c r="U991" s="2" t="s">
        <v>50</v>
      </c>
      <c r="V991" s="2" t="s">
        <v>47</v>
      </c>
      <c r="W991" s="2" t="s">
        <v>3965</v>
      </c>
      <c r="X991" s="2"/>
      <c r="Y991" s="488" t="s">
        <v>1486</v>
      </c>
      <c r="Z991" s="293"/>
      <c r="AA991" s="293"/>
    </row>
    <row r="992" spans="1:27" s="320" customFormat="1" x14ac:dyDescent="0.25">
      <c r="A992" s="220" t="s">
        <v>3840</v>
      </c>
      <c r="B992" s="221" t="s">
        <v>3748</v>
      </c>
      <c r="C992" s="223" t="s">
        <v>3934</v>
      </c>
      <c r="D992" s="220" t="s">
        <v>1646</v>
      </c>
      <c r="E992" s="222">
        <v>1</v>
      </c>
      <c r="F992" s="192">
        <v>59140</v>
      </c>
      <c r="G992" s="24">
        <v>0.2</v>
      </c>
      <c r="H992" s="24">
        <v>0.05</v>
      </c>
      <c r="I992" s="24">
        <v>0.05</v>
      </c>
      <c r="J992" s="24">
        <v>0</v>
      </c>
      <c r="K992" s="224">
        <f t="shared" si="128"/>
        <v>0.27800000000000014</v>
      </c>
      <c r="L992" s="225">
        <f t="shared" si="129"/>
        <v>81911.357340720235</v>
      </c>
      <c r="M992" s="225">
        <f t="shared" si="130"/>
        <v>81911.357340720235</v>
      </c>
      <c r="N992" s="226">
        <f t="shared" si="133"/>
        <v>97474.515235457075</v>
      </c>
      <c r="O992" s="34">
        <v>0.3</v>
      </c>
      <c r="P992" s="226">
        <f t="shared" si="132"/>
        <v>126716.8698060942</v>
      </c>
      <c r="Q992" s="107" t="s">
        <v>1486</v>
      </c>
      <c r="R992" s="34">
        <v>0.3</v>
      </c>
      <c r="S992" s="226">
        <f t="shared" si="134"/>
        <v>100538</v>
      </c>
      <c r="T992" s="156" t="s">
        <v>1486</v>
      </c>
      <c r="U992" s="2" t="s">
        <v>50</v>
      </c>
      <c r="V992" s="2" t="s">
        <v>47</v>
      </c>
      <c r="W992" s="2" t="s">
        <v>3965</v>
      </c>
      <c r="X992" s="2"/>
      <c r="Y992" s="488" t="s">
        <v>1486</v>
      </c>
      <c r="Z992" s="293"/>
      <c r="AA992" s="293"/>
    </row>
    <row r="993" spans="1:27" s="320" customFormat="1" x14ac:dyDescent="0.25">
      <c r="A993" s="220" t="s">
        <v>3841</v>
      </c>
      <c r="B993" s="221" t="s">
        <v>3749</v>
      </c>
      <c r="C993" s="223" t="s">
        <v>3934</v>
      </c>
      <c r="D993" s="220" t="s">
        <v>1646</v>
      </c>
      <c r="E993" s="222">
        <v>30</v>
      </c>
      <c r="F993" s="192">
        <v>1348</v>
      </c>
      <c r="G993" s="24">
        <v>0.2</v>
      </c>
      <c r="H993" s="24">
        <v>0.05</v>
      </c>
      <c r="I993" s="24">
        <v>0.05</v>
      </c>
      <c r="J993" s="24">
        <v>0</v>
      </c>
      <c r="K993" s="224">
        <f t="shared" si="128"/>
        <v>0.27800000000000014</v>
      </c>
      <c r="L993" s="225">
        <f t="shared" si="129"/>
        <v>56011.080332409976</v>
      </c>
      <c r="M993" s="225">
        <f t="shared" si="130"/>
        <v>1867.0360110803326</v>
      </c>
      <c r="N993" s="226">
        <f t="shared" si="133"/>
        <v>2221.7728531855955</v>
      </c>
      <c r="O993" s="34">
        <v>0.3</v>
      </c>
      <c r="P993" s="226">
        <f t="shared" si="132"/>
        <v>2888.3047091412741</v>
      </c>
      <c r="Q993" s="107" t="s">
        <v>1486</v>
      </c>
      <c r="R993" s="34">
        <v>0.3</v>
      </c>
      <c r="S993" s="226">
        <f t="shared" si="134"/>
        <v>2291.6</v>
      </c>
      <c r="T993" s="156" t="s">
        <v>1486</v>
      </c>
      <c r="U993" s="2" t="s">
        <v>50</v>
      </c>
      <c r="V993" s="2" t="s">
        <v>47</v>
      </c>
      <c r="W993" s="2" t="s">
        <v>3965</v>
      </c>
      <c r="X993" s="2"/>
      <c r="Y993" s="488" t="s">
        <v>1486</v>
      </c>
      <c r="Z993" s="293"/>
      <c r="AA993" s="293"/>
    </row>
    <row r="994" spans="1:27" s="320" customFormat="1" x14ac:dyDescent="0.25">
      <c r="A994" s="220" t="s">
        <v>3842</v>
      </c>
      <c r="B994" s="221" t="s">
        <v>3750</v>
      </c>
      <c r="C994" s="223" t="s">
        <v>3934</v>
      </c>
      <c r="D994" s="220" t="s">
        <v>1646</v>
      </c>
      <c r="E994" s="222">
        <v>30</v>
      </c>
      <c r="F994" s="192">
        <v>2912</v>
      </c>
      <c r="G994" s="24">
        <v>0.2</v>
      </c>
      <c r="H994" s="24">
        <v>0.05</v>
      </c>
      <c r="I994" s="24">
        <v>0.05</v>
      </c>
      <c r="J994" s="24">
        <v>0</v>
      </c>
      <c r="K994" s="224">
        <f t="shared" si="128"/>
        <v>0.27800000000000014</v>
      </c>
      <c r="L994" s="225">
        <f t="shared" si="129"/>
        <v>120997.22991689752</v>
      </c>
      <c r="M994" s="225">
        <f t="shared" si="130"/>
        <v>4033.2409972299174</v>
      </c>
      <c r="N994" s="226">
        <f t="shared" si="133"/>
        <v>4799.5567867036016</v>
      </c>
      <c r="O994" s="34">
        <v>0.3</v>
      </c>
      <c r="P994" s="226">
        <f t="shared" si="132"/>
        <v>6239.4238227146825</v>
      </c>
      <c r="Q994" s="107" t="s">
        <v>1486</v>
      </c>
      <c r="R994" s="34">
        <v>0.3</v>
      </c>
      <c r="S994" s="226">
        <f t="shared" si="134"/>
        <v>4950.3999999999996</v>
      </c>
      <c r="T994" s="156" t="s">
        <v>1486</v>
      </c>
      <c r="U994" s="2" t="s">
        <v>50</v>
      </c>
      <c r="V994" s="2" t="s">
        <v>47</v>
      </c>
      <c r="W994" s="2" t="s">
        <v>3965</v>
      </c>
      <c r="X994" s="2"/>
      <c r="Y994" s="488" t="s">
        <v>1486</v>
      </c>
      <c r="Z994" s="293"/>
      <c r="AA994" s="293"/>
    </row>
    <row r="995" spans="1:27" s="320" customFormat="1" x14ac:dyDescent="0.25">
      <c r="A995" s="220" t="s">
        <v>3843</v>
      </c>
      <c r="B995" s="221" t="s">
        <v>3751</v>
      </c>
      <c r="C995" s="223" t="s">
        <v>3934</v>
      </c>
      <c r="D995" s="220" t="s">
        <v>1646</v>
      </c>
      <c r="E995" s="222">
        <v>10</v>
      </c>
      <c r="F995" s="192">
        <v>6776</v>
      </c>
      <c r="G995" s="24">
        <v>0.19999999886249997</v>
      </c>
      <c r="H995" s="24">
        <v>0.05</v>
      </c>
      <c r="I995" s="24">
        <v>0.05</v>
      </c>
      <c r="J995" s="24">
        <v>0</v>
      </c>
      <c r="K995" s="224">
        <f t="shared" si="128"/>
        <v>0.27799999897340621</v>
      </c>
      <c r="L995" s="225">
        <f t="shared" si="129"/>
        <v>93850.415379021812</v>
      </c>
      <c r="M995" s="225">
        <f t="shared" si="130"/>
        <v>9385.0415379021815</v>
      </c>
      <c r="N995" s="226">
        <f t="shared" si="133"/>
        <v>11168.199430103596</v>
      </c>
      <c r="O995" s="34">
        <v>0.3</v>
      </c>
      <c r="P995" s="226">
        <f t="shared" si="132"/>
        <v>14518.659259134674</v>
      </c>
      <c r="Q995" s="107" t="s">
        <v>1486</v>
      </c>
      <c r="R995" s="34">
        <v>0.3</v>
      </c>
      <c r="S995" s="226">
        <f t="shared" si="134"/>
        <v>11519.199999999999</v>
      </c>
      <c r="T995" s="156" t="s">
        <v>1486</v>
      </c>
      <c r="U995" s="2" t="s">
        <v>50</v>
      </c>
      <c r="V995" s="2" t="s">
        <v>47</v>
      </c>
      <c r="W995" s="2" t="s">
        <v>3965</v>
      </c>
      <c r="X995" s="2" t="s">
        <v>1467</v>
      </c>
      <c r="Y995" s="488" t="s">
        <v>1486</v>
      </c>
      <c r="Z995" s="293"/>
      <c r="AA995" s="293"/>
    </row>
    <row r="996" spans="1:27" s="320" customFormat="1" x14ac:dyDescent="0.25">
      <c r="A996" s="220" t="s">
        <v>3844</v>
      </c>
      <c r="B996" s="221" t="s">
        <v>3744</v>
      </c>
      <c r="C996" s="223" t="s">
        <v>3934</v>
      </c>
      <c r="D996" s="220" t="s">
        <v>1646</v>
      </c>
      <c r="E996" s="222">
        <v>20</v>
      </c>
      <c r="F996" s="192">
        <v>4660</v>
      </c>
      <c r="G996" s="24">
        <v>0.2</v>
      </c>
      <c r="H996" s="24">
        <v>0.05</v>
      </c>
      <c r="I996" s="24">
        <v>0.05</v>
      </c>
      <c r="J996" s="24">
        <v>0</v>
      </c>
      <c r="K996" s="224">
        <f t="shared" si="128"/>
        <v>0.27800000000000002</v>
      </c>
      <c r="L996" s="225">
        <f t="shared" si="129"/>
        <v>129085.87257617729</v>
      </c>
      <c r="M996" s="225">
        <f t="shared" si="130"/>
        <v>6454.2936288088649</v>
      </c>
      <c r="N996" s="226">
        <f t="shared" si="133"/>
        <v>7680.6094182825491</v>
      </c>
      <c r="O996" s="34">
        <v>0.3</v>
      </c>
      <c r="P996" s="226">
        <f t="shared" si="132"/>
        <v>9984.7922437673133</v>
      </c>
      <c r="Q996" s="107" t="s">
        <v>1486</v>
      </c>
      <c r="R996" s="34">
        <v>0.3</v>
      </c>
      <c r="S996" s="226">
        <f t="shared" si="134"/>
        <v>7922</v>
      </c>
      <c r="T996" s="156" t="s">
        <v>1486</v>
      </c>
      <c r="U996" s="2" t="s">
        <v>50</v>
      </c>
      <c r="V996" s="2" t="s">
        <v>47</v>
      </c>
      <c r="W996" s="2" t="s">
        <v>3965</v>
      </c>
      <c r="X996" s="2"/>
      <c r="Y996" s="488" t="s">
        <v>1486</v>
      </c>
      <c r="Z996" s="293"/>
      <c r="AA996" s="293"/>
    </row>
    <row r="997" spans="1:27" s="320" customFormat="1" x14ac:dyDescent="0.25">
      <c r="A997" s="220" t="s">
        <v>3845</v>
      </c>
      <c r="B997" s="221" t="s">
        <v>3758</v>
      </c>
      <c r="C997" s="223" t="s">
        <v>3934</v>
      </c>
      <c r="D997" s="220" t="s">
        <v>1646</v>
      </c>
      <c r="E997" s="222">
        <v>1</v>
      </c>
      <c r="F997" s="192">
        <v>7840</v>
      </c>
      <c r="G997" s="24">
        <v>0.2</v>
      </c>
      <c r="H997" s="24">
        <v>0.05</v>
      </c>
      <c r="I997" s="24">
        <v>0.05</v>
      </c>
      <c r="J997" s="24">
        <v>0</v>
      </c>
      <c r="K997" s="224">
        <f t="shared" si="128"/>
        <v>0.27800000000000014</v>
      </c>
      <c r="L997" s="225">
        <f t="shared" si="129"/>
        <v>10858.725761772856</v>
      </c>
      <c r="M997" s="225">
        <f t="shared" si="130"/>
        <v>10858.725761772856</v>
      </c>
      <c r="N997" s="226">
        <f t="shared" si="133"/>
        <v>12921.883656509697</v>
      </c>
      <c r="O997" s="34">
        <v>0.3</v>
      </c>
      <c r="P997" s="226">
        <f t="shared" si="132"/>
        <v>16798.448753462606</v>
      </c>
      <c r="Q997" s="107" t="s">
        <v>1486</v>
      </c>
      <c r="R997" s="34">
        <v>0.3</v>
      </c>
      <c r="S997" s="226">
        <f t="shared" si="134"/>
        <v>13328</v>
      </c>
      <c r="T997" s="156" t="s">
        <v>1486</v>
      </c>
      <c r="U997" s="2" t="s">
        <v>50</v>
      </c>
      <c r="V997" s="2" t="s">
        <v>47</v>
      </c>
      <c r="W997" s="2" t="s">
        <v>3965</v>
      </c>
      <c r="X997" s="2"/>
      <c r="Y997" s="488" t="s">
        <v>1486</v>
      </c>
      <c r="Z997" s="293"/>
      <c r="AA997" s="293"/>
    </row>
    <row r="998" spans="1:27" s="320" customFormat="1" x14ac:dyDescent="0.25">
      <c r="A998" s="220" t="s">
        <v>3846</v>
      </c>
      <c r="B998" s="221" t="s">
        <v>3759</v>
      </c>
      <c r="C998" s="223" t="s">
        <v>3934</v>
      </c>
      <c r="D998" s="220" t="s">
        <v>1646</v>
      </c>
      <c r="E998" s="222">
        <v>1</v>
      </c>
      <c r="F998" s="192">
        <v>11647</v>
      </c>
      <c r="G998" s="24">
        <v>0.2</v>
      </c>
      <c r="H998" s="24">
        <v>0.05</v>
      </c>
      <c r="I998" s="24">
        <v>0.05</v>
      </c>
      <c r="J998" s="24">
        <v>0</v>
      </c>
      <c r="K998" s="224">
        <f t="shared" si="128"/>
        <v>0.27800000000000002</v>
      </c>
      <c r="L998" s="225">
        <f t="shared" si="129"/>
        <v>16131.578947368422</v>
      </c>
      <c r="M998" s="225">
        <f t="shared" si="130"/>
        <v>16131.578947368422</v>
      </c>
      <c r="N998" s="226">
        <f t="shared" si="133"/>
        <v>19196.57894736842</v>
      </c>
      <c r="O998" s="34">
        <v>0.3</v>
      </c>
      <c r="P998" s="226">
        <f t="shared" si="132"/>
        <v>24955.552631578947</v>
      </c>
      <c r="Q998" s="107" t="s">
        <v>1486</v>
      </c>
      <c r="R998" s="34">
        <v>0.3</v>
      </c>
      <c r="S998" s="226">
        <f t="shared" si="134"/>
        <v>19799.900000000001</v>
      </c>
      <c r="T998" s="156" t="s">
        <v>1486</v>
      </c>
      <c r="U998" s="2" t="s">
        <v>50</v>
      </c>
      <c r="V998" s="2" t="s">
        <v>47</v>
      </c>
      <c r="W998" s="2" t="s">
        <v>3965</v>
      </c>
      <c r="X998" s="2"/>
      <c r="Y998" s="488" t="s">
        <v>1486</v>
      </c>
      <c r="Z998" s="293"/>
      <c r="AA998" s="293"/>
    </row>
    <row r="999" spans="1:27" s="320" customFormat="1" x14ac:dyDescent="0.25">
      <c r="A999" s="220" t="s">
        <v>3847</v>
      </c>
      <c r="B999" s="221" t="s">
        <v>3753</v>
      </c>
      <c r="C999" s="223" t="s">
        <v>3934</v>
      </c>
      <c r="D999" s="220" t="s">
        <v>1646</v>
      </c>
      <c r="E999" s="222">
        <v>1</v>
      </c>
      <c r="F999" s="192">
        <v>54734</v>
      </c>
      <c r="G999" s="24">
        <v>0.2</v>
      </c>
      <c r="H999" s="24">
        <v>0.05</v>
      </c>
      <c r="I999" s="24">
        <v>0.05</v>
      </c>
      <c r="J999" s="24">
        <v>0</v>
      </c>
      <c r="K999" s="224">
        <f t="shared" si="128"/>
        <v>0.27800000000000014</v>
      </c>
      <c r="L999" s="225">
        <f t="shared" si="129"/>
        <v>75808.864265927987</v>
      </c>
      <c r="M999" s="225">
        <f t="shared" si="130"/>
        <v>75808.864265927987</v>
      </c>
      <c r="N999" s="226">
        <f t="shared" si="133"/>
        <v>90212.548476454307</v>
      </c>
      <c r="O999" s="34">
        <v>0.3</v>
      </c>
      <c r="P999" s="226">
        <f t="shared" si="132"/>
        <v>117276.3130193906</v>
      </c>
      <c r="Q999" s="107" t="s">
        <v>1486</v>
      </c>
      <c r="R999" s="34">
        <v>0.3</v>
      </c>
      <c r="S999" s="226">
        <f t="shared" si="134"/>
        <v>93047.8</v>
      </c>
      <c r="T999" s="156" t="s">
        <v>1486</v>
      </c>
      <c r="U999" s="2" t="s">
        <v>50</v>
      </c>
      <c r="V999" s="2" t="s">
        <v>47</v>
      </c>
      <c r="W999" s="2" t="s">
        <v>3965</v>
      </c>
      <c r="X999" s="2"/>
      <c r="Y999" s="488" t="s">
        <v>1486</v>
      </c>
      <c r="Z999" s="293"/>
      <c r="AA999" s="293"/>
    </row>
    <row r="1000" spans="1:27" s="320" customFormat="1" x14ac:dyDescent="0.25">
      <c r="A1000" s="220" t="s">
        <v>3848</v>
      </c>
      <c r="B1000" s="221" t="s">
        <v>3754</v>
      </c>
      <c r="C1000" s="223" t="s">
        <v>3934</v>
      </c>
      <c r="D1000" s="220" t="s">
        <v>1646</v>
      </c>
      <c r="E1000" s="222">
        <v>1</v>
      </c>
      <c r="F1000" s="192">
        <v>60580</v>
      </c>
      <c r="G1000" s="24">
        <v>0.2</v>
      </c>
      <c r="H1000" s="24">
        <v>0.05</v>
      </c>
      <c r="I1000" s="24">
        <v>0.05</v>
      </c>
      <c r="J1000" s="24">
        <v>0</v>
      </c>
      <c r="K1000" s="224">
        <f t="shared" si="128"/>
        <v>0.27800000000000014</v>
      </c>
      <c r="L1000" s="225">
        <f t="shared" si="129"/>
        <v>83905.81717451525</v>
      </c>
      <c r="M1000" s="225">
        <f t="shared" si="130"/>
        <v>83905.81717451525</v>
      </c>
      <c r="N1000" s="226">
        <f t="shared" si="133"/>
        <v>99847.922437673144</v>
      </c>
      <c r="O1000" s="34">
        <v>0.3</v>
      </c>
      <c r="P1000" s="226">
        <f t="shared" si="132"/>
        <v>129802.29916897509</v>
      </c>
      <c r="Q1000" s="107" t="s">
        <v>1486</v>
      </c>
      <c r="R1000" s="34">
        <v>0.3</v>
      </c>
      <c r="S1000" s="226">
        <f t="shared" si="134"/>
        <v>102986</v>
      </c>
      <c r="T1000" s="156" t="s">
        <v>1486</v>
      </c>
      <c r="U1000" s="2" t="s">
        <v>50</v>
      </c>
      <c r="V1000" s="2" t="s">
        <v>47</v>
      </c>
      <c r="W1000" s="2" t="s">
        <v>3965</v>
      </c>
      <c r="X1000" s="2"/>
      <c r="Y1000" s="488" t="s">
        <v>1486</v>
      </c>
      <c r="Z1000" s="293"/>
      <c r="AA1000" s="293"/>
    </row>
    <row r="1001" spans="1:27" s="320" customFormat="1" x14ac:dyDescent="0.25">
      <c r="A1001" s="220" t="s">
        <v>3849</v>
      </c>
      <c r="B1001" s="221" t="s">
        <v>3755</v>
      </c>
      <c r="C1001" s="223" t="s">
        <v>3934</v>
      </c>
      <c r="D1001" s="220" t="s">
        <v>1646</v>
      </c>
      <c r="E1001" s="222">
        <v>30</v>
      </c>
      <c r="F1001" s="192">
        <v>1658</v>
      </c>
      <c r="G1001" s="24">
        <v>0.2</v>
      </c>
      <c r="H1001" s="24">
        <v>0.05</v>
      </c>
      <c r="I1001" s="24">
        <v>0.05</v>
      </c>
      <c r="J1001" s="24">
        <v>0</v>
      </c>
      <c r="K1001" s="224">
        <f t="shared" si="128"/>
        <v>0.27800000000000014</v>
      </c>
      <c r="L1001" s="225">
        <f t="shared" si="129"/>
        <v>68891.966759002782</v>
      </c>
      <c r="M1001" s="225">
        <f t="shared" si="130"/>
        <v>2296.3988919667595</v>
      </c>
      <c r="N1001" s="226">
        <f t="shared" si="133"/>
        <v>2732.7146814404437</v>
      </c>
      <c r="O1001" s="34">
        <v>0.3</v>
      </c>
      <c r="P1001" s="226">
        <f t="shared" si="132"/>
        <v>3552.5290858725771</v>
      </c>
      <c r="Q1001" s="107" t="s">
        <v>1486</v>
      </c>
      <c r="R1001" s="34">
        <v>0.3</v>
      </c>
      <c r="S1001" s="226">
        <f t="shared" si="134"/>
        <v>2818.6000000000004</v>
      </c>
      <c r="T1001" s="156" t="s">
        <v>1486</v>
      </c>
      <c r="U1001" s="2" t="s">
        <v>50</v>
      </c>
      <c r="V1001" s="2" t="s">
        <v>47</v>
      </c>
      <c r="W1001" s="2" t="s">
        <v>3965</v>
      </c>
      <c r="X1001" s="2"/>
      <c r="Y1001" s="488" t="s">
        <v>1486</v>
      </c>
      <c r="Z1001" s="293"/>
      <c r="AA1001" s="293"/>
    </row>
    <row r="1002" spans="1:27" s="320" customFormat="1" x14ac:dyDescent="0.25">
      <c r="A1002" s="220" t="s">
        <v>3850</v>
      </c>
      <c r="B1002" s="221" t="s">
        <v>3756</v>
      </c>
      <c r="C1002" s="223" t="s">
        <v>3934</v>
      </c>
      <c r="D1002" s="220" t="s">
        <v>1646</v>
      </c>
      <c r="E1002" s="222">
        <v>30</v>
      </c>
      <c r="F1002" s="192">
        <v>3235</v>
      </c>
      <c r="G1002" s="24">
        <v>0.2</v>
      </c>
      <c r="H1002" s="24">
        <v>0.05</v>
      </c>
      <c r="I1002" s="24">
        <v>0.05</v>
      </c>
      <c r="J1002" s="24">
        <v>0</v>
      </c>
      <c r="K1002" s="224">
        <f t="shared" si="128"/>
        <v>0.27799999999999991</v>
      </c>
      <c r="L1002" s="225">
        <f t="shared" si="129"/>
        <v>134418.28254847645</v>
      </c>
      <c r="M1002" s="225">
        <f t="shared" si="130"/>
        <v>4480.6094182825482</v>
      </c>
      <c r="N1002" s="226">
        <f t="shared" si="133"/>
        <v>5331.9252077562323</v>
      </c>
      <c r="O1002" s="34">
        <v>0.3</v>
      </c>
      <c r="P1002" s="226">
        <f t="shared" si="132"/>
        <v>6931.5027700831024</v>
      </c>
      <c r="Q1002" s="107" t="s">
        <v>1486</v>
      </c>
      <c r="R1002" s="34">
        <v>0.3</v>
      </c>
      <c r="S1002" s="226">
        <f t="shared" si="134"/>
        <v>5499.5</v>
      </c>
      <c r="T1002" s="156" t="s">
        <v>1486</v>
      </c>
      <c r="U1002" s="2" t="s">
        <v>50</v>
      </c>
      <c r="V1002" s="2" t="s">
        <v>47</v>
      </c>
      <c r="W1002" s="2" t="s">
        <v>3965</v>
      </c>
      <c r="X1002" s="2"/>
      <c r="Y1002" s="488" t="s">
        <v>1486</v>
      </c>
      <c r="Z1002" s="293"/>
      <c r="AA1002" s="293"/>
    </row>
    <row r="1003" spans="1:27" s="320" customFormat="1" ht="15" customHeight="1" x14ac:dyDescent="0.25">
      <c r="A1003" s="220" t="s">
        <v>3851</v>
      </c>
      <c r="B1003" s="221" t="s">
        <v>3757</v>
      </c>
      <c r="C1003" s="223" t="s">
        <v>3934</v>
      </c>
      <c r="D1003" s="220" t="s">
        <v>1646</v>
      </c>
      <c r="E1003" s="222">
        <v>10</v>
      </c>
      <c r="F1003" s="192">
        <v>7105</v>
      </c>
      <c r="G1003" s="24">
        <v>0.2</v>
      </c>
      <c r="H1003" s="24">
        <v>0.05</v>
      </c>
      <c r="I1003" s="24">
        <v>0.05</v>
      </c>
      <c r="J1003" s="24">
        <v>0</v>
      </c>
      <c r="K1003" s="224">
        <f t="shared" si="128"/>
        <v>0.27800000000000002</v>
      </c>
      <c r="L1003" s="225">
        <f t="shared" si="129"/>
        <v>98407.202216066493</v>
      </c>
      <c r="M1003" s="225">
        <f t="shared" si="130"/>
        <v>9840.7202216066489</v>
      </c>
      <c r="N1003" s="226">
        <f t="shared" si="133"/>
        <v>11710.457063711912</v>
      </c>
      <c r="O1003" s="34">
        <v>0.3</v>
      </c>
      <c r="P1003" s="226">
        <f t="shared" si="132"/>
        <v>15223.594182825487</v>
      </c>
      <c r="Q1003" s="107" t="s">
        <v>1486</v>
      </c>
      <c r="R1003" s="34">
        <v>0.3</v>
      </c>
      <c r="S1003" s="226">
        <f t="shared" si="134"/>
        <v>12078.5</v>
      </c>
      <c r="T1003" s="156" t="s">
        <v>1486</v>
      </c>
      <c r="U1003" s="2" t="s">
        <v>50</v>
      </c>
      <c r="V1003" s="2" t="s">
        <v>47</v>
      </c>
      <c r="W1003" s="2" t="s">
        <v>3965</v>
      </c>
      <c r="X1003" s="2"/>
      <c r="Y1003" s="488" t="s">
        <v>1486</v>
      </c>
      <c r="Z1003" s="293"/>
      <c r="AA1003" s="293"/>
    </row>
    <row r="1004" spans="1:27" s="320" customFormat="1" x14ac:dyDescent="0.25">
      <c r="A1004" s="220" t="s">
        <v>3852</v>
      </c>
      <c r="B1004" s="221" t="s">
        <v>3762</v>
      </c>
      <c r="C1004" s="223" t="s">
        <v>3934</v>
      </c>
      <c r="D1004" s="220" t="s">
        <v>1646</v>
      </c>
      <c r="E1004" s="222">
        <v>1</v>
      </c>
      <c r="F1004" s="192">
        <v>3105</v>
      </c>
      <c r="G1004" s="24">
        <v>0.2</v>
      </c>
      <c r="H1004" s="24">
        <v>0.05</v>
      </c>
      <c r="I1004" s="24">
        <v>0.05</v>
      </c>
      <c r="J1004" s="24">
        <v>0</v>
      </c>
      <c r="K1004" s="224">
        <f t="shared" si="128"/>
        <v>0.27800000000000014</v>
      </c>
      <c r="L1004" s="225">
        <f t="shared" si="129"/>
        <v>4300.5540166204992</v>
      </c>
      <c r="M1004" s="225">
        <f t="shared" si="130"/>
        <v>4300.5540166204992</v>
      </c>
      <c r="N1004" s="226">
        <f t="shared" si="133"/>
        <v>5117.6592797783942</v>
      </c>
      <c r="O1004" s="34">
        <v>0.3</v>
      </c>
      <c r="P1004" s="226">
        <f t="shared" si="132"/>
        <v>6652.9570637119123</v>
      </c>
      <c r="Q1004" s="107" t="s">
        <v>1486</v>
      </c>
      <c r="R1004" s="34">
        <v>0.3</v>
      </c>
      <c r="S1004" s="226">
        <f t="shared" si="134"/>
        <v>5278.5</v>
      </c>
      <c r="T1004" s="156" t="s">
        <v>1486</v>
      </c>
      <c r="U1004" s="2" t="s">
        <v>50</v>
      </c>
      <c r="V1004" s="2" t="s">
        <v>47</v>
      </c>
      <c r="W1004" s="2" t="s">
        <v>3965</v>
      </c>
      <c r="X1004" s="2"/>
      <c r="Y1004" s="488" t="s">
        <v>1486</v>
      </c>
      <c r="Z1004" s="293"/>
      <c r="AA1004" s="293"/>
    </row>
    <row r="1005" spans="1:27" s="320" customFormat="1" x14ac:dyDescent="0.25">
      <c r="A1005" s="220" t="s">
        <v>3853</v>
      </c>
      <c r="B1005" s="221" t="s">
        <v>3760</v>
      </c>
      <c r="C1005" s="223" t="s">
        <v>3934</v>
      </c>
      <c r="D1005" s="220" t="s">
        <v>1646</v>
      </c>
      <c r="E1005" s="222">
        <v>10</v>
      </c>
      <c r="F1005" s="192">
        <v>2760</v>
      </c>
      <c r="G1005" s="24">
        <v>0.2</v>
      </c>
      <c r="H1005" s="24">
        <v>0.05</v>
      </c>
      <c r="I1005" s="24">
        <v>0.05</v>
      </c>
      <c r="J1005" s="24">
        <v>0</v>
      </c>
      <c r="K1005" s="224">
        <f t="shared" si="128"/>
        <v>0.27800000000000014</v>
      </c>
      <c r="L1005" s="225">
        <f t="shared" si="129"/>
        <v>38227.146814404434</v>
      </c>
      <c r="M1005" s="225">
        <f t="shared" si="130"/>
        <v>3822.7146814404437</v>
      </c>
      <c r="N1005" s="226">
        <f t="shared" si="133"/>
        <v>4549.0304709141274</v>
      </c>
      <c r="O1005" s="34">
        <v>0.3</v>
      </c>
      <c r="P1005" s="226">
        <f t="shared" si="132"/>
        <v>5913.7396121883658</v>
      </c>
      <c r="Q1005" s="107" t="s">
        <v>1486</v>
      </c>
      <c r="R1005" s="34">
        <v>0.3</v>
      </c>
      <c r="S1005" s="226">
        <f t="shared" si="134"/>
        <v>4692</v>
      </c>
      <c r="T1005" s="156" t="s">
        <v>1486</v>
      </c>
      <c r="U1005" s="2" t="s">
        <v>50</v>
      </c>
      <c r="V1005" s="2" t="s">
        <v>47</v>
      </c>
      <c r="W1005" s="2" t="s">
        <v>3965</v>
      </c>
      <c r="X1005" s="2"/>
      <c r="Y1005" s="488" t="s">
        <v>1486</v>
      </c>
      <c r="Z1005" s="293"/>
      <c r="AA1005" s="293"/>
    </row>
    <row r="1006" spans="1:27" s="320" customFormat="1" x14ac:dyDescent="0.25">
      <c r="A1006" s="220" t="s">
        <v>3854</v>
      </c>
      <c r="B1006" s="221" t="s">
        <v>3761</v>
      </c>
      <c r="C1006" s="223" t="s">
        <v>3934</v>
      </c>
      <c r="D1006" s="220" t="s">
        <v>1646</v>
      </c>
      <c r="E1006" s="222">
        <v>1</v>
      </c>
      <c r="F1006" s="192">
        <v>89015</v>
      </c>
      <c r="G1006" s="24">
        <v>0.2</v>
      </c>
      <c r="H1006" s="24">
        <v>0.05</v>
      </c>
      <c r="I1006" s="24">
        <v>0.05</v>
      </c>
      <c r="J1006" s="24">
        <v>0</v>
      </c>
      <c r="K1006" s="224">
        <f t="shared" si="128"/>
        <v>0.27800000000000002</v>
      </c>
      <c r="L1006" s="225">
        <f t="shared" si="129"/>
        <v>123289.47368421053</v>
      </c>
      <c r="M1006" s="225">
        <f t="shared" si="130"/>
        <v>123289.47368421053</v>
      </c>
      <c r="N1006" s="226">
        <f t="shared" si="133"/>
        <v>146714.47368421053</v>
      </c>
      <c r="O1006" s="34">
        <v>0.3</v>
      </c>
      <c r="P1006" s="226">
        <f t="shared" si="132"/>
        <v>190728.81578947371</v>
      </c>
      <c r="Q1006" s="107" t="s">
        <v>1486</v>
      </c>
      <c r="R1006" s="34">
        <v>0.3</v>
      </c>
      <c r="S1006" s="226">
        <f t="shared" si="134"/>
        <v>151325.5</v>
      </c>
      <c r="T1006" s="156" t="s">
        <v>1486</v>
      </c>
      <c r="U1006" s="2" t="s">
        <v>50</v>
      </c>
      <c r="V1006" s="2" t="s">
        <v>47</v>
      </c>
      <c r="W1006" s="2" t="s">
        <v>3965</v>
      </c>
      <c r="X1006" s="2"/>
      <c r="Y1006" s="488" t="s">
        <v>1486</v>
      </c>
      <c r="Z1006" s="293"/>
      <c r="AA1006" s="293"/>
    </row>
    <row r="1007" spans="1:27" s="320" customFormat="1" x14ac:dyDescent="0.25">
      <c r="A1007" s="220" t="s">
        <v>3855</v>
      </c>
      <c r="B1007" s="221" t="s">
        <v>3763</v>
      </c>
      <c r="C1007" s="223" t="s">
        <v>3934</v>
      </c>
      <c r="D1007" s="220" t="s">
        <v>1646</v>
      </c>
      <c r="E1007" s="222">
        <v>10</v>
      </c>
      <c r="F1007" s="192">
        <v>3319</v>
      </c>
      <c r="G1007" s="24">
        <v>0.2</v>
      </c>
      <c r="H1007" s="24">
        <v>0.05</v>
      </c>
      <c r="I1007" s="24">
        <v>0.05</v>
      </c>
      <c r="J1007" s="24">
        <v>0</v>
      </c>
      <c r="K1007" s="224">
        <f t="shared" si="128"/>
        <v>0.27800000000000014</v>
      </c>
      <c r="L1007" s="225">
        <f t="shared" si="129"/>
        <v>45969.529085872578</v>
      </c>
      <c r="M1007" s="225">
        <f t="shared" si="130"/>
        <v>4596.9529085872582</v>
      </c>
      <c r="N1007" s="226">
        <f t="shared" si="133"/>
        <v>5470.3739612188374</v>
      </c>
      <c r="O1007" s="34">
        <v>0.3</v>
      </c>
      <c r="P1007" s="226">
        <f t="shared" si="132"/>
        <v>7111.4861495844889</v>
      </c>
      <c r="Q1007" s="107" t="s">
        <v>1486</v>
      </c>
      <c r="R1007" s="34">
        <v>0.3</v>
      </c>
      <c r="S1007" s="226">
        <f t="shared" si="134"/>
        <v>5642.3</v>
      </c>
      <c r="T1007" s="156" t="s">
        <v>1486</v>
      </c>
      <c r="U1007" s="2" t="s">
        <v>50</v>
      </c>
      <c r="V1007" s="2" t="s">
        <v>47</v>
      </c>
      <c r="W1007" s="2" t="s">
        <v>3965</v>
      </c>
      <c r="X1007" s="2"/>
      <c r="Y1007" s="488" t="s">
        <v>1486</v>
      </c>
      <c r="Z1007" s="293"/>
      <c r="AA1007" s="293"/>
    </row>
    <row r="1008" spans="1:27" s="320" customFormat="1" x14ac:dyDescent="0.25">
      <c r="A1008" s="220" t="s">
        <v>3856</v>
      </c>
      <c r="B1008" s="221" t="s">
        <v>3764</v>
      </c>
      <c r="C1008" s="223" t="s">
        <v>3934</v>
      </c>
      <c r="D1008" s="220" t="s">
        <v>1646</v>
      </c>
      <c r="E1008" s="222">
        <v>1</v>
      </c>
      <c r="F1008" s="192">
        <v>193033</v>
      </c>
      <c r="G1008" s="24">
        <v>0.2</v>
      </c>
      <c r="H1008" s="24">
        <v>0.05</v>
      </c>
      <c r="I1008" s="24">
        <v>0.05</v>
      </c>
      <c r="J1008" s="24">
        <v>0</v>
      </c>
      <c r="K1008" s="224">
        <f t="shared" si="128"/>
        <v>0.27800000000000014</v>
      </c>
      <c r="L1008" s="225">
        <f t="shared" si="129"/>
        <v>267358.72576177289</v>
      </c>
      <c r="M1008" s="225">
        <f t="shared" si="130"/>
        <v>267358.72576177289</v>
      </c>
      <c r="N1008" s="226">
        <f t="shared" si="133"/>
        <v>318156.88365650974</v>
      </c>
      <c r="O1008" s="34">
        <v>0.3</v>
      </c>
      <c r="P1008" s="226">
        <f t="shared" si="132"/>
        <v>413603.9487534627</v>
      </c>
      <c r="Q1008" s="107" t="s">
        <v>1486</v>
      </c>
      <c r="R1008" s="34">
        <v>0.3</v>
      </c>
      <c r="S1008" s="226">
        <f t="shared" si="134"/>
        <v>328156.09999999998</v>
      </c>
      <c r="T1008" s="156" t="s">
        <v>1486</v>
      </c>
      <c r="U1008" s="2" t="s">
        <v>50</v>
      </c>
      <c r="V1008" s="2" t="s">
        <v>47</v>
      </c>
      <c r="W1008" s="2" t="s">
        <v>3965</v>
      </c>
      <c r="X1008" s="2"/>
      <c r="Y1008" s="488" t="s">
        <v>1486</v>
      </c>
      <c r="Z1008" s="293"/>
      <c r="AA1008" s="293"/>
    </row>
    <row r="1009" spans="1:27" s="320" customFormat="1" x14ac:dyDescent="0.25">
      <c r="A1009" s="220" t="s">
        <v>3857</v>
      </c>
      <c r="B1009" s="221" t="s">
        <v>3765</v>
      </c>
      <c r="C1009" s="223" t="s">
        <v>3934</v>
      </c>
      <c r="D1009" s="220" t="s">
        <v>1646</v>
      </c>
      <c r="E1009" s="222">
        <v>1</v>
      </c>
      <c r="F1009" s="192">
        <v>198646</v>
      </c>
      <c r="G1009" s="24">
        <v>0.2</v>
      </c>
      <c r="H1009" s="24">
        <v>0.05</v>
      </c>
      <c r="I1009" s="24">
        <v>0.05</v>
      </c>
      <c r="J1009" s="24">
        <v>0</v>
      </c>
      <c r="K1009" s="224">
        <f t="shared" si="128"/>
        <v>0.27800000000000002</v>
      </c>
      <c r="L1009" s="225">
        <f t="shared" si="129"/>
        <v>275132.96398891968</v>
      </c>
      <c r="M1009" s="225">
        <f t="shared" si="130"/>
        <v>275132.96398891968</v>
      </c>
      <c r="N1009" s="226">
        <f t="shared" si="133"/>
        <v>327408.2271468144</v>
      </c>
      <c r="O1009" s="34">
        <v>0.3</v>
      </c>
      <c r="P1009" s="226">
        <f t="shared" si="132"/>
        <v>425630.69529085874</v>
      </c>
      <c r="Q1009" s="107" t="s">
        <v>1486</v>
      </c>
      <c r="R1009" s="34">
        <v>0.3</v>
      </c>
      <c r="S1009" s="226">
        <f t="shared" si="134"/>
        <v>337698.2</v>
      </c>
      <c r="T1009" s="156" t="s">
        <v>1486</v>
      </c>
      <c r="U1009" s="2" t="s">
        <v>50</v>
      </c>
      <c r="V1009" s="2" t="s">
        <v>47</v>
      </c>
      <c r="W1009" s="2" t="s">
        <v>3965</v>
      </c>
      <c r="X1009" s="2"/>
      <c r="Y1009" s="488" t="s">
        <v>1486</v>
      </c>
      <c r="Z1009" s="293"/>
      <c r="AA1009" s="293"/>
    </row>
    <row r="1010" spans="1:27" s="320" customFormat="1" x14ac:dyDescent="0.25">
      <c r="A1010" s="220" t="s">
        <v>3858</v>
      </c>
      <c r="B1010" s="221" t="s">
        <v>3766</v>
      </c>
      <c r="C1010" s="223" t="s">
        <v>3934</v>
      </c>
      <c r="D1010" s="220" t="s">
        <v>1646</v>
      </c>
      <c r="E1010" s="222">
        <v>10</v>
      </c>
      <c r="F1010" s="192">
        <v>19664</v>
      </c>
      <c r="G1010" s="24">
        <v>0.2</v>
      </c>
      <c r="H1010" s="24">
        <v>0.05</v>
      </c>
      <c r="I1010" s="24">
        <v>0.05</v>
      </c>
      <c r="J1010" s="24">
        <v>0</v>
      </c>
      <c r="K1010" s="224">
        <f t="shared" si="128"/>
        <v>0.27800000000000002</v>
      </c>
      <c r="L1010" s="225">
        <f t="shared" si="129"/>
        <v>272354.57063711912</v>
      </c>
      <c r="M1010" s="225">
        <f t="shared" si="130"/>
        <v>27235.457063711914</v>
      </c>
      <c r="N1010" s="226">
        <f t="shared" si="133"/>
        <v>32410.193905817177</v>
      </c>
      <c r="O1010" s="34">
        <v>0.3</v>
      </c>
      <c r="P1010" s="226">
        <f t="shared" si="132"/>
        <v>42133.252077562334</v>
      </c>
      <c r="Q1010" s="107" t="s">
        <v>1486</v>
      </c>
      <c r="R1010" s="34">
        <v>0.3</v>
      </c>
      <c r="S1010" s="226">
        <f t="shared" si="134"/>
        <v>33428.800000000003</v>
      </c>
      <c r="T1010" s="156" t="s">
        <v>1486</v>
      </c>
      <c r="U1010" s="2" t="s">
        <v>50</v>
      </c>
      <c r="V1010" s="2" t="s">
        <v>47</v>
      </c>
      <c r="W1010" s="2" t="s">
        <v>3965</v>
      </c>
      <c r="X1010" s="2"/>
      <c r="Y1010" s="488" t="s">
        <v>1486</v>
      </c>
      <c r="Z1010" s="293"/>
      <c r="AA1010" s="293"/>
    </row>
    <row r="1011" spans="1:27" s="320" customFormat="1" x14ac:dyDescent="0.25">
      <c r="A1011" s="220" t="s">
        <v>3859</v>
      </c>
      <c r="B1011" s="221" t="s">
        <v>3769</v>
      </c>
      <c r="C1011" s="223" t="s">
        <v>3934</v>
      </c>
      <c r="D1011" s="220" t="s">
        <v>1646</v>
      </c>
      <c r="E1011" s="222">
        <v>1</v>
      </c>
      <c r="F1011" s="192">
        <v>5080</v>
      </c>
      <c r="G1011" s="24">
        <v>0.2</v>
      </c>
      <c r="H1011" s="24">
        <v>0.05</v>
      </c>
      <c r="I1011" s="24">
        <v>0.05</v>
      </c>
      <c r="J1011" s="24">
        <v>0</v>
      </c>
      <c r="K1011" s="224">
        <f t="shared" si="128"/>
        <v>0.27800000000000002</v>
      </c>
      <c r="L1011" s="225">
        <f t="shared" si="129"/>
        <v>7036.0110803324105</v>
      </c>
      <c r="M1011" s="225">
        <f t="shared" si="130"/>
        <v>7036.0110803324105</v>
      </c>
      <c r="N1011" s="226">
        <f t="shared" si="133"/>
        <v>8372.853185595568</v>
      </c>
      <c r="O1011" s="34">
        <v>0.3</v>
      </c>
      <c r="P1011" s="226">
        <f t="shared" si="132"/>
        <v>10884.709141274239</v>
      </c>
      <c r="Q1011" s="107" t="s">
        <v>1486</v>
      </c>
      <c r="R1011" s="34">
        <v>0.3</v>
      </c>
      <c r="S1011" s="226">
        <f t="shared" si="134"/>
        <v>8636</v>
      </c>
      <c r="T1011" s="156" t="s">
        <v>1486</v>
      </c>
      <c r="U1011" s="2" t="s">
        <v>50</v>
      </c>
      <c r="V1011" s="2" t="s">
        <v>47</v>
      </c>
      <c r="W1011" s="2" t="s">
        <v>3965</v>
      </c>
      <c r="X1011" s="2"/>
      <c r="Y1011" s="488" t="s">
        <v>1486</v>
      </c>
      <c r="Z1011" s="293"/>
      <c r="AA1011" s="293"/>
    </row>
    <row r="1012" spans="1:27" s="320" customFormat="1" x14ac:dyDescent="0.25">
      <c r="A1012" s="220" t="s">
        <v>3860</v>
      </c>
      <c r="B1012" s="221" t="s">
        <v>3767</v>
      </c>
      <c r="C1012" s="223" t="s">
        <v>3934</v>
      </c>
      <c r="D1012" s="220" t="s">
        <v>1646</v>
      </c>
      <c r="E1012" s="222">
        <v>10</v>
      </c>
      <c r="F1012" s="192">
        <v>1200</v>
      </c>
      <c r="G1012" s="24">
        <v>0.2</v>
      </c>
      <c r="H1012" s="24">
        <v>0.05</v>
      </c>
      <c r="I1012" s="24">
        <v>0.05</v>
      </c>
      <c r="J1012" s="24">
        <v>0</v>
      </c>
      <c r="K1012" s="224">
        <f t="shared" si="128"/>
        <v>0.27800000000000014</v>
      </c>
      <c r="L1012" s="225">
        <f t="shared" si="129"/>
        <v>16620.498614958451</v>
      </c>
      <c r="M1012" s="225">
        <f t="shared" si="130"/>
        <v>1662.0498614958451</v>
      </c>
      <c r="N1012" s="226">
        <f t="shared" si="133"/>
        <v>1977.8393351800555</v>
      </c>
      <c r="O1012" s="34">
        <v>0.3</v>
      </c>
      <c r="P1012" s="226">
        <f t="shared" si="132"/>
        <v>2571.1911357340723</v>
      </c>
      <c r="Q1012" s="107" t="s">
        <v>1486</v>
      </c>
      <c r="R1012" s="34">
        <v>0.3</v>
      </c>
      <c r="S1012" s="226">
        <f t="shared" si="134"/>
        <v>2040</v>
      </c>
      <c r="T1012" s="156" t="s">
        <v>1486</v>
      </c>
      <c r="U1012" s="2" t="s">
        <v>50</v>
      </c>
      <c r="V1012" s="2" t="s">
        <v>47</v>
      </c>
      <c r="W1012" s="2" t="s">
        <v>3965</v>
      </c>
      <c r="X1012" s="2"/>
      <c r="Y1012" s="488" t="s">
        <v>1486</v>
      </c>
      <c r="Z1012" s="293"/>
      <c r="AA1012" s="293"/>
    </row>
    <row r="1013" spans="1:27" s="320" customFormat="1" x14ac:dyDescent="0.25">
      <c r="A1013" s="220" t="s">
        <v>3861</v>
      </c>
      <c r="B1013" s="221" t="s">
        <v>3768</v>
      </c>
      <c r="C1013" s="223" t="s">
        <v>3934</v>
      </c>
      <c r="D1013" s="220" t="s">
        <v>1646</v>
      </c>
      <c r="E1013" s="222">
        <v>10</v>
      </c>
      <c r="F1013" s="192">
        <v>2800</v>
      </c>
      <c r="G1013" s="24">
        <v>0.2</v>
      </c>
      <c r="H1013" s="24">
        <v>0.05</v>
      </c>
      <c r="I1013" s="24">
        <v>0.05</v>
      </c>
      <c r="J1013" s="24">
        <v>0</v>
      </c>
      <c r="K1013" s="224">
        <f t="shared" si="128"/>
        <v>0.27800000000000002</v>
      </c>
      <c r="L1013" s="225">
        <f t="shared" si="129"/>
        <v>38781.16343490305</v>
      </c>
      <c r="M1013" s="225">
        <f t="shared" si="130"/>
        <v>3878.1163434903051</v>
      </c>
      <c r="N1013" s="226">
        <f t="shared" si="133"/>
        <v>4614.958448753463</v>
      </c>
      <c r="O1013" s="34">
        <v>0.3</v>
      </c>
      <c r="P1013" s="226">
        <f t="shared" si="132"/>
        <v>5999.4459833795017</v>
      </c>
      <c r="Q1013" s="107" t="s">
        <v>1486</v>
      </c>
      <c r="R1013" s="34">
        <v>0.3</v>
      </c>
      <c r="S1013" s="226">
        <f t="shared" si="134"/>
        <v>4760</v>
      </c>
      <c r="T1013" s="156" t="s">
        <v>1486</v>
      </c>
      <c r="U1013" s="2" t="s">
        <v>50</v>
      </c>
      <c r="V1013" s="2" t="s">
        <v>47</v>
      </c>
      <c r="W1013" s="2" t="s">
        <v>3965</v>
      </c>
      <c r="X1013" s="2"/>
      <c r="Y1013" s="488" t="s">
        <v>1486</v>
      </c>
      <c r="Z1013" s="293"/>
      <c r="AA1013" s="293"/>
    </row>
    <row r="1014" spans="1:27" s="320" customFormat="1" x14ac:dyDescent="0.25">
      <c r="A1014" s="220" t="s">
        <v>3862</v>
      </c>
      <c r="B1014" s="221" t="s">
        <v>3770</v>
      </c>
      <c r="C1014" s="223" t="s">
        <v>3934</v>
      </c>
      <c r="D1014" s="220" t="s">
        <v>1646</v>
      </c>
      <c r="E1014" s="222">
        <v>20</v>
      </c>
      <c r="F1014" s="192">
        <v>1787</v>
      </c>
      <c r="G1014" s="24">
        <v>0.2</v>
      </c>
      <c r="H1014" s="24">
        <v>0.05</v>
      </c>
      <c r="I1014" s="24">
        <v>0.05</v>
      </c>
      <c r="J1014" s="24">
        <v>0</v>
      </c>
      <c r="K1014" s="224">
        <f t="shared" si="128"/>
        <v>0.27800000000000002</v>
      </c>
      <c r="L1014" s="225">
        <f t="shared" si="129"/>
        <v>49501.38504155125</v>
      </c>
      <c r="M1014" s="225">
        <f t="shared" si="130"/>
        <v>2475.0692520775624</v>
      </c>
      <c r="N1014" s="226">
        <f t="shared" si="133"/>
        <v>2945.332409972299</v>
      </c>
      <c r="O1014" s="34">
        <v>0.3</v>
      </c>
      <c r="P1014" s="226">
        <f t="shared" si="132"/>
        <v>3828.9321329639888</v>
      </c>
      <c r="Q1014" s="107" t="s">
        <v>1486</v>
      </c>
      <c r="R1014" s="34">
        <v>0.29115666672847018</v>
      </c>
      <c r="S1014" s="226">
        <f t="shared" si="134"/>
        <v>3000.0000002615675</v>
      </c>
      <c r="T1014" s="156" t="s">
        <v>1486</v>
      </c>
      <c r="U1014" s="2" t="s">
        <v>50</v>
      </c>
      <c r="V1014" s="2" t="s">
        <v>47</v>
      </c>
      <c r="W1014" s="2" t="s">
        <v>3965</v>
      </c>
      <c r="X1014" s="2"/>
      <c r="Y1014" s="488" t="s">
        <v>1486</v>
      </c>
      <c r="Z1014" s="293"/>
      <c r="AA1014" s="293"/>
    </row>
    <row r="1015" spans="1:27" s="320" customFormat="1" x14ac:dyDescent="0.25">
      <c r="A1015" s="220" t="s">
        <v>3863</v>
      </c>
      <c r="B1015" s="221" t="s">
        <v>3771</v>
      </c>
      <c r="C1015" s="223" t="s">
        <v>3934</v>
      </c>
      <c r="D1015" s="220" t="s">
        <v>1646</v>
      </c>
      <c r="E1015" s="222">
        <v>20</v>
      </c>
      <c r="F1015" s="192">
        <v>1787</v>
      </c>
      <c r="G1015" s="24">
        <v>0.2</v>
      </c>
      <c r="H1015" s="24">
        <v>0.05</v>
      </c>
      <c r="I1015" s="24">
        <v>0.05</v>
      </c>
      <c r="J1015" s="24">
        <v>0</v>
      </c>
      <c r="K1015" s="224">
        <f t="shared" si="128"/>
        <v>0.27800000000000002</v>
      </c>
      <c r="L1015" s="225">
        <f t="shared" si="129"/>
        <v>49501.38504155125</v>
      </c>
      <c r="M1015" s="225">
        <f t="shared" si="130"/>
        <v>2475.0692520775624</v>
      </c>
      <c r="N1015" s="226">
        <f t="shared" si="133"/>
        <v>2945.332409972299</v>
      </c>
      <c r="O1015" s="34">
        <v>0.3</v>
      </c>
      <c r="P1015" s="226">
        <f t="shared" si="132"/>
        <v>3828.9321329639888</v>
      </c>
      <c r="Q1015" s="107" t="s">
        <v>1486</v>
      </c>
      <c r="R1015" s="34">
        <v>0.29115666672847018</v>
      </c>
      <c r="S1015" s="226">
        <f t="shared" si="134"/>
        <v>3000.0000002615675</v>
      </c>
      <c r="T1015" s="156" t="s">
        <v>1486</v>
      </c>
      <c r="U1015" s="2" t="s">
        <v>50</v>
      </c>
      <c r="V1015" s="2" t="s">
        <v>47</v>
      </c>
      <c r="W1015" s="2" t="s">
        <v>3965</v>
      </c>
      <c r="X1015" s="2"/>
      <c r="Y1015" s="488" t="s">
        <v>1486</v>
      </c>
      <c r="Z1015" s="293"/>
      <c r="AA1015" s="293"/>
    </row>
    <row r="1016" spans="1:27" s="320" customFormat="1" x14ac:dyDescent="0.25">
      <c r="A1016" s="220" t="s">
        <v>3864</v>
      </c>
      <c r="B1016" s="221" t="s">
        <v>3772</v>
      </c>
      <c r="C1016" s="223" t="s">
        <v>3934</v>
      </c>
      <c r="D1016" s="220" t="s">
        <v>1646</v>
      </c>
      <c r="E1016" s="222">
        <v>30</v>
      </c>
      <c r="F1016" s="192">
        <v>1416</v>
      </c>
      <c r="G1016" s="24">
        <v>0.2</v>
      </c>
      <c r="H1016" s="24">
        <v>0.05</v>
      </c>
      <c r="I1016" s="24">
        <v>0.05</v>
      </c>
      <c r="J1016" s="24">
        <v>0</v>
      </c>
      <c r="K1016" s="224">
        <f t="shared" si="128"/>
        <v>0.27800000000000002</v>
      </c>
      <c r="L1016" s="225">
        <f t="shared" si="129"/>
        <v>58836.565096952909</v>
      </c>
      <c r="M1016" s="225">
        <f t="shared" si="130"/>
        <v>1961.218836565097</v>
      </c>
      <c r="N1016" s="226">
        <f t="shared" si="133"/>
        <v>2333.8504155124656</v>
      </c>
      <c r="O1016" s="34">
        <v>0.3</v>
      </c>
      <c r="P1016" s="226">
        <f t="shared" si="132"/>
        <v>3034.0055401662053</v>
      </c>
      <c r="Q1016" s="107" t="s">
        <v>1486</v>
      </c>
      <c r="R1016" s="34">
        <v>0.3</v>
      </c>
      <c r="S1016" s="226">
        <f t="shared" si="134"/>
        <v>2407.1999999999998</v>
      </c>
      <c r="T1016" s="156" t="s">
        <v>1486</v>
      </c>
      <c r="U1016" s="2" t="s">
        <v>50</v>
      </c>
      <c r="V1016" s="2" t="s">
        <v>47</v>
      </c>
      <c r="W1016" s="2" t="s">
        <v>3965</v>
      </c>
      <c r="X1016" s="2"/>
      <c r="Y1016" s="488" t="s">
        <v>1486</v>
      </c>
      <c r="Z1016" s="293"/>
      <c r="AA1016" s="293"/>
    </row>
    <row r="1017" spans="1:27" s="320" customFormat="1" x14ac:dyDescent="0.25">
      <c r="A1017" s="220" t="s">
        <v>3865</v>
      </c>
      <c r="B1017" s="221" t="s">
        <v>3773</v>
      </c>
      <c r="C1017" s="223" t="s">
        <v>3934</v>
      </c>
      <c r="D1017" s="220" t="s">
        <v>1646</v>
      </c>
      <c r="E1017" s="222">
        <v>1</v>
      </c>
      <c r="F1017" s="192">
        <v>9912</v>
      </c>
      <c r="G1017" s="24">
        <v>0.2</v>
      </c>
      <c r="H1017" s="24">
        <v>0.05</v>
      </c>
      <c r="I1017" s="24">
        <v>0.05</v>
      </c>
      <c r="J1017" s="24">
        <v>0</v>
      </c>
      <c r="K1017" s="224">
        <f t="shared" si="128"/>
        <v>0.27800000000000002</v>
      </c>
      <c r="L1017" s="225">
        <f t="shared" si="129"/>
        <v>13728.53185595568</v>
      </c>
      <c r="M1017" s="225">
        <f t="shared" si="130"/>
        <v>13728.53185595568</v>
      </c>
      <c r="N1017" s="226">
        <f t="shared" si="133"/>
        <v>16336.952908587258</v>
      </c>
      <c r="O1017" s="34">
        <v>0.3</v>
      </c>
      <c r="P1017" s="226">
        <f t="shared" si="132"/>
        <v>21238.038781163435</v>
      </c>
      <c r="Q1017" s="107" t="s">
        <v>1486</v>
      </c>
      <c r="R1017" s="34">
        <v>0.3</v>
      </c>
      <c r="S1017" s="226">
        <f t="shared" si="134"/>
        <v>16850.399999999998</v>
      </c>
      <c r="T1017" s="156" t="s">
        <v>1486</v>
      </c>
      <c r="U1017" s="2" t="s">
        <v>50</v>
      </c>
      <c r="V1017" s="2" t="s">
        <v>47</v>
      </c>
      <c r="W1017" s="2" t="s">
        <v>3965</v>
      </c>
      <c r="X1017" s="2"/>
      <c r="Y1017" s="488" t="s">
        <v>1486</v>
      </c>
      <c r="Z1017" s="293"/>
      <c r="AA1017" s="293"/>
    </row>
    <row r="1018" spans="1:27" s="320" customFormat="1" x14ac:dyDescent="0.25">
      <c r="A1018" s="220" t="s">
        <v>3866</v>
      </c>
      <c r="B1018" s="221" t="s">
        <v>3774</v>
      </c>
      <c r="C1018" s="223" t="s">
        <v>3934</v>
      </c>
      <c r="D1018" s="220" t="s">
        <v>1646</v>
      </c>
      <c r="E1018" s="222">
        <v>20</v>
      </c>
      <c r="F1018" s="192">
        <v>2731</v>
      </c>
      <c r="G1018" s="24">
        <v>0.2</v>
      </c>
      <c r="H1018" s="24">
        <v>0.05</v>
      </c>
      <c r="I1018" s="24">
        <v>0.05</v>
      </c>
      <c r="J1018" s="24">
        <v>0</v>
      </c>
      <c r="K1018" s="224">
        <f t="shared" si="128"/>
        <v>0.27800000000000002</v>
      </c>
      <c r="L1018" s="225">
        <f t="shared" si="129"/>
        <v>75650.96952908588</v>
      </c>
      <c r="M1018" s="225">
        <f t="shared" si="130"/>
        <v>3782.5484764542939</v>
      </c>
      <c r="N1018" s="226">
        <f t="shared" si="133"/>
        <v>4501.2326869806093</v>
      </c>
      <c r="O1018" s="34">
        <v>0.3</v>
      </c>
      <c r="P1018" s="226">
        <f t="shared" si="132"/>
        <v>5851.6024930747926</v>
      </c>
      <c r="Q1018" s="107" t="s">
        <v>1486</v>
      </c>
      <c r="R1018" s="34">
        <v>0.3</v>
      </c>
      <c r="S1018" s="226">
        <f t="shared" si="134"/>
        <v>4642.7</v>
      </c>
      <c r="T1018" s="156" t="s">
        <v>1486</v>
      </c>
      <c r="U1018" s="2" t="s">
        <v>50</v>
      </c>
      <c r="V1018" s="2" t="s">
        <v>47</v>
      </c>
      <c r="W1018" s="2" t="s">
        <v>3965</v>
      </c>
      <c r="X1018" s="2"/>
      <c r="Y1018" s="488" t="s">
        <v>1486</v>
      </c>
      <c r="Z1018" s="293"/>
      <c r="AA1018" s="293"/>
    </row>
    <row r="1019" spans="1:27" s="320" customFormat="1" x14ac:dyDescent="0.25">
      <c r="A1019" s="220" t="s">
        <v>3867</v>
      </c>
      <c r="B1019" s="221" t="s">
        <v>3775</v>
      </c>
      <c r="C1019" s="223" t="s">
        <v>3934</v>
      </c>
      <c r="D1019" s="220" t="s">
        <v>1646</v>
      </c>
      <c r="E1019" s="222">
        <v>20</v>
      </c>
      <c r="F1019" s="192">
        <v>1787</v>
      </c>
      <c r="G1019" s="24">
        <v>0.2</v>
      </c>
      <c r="H1019" s="24">
        <v>0.05</v>
      </c>
      <c r="I1019" s="24">
        <v>0.05</v>
      </c>
      <c r="J1019" s="24">
        <v>0</v>
      </c>
      <c r="K1019" s="224">
        <f t="shared" si="128"/>
        <v>0.27800000000000002</v>
      </c>
      <c r="L1019" s="225">
        <f t="shared" si="129"/>
        <v>49501.38504155125</v>
      </c>
      <c r="M1019" s="225">
        <f t="shared" si="130"/>
        <v>2475.0692520775624</v>
      </c>
      <c r="N1019" s="226">
        <f t="shared" si="133"/>
        <v>2945.332409972299</v>
      </c>
      <c r="O1019" s="34">
        <v>0.3</v>
      </c>
      <c r="P1019" s="226">
        <f t="shared" si="132"/>
        <v>3828.9321329639888</v>
      </c>
      <c r="Q1019" s="107" t="s">
        <v>1486</v>
      </c>
      <c r="R1019" s="34">
        <v>0.3</v>
      </c>
      <c r="S1019" s="226">
        <f t="shared" si="134"/>
        <v>3037.9</v>
      </c>
      <c r="T1019" s="156" t="s">
        <v>1486</v>
      </c>
      <c r="U1019" s="2" t="s">
        <v>50</v>
      </c>
      <c r="V1019" s="2" t="s">
        <v>47</v>
      </c>
      <c r="W1019" s="2" t="s">
        <v>3965</v>
      </c>
      <c r="X1019" s="2"/>
      <c r="Y1019" s="488" t="s">
        <v>1486</v>
      </c>
      <c r="Z1019" s="293"/>
      <c r="AA1019" s="293"/>
    </row>
    <row r="1020" spans="1:27" s="320" customFormat="1" x14ac:dyDescent="0.25">
      <c r="A1020" s="220" t="s">
        <v>3868</v>
      </c>
      <c r="B1020" s="221" t="s">
        <v>3776</v>
      </c>
      <c r="C1020" s="223" t="s">
        <v>3934</v>
      </c>
      <c r="D1020" s="220" t="s">
        <v>1646</v>
      </c>
      <c r="E1020" s="222">
        <v>30</v>
      </c>
      <c r="F1020" s="192">
        <v>1888</v>
      </c>
      <c r="G1020" s="24">
        <v>0.2</v>
      </c>
      <c r="H1020" s="24">
        <v>0.05</v>
      </c>
      <c r="I1020" s="24">
        <v>0.05</v>
      </c>
      <c r="J1020" s="24">
        <v>0</v>
      </c>
      <c r="K1020" s="224">
        <f t="shared" si="128"/>
        <v>0.27800000000000014</v>
      </c>
      <c r="L1020" s="225">
        <f t="shared" si="129"/>
        <v>78448.753462603898</v>
      </c>
      <c r="M1020" s="225">
        <f t="shared" si="130"/>
        <v>2614.958448753463</v>
      </c>
      <c r="N1020" s="226">
        <f t="shared" si="133"/>
        <v>3111.8005540166209</v>
      </c>
      <c r="O1020" s="34">
        <v>0.3</v>
      </c>
      <c r="P1020" s="226">
        <f t="shared" si="132"/>
        <v>4045.3407202216072</v>
      </c>
      <c r="Q1020" s="107" t="s">
        <v>1486</v>
      </c>
      <c r="R1020" s="34">
        <v>0.3</v>
      </c>
      <c r="S1020" s="226">
        <f t="shared" si="134"/>
        <v>3209.6</v>
      </c>
      <c r="T1020" s="156" t="s">
        <v>1486</v>
      </c>
      <c r="U1020" s="2" t="s">
        <v>50</v>
      </c>
      <c r="V1020" s="2" t="s">
        <v>47</v>
      </c>
      <c r="W1020" s="2" t="s">
        <v>3965</v>
      </c>
      <c r="X1020" s="2"/>
      <c r="Y1020" s="488" t="s">
        <v>1486</v>
      </c>
      <c r="Z1020" s="293"/>
      <c r="AA1020" s="293"/>
    </row>
    <row r="1021" spans="1:27" s="320" customFormat="1" x14ac:dyDescent="0.25">
      <c r="A1021" s="220" t="s">
        <v>3869</v>
      </c>
      <c r="B1021" s="221" t="s">
        <v>3777</v>
      </c>
      <c r="C1021" s="223" t="s">
        <v>3934</v>
      </c>
      <c r="D1021" s="220" t="s">
        <v>1646</v>
      </c>
      <c r="E1021" s="222">
        <v>1</v>
      </c>
      <c r="F1021" s="192">
        <v>16716</v>
      </c>
      <c r="G1021" s="24">
        <v>0.2</v>
      </c>
      <c r="H1021" s="24">
        <v>0.05</v>
      </c>
      <c r="I1021" s="24">
        <v>0.05</v>
      </c>
      <c r="J1021" s="24">
        <v>0</v>
      </c>
      <c r="K1021" s="224">
        <f t="shared" si="128"/>
        <v>0.27800000000000002</v>
      </c>
      <c r="L1021" s="225">
        <f t="shared" si="129"/>
        <v>23152.354570637119</v>
      </c>
      <c r="M1021" s="225">
        <f t="shared" si="130"/>
        <v>23152.354570637119</v>
      </c>
      <c r="N1021" s="226">
        <f t="shared" si="133"/>
        <v>27551.301939058169</v>
      </c>
      <c r="O1021" s="34">
        <v>0.3</v>
      </c>
      <c r="P1021" s="226">
        <f t="shared" si="132"/>
        <v>35816.692520775621</v>
      </c>
      <c r="Q1021" s="107" t="s">
        <v>1486</v>
      </c>
      <c r="R1021" s="34">
        <v>0.3</v>
      </c>
      <c r="S1021" s="226">
        <f t="shared" si="134"/>
        <v>28417.199999999997</v>
      </c>
      <c r="T1021" s="156" t="s">
        <v>1486</v>
      </c>
      <c r="U1021" s="2" t="s">
        <v>50</v>
      </c>
      <c r="V1021" s="2" t="s">
        <v>47</v>
      </c>
      <c r="W1021" s="2" t="s">
        <v>3965</v>
      </c>
      <c r="X1021" s="2"/>
      <c r="Y1021" s="488" t="s">
        <v>1486</v>
      </c>
      <c r="Z1021" s="293"/>
      <c r="AA1021" s="293"/>
    </row>
    <row r="1022" spans="1:27" s="320" customFormat="1" x14ac:dyDescent="0.25">
      <c r="A1022" s="220" t="s">
        <v>3870</v>
      </c>
      <c r="B1022" s="221" t="s">
        <v>3778</v>
      </c>
      <c r="C1022" s="223" t="s">
        <v>3934</v>
      </c>
      <c r="D1022" s="220" t="s">
        <v>1646</v>
      </c>
      <c r="E1022" s="222">
        <v>30</v>
      </c>
      <c r="F1022" s="192">
        <v>632</v>
      </c>
      <c r="G1022" s="24">
        <v>0.2</v>
      </c>
      <c r="H1022" s="24">
        <v>0.05</v>
      </c>
      <c r="I1022" s="24">
        <v>0.05</v>
      </c>
      <c r="J1022" s="24">
        <v>0</v>
      </c>
      <c r="K1022" s="224">
        <f t="shared" si="128"/>
        <v>0.27800000000000002</v>
      </c>
      <c r="L1022" s="225">
        <f t="shared" si="129"/>
        <v>26260.387811634348</v>
      </c>
      <c r="M1022" s="225">
        <f t="shared" si="130"/>
        <v>875.34626038781164</v>
      </c>
      <c r="N1022" s="226">
        <f t="shared" si="133"/>
        <v>1041.6620498614959</v>
      </c>
      <c r="O1022" s="34">
        <v>0.3</v>
      </c>
      <c r="P1022" s="226">
        <f t="shared" si="132"/>
        <v>1354.1606648199447</v>
      </c>
      <c r="Q1022" s="107" t="s">
        <v>1486</v>
      </c>
      <c r="R1022" s="34">
        <v>0.3</v>
      </c>
      <c r="S1022" s="226">
        <f t="shared" si="134"/>
        <v>1074.4000000000001</v>
      </c>
      <c r="T1022" s="156" t="s">
        <v>1486</v>
      </c>
      <c r="U1022" s="2" t="s">
        <v>50</v>
      </c>
      <c r="V1022" s="2" t="s">
        <v>47</v>
      </c>
      <c r="W1022" s="2" t="s">
        <v>3965</v>
      </c>
      <c r="X1022" s="2"/>
      <c r="Y1022" s="488" t="s">
        <v>1486</v>
      </c>
      <c r="Z1022" s="293"/>
      <c r="AA1022" s="293"/>
    </row>
    <row r="1023" spans="1:27" s="320" customFormat="1" x14ac:dyDescent="0.25">
      <c r="A1023" s="220" t="s">
        <v>3871</v>
      </c>
      <c r="B1023" s="221" t="s">
        <v>3779</v>
      </c>
      <c r="C1023" s="223" t="s">
        <v>3934</v>
      </c>
      <c r="D1023" s="220" t="s">
        <v>1646</v>
      </c>
      <c r="E1023" s="222">
        <v>30</v>
      </c>
      <c r="F1023" s="192"/>
      <c r="G1023" s="24">
        <v>0.2</v>
      </c>
      <c r="H1023" s="24">
        <v>0.05</v>
      </c>
      <c r="I1023" s="24">
        <v>0.05</v>
      </c>
      <c r="J1023" s="24">
        <v>0</v>
      </c>
      <c r="K1023" s="224">
        <f t="shared" si="128"/>
        <v>0</v>
      </c>
      <c r="L1023" s="225">
        <f t="shared" si="129"/>
        <v>0</v>
      </c>
      <c r="M1023" s="225">
        <f t="shared" si="130"/>
        <v>0</v>
      </c>
      <c r="N1023" s="226">
        <f t="shared" si="133"/>
        <v>0</v>
      </c>
      <c r="O1023" s="34">
        <v>0.3</v>
      </c>
      <c r="P1023" s="226">
        <f t="shared" si="132"/>
        <v>0</v>
      </c>
      <c r="Q1023" s="107" t="s">
        <v>1486</v>
      </c>
      <c r="R1023" s="34">
        <v>0.3</v>
      </c>
      <c r="S1023" s="226">
        <f t="shared" si="134"/>
        <v>0</v>
      </c>
      <c r="T1023" s="156" t="s">
        <v>1486</v>
      </c>
      <c r="U1023" s="2" t="s">
        <v>50</v>
      </c>
      <c r="V1023" s="2" t="s">
        <v>47</v>
      </c>
      <c r="W1023" s="2" t="s">
        <v>3965</v>
      </c>
      <c r="X1023" s="2"/>
      <c r="Y1023" s="488" t="s">
        <v>1486</v>
      </c>
      <c r="Z1023" s="293"/>
      <c r="AA1023" s="293"/>
    </row>
    <row r="1024" spans="1:27" s="320" customFormat="1" x14ac:dyDescent="0.25">
      <c r="A1024" s="220" t="s">
        <v>3872</v>
      </c>
      <c r="B1024" s="221" t="s">
        <v>3788</v>
      </c>
      <c r="C1024" s="223" t="s">
        <v>3934</v>
      </c>
      <c r="D1024" s="220" t="s">
        <v>1646</v>
      </c>
      <c r="E1024" s="222">
        <v>1</v>
      </c>
      <c r="F1024" s="192"/>
      <c r="G1024" s="24">
        <v>0.2</v>
      </c>
      <c r="H1024" s="24">
        <v>0.05</v>
      </c>
      <c r="I1024" s="24">
        <v>0.05</v>
      </c>
      <c r="J1024" s="24">
        <v>0</v>
      </c>
      <c r="K1024" s="224">
        <f t="shared" si="128"/>
        <v>0</v>
      </c>
      <c r="L1024" s="225">
        <f t="shared" si="129"/>
        <v>0</v>
      </c>
      <c r="M1024" s="225">
        <f t="shared" si="130"/>
        <v>0</v>
      </c>
      <c r="N1024" s="226">
        <f t="shared" si="133"/>
        <v>0</v>
      </c>
      <c r="O1024" s="34">
        <v>0.3</v>
      </c>
      <c r="P1024" s="226">
        <f t="shared" si="132"/>
        <v>0</v>
      </c>
      <c r="Q1024" s="107" t="s">
        <v>1486</v>
      </c>
      <c r="R1024" s="34">
        <v>0.3</v>
      </c>
      <c r="S1024" s="226">
        <f t="shared" si="134"/>
        <v>0</v>
      </c>
      <c r="T1024" s="156" t="s">
        <v>1486</v>
      </c>
      <c r="U1024" s="2" t="s">
        <v>50</v>
      </c>
      <c r="V1024" s="2" t="s">
        <v>47</v>
      </c>
      <c r="W1024" s="2" t="s">
        <v>3965</v>
      </c>
      <c r="X1024" s="2"/>
      <c r="Y1024" s="488" t="s">
        <v>1486</v>
      </c>
      <c r="Z1024" s="293"/>
      <c r="AA1024" s="293"/>
    </row>
    <row r="1025" spans="1:27" s="320" customFormat="1" x14ac:dyDescent="0.25">
      <c r="A1025" s="220" t="s">
        <v>3873</v>
      </c>
      <c r="B1025" s="221" t="s">
        <v>3780</v>
      </c>
      <c r="C1025" s="223" t="s">
        <v>3934</v>
      </c>
      <c r="D1025" s="220" t="s">
        <v>1646</v>
      </c>
      <c r="E1025" s="222">
        <v>30</v>
      </c>
      <c r="F1025" s="192">
        <v>1416</v>
      </c>
      <c r="G1025" s="24">
        <v>0.2</v>
      </c>
      <c r="H1025" s="24">
        <v>0.05</v>
      </c>
      <c r="I1025" s="24">
        <v>0.05</v>
      </c>
      <c r="J1025" s="24">
        <v>0</v>
      </c>
      <c r="K1025" s="224">
        <f t="shared" si="128"/>
        <v>0.27800000000000002</v>
      </c>
      <c r="L1025" s="225">
        <f t="shared" si="129"/>
        <v>58836.565096952909</v>
      </c>
      <c r="M1025" s="225">
        <f t="shared" si="130"/>
        <v>1961.218836565097</v>
      </c>
      <c r="N1025" s="226">
        <f t="shared" si="133"/>
        <v>2333.8504155124656</v>
      </c>
      <c r="O1025" s="34">
        <v>0.3</v>
      </c>
      <c r="P1025" s="226">
        <f t="shared" si="132"/>
        <v>3034.0055401662053</v>
      </c>
      <c r="Q1025" s="107" t="s">
        <v>1486</v>
      </c>
      <c r="R1025" s="34">
        <v>0.3</v>
      </c>
      <c r="S1025" s="226">
        <f t="shared" si="134"/>
        <v>2407.1999999999998</v>
      </c>
      <c r="T1025" s="156" t="s">
        <v>1486</v>
      </c>
      <c r="U1025" s="2" t="s">
        <v>50</v>
      </c>
      <c r="V1025" s="2" t="s">
        <v>47</v>
      </c>
      <c r="W1025" s="2" t="s">
        <v>3965</v>
      </c>
      <c r="X1025" s="2"/>
      <c r="Y1025" s="488" t="s">
        <v>1486</v>
      </c>
      <c r="Z1025" s="293"/>
      <c r="AA1025" s="293"/>
    </row>
    <row r="1026" spans="1:27" s="320" customFormat="1" x14ac:dyDescent="0.25">
      <c r="A1026" s="220" t="s">
        <v>3874</v>
      </c>
      <c r="B1026" s="221" t="s">
        <v>3787</v>
      </c>
      <c r="C1026" s="223" t="s">
        <v>3934</v>
      </c>
      <c r="D1026" s="220" t="s">
        <v>1646</v>
      </c>
      <c r="E1026" s="222">
        <v>1</v>
      </c>
      <c r="F1026" s="192">
        <v>9912</v>
      </c>
      <c r="G1026" s="24">
        <v>0.2</v>
      </c>
      <c r="H1026" s="24">
        <v>0.05</v>
      </c>
      <c r="I1026" s="24">
        <v>0.05</v>
      </c>
      <c r="J1026" s="24">
        <v>0</v>
      </c>
      <c r="K1026" s="224">
        <f t="shared" si="128"/>
        <v>0.27800000000000002</v>
      </c>
      <c r="L1026" s="225">
        <f t="shared" si="129"/>
        <v>13728.53185595568</v>
      </c>
      <c r="M1026" s="225">
        <f t="shared" si="130"/>
        <v>13728.53185595568</v>
      </c>
      <c r="N1026" s="226">
        <f t="shared" si="133"/>
        <v>16336.952908587258</v>
      </c>
      <c r="O1026" s="34">
        <v>0.3</v>
      </c>
      <c r="P1026" s="226">
        <f t="shared" si="132"/>
        <v>21238.038781163435</v>
      </c>
      <c r="Q1026" s="107" t="s">
        <v>1486</v>
      </c>
      <c r="R1026" s="34">
        <v>0.3</v>
      </c>
      <c r="S1026" s="226">
        <f t="shared" si="134"/>
        <v>16850.399999999998</v>
      </c>
      <c r="T1026" s="156" t="s">
        <v>1486</v>
      </c>
      <c r="U1026" s="2" t="s">
        <v>50</v>
      </c>
      <c r="V1026" s="2" t="s">
        <v>47</v>
      </c>
      <c r="W1026" s="2" t="s">
        <v>3965</v>
      </c>
      <c r="X1026" s="2"/>
      <c r="Y1026" s="488" t="s">
        <v>1486</v>
      </c>
      <c r="Z1026" s="293"/>
      <c r="AA1026" s="293"/>
    </row>
    <row r="1027" spans="1:27" s="320" customFormat="1" x14ac:dyDescent="0.25">
      <c r="A1027" s="220" t="s">
        <v>3875</v>
      </c>
      <c r="B1027" s="221" t="s">
        <v>3781</v>
      </c>
      <c r="C1027" s="223" t="s">
        <v>3934</v>
      </c>
      <c r="D1027" s="220" t="s">
        <v>1646</v>
      </c>
      <c r="E1027" s="222">
        <v>30</v>
      </c>
      <c r="F1027" s="192">
        <v>2580</v>
      </c>
      <c r="G1027" s="24">
        <v>0.2</v>
      </c>
      <c r="H1027" s="24">
        <v>0.05</v>
      </c>
      <c r="I1027" s="24">
        <v>0.05</v>
      </c>
      <c r="J1027" s="24">
        <v>0</v>
      </c>
      <c r="K1027" s="224">
        <f t="shared" ref="K1027:K1090" si="135">IF(F1027=0,0,1-(F1027/M1027))</f>
        <v>0.27800000000000002</v>
      </c>
      <c r="L1027" s="225">
        <f t="shared" ref="L1027:L1090" si="136">+M1027*E1027</f>
        <v>107202.216066482</v>
      </c>
      <c r="M1027" s="225">
        <f t="shared" ref="M1027:M1090" si="137">+F1027/(1-G1027)/(1-H1027)/(1-I1027)/(1-J1027)</f>
        <v>3573.4072022160667</v>
      </c>
      <c r="N1027" s="226">
        <f t="shared" si="133"/>
        <v>4252.3545706371187</v>
      </c>
      <c r="O1027" s="34">
        <v>0.3</v>
      </c>
      <c r="P1027" s="226">
        <f t="shared" ref="P1027:P1090" si="138">+N1027*(1+O1027)</f>
        <v>5528.0609418282547</v>
      </c>
      <c r="Q1027" s="107" t="s">
        <v>1486</v>
      </c>
      <c r="R1027" s="34">
        <v>0.3</v>
      </c>
      <c r="S1027" s="226">
        <f t="shared" si="134"/>
        <v>4386</v>
      </c>
      <c r="T1027" s="156" t="s">
        <v>1486</v>
      </c>
      <c r="U1027" s="2" t="s">
        <v>50</v>
      </c>
      <c r="V1027" s="2" t="s">
        <v>47</v>
      </c>
      <c r="W1027" s="2" t="s">
        <v>3965</v>
      </c>
      <c r="X1027" s="2"/>
      <c r="Y1027" s="488" t="s">
        <v>1486</v>
      </c>
      <c r="Z1027" s="293"/>
      <c r="AA1027" s="293"/>
    </row>
    <row r="1028" spans="1:27" s="320" customFormat="1" x14ac:dyDescent="0.25">
      <c r="A1028" s="220" t="s">
        <v>3876</v>
      </c>
      <c r="B1028" s="221" t="s">
        <v>5568</v>
      </c>
      <c r="C1028" s="223" t="s">
        <v>3934</v>
      </c>
      <c r="D1028" s="220" t="s">
        <v>1646</v>
      </c>
      <c r="E1028" s="222">
        <v>1</v>
      </c>
      <c r="F1028" s="192">
        <v>3476</v>
      </c>
      <c r="G1028" s="24">
        <v>0.2</v>
      </c>
      <c r="H1028" s="24">
        <v>0.05</v>
      </c>
      <c r="I1028" s="24">
        <v>0.05</v>
      </c>
      <c r="J1028" s="24">
        <v>0</v>
      </c>
      <c r="K1028" s="224">
        <f t="shared" si="135"/>
        <v>0.27800000000000002</v>
      </c>
      <c r="L1028" s="225">
        <f t="shared" si="136"/>
        <v>4814.4044321329638</v>
      </c>
      <c r="M1028" s="225">
        <f t="shared" si="137"/>
        <v>4814.4044321329638</v>
      </c>
      <c r="N1028" s="226">
        <f t="shared" si="133"/>
        <v>5729.1412742382263</v>
      </c>
      <c r="O1028" s="34">
        <v>0.3</v>
      </c>
      <c r="P1028" s="226">
        <f t="shared" si="138"/>
        <v>7447.8836565096944</v>
      </c>
      <c r="Q1028" s="107" t="s">
        <v>1486</v>
      </c>
      <c r="R1028" s="34">
        <v>0.3</v>
      </c>
      <c r="S1028" s="226">
        <f t="shared" si="134"/>
        <v>5909.2000000000007</v>
      </c>
      <c r="T1028" s="156" t="s">
        <v>1486</v>
      </c>
      <c r="U1028" s="2" t="s">
        <v>50</v>
      </c>
      <c r="V1028" s="2" t="s">
        <v>47</v>
      </c>
      <c r="W1028" s="2" t="s">
        <v>3965</v>
      </c>
      <c r="X1028" s="2"/>
      <c r="Y1028" s="488" t="s">
        <v>1486</v>
      </c>
      <c r="Z1028" s="293"/>
      <c r="AA1028" s="293"/>
    </row>
    <row r="1029" spans="1:27" s="320" customFormat="1" x14ac:dyDescent="0.25">
      <c r="A1029" s="220" t="s">
        <v>3877</v>
      </c>
      <c r="B1029" s="221" t="s">
        <v>3782</v>
      </c>
      <c r="C1029" s="223" t="s">
        <v>3934</v>
      </c>
      <c r="D1029" s="220" t="s">
        <v>1646</v>
      </c>
      <c r="E1029" s="222">
        <v>26</v>
      </c>
      <c r="F1029" s="192">
        <v>648</v>
      </c>
      <c r="G1029" s="24">
        <v>0.2</v>
      </c>
      <c r="H1029" s="24">
        <v>0.05</v>
      </c>
      <c r="I1029" s="24">
        <v>0.05</v>
      </c>
      <c r="J1029" s="24">
        <v>0</v>
      </c>
      <c r="K1029" s="224">
        <f t="shared" si="135"/>
        <v>0.27800000000000002</v>
      </c>
      <c r="L1029" s="225">
        <f t="shared" si="136"/>
        <v>23335.180055401663</v>
      </c>
      <c r="M1029" s="225">
        <f t="shared" si="137"/>
        <v>897.50692520775624</v>
      </c>
      <c r="N1029" s="226">
        <f t="shared" si="133"/>
        <v>1068.0332409972298</v>
      </c>
      <c r="O1029" s="34">
        <v>0.3</v>
      </c>
      <c r="P1029" s="226">
        <f t="shared" si="138"/>
        <v>1388.4432132963987</v>
      </c>
      <c r="Q1029" s="107" t="s">
        <v>1486</v>
      </c>
      <c r="R1029" s="34">
        <v>0.3</v>
      </c>
      <c r="S1029" s="226">
        <f t="shared" si="134"/>
        <v>1101.6000000000001</v>
      </c>
      <c r="T1029" s="156" t="s">
        <v>1486</v>
      </c>
      <c r="U1029" s="2" t="s">
        <v>50</v>
      </c>
      <c r="V1029" s="2" t="s">
        <v>47</v>
      </c>
      <c r="W1029" s="2" t="s">
        <v>3965</v>
      </c>
      <c r="X1029" s="2"/>
      <c r="Y1029" s="488" t="s">
        <v>1486</v>
      </c>
      <c r="Z1029" s="293"/>
      <c r="AA1029" s="293"/>
    </row>
    <row r="1030" spans="1:27" s="320" customFormat="1" x14ac:dyDescent="0.25">
      <c r="A1030" s="220" t="s">
        <v>3878</v>
      </c>
      <c r="B1030" s="221" t="s">
        <v>3785</v>
      </c>
      <c r="C1030" s="223" t="s">
        <v>3934</v>
      </c>
      <c r="D1030" s="220" t="s">
        <v>1646</v>
      </c>
      <c r="E1030" s="222">
        <v>26</v>
      </c>
      <c r="F1030" s="192">
        <v>752</v>
      </c>
      <c r="G1030" s="24">
        <v>0.2</v>
      </c>
      <c r="H1030" s="24">
        <v>0.05</v>
      </c>
      <c r="I1030" s="24">
        <v>0.05</v>
      </c>
      <c r="J1030" s="24">
        <v>0</v>
      </c>
      <c r="K1030" s="224">
        <f t="shared" si="135"/>
        <v>0.27800000000000014</v>
      </c>
      <c r="L1030" s="225">
        <f t="shared" si="136"/>
        <v>27080.332409972303</v>
      </c>
      <c r="M1030" s="225">
        <f t="shared" si="137"/>
        <v>1041.5512465373963</v>
      </c>
      <c r="N1030" s="226">
        <f t="shared" si="133"/>
        <v>1239.4459833795015</v>
      </c>
      <c r="O1030" s="34">
        <v>0.3</v>
      </c>
      <c r="P1030" s="226">
        <f t="shared" si="138"/>
        <v>1611.279778393352</v>
      </c>
      <c r="Q1030" s="107" t="s">
        <v>1486</v>
      </c>
      <c r="R1030" s="34">
        <v>0.3</v>
      </c>
      <c r="S1030" s="226">
        <f t="shared" si="134"/>
        <v>1278.4000000000001</v>
      </c>
      <c r="T1030" s="156" t="s">
        <v>1486</v>
      </c>
      <c r="U1030" s="2" t="s">
        <v>50</v>
      </c>
      <c r="V1030" s="2" t="s">
        <v>47</v>
      </c>
      <c r="W1030" s="2" t="s">
        <v>3965</v>
      </c>
      <c r="X1030" s="2"/>
      <c r="Y1030" s="488" t="s">
        <v>1486</v>
      </c>
      <c r="Z1030" s="293"/>
      <c r="AA1030" s="293"/>
    </row>
    <row r="1031" spans="1:27" s="320" customFormat="1" x14ac:dyDescent="0.25">
      <c r="A1031" s="220" t="s">
        <v>3879</v>
      </c>
      <c r="B1031" s="221" t="s">
        <v>3783</v>
      </c>
      <c r="C1031" s="223" t="s">
        <v>3934</v>
      </c>
      <c r="D1031" s="220" t="s">
        <v>1646</v>
      </c>
      <c r="E1031" s="222">
        <v>26</v>
      </c>
      <c r="F1031" s="192">
        <v>692</v>
      </c>
      <c r="G1031" s="24">
        <v>0.2</v>
      </c>
      <c r="H1031" s="24">
        <v>0.05</v>
      </c>
      <c r="I1031" s="24">
        <v>0.05</v>
      </c>
      <c r="J1031" s="24">
        <v>0</v>
      </c>
      <c r="K1031" s="224">
        <f t="shared" si="135"/>
        <v>0.27800000000000014</v>
      </c>
      <c r="L1031" s="225">
        <f t="shared" si="136"/>
        <v>24919.667590027704</v>
      </c>
      <c r="M1031" s="225">
        <f t="shared" si="137"/>
        <v>958.44875346260403</v>
      </c>
      <c r="N1031" s="226">
        <f t="shared" si="133"/>
        <v>1140.5540166204987</v>
      </c>
      <c r="O1031" s="34">
        <v>0.3</v>
      </c>
      <c r="P1031" s="226">
        <f t="shared" si="138"/>
        <v>1482.7202216066485</v>
      </c>
      <c r="Q1031" s="107" t="s">
        <v>1486</v>
      </c>
      <c r="R1031" s="34">
        <v>0.3</v>
      </c>
      <c r="S1031" s="226">
        <f t="shared" si="134"/>
        <v>1176.4000000000001</v>
      </c>
      <c r="T1031" s="156" t="s">
        <v>1486</v>
      </c>
      <c r="U1031" s="2" t="s">
        <v>50</v>
      </c>
      <c r="V1031" s="2" t="s">
        <v>47</v>
      </c>
      <c r="W1031" s="2" t="s">
        <v>3965</v>
      </c>
      <c r="X1031" s="2"/>
      <c r="Y1031" s="488" t="s">
        <v>1486</v>
      </c>
      <c r="Z1031" s="293"/>
      <c r="AA1031" s="293"/>
    </row>
    <row r="1032" spans="1:27" s="320" customFormat="1" x14ac:dyDescent="0.25">
      <c r="A1032" s="220" t="s">
        <v>3880</v>
      </c>
      <c r="B1032" s="221" t="s">
        <v>3784</v>
      </c>
      <c r="C1032" s="223" t="s">
        <v>3934</v>
      </c>
      <c r="D1032" s="220" t="s">
        <v>1646</v>
      </c>
      <c r="E1032" s="222">
        <v>26</v>
      </c>
      <c r="F1032" s="192">
        <v>620</v>
      </c>
      <c r="G1032" s="24">
        <v>0.2</v>
      </c>
      <c r="H1032" s="24">
        <v>0.05</v>
      </c>
      <c r="I1032" s="24">
        <v>0.05</v>
      </c>
      <c r="J1032" s="24">
        <v>0</v>
      </c>
      <c r="K1032" s="224">
        <f t="shared" si="135"/>
        <v>0.27800000000000002</v>
      </c>
      <c r="L1032" s="225">
        <f t="shared" si="136"/>
        <v>22326.869806094186</v>
      </c>
      <c r="M1032" s="225">
        <f t="shared" si="137"/>
        <v>858.72576177285328</v>
      </c>
      <c r="N1032" s="226">
        <f t="shared" si="133"/>
        <v>1021.8836565096954</v>
      </c>
      <c r="O1032" s="34">
        <v>0.3</v>
      </c>
      <c r="P1032" s="226">
        <f t="shared" si="138"/>
        <v>1328.4487534626039</v>
      </c>
      <c r="Q1032" s="107" t="s">
        <v>1486</v>
      </c>
      <c r="R1032" s="34">
        <v>0.3</v>
      </c>
      <c r="S1032" s="226">
        <f t="shared" si="134"/>
        <v>1054</v>
      </c>
      <c r="T1032" s="156" t="s">
        <v>1486</v>
      </c>
      <c r="U1032" s="2" t="s">
        <v>50</v>
      </c>
      <c r="V1032" s="2" t="s">
        <v>47</v>
      </c>
      <c r="W1032" s="2" t="s">
        <v>3965</v>
      </c>
      <c r="X1032" s="2"/>
      <c r="Y1032" s="488" t="s">
        <v>1486</v>
      </c>
      <c r="Z1032" s="293"/>
      <c r="AA1032" s="293"/>
    </row>
    <row r="1033" spans="1:27" s="320" customFormat="1" x14ac:dyDescent="0.25">
      <c r="A1033" s="220" t="s">
        <v>3881</v>
      </c>
      <c r="B1033" s="221" t="s">
        <v>3786</v>
      </c>
      <c r="C1033" s="223" t="s">
        <v>3934</v>
      </c>
      <c r="D1033" s="220" t="s">
        <v>1646</v>
      </c>
      <c r="E1033" s="222">
        <v>10</v>
      </c>
      <c r="F1033" s="192">
        <v>2100</v>
      </c>
      <c r="G1033" s="24">
        <v>0.2</v>
      </c>
      <c r="H1033" s="24">
        <v>0.05</v>
      </c>
      <c r="I1033" s="24">
        <v>0.05</v>
      </c>
      <c r="J1033" s="24">
        <v>0</v>
      </c>
      <c r="K1033" s="224">
        <f t="shared" si="135"/>
        <v>0.27800000000000002</v>
      </c>
      <c r="L1033" s="225">
        <f t="shared" si="136"/>
        <v>29085.872576177284</v>
      </c>
      <c r="M1033" s="225">
        <f t="shared" si="137"/>
        <v>2908.5872576177285</v>
      </c>
      <c r="N1033" s="226">
        <f t="shared" si="133"/>
        <v>3461.2188365650968</v>
      </c>
      <c r="O1033" s="34">
        <v>0.3</v>
      </c>
      <c r="P1033" s="226">
        <f t="shared" si="138"/>
        <v>4499.5844875346256</v>
      </c>
      <c r="Q1033" s="107" t="s">
        <v>1486</v>
      </c>
      <c r="R1033" s="34">
        <v>0.3</v>
      </c>
      <c r="S1033" s="226">
        <f t="shared" si="134"/>
        <v>3570</v>
      </c>
      <c r="T1033" s="156" t="s">
        <v>1486</v>
      </c>
      <c r="U1033" s="2" t="s">
        <v>50</v>
      </c>
      <c r="V1033" s="2" t="s">
        <v>47</v>
      </c>
      <c r="W1033" s="2" t="s">
        <v>3965</v>
      </c>
      <c r="X1033" s="2"/>
      <c r="Y1033" s="488" t="s">
        <v>1486</v>
      </c>
      <c r="Z1033" s="293"/>
      <c r="AA1033" s="293"/>
    </row>
    <row r="1034" spans="1:27" s="320" customFormat="1" x14ac:dyDescent="0.25">
      <c r="A1034" s="220" t="s">
        <v>3882</v>
      </c>
      <c r="B1034" s="221" t="s">
        <v>3789</v>
      </c>
      <c r="C1034" s="223" t="s">
        <v>3934</v>
      </c>
      <c r="D1034" s="220" t="s">
        <v>1646</v>
      </c>
      <c r="E1034" s="222">
        <v>1</v>
      </c>
      <c r="F1034" s="192"/>
      <c r="G1034" s="24">
        <v>0.2</v>
      </c>
      <c r="H1034" s="24">
        <v>0.05</v>
      </c>
      <c r="I1034" s="24">
        <v>0.05</v>
      </c>
      <c r="J1034" s="24">
        <v>0</v>
      </c>
      <c r="K1034" s="224">
        <f t="shared" si="135"/>
        <v>0</v>
      </c>
      <c r="L1034" s="225">
        <f t="shared" si="136"/>
        <v>0</v>
      </c>
      <c r="M1034" s="225">
        <f t="shared" si="137"/>
        <v>0</v>
      </c>
      <c r="N1034" s="226">
        <f t="shared" si="133"/>
        <v>0</v>
      </c>
      <c r="O1034" s="34">
        <v>0.3</v>
      </c>
      <c r="P1034" s="226">
        <f t="shared" si="138"/>
        <v>0</v>
      </c>
      <c r="Q1034" s="107" t="s">
        <v>1486</v>
      </c>
      <c r="R1034" s="34">
        <v>0.3</v>
      </c>
      <c r="S1034" s="226">
        <f t="shared" si="134"/>
        <v>0</v>
      </c>
      <c r="T1034" s="156" t="s">
        <v>1486</v>
      </c>
      <c r="U1034" s="2" t="s">
        <v>50</v>
      </c>
      <c r="V1034" s="2" t="s">
        <v>47</v>
      </c>
      <c r="W1034" s="2" t="s">
        <v>3965</v>
      </c>
      <c r="X1034" s="2"/>
      <c r="Y1034" s="488" t="s">
        <v>1486</v>
      </c>
      <c r="Z1034" s="293"/>
      <c r="AA1034" s="293"/>
    </row>
    <row r="1035" spans="1:27" s="320" customFormat="1" x14ac:dyDescent="0.25">
      <c r="A1035" s="220" t="s">
        <v>3883</v>
      </c>
      <c r="B1035" s="221" t="s">
        <v>3792</v>
      </c>
      <c r="C1035" s="223" t="s">
        <v>3934</v>
      </c>
      <c r="D1035" s="220" t="s">
        <v>1646</v>
      </c>
      <c r="E1035" s="222">
        <v>10</v>
      </c>
      <c r="F1035" s="192">
        <v>2200</v>
      </c>
      <c r="G1035" s="24">
        <v>0.2</v>
      </c>
      <c r="H1035" s="24">
        <v>0.05</v>
      </c>
      <c r="I1035" s="24">
        <v>0.05</v>
      </c>
      <c r="J1035" s="24">
        <v>0</v>
      </c>
      <c r="K1035" s="224">
        <f t="shared" si="135"/>
        <v>0.27800000000000002</v>
      </c>
      <c r="L1035" s="225">
        <f t="shared" si="136"/>
        <v>30470.914127423825</v>
      </c>
      <c r="M1035" s="225">
        <f t="shared" si="137"/>
        <v>3047.0914127423825</v>
      </c>
      <c r="N1035" s="226">
        <f t="shared" si="133"/>
        <v>3626.038781163435</v>
      </c>
      <c r="O1035" s="34">
        <v>0.3</v>
      </c>
      <c r="P1035" s="226">
        <f t="shared" si="138"/>
        <v>4713.8504155124656</v>
      </c>
      <c r="Q1035" s="107" t="s">
        <v>1486</v>
      </c>
      <c r="R1035" s="34">
        <v>0.3</v>
      </c>
      <c r="S1035" s="226">
        <f t="shared" si="134"/>
        <v>3740</v>
      </c>
      <c r="T1035" s="156" t="s">
        <v>1486</v>
      </c>
      <c r="U1035" s="2" t="s">
        <v>50</v>
      </c>
      <c r="V1035" s="2" t="s">
        <v>47</v>
      </c>
      <c r="W1035" s="2" t="s">
        <v>3965</v>
      </c>
      <c r="X1035" s="2"/>
      <c r="Y1035" s="488" t="s">
        <v>1486</v>
      </c>
      <c r="Z1035" s="293"/>
      <c r="AA1035" s="293"/>
    </row>
    <row r="1036" spans="1:27" s="320" customFormat="1" x14ac:dyDescent="0.25">
      <c r="A1036" s="220" t="s">
        <v>3884</v>
      </c>
      <c r="B1036" s="221" t="s">
        <v>3790</v>
      </c>
      <c r="C1036" s="223" t="s">
        <v>3934</v>
      </c>
      <c r="D1036" s="220" t="s">
        <v>1646</v>
      </c>
      <c r="E1036" s="222">
        <v>1</v>
      </c>
      <c r="F1036" s="192"/>
      <c r="G1036" s="24">
        <v>0.2</v>
      </c>
      <c r="H1036" s="24">
        <v>0.05</v>
      </c>
      <c r="I1036" s="24">
        <v>0.05</v>
      </c>
      <c r="J1036" s="24">
        <v>0</v>
      </c>
      <c r="K1036" s="224">
        <f t="shared" si="135"/>
        <v>0</v>
      </c>
      <c r="L1036" s="225">
        <f t="shared" si="136"/>
        <v>0</v>
      </c>
      <c r="M1036" s="225">
        <f t="shared" si="137"/>
        <v>0</v>
      </c>
      <c r="N1036" s="226">
        <f t="shared" ref="N1036:N1099" si="139">+M1036*1.19</f>
        <v>0</v>
      </c>
      <c r="O1036" s="34">
        <v>0.3</v>
      </c>
      <c r="P1036" s="226">
        <f t="shared" si="138"/>
        <v>0</v>
      </c>
      <c r="Q1036" s="107" t="s">
        <v>1486</v>
      </c>
      <c r="R1036" s="34">
        <v>0.3</v>
      </c>
      <c r="S1036" s="226">
        <f t="shared" si="134"/>
        <v>0</v>
      </c>
      <c r="T1036" s="156" t="s">
        <v>1486</v>
      </c>
      <c r="U1036" s="2" t="s">
        <v>50</v>
      </c>
      <c r="V1036" s="2" t="s">
        <v>47</v>
      </c>
      <c r="W1036" s="2" t="s">
        <v>3965</v>
      </c>
      <c r="X1036" s="2"/>
      <c r="Y1036" s="488" t="s">
        <v>1486</v>
      </c>
      <c r="Z1036" s="293"/>
      <c r="AA1036" s="293"/>
    </row>
    <row r="1037" spans="1:27" s="320" customFormat="1" x14ac:dyDescent="0.25">
      <c r="A1037" s="220" t="s">
        <v>3885</v>
      </c>
      <c r="B1037" s="221" t="s">
        <v>3793</v>
      </c>
      <c r="C1037" s="223" t="s">
        <v>3934</v>
      </c>
      <c r="D1037" s="220" t="s">
        <v>1646</v>
      </c>
      <c r="E1037" s="222">
        <v>10</v>
      </c>
      <c r="F1037" s="192">
        <v>4232</v>
      </c>
      <c r="G1037" s="24">
        <v>0.2</v>
      </c>
      <c r="H1037" s="24">
        <v>0.05</v>
      </c>
      <c r="I1037" s="24">
        <v>0.05</v>
      </c>
      <c r="J1037" s="24">
        <v>0</v>
      </c>
      <c r="K1037" s="224">
        <f t="shared" si="135"/>
        <v>0.27800000000000002</v>
      </c>
      <c r="L1037" s="225">
        <f t="shared" si="136"/>
        <v>58614.958448753467</v>
      </c>
      <c r="M1037" s="225">
        <f t="shared" si="137"/>
        <v>5861.4958448753468</v>
      </c>
      <c r="N1037" s="226">
        <f t="shared" si="139"/>
        <v>6975.1800554016627</v>
      </c>
      <c r="O1037" s="34">
        <v>0.3</v>
      </c>
      <c r="P1037" s="226">
        <f t="shared" si="138"/>
        <v>9067.7340720221619</v>
      </c>
      <c r="Q1037" s="107" t="s">
        <v>1486</v>
      </c>
      <c r="R1037" s="34">
        <v>0.3</v>
      </c>
      <c r="S1037" s="226">
        <f t="shared" si="134"/>
        <v>7194.4000000000005</v>
      </c>
      <c r="T1037" s="156" t="s">
        <v>1486</v>
      </c>
      <c r="U1037" s="2" t="s">
        <v>50</v>
      </c>
      <c r="V1037" s="2" t="s">
        <v>47</v>
      </c>
      <c r="W1037" s="2" t="s">
        <v>3965</v>
      </c>
      <c r="X1037" s="2"/>
      <c r="Y1037" s="488" t="s">
        <v>1486</v>
      </c>
      <c r="Z1037" s="293"/>
      <c r="AA1037" s="293"/>
    </row>
    <row r="1038" spans="1:27" s="320" customFormat="1" x14ac:dyDescent="0.25">
      <c r="A1038" s="220" t="s">
        <v>3886</v>
      </c>
      <c r="B1038" s="221" t="s">
        <v>3794</v>
      </c>
      <c r="C1038" s="223" t="s">
        <v>3934</v>
      </c>
      <c r="D1038" s="220" t="s">
        <v>1646</v>
      </c>
      <c r="E1038" s="222">
        <v>1</v>
      </c>
      <c r="F1038" s="192"/>
      <c r="G1038" s="24">
        <v>0.2</v>
      </c>
      <c r="H1038" s="24">
        <v>0.05</v>
      </c>
      <c r="I1038" s="24">
        <v>0.05</v>
      </c>
      <c r="J1038" s="24">
        <v>0</v>
      </c>
      <c r="K1038" s="224">
        <f t="shared" si="135"/>
        <v>0</v>
      </c>
      <c r="L1038" s="225">
        <f t="shared" si="136"/>
        <v>0</v>
      </c>
      <c r="M1038" s="225">
        <f t="shared" si="137"/>
        <v>0</v>
      </c>
      <c r="N1038" s="226">
        <f t="shared" si="139"/>
        <v>0</v>
      </c>
      <c r="O1038" s="34">
        <v>0.3</v>
      </c>
      <c r="P1038" s="226">
        <f t="shared" si="138"/>
        <v>0</v>
      </c>
      <c r="Q1038" s="107" t="s">
        <v>1486</v>
      </c>
      <c r="R1038" s="34">
        <v>0.3</v>
      </c>
      <c r="S1038" s="226">
        <f t="shared" si="134"/>
        <v>0</v>
      </c>
      <c r="T1038" s="156" t="s">
        <v>1486</v>
      </c>
      <c r="U1038" s="2" t="s">
        <v>50</v>
      </c>
      <c r="V1038" s="2" t="s">
        <v>47</v>
      </c>
      <c r="W1038" s="2" t="s">
        <v>3965</v>
      </c>
      <c r="X1038" s="2"/>
      <c r="Y1038" s="488" t="s">
        <v>1486</v>
      </c>
      <c r="Z1038" s="293"/>
      <c r="AA1038" s="293"/>
    </row>
    <row r="1039" spans="1:27" s="320" customFormat="1" x14ac:dyDescent="0.25">
      <c r="A1039" s="220" t="s">
        <v>3887</v>
      </c>
      <c r="B1039" s="221" t="s">
        <v>3795</v>
      </c>
      <c r="C1039" s="223" t="s">
        <v>3934</v>
      </c>
      <c r="D1039" s="220" t="s">
        <v>1646</v>
      </c>
      <c r="E1039" s="222">
        <v>10</v>
      </c>
      <c r="F1039" s="192">
        <v>2200</v>
      </c>
      <c r="G1039" s="24">
        <v>0.2</v>
      </c>
      <c r="H1039" s="24">
        <v>0.05</v>
      </c>
      <c r="I1039" s="24">
        <v>0.05</v>
      </c>
      <c r="J1039" s="24">
        <v>0</v>
      </c>
      <c r="K1039" s="224">
        <f t="shared" si="135"/>
        <v>0.27800000000000002</v>
      </c>
      <c r="L1039" s="225">
        <f t="shared" si="136"/>
        <v>30470.914127423825</v>
      </c>
      <c r="M1039" s="225">
        <f t="shared" si="137"/>
        <v>3047.0914127423825</v>
      </c>
      <c r="N1039" s="226">
        <f t="shared" si="139"/>
        <v>3626.038781163435</v>
      </c>
      <c r="O1039" s="34">
        <v>0.3</v>
      </c>
      <c r="P1039" s="226">
        <f t="shared" si="138"/>
        <v>4713.8504155124656</v>
      </c>
      <c r="Q1039" s="107" t="s">
        <v>1486</v>
      </c>
      <c r="R1039" s="34">
        <v>0.3</v>
      </c>
      <c r="S1039" s="226">
        <f t="shared" si="134"/>
        <v>3740</v>
      </c>
      <c r="T1039" s="156" t="s">
        <v>1486</v>
      </c>
      <c r="U1039" s="2" t="s">
        <v>50</v>
      </c>
      <c r="V1039" s="2" t="s">
        <v>47</v>
      </c>
      <c r="W1039" s="2" t="s">
        <v>3965</v>
      </c>
      <c r="X1039" s="2"/>
      <c r="Y1039" s="488" t="s">
        <v>1486</v>
      </c>
      <c r="Z1039" s="293"/>
      <c r="AA1039" s="293"/>
    </row>
    <row r="1040" spans="1:27" s="320" customFormat="1" x14ac:dyDescent="0.25">
      <c r="A1040" s="220" t="s">
        <v>3888</v>
      </c>
      <c r="B1040" s="221" t="s">
        <v>3791</v>
      </c>
      <c r="C1040" s="223" t="s">
        <v>3934</v>
      </c>
      <c r="D1040" s="220" t="s">
        <v>1646</v>
      </c>
      <c r="E1040" s="222">
        <v>10</v>
      </c>
      <c r="F1040" s="192">
        <v>6780</v>
      </c>
      <c r="G1040" s="24">
        <v>0.2</v>
      </c>
      <c r="H1040" s="24">
        <v>0.05</v>
      </c>
      <c r="I1040" s="24">
        <v>0.05</v>
      </c>
      <c r="J1040" s="24">
        <v>0</v>
      </c>
      <c r="K1040" s="224">
        <f t="shared" si="135"/>
        <v>0.27800000000000014</v>
      </c>
      <c r="L1040" s="225">
        <f t="shared" si="136"/>
        <v>93905.81717451525</v>
      </c>
      <c r="M1040" s="225">
        <f t="shared" si="137"/>
        <v>9390.581717451525</v>
      </c>
      <c r="N1040" s="226">
        <f t="shared" si="139"/>
        <v>11174.792243767315</v>
      </c>
      <c r="O1040" s="34">
        <v>0.3</v>
      </c>
      <c r="P1040" s="226">
        <f t="shared" si="138"/>
        <v>14527.22991689751</v>
      </c>
      <c r="Q1040" s="107" t="s">
        <v>1486</v>
      </c>
      <c r="R1040" s="34">
        <v>0.3</v>
      </c>
      <c r="S1040" s="226">
        <f t="shared" si="134"/>
        <v>11526</v>
      </c>
      <c r="T1040" s="156" t="s">
        <v>1486</v>
      </c>
      <c r="U1040" s="2" t="s">
        <v>50</v>
      </c>
      <c r="V1040" s="2" t="s">
        <v>47</v>
      </c>
      <c r="W1040" s="2" t="s">
        <v>3965</v>
      </c>
      <c r="X1040" s="2"/>
      <c r="Y1040" s="488" t="s">
        <v>1486</v>
      </c>
      <c r="Z1040" s="293"/>
      <c r="AA1040" s="293"/>
    </row>
    <row r="1041" spans="1:27" s="320" customFormat="1" x14ac:dyDescent="0.25">
      <c r="A1041" s="220" t="s">
        <v>3889</v>
      </c>
      <c r="B1041" s="221" t="s">
        <v>3796</v>
      </c>
      <c r="C1041" s="223" t="s">
        <v>3934</v>
      </c>
      <c r="D1041" s="220" t="s">
        <v>1646</v>
      </c>
      <c r="E1041" s="222">
        <v>10</v>
      </c>
      <c r="F1041" s="192">
        <v>3464</v>
      </c>
      <c r="G1041" s="24">
        <v>0.2</v>
      </c>
      <c r="H1041" s="24">
        <v>0.05</v>
      </c>
      <c r="I1041" s="24">
        <v>0.05</v>
      </c>
      <c r="J1041" s="24">
        <v>0</v>
      </c>
      <c r="K1041" s="224">
        <f t="shared" si="135"/>
        <v>0.27800000000000002</v>
      </c>
      <c r="L1041" s="225">
        <f t="shared" si="136"/>
        <v>47977.839335180062</v>
      </c>
      <c r="M1041" s="225">
        <f t="shared" si="137"/>
        <v>4797.7839335180061</v>
      </c>
      <c r="N1041" s="226">
        <f t="shared" si="139"/>
        <v>5709.3628808864269</v>
      </c>
      <c r="O1041" s="34">
        <v>0.3</v>
      </c>
      <c r="P1041" s="226">
        <f t="shared" si="138"/>
        <v>7422.1717451523555</v>
      </c>
      <c r="Q1041" s="107" t="s">
        <v>1486</v>
      </c>
      <c r="R1041" s="34">
        <v>0.3</v>
      </c>
      <c r="S1041" s="226">
        <f t="shared" si="134"/>
        <v>5888.7999999999993</v>
      </c>
      <c r="T1041" s="156" t="s">
        <v>1486</v>
      </c>
      <c r="U1041" s="2" t="s">
        <v>50</v>
      </c>
      <c r="V1041" s="2" t="s">
        <v>47</v>
      </c>
      <c r="W1041" s="2" t="s">
        <v>3965</v>
      </c>
      <c r="X1041" s="2"/>
      <c r="Y1041" s="488" t="s">
        <v>1486</v>
      </c>
      <c r="Z1041" s="293"/>
      <c r="AA1041" s="293"/>
    </row>
    <row r="1042" spans="1:27" s="320" customFormat="1" x14ac:dyDescent="0.25">
      <c r="A1042" s="220" t="s">
        <v>3890</v>
      </c>
      <c r="B1042" s="221" t="s">
        <v>3797</v>
      </c>
      <c r="C1042" s="223" t="s">
        <v>3934</v>
      </c>
      <c r="D1042" s="220" t="s">
        <v>1646</v>
      </c>
      <c r="E1042" s="222">
        <v>16</v>
      </c>
      <c r="F1042" s="192">
        <v>1985</v>
      </c>
      <c r="G1042" s="24">
        <v>0.2</v>
      </c>
      <c r="H1042" s="24">
        <v>0.05</v>
      </c>
      <c r="I1042" s="24">
        <v>0.05</v>
      </c>
      <c r="J1042" s="24">
        <v>0</v>
      </c>
      <c r="K1042" s="224">
        <f t="shared" si="135"/>
        <v>0.27800000000000002</v>
      </c>
      <c r="L1042" s="225">
        <f t="shared" si="136"/>
        <v>43988.919667590031</v>
      </c>
      <c r="M1042" s="225">
        <f t="shared" si="137"/>
        <v>2749.3074792243769</v>
      </c>
      <c r="N1042" s="226">
        <f t="shared" si="139"/>
        <v>3271.6759002770086</v>
      </c>
      <c r="O1042" s="34">
        <v>0.3</v>
      </c>
      <c r="P1042" s="226">
        <f t="shared" si="138"/>
        <v>4253.178670360111</v>
      </c>
      <c r="Q1042" s="107" t="s">
        <v>1486</v>
      </c>
      <c r="R1042" s="34">
        <v>0.3</v>
      </c>
      <c r="S1042" s="226">
        <f t="shared" si="134"/>
        <v>3374.5</v>
      </c>
      <c r="T1042" s="156" t="s">
        <v>1486</v>
      </c>
      <c r="U1042" s="2" t="s">
        <v>50</v>
      </c>
      <c r="V1042" s="2" t="s">
        <v>47</v>
      </c>
      <c r="W1042" s="2" t="s">
        <v>3965</v>
      </c>
      <c r="X1042" s="2"/>
      <c r="Y1042" s="488" t="s">
        <v>1486</v>
      </c>
      <c r="Z1042" s="293"/>
      <c r="AA1042" s="293"/>
    </row>
    <row r="1043" spans="1:27" s="320" customFormat="1" x14ac:dyDescent="0.25">
      <c r="A1043" s="220" t="s">
        <v>3891</v>
      </c>
      <c r="B1043" s="221" t="s">
        <v>3798</v>
      </c>
      <c r="C1043" s="223" t="s">
        <v>3934</v>
      </c>
      <c r="D1043" s="220" t="s">
        <v>1646</v>
      </c>
      <c r="E1043" s="222">
        <v>20</v>
      </c>
      <c r="F1043" s="192">
        <v>1594</v>
      </c>
      <c r="G1043" s="24">
        <v>0.2</v>
      </c>
      <c r="H1043" s="24">
        <v>0.05</v>
      </c>
      <c r="I1043" s="24">
        <v>0.05</v>
      </c>
      <c r="J1043" s="24">
        <v>0</v>
      </c>
      <c r="K1043" s="224">
        <f t="shared" si="135"/>
        <v>0.27800000000000002</v>
      </c>
      <c r="L1043" s="225">
        <f t="shared" si="136"/>
        <v>44155.124653739615</v>
      </c>
      <c r="M1043" s="225">
        <f t="shared" si="137"/>
        <v>2207.7562326869806</v>
      </c>
      <c r="N1043" s="226">
        <f t="shared" si="139"/>
        <v>2627.2299168975069</v>
      </c>
      <c r="O1043" s="34">
        <v>0.3</v>
      </c>
      <c r="P1043" s="226">
        <f t="shared" si="138"/>
        <v>3415.398891966759</v>
      </c>
      <c r="Q1043" s="107" t="s">
        <v>1486</v>
      </c>
      <c r="R1043" s="34">
        <v>0.3</v>
      </c>
      <c r="S1043" s="226">
        <f t="shared" si="134"/>
        <v>2709.8</v>
      </c>
      <c r="T1043" s="156" t="s">
        <v>1486</v>
      </c>
      <c r="U1043" s="2" t="s">
        <v>50</v>
      </c>
      <c r="V1043" s="2" t="s">
        <v>47</v>
      </c>
      <c r="W1043" s="2" t="s">
        <v>3965</v>
      </c>
      <c r="X1043" s="2"/>
      <c r="Y1043" s="488" t="s">
        <v>1486</v>
      </c>
      <c r="Z1043" s="293"/>
      <c r="AA1043" s="293"/>
    </row>
    <row r="1044" spans="1:27" s="320" customFormat="1" x14ac:dyDescent="0.25">
      <c r="A1044" s="220" t="s">
        <v>3892</v>
      </c>
      <c r="B1044" s="221" t="s">
        <v>3799</v>
      </c>
      <c r="C1044" s="223" t="s">
        <v>3934</v>
      </c>
      <c r="D1044" s="220" t="s">
        <v>1646</v>
      </c>
      <c r="E1044" s="222">
        <v>20</v>
      </c>
      <c r="F1044" s="192">
        <v>1594</v>
      </c>
      <c r="G1044" s="24">
        <v>0.2</v>
      </c>
      <c r="H1044" s="24">
        <v>0.05</v>
      </c>
      <c r="I1044" s="24">
        <v>0.05</v>
      </c>
      <c r="J1044" s="24">
        <v>0</v>
      </c>
      <c r="K1044" s="224">
        <f t="shared" si="135"/>
        <v>0.27800000000000002</v>
      </c>
      <c r="L1044" s="225">
        <f t="shared" si="136"/>
        <v>44155.124653739615</v>
      </c>
      <c r="M1044" s="225">
        <f t="shared" si="137"/>
        <v>2207.7562326869806</v>
      </c>
      <c r="N1044" s="226">
        <f t="shared" si="139"/>
        <v>2627.2299168975069</v>
      </c>
      <c r="O1044" s="34">
        <v>0.3</v>
      </c>
      <c r="P1044" s="226">
        <f t="shared" si="138"/>
        <v>3415.398891966759</v>
      </c>
      <c r="Q1044" s="107" t="s">
        <v>1486</v>
      </c>
      <c r="R1044" s="34">
        <v>0.3</v>
      </c>
      <c r="S1044" s="226">
        <f t="shared" si="134"/>
        <v>2709.8</v>
      </c>
      <c r="T1044" s="156" t="s">
        <v>1486</v>
      </c>
      <c r="U1044" s="2" t="s">
        <v>50</v>
      </c>
      <c r="V1044" s="2" t="s">
        <v>47</v>
      </c>
      <c r="W1044" s="2" t="s">
        <v>3965</v>
      </c>
      <c r="X1044" s="2"/>
      <c r="Y1044" s="488" t="s">
        <v>1486</v>
      </c>
      <c r="Z1044" s="293"/>
      <c r="AA1044" s="293"/>
    </row>
    <row r="1045" spans="1:27" s="320" customFormat="1" x14ac:dyDescent="0.25">
      <c r="A1045" s="220" t="s">
        <v>3893</v>
      </c>
      <c r="B1045" s="221" t="s">
        <v>3800</v>
      </c>
      <c r="C1045" s="223" t="s">
        <v>3934</v>
      </c>
      <c r="D1045" s="220" t="s">
        <v>1646</v>
      </c>
      <c r="E1045" s="222">
        <v>16</v>
      </c>
      <c r="F1045" s="192">
        <v>1985</v>
      </c>
      <c r="G1045" s="24">
        <v>0.2</v>
      </c>
      <c r="H1045" s="24">
        <v>0.05</v>
      </c>
      <c r="I1045" s="24">
        <v>0.05</v>
      </c>
      <c r="J1045" s="24">
        <v>0</v>
      </c>
      <c r="K1045" s="224">
        <f t="shared" si="135"/>
        <v>0.27800000000000002</v>
      </c>
      <c r="L1045" s="225">
        <f t="shared" si="136"/>
        <v>43988.919667590031</v>
      </c>
      <c r="M1045" s="225">
        <f t="shared" si="137"/>
        <v>2749.3074792243769</v>
      </c>
      <c r="N1045" s="226">
        <f t="shared" si="139"/>
        <v>3271.6759002770086</v>
      </c>
      <c r="O1045" s="34">
        <v>0.3</v>
      </c>
      <c r="P1045" s="226">
        <f t="shared" si="138"/>
        <v>4253.178670360111</v>
      </c>
      <c r="Q1045" s="107" t="s">
        <v>1486</v>
      </c>
      <c r="R1045" s="34">
        <v>0.3</v>
      </c>
      <c r="S1045" s="226">
        <f t="shared" si="134"/>
        <v>3374.5</v>
      </c>
      <c r="T1045" s="156" t="s">
        <v>1486</v>
      </c>
      <c r="U1045" s="2" t="s">
        <v>50</v>
      </c>
      <c r="V1045" s="2" t="s">
        <v>47</v>
      </c>
      <c r="W1045" s="2" t="s">
        <v>3965</v>
      </c>
      <c r="X1045" s="2"/>
      <c r="Y1045" s="488" t="s">
        <v>1486</v>
      </c>
      <c r="Z1045" s="293"/>
      <c r="AA1045" s="293"/>
    </row>
    <row r="1046" spans="1:27" s="320" customFormat="1" x14ac:dyDescent="0.25">
      <c r="A1046" s="220" t="s">
        <v>3894</v>
      </c>
      <c r="B1046" s="221" t="s">
        <v>3801</v>
      </c>
      <c r="C1046" s="223" t="s">
        <v>3934</v>
      </c>
      <c r="D1046" s="220" t="s">
        <v>1646</v>
      </c>
      <c r="E1046" s="222">
        <v>16</v>
      </c>
      <c r="F1046" s="192">
        <v>1985</v>
      </c>
      <c r="G1046" s="24">
        <v>0.2</v>
      </c>
      <c r="H1046" s="24">
        <v>0.05</v>
      </c>
      <c r="I1046" s="24">
        <v>0.05</v>
      </c>
      <c r="J1046" s="24">
        <v>0</v>
      </c>
      <c r="K1046" s="224">
        <f t="shared" si="135"/>
        <v>0.27800000000000002</v>
      </c>
      <c r="L1046" s="225">
        <f t="shared" si="136"/>
        <v>43988.919667590031</v>
      </c>
      <c r="M1046" s="225">
        <f t="shared" si="137"/>
        <v>2749.3074792243769</v>
      </c>
      <c r="N1046" s="226">
        <f t="shared" si="139"/>
        <v>3271.6759002770086</v>
      </c>
      <c r="O1046" s="34">
        <v>0.3</v>
      </c>
      <c r="P1046" s="226">
        <f t="shared" si="138"/>
        <v>4253.178670360111</v>
      </c>
      <c r="Q1046" s="107" t="s">
        <v>1486</v>
      </c>
      <c r="R1046" s="34">
        <v>0.3</v>
      </c>
      <c r="S1046" s="226">
        <f t="shared" si="134"/>
        <v>3374.5</v>
      </c>
      <c r="T1046" s="156" t="s">
        <v>1486</v>
      </c>
      <c r="U1046" s="2" t="s">
        <v>50</v>
      </c>
      <c r="V1046" s="2" t="s">
        <v>47</v>
      </c>
      <c r="W1046" s="2" t="s">
        <v>3965</v>
      </c>
      <c r="X1046" s="2"/>
      <c r="Y1046" s="488" t="s">
        <v>1486</v>
      </c>
      <c r="Z1046" s="293"/>
      <c r="AA1046" s="293"/>
    </row>
    <row r="1047" spans="1:27" s="320" customFormat="1" x14ac:dyDescent="0.25">
      <c r="A1047" s="220" t="s">
        <v>3895</v>
      </c>
      <c r="B1047" s="221" t="s">
        <v>3802</v>
      </c>
      <c r="C1047" s="223" t="s">
        <v>3934</v>
      </c>
      <c r="D1047" s="220" t="s">
        <v>1646</v>
      </c>
      <c r="E1047" s="222">
        <v>16</v>
      </c>
      <c r="F1047" s="192">
        <v>1985</v>
      </c>
      <c r="G1047" s="24">
        <v>0.2</v>
      </c>
      <c r="H1047" s="24">
        <v>0.05</v>
      </c>
      <c r="I1047" s="24">
        <v>0.05</v>
      </c>
      <c r="J1047" s="24">
        <v>0</v>
      </c>
      <c r="K1047" s="224">
        <f t="shared" si="135"/>
        <v>0.27800000000000002</v>
      </c>
      <c r="L1047" s="225">
        <f t="shared" si="136"/>
        <v>43988.919667590031</v>
      </c>
      <c r="M1047" s="225">
        <f t="shared" si="137"/>
        <v>2749.3074792243769</v>
      </c>
      <c r="N1047" s="226">
        <f t="shared" si="139"/>
        <v>3271.6759002770086</v>
      </c>
      <c r="O1047" s="34">
        <v>0.3</v>
      </c>
      <c r="P1047" s="226">
        <f t="shared" si="138"/>
        <v>4253.178670360111</v>
      </c>
      <c r="Q1047" s="107" t="s">
        <v>1486</v>
      </c>
      <c r="R1047" s="34">
        <v>0.3</v>
      </c>
      <c r="S1047" s="226">
        <f t="shared" si="134"/>
        <v>3374.5</v>
      </c>
      <c r="T1047" s="156" t="s">
        <v>1486</v>
      </c>
      <c r="U1047" s="2" t="s">
        <v>50</v>
      </c>
      <c r="V1047" s="2" t="s">
        <v>47</v>
      </c>
      <c r="W1047" s="2" t="s">
        <v>3965</v>
      </c>
      <c r="X1047" s="2"/>
      <c r="Y1047" s="488" t="s">
        <v>1486</v>
      </c>
      <c r="Z1047" s="293"/>
      <c r="AA1047" s="293"/>
    </row>
    <row r="1048" spans="1:27" s="320" customFormat="1" x14ac:dyDescent="0.25">
      <c r="A1048" s="220" t="s">
        <v>3896</v>
      </c>
      <c r="B1048" s="221" t="s">
        <v>3803</v>
      </c>
      <c r="C1048" s="223" t="s">
        <v>3934</v>
      </c>
      <c r="D1048" s="220" t="s">
        <v>1646</v>
      </c>
      <c r="E1048" s="222">
        <v>16</v>
      </c>
      <c r="F1048" s="192">
        <v>1920</v>
      </c>
      <c r="G1048" s="24">
        <v>0.2</v>
      </c>
      <c r="H1048" s="24">
        <v>0.05</v>
      </c>
      <c r="I1048" s="24">
        <v>0.05</v>
      </c>
      <c r="J1048" s="24">
        <v>0</v>
      </c>
      <c r="K1048" s="224">
        <f t="shared" si="135"/>
        <v>0.27800000000000002</v>
      </c>
      <c r="L1048" s="225">
        <f t="shared" si="136"/>
        <v>42548.476454293632</v>
      </c>
      <c r="M1048" s="225">
        <f t="shared" si="137"/>
        <v>2659.279778393352</v>
      </c>
      <c r="N1048" s="226">
        <f t="shared" si="139"/>
        <v>3164.5429362880886</v>
      </c>
      <c r="O1048" s="34">
        <v>0.3</v>
      </c>
      <c r="P1048" s="226">
        <f t="shared" si="138"/>
        <v>4113.9058171745155</v>
      </c>
      <c r="Q1048" s="107" t="s">
        <v>1486</v>
      </c>
      <c r="R1048" s="34">
        <v>0.3</v>
      </c>
      <c r="S1048" s="226">
        <f t="shared" si="134"/>
        <v>3264</v>
      </c>
      <c r="T1048" s="156" t="s">
        <v>1486</v>
      </c>
      <c r="U1048" s="2" t="s">
        <v>50</v>
      </c>
      <c r="V1048" s="2" t="s">
        <v>47</v>
      </c>
      <c r="W1048" s="2" t="s">
        <v>3965</v>
      </c>
      <c r="X1048" s="2"/>
      <c r="Y1048" s="488" t="s">
        <v>1486</v>
      </c>
      <c r="Z1048" s="293"/>
      <c r="AA1048" s="293"/>
    </row>
    <row r="1049" spans="1:27" s="320" customFormat="1" x14ac:dyDescent="0.25">
      <c r="A1049" s="220" t="s">
        <v>3897</v>
      </c>
      <c r="B1049" s="221" t="s">
        <v>3804</v>
      </c>
      <c r="C1049" s="223" t="s">
        <v>3934</v>
      </c>
      <c r="D1049" s="220" t="s">
        <v>1646</v>
      </c>
      <c r="E1049" s="222">
        <v>16</v>
      </c>
      <c r="F1049" s="192">
        <v>2174</v>
      </c>
      <c r="G1049" s="24">
        <v>0.2</v>
      </c>
      <c r="H1049" s="24">
        <v>0.05</v>
      </c>
      <c r="I1049" s="24">
        <v>0.05</v>
      </c>
      <c r="J1049" s="24">
        <v>0</v>
      </c>
      <c r="K1049" s="224">
        <f t="shared" si="135"/>
        <v>0.27800000000000002</v>
      </c>
      <c r="L1049" s="225">
        <f t="shared" si="136"/>
        <v>48177.28531855956</v>
      </c>
      <c r="M1049" s="225">
        <f t="shared" si="137"/>
        <v>3011.0803324099725</v>
      </c>
      <c r="N1049" s="226">
        <f t="shared" si="139"/>
        <v>3583.185595567867</v>
      </c>
      <c r="O1049" s="34">
        <v>0.3</v>
      </c>
      <c r="P1049" s="226">
        <f t="shared" si="138"/>
        <v>4658.1412742382272</v>
      </c>
      <c r="Q1049" s="107" t="s">
        <v>1486</v>
      </c>
      <c r="R1049" s="34">
        <v>0.3</v>
      </c>
      <c r="S1049" s="226">
        <f t="shared" si="134"/>
        <v>3695.7999999999997</v>
      </c>
      <c r="T1049" s="156" t="s">
        <v>1486</v>
      </c>
      <c r="U1049" s="2" t="s">
        <v>50</v>
      </c>
      <c r="V1049" s="2" t="s">
        <v>47</v>
      </c>
      <c r="W1049" s="2" t="s">
        <v>3965</v>
      </c>
      <c r="X1049" s="2"/>
      <c r="Y1049" s="488" t="s">
        <v>1486</v>
      </c>
      <c r="Z1049" s="293"/>
      <c r="AA1049" s="293"/>
    </row>
    <row r="1050" spans="1:27" s="320" customFormat="1" x14ac:dyDescent="0.25">
      <c r="A1050" s="220" t="s">
        <v>3898</v>
      </c>
      <c r="B1050" s="221" t="s">
        <v>3805</v>
      </c>
      <c r="C1050" s="223" t="s">
        <v>3934</v>
      </c>
      <c r="D1050" s="220" t="s">
        <v>1646</v>
      </c>
      <c r="E1050" s="222">
        <v>16</v>
      </c>
      <c r="F1050" s="192">
        <v>1985</v>
      </c>
      <c r="G1050" s="24">
        <v>0.2</v>
      </c>
      <c r="H1050" s="24">
        <v>0.05</v>
      </c>
      <c r="I1050" s="24">
        <v>0.05</v>
      </c>
      <c r="J1050" s="24">
        <v>0</v>
      </c>
      <c r="K1050" s="224">
        <f t="shared" si="135"/>
        <v>0.27800000000000002</v>
      </c>
      <c r="L1050" s="225">
        <f t="shared" si="136"/>
        <v>43988.919667590031</v>
      </c>
      <c r="M1050" s="225">
        <f t="shared" si="137"/>
        <v>2749.3074792243769</v>
      </c>
      <c r="N1050" s="226">
        <f t="shared" si="139"/>
        <v>3271.6759002770086</v>
      </c>
      <c r="O1050" s="34">
        <v>0.3</v>
      </c>
      <c r="P1050" s="226">
        <f t="shared" si="138"/>
        <v>4253.178670360111</v>
      </c>
      <c r="Q1050" s="107" t="s">
        <v>1486</v>
      </c>
      <c r="R1050" s="34">
        <v>0.3</v>
      </c>
      <c r="S1050" s="226">
        <f t="shared" si="134"/>
        <v>3374.5</v>
      </c>
      <c r="T1050" s="156" t="s">
        <v>1486</v>
      </c>
      <c r="U1050" s="2" t="s">
        <v>50</v>
      </c>
      <c r="V1050" s="2" t="s">
        <v>47</v>
      </c>
      <c r="W1050" s="2" t="s">
        <v>3965</v>
      </c>
      <c r="X1050" s="2"/>
      <c r="Y1050" s="488" t="s">
        <v>1486</v>
      </c>
      <c r="Z1050" s="293"/>
      <c r="AA1050" s="293"/>
    </row>
    <row r="1051" spans="1:27" s="320" customFormat="1" x14ac:dyDescent="0.25">
      <c r="A1051" s="220" t="s">
        <v>3899</v>
      </c>
      <c r="B1051" s="221" t="s">
        <v>3806</v>
      </c>
      <c r="C1051" s="223" t="s">
        <v>3934</v>
      </c>
      <c r="D1051" s="220" t="s">
        <v>1646</v>
      </c>
      <c r="E1051" s="222">
        <v>20</v>
      </c>
      <c r="F1051" s="192">
        <v>1594</v>
      </c>
      <c r="G1051" s="24">
        <v>0.2</v>
      </c>
      <c r="H1051" s="24">
        <v>0.05</v>
      </c>
      <c r="I1051" s="24">
        <v>0.05</v>
      </c>
      <c r="J1051" s="24">
        <v>0</v>
      </c>
      <c r="K1051" s="224">
        <f t="shared" si="135"/>
        <v>0.27800000000000002</v>
      </c>
      <c r="L1051" s="225">
        <f t="shared" si="136"/>
        <v>44155.124653739615</v>
      </c>
      <c r="M1051" s="225">
        <f t="shared" si="137"/>
        <v>2207.7562326869806</v>
      </c>
      <c r="N1051" s="226">
        <f t="shared" si="139"/>
        <v>2627.2299168975069</v>
      </c>
      <c r="O1051" s="34">
        <v>0.3</v>
      </c>
      <c r="P1051" s="226">
        <f t="shared" si="138"/>
        <v>3415.398891966759</v>
      </c>
      <c r="Q1051" s="107" t="s">
        <v>1486</v>
      </c>
      <c r="R1051" s="34">
        <v>0.3</v>
      </c>
      <c r="S1051" s="226">
        <f t="shared" si="134"/>
        <v>2709.8</v>
      </c>
      <c r="T1051" s="156" t="s">
        <v>1486</v>
      </c>
      <c r="U1051" s="2" t="s">
        <v>50</v>
      </c>
      <c r="V1051" s="2" t="s">
        <v>47</v>
      </c>
      <c r="W1051" s="2" t="s">
        <v>3965</v>
      </c>
      <c r="X1051" s="2"/>
      <c r="Y1051" s="488" t="s">
        <v>1486</v>
      </c>
      <c r="Z1051" s="293"/>
      <c r="AA1051" s="293"/>
    </row>
    <row r="1052" spans="1:27" s="320" customFormat="1" x14ac:dyDescent="0.25">
      <c r="A1052" s="220" t="s">
        <v>3900</v>
      </c>
      <c r="B1052" s="221" t="s">
        <v>3807</v>
      </c>
      <c r="C1052" s="223" t="s">
        <v>3934</v>
      </c>
      <c r="D1052" s="220" t="s">
        <v>1646</v>
      </c>
      <c r="E1052" s="222">
        <v>10</v>
      </c>
      <c r="F1052" s="192">
        <v>1606</v>
      </c>
      <c r="G1052" s="24">
        <v>0.2</v>
      </c>
      <c r="H1052" s="24">
        <v>0.05</v>
      </c>
      <c r="I1052" s="24">
        <v>0.05</v>
      </c>
      <c r="J1052" s="24">
        <v>0</v>
      </c>
      <c r="K1052" s="224">
        <f t="shared" si="135"/>
        <v>0.27800000000000014</v>
      </c>
      <c r="L1052" s="225">
        <f t="shared" si="136"/>
        <v>22243.767313019394</v>
      </c>
      <c r="M1052" s="225">
        <f t="shared" si="137"/>
        <v>2224.3767313019393</v>
      </c>
      <c r="N1052" s="226">
        <f t="shared" si="139"/>
        <v>2647.0083102493077</v>
      </c>
      <c r="O1052" s="34">
        <v>0.3</v>
      </c>
      <c r="P1052" s="226">
        <f t="shared" si="138"/>
        <v>3441.1108033241003</v>
      </c>
      <c r="Q1052" s="107" t="s">
        <v>1486</v>
      </c>
      <c r="R1052" s="34">
        <v>0.3</v>
      </c>
      <c r="S1052" s="226">
        <f t="shared" si="134"/>
        <v>2730.2</v>
      </c>
      <c r="T1052" s="156" t="s">
        <v>1486</v>
      </c>
      <c r="U1052" s="2" t="s">
        <v>50</v>
      </c>
      <c r="V1052" s="2" t="s">
        <v>47</v>
      </c>
      <c r="W1052" s="2" t="s">
        <v>3965</v>
      </c>
      <c r="X1052" s="2"/>
      <c r="Y1052" s="488" t="s">
        <v>1486</v>
      </c>
      <c r="Z1052" s="293"/>
      <c r="AA1052" s="293"/>
    </row>
    <row r="1053" spans="1:27" s="320" customFormat="1" x14ac:dyDescent="0.25">
      <c r="A1053" s="220" t="s">
        <v>3901</v>
      </c>
      <c r="B1053" s="221" t="s">
        <v>3808</v>
      </c>
      <c r="C1053" s="223" t="s">
        <v>3934</v>
      </c>
      <c r="D1053" s="220" t="s">
        <v>1646</v>
      </c>
      <c r="E1053" s="222">
        <v>10</v>
      </c>
      <c r="F1053" s="192">
        <v>2406</v>
      </c>
      <c r="G1053" s="24">
        <v>0.2</v>
      </c>
      <c r="H1053" s="24">
        <v>0.05</v>
      </c>
      <c r="I1053" s="24">
        <v>0.05</v>
      </c>
      <c r="J1053" s="24">
        <v>0</v>
      </c>
      <c r="K1053" s="224">
        <f t="shared" si="135"/>
        <v>0.27800000000000014</v>
      </c>
      <c r="L1053" s="225">
        <f t="shared" si="136"/>
        <v>33324.099722991697</v>
      </c>
      <c r="M1053" s="225">
        <f t="shared" si="137"/>
        <v>3332.4099722991696</v>
      </c>
      <c r="N1053" s="226">
        <f t="shared" si="139"/>
        <v>3965.5678670360116</v>
      </c>
      <c r="O1053" s="34">
        <v>0.3</v>
      </c>
      <c r="P1053" s="226">
        <f t="shared" si="138"/>
        <v>5155.238227146815</v>
      </c>
      <c r="Q1053" s="107" t="s">
        <v>1486</v>
      </c>
      <c r="R1053" s="34">
        <v>0.3</v>
      </c>
      <c r="S1053" s="226">
        <f t="shared" ref="S1053:S1116" si="140">+(F1053/(1-R1053))*1.19</f>
        <v>4090.2000000000003</v>
      </c>
      <c r="T1053" s="156" t="s">
        <v>1486</v>
      </c>
      <c r="U1053" s="2" t="s">
        <v>50</v>
      </c>
      <c r="V1053" s="2" t="s">
        <v>47</v>
      </c>
      <c r="W1053" s="2" t="s">
        <v>3965</v>
      </c>
      <c r="X1053" s="2"/>
      <c r="Y1053" s="488" t="s">
        <v>1486</v>
      </c>
      <c r="Z1053" s="293"/>
      <c r="AA1053" s="293"/>
    </row>
    <row r="1054" spans="1:27" s="320" customFormat="1" x14ac:dyDescent="0.25">
      <c r="A1054" s="220" t="s">
        <v>3902</v>
      </c>
      <c r="B1054" s="221" t="s">
        <v>3809</v>
      </c>
      <c r="C1054" s="223" t="s">
        <v>3934</v>
      </c>
      <c r="D1054" s="220" t="s">
        <v>1646</v>
      </c>
      <c r="E1054" s="222">
        <v>5</v>
      </c>
      <c r="F1054" s="192">
        <v>3678</v>
      </c>
      <c r="G1054" s="24">
        <v>0.2</v>
      </c>
      <c r="H1054" s="24">
        <v>0.05</v>
      </c>
      <c r="I1054" s="24">
        <v>0.05</v>
      </c>
      <c r="J1054" s="24">
        <v>0</v>
      </c>
      <c r="K1054" s="224">
        <f t="shared" si="135"/>
        <v>0.27800000000000002</v>
      </c>
      <c r="L1054" s="225">
        <f t="shared" si="136"/>
        <v>25470.914127423825</v>
      </c>
      <c r="M1054" s="225">
        <f t="shared" si="137"/>
        <v>5094.1828254847651</v>
      </c>
      <c r="N1054" s="226">
        <f t="shared" si="139"/>
        <v>6062.0775623268701</v>
      </c>
      <c r="O1054" s="34">
        <v>0.3</v>
      </c>
      <c r="P1054" s="226">
        <f t="shared" si="138"/>
        <v>7880.7008310249312</v>
      </c>
      <c r="Q1054" s="107" t="s">
        <v>1486</v>
      </c>
      <c r="R1054" s="34">
        <v>0.3</v>
      </c>
      <c r="S1054" s="226">
        <f t="shared" si="140"/>
        <v>6252.6</v>
      </c>
      <c r="T1054" s="156" t="s">
        <v>1486</v>
      </c>
      <c r="U1054" s="2" t="s">
        <v>50</v>
      </c>
      <c r="V1054" s="2" t="s">
        <v>47</v>
      </c>
      <c r="W1054" s="2" t="s">
        <v>3965</v>
      </c>
      <c r="X1054" s="2"/>
      <c r="Y1054" s="488" t="s">
        <v>1486</v>
      </c>
      <c r="Z1054" s="293"/>
      <c r="AA1054" s="293"/>
    </row>
    <row r="1055" spans="1:27" s="320" customFormat="1" x14ac:dyDescent="0.25">
      <c r="A1055" s="220" t="s">
        <v>3903</v>
      </c>
      <c r="B1055" s="221" t="s">
        <v>3811</v>
      </c>
      <c r="C1055" s="223" t="s">
        <v>3934</v>
      </c>
      <c r="D1055" s="220" t="s">
        <v>1646</v>
      </c>
      <c r="E1055" s="222">
        <v>1</v>
      </c>
      <c r="F1055" s="192">
        <v>14448</v>
      </c>
      <c r="G1055" s="24">
        <v>0.2</v>
      </c>
      <c r="H1055" s="24">
        <v>0.05</v>
      </c>
      <c r="I1055" s="24">
        <v>0.05</v>
      </c>
      <c r="J1055" s="24">
        <v>0</v>
      </c>
      <c r="K1055" s="224">
        <f t="shared" si="135"/>
        <v>0.27800000000000002</v>
      </c>
      <c r="L1055" s="225">
        <f t="shared" si="136"/>
        <v>20011.080332409972</v>
      </c>
      <c r="M1055" s="225">
        <f t="shared" si="137"/>
        <v>20011.080332409972</v>
      </c>
      <c r="N1055" s="226">
        <f t="shared" si="139"/>
        <v>23813.185595567866</v>
      </c>
      <c r="O1055" s="34">
        <v>0.3</v>
      </c>
      <c r="P1055" s="226">
        <f t="shared" si="138"/>
        <v>30957.141274238227</v>
      </c>
      <c r="Q1055" s="107" t="s">
        <v>1486</v>
      </c>
      <c r="R1055" s="34">
        <v>0.3</v>
      </c>
      <c r="S1055" s="226">
        <f t="shared" si="140"/>
        <v>24561.599999999999</v>
      </c>
      <c r="T1055" s="156" t="s">
        <v>1486</v>
      </c>
      <c r="U1055" s="2" t="s">
        <v>50</v>
      </c>
      <c r="V1055" s="2" t="s">
        <v>47</v>
      </c>
      <c r="W1055" s="2" t="s">
        <v>5882</v>
      </c>
      <c r="X1055" s="2"/>
      <c r="Y1055" s="488" t="s">
        <v>1486</v>
      </c>
      <c r="Z1055" s="293"/>
      <c r="AA1055" s="293"/>
    </row>
    <row r="1056" spans="1:27" s="320" customFormat="1" x14ac:dyDescent="0.25">
      <c r="A1056" s="220" t="s">
        <v>3904</v>
      </c>
      <c r="B1056" s="221" t="s">
        <v>3985</v>
      </c>
      <c r="C1056" s="223" t="s">
        <v>3934</v>
      </c>
      <c r="D1056" s="220" t="s">
        <v>1646</v>
      </c>
      <c r="E1056" s="222">
        <v>12</v>
      </c>
      <c r="F1056" s="192">
        <v>2408</v>
      </c>
      <c r="G1056" s="24">
        <v>0.2</v>
      </c>
      <c r="H1056" s="24">
        <v>0.05</v>
      </c>
      <c r="I1056" s="24">
        <v>0.05</v>
      </c>
      <c r="J1056" s="24">
        <v>0</v>
      </c>
      <c r="K1056" s="224">
        <f t="shared" si="135"/>
        <v>0.27800000000000014</v>
      </c>
      <c r="L1056" s="225">
        <f t="shared" si="136"/>
        <v>40022.160664819952</v>
      </c>
      <c r="M1056" s="225">
        <f t="shared" si="137"/>
        <v>3335.1800554016627</v>
      </c>
      <c r="N1056" s="226">
        <f t="shared" si="139"/>
        <v>3968.8642659279785</v>
      </c>
      <c r="O1056" s="34">
        <v>0.3</v>
      </c>
      <c r="P1056" s="226">
        <f t="shared" si="138"/>
        <v>5159.5235457063718</v>
      </c>
      <c r="Q1056" s="107" t="s">
        <v>1486</v>
      </c>
      <c r="R1056" s="34">
        <v>0.3</v>
      </c>
      <c r="S1056" s="226">
        <f t="shared" si="140"/>
        <v>4093.6</v>
      </c>
      <c r="T1056" s="156" t="s">
        <v>1486</v>
      </c>
      <c r="U1056" s="2" t="s">
        <v>50</v>
      </c>
      <c r="V1056" s="2" t="s">
        <v>47</v>
      </c>
      <c r="W1056" s="2" t="s">
        <v>5882</v>
      </c>
      <c r="X1056" s="2" t="s">
        <v>1467</v>
      </c>
      <c r="Y1056" s="488" t="s">
        <v>1486</v>
      </c>
      <c r="Z1056" s="293"/>
      <c r="AA1056" s="293"/>
    </row>
    <row r="1057" spans="1:27" s="320" customFormat="1" x14ac:dyDescent="0.25">
      <c r="A1057" s="220" t="s">
        <v>3905</v>
      </c>
      <c r="B1057" s="221" t="s">
        <v>3812</v>
      </c>
      <c r="C1057" s="223" t="s">
        <v>3934</v>
      </c>
      <c r="D1057" s="220" t="s">
        <v>1646</v>
      </c>
      <c r="E1057" s="222">
        <v>1</v>
      </c>
      <c r="F1057" s="192">
        <v>13408</v>
      </c>
      <c r="G1057" s="24">
        <v>0.2</v>
      </c>
      <c r="H1057" s="24">
        <v>0.05</v>
      </c>
      <c r="I1057" s="24">
        <v>0.05</v>
      </c>
      <c r="J1057" s="24">
        <v>0</v>
      </c>
      <c r="K1057" s="224">
        <f t="shared" si="135"/>
        <v>0.27800000000000014</v>
      </c>
      <c r="L1057" s="225">
        <f t="shared" si="136"/>
        <v>18570.637119113577</v>
      </c>
      <c r="M1057" s="225">
        <f t="shared" si="137"/>
        <v>18570.637119113577</v>
      </c>
      <c r="N1057" s="226">
        <f t="shared" si="139"/>
        <v>22099.058171745157</v>
      </c>
      <c r="O1057" s="34">
        <v>0.3</v>
      </c>
      <c r="P1057" s="226">
        <f t="shared" si="138"/>
        <v>28728.775623268706</v>
      </c>
      <c r="Q1057" s="107" t="s">
        <v>1486</v>
      </c>
      <c r="R1057" s="34">
        <v>0.3</v>
      </c>
      <c r="S1057" s="226">
        <f t="shared" si="140"/>
        <v>22793.599999999999</v>
      </c>
      <c r="T1057" s="156" t="s">
        <v>1486</v>
      </c>
      <c r="U1057" s="2" t="s">
        <v>50</v>
      </c>
      <c r="V1057" s="2" t="s">
        <v>47</v>
      </c>
      <c r="W1057" s="2" t="s">
        <v>5882</v>
      </c>
      <c r="X1057" s="2"/>
      <c r="Y1057" s="488" t="s">
        <v>1486</v>
      </c>
      <c r="Z1057" s="293"/>
      <c r="AA1057" s="293"/>
    </row>
    <row r="1058" spans="1:27" s="320" customFormat="1" x14ac:dyDescent="0.25">
      <c r="A1058" s="220" t="s">
        <v>3906</v>
      </c>
      <c r="B1058" s="221" t="s">
        <v>3813</v>
      </c>
      <c r="C1058" s="223" t="s">
        <v>3934</v>
      </c>
      <c r="D1058" s="220" t="s">
        <v>1646</v>
      </c>
      <c r="E1058" s="222">
        <v>12</v>
      </c>
      <c r="F1058" s="192">
        <v>2408</v>
      </c>
      <c r="G1058" s="24">
        <v>0.2</v>
      </c>
      <c r="H1058" s="24">
        <v>0.05</v>
      </c>
      <c r="I1058" s="24">
        <v>0.05</v>
      </c>
      <c r="J1058" s="24">
        <v>0</v>
      </c>
      <c r="K1058" s="224">
        <f t="shared" si="135"/>
        <v>0.27800000000000014</v>
      </c>
      <c r="L1058" s="225">
        <f t="shared" si="136"/>
        <v>40022.160664819952</v>
      </c>
      <c r="M1058" s="225">
        <f t="shared" si="137"/>
        <v>3335.1800554016627</v>
      </c>
      <c r="N1058" s="226">
        <f t="shared" si="139"/>
        <v>3968.8642659279785</v>
      </c>
      <c r="O1058" s="34">
        <v>0.3</v>
      </c>
      <c r="P1058" s="226">
        <f t="shared" si="138"/>
        <v>5159.5235457063718</v>
      </c>
      <c r="Q1058" s="107" t="s">
        <v>1486</v>
      </c>
      <c r="R1058" s="34">
        <v>0.3</v>
      </c>
      <c r="S1058" s="226">
        <f t="shared" si="140"/>
        <v>4093.6</v>
      </c>
      <c r="T1058" s="156" t="s">
        <v>1486</v>
      </c>
      <c r="U1058" s="2" t="s">
        <v>50</v>
      </c>
      <c r="V1058" s="2" t="s">
        <v>47</v>
      </c>
      <c r="W1058" s="2" t="s">
        <v>5882</v>
      </c>
      <c r="X1058" s="2"/>
      <c r="Y1058" s="488" t="s">
        <v>1486</v>
      </c>
      <c r="Z1058" s="293"/>
      <c r="AA1058" s="293"/>
    </row>
    <row r="1059" spans="1:27" s="320" customFormat="1" x14ac:dyDescent="0.25">
      <c r="A1059" s="220" t="s">
        <v>3907</v>
      </c>
      <c r="B1059" s="221" t="s">
        <v>3814</v>
      </c>
      <c r="C1059" s="223" t="s">
        <v>3934</v>
      </c>
      <c r="D1059" s="220" t="s">
        <v>1646</v>
      </c>
      <c r="E1059" s="222">
        <v>1</v>
      </c>
      <c r="F1059" s="192">
        <v>13408</v>
      </c>
      <c r="G1059" s="24">
        <v>0.2</v>
      </c>
      <c r="H1059" s="24">
        <v>0.05</v>
      </c>
      <c r="I1059" s="24">
        <v>0.05</v>
      </c>
      <c r="J1059" s="24">
        <v>0</v>
      </c>
      <c r="K1059" s="224">
        <f t="shared" si="135"/>
        <v>0.27800000000000014</v>
      </c>
      <c r="L1059" s="225">
        <f t="shared" si="136"/>
        <v>18570.637119113577</v>
      </c>
      <c r="M1059" s="225">
        <f t="shared" si="137"/>
        <v>18570.637119113577</v>
      </c>
      <c r="N1059" s="226">
        <f t="shared" si="139"/>
        <v>22099.058171745157</v>
      </c>
      <c r="O1059" s="34">
        <v>0.3</v>
      </c>
      <c r="P1059" s="226">
        <f t="shared" si="138"/>
        <v>28728.775623268706</v>
      </c>
      <c r="Q1059" s="107" t="s">
        <v>1486</v>
      </c>
      <c r="R1059" s="34">
        <v>0.3</v>
      </c>
      <c r="S1059" s="226">
        <f t="shared" si="140"/>
        <v>22793.599999999999</v>
      </c>
      <c r="T1059" s="156" t="s">
        <v>1486</v>
      </c>
      <c r="U1059" s="2" t="s">
        <v>50</v>
      </c>
      <c r="V1059" s="2" t="s">
        <v>47</v>
      </c>
      <c r="W1059" s="2" t="s">
        <v>5882</v>
      </c>
      <c r="X1059" s="2"/>
      <c r="Y1059" s="488" t="s">
        <v>1486</v>
      </c>
      <c r="Z1059" s="293"/>
      <c r="AA1059" s="293"/>
    </row>
    <row r="1060" spans="1:27" s="320" customFormat="1" x14ac:dyDescent="0.25">
      <c r="A1060" s="220" t="s">
        <v>3908</v>
      </c>
      <c r="B1060" s="221" t="s">
        <v>3815</v>
      </c>
      <c r="C1060" s="223" t="s">
        <v>3934</v>
      </c>
      <c r="D1060" s="220" t="s">
        <v>1646</v>
      </c>
      <c r="E1060" s="222">
        <v>12</v>
      </c>
      <c r="F1060" s="192">
        <v>2440</v>
      </c>
      <c r="G1060" s="24">
        <v>0.2</v>
      </c>
      <c r="H1060" s="24">
        <v>0.05</v>
      </c>
      <c r="I1060" s="24">
        <v>0.05</v>
      </c>
      <c r="J1060" s="24">
        <v>0</v>
      </c>
      <c r="K1060" s="224">
        <f t="shared" si="135"/>
        <v>0.27800000000000014</v>
      </c>
      <c r="L1060" s="225">
        <f t="shared" si="136"/>
        <v>40554.016620498616</v>
      </c>
      <c r="M1060" s="225">
        <f t="shared" si="137"/>
        <v>3379.5013850415517</v>
      </c>
      <c r="N1060" s="226">
        <f t="shared" si="139"/>
        <v>4021.6066481994462</v>
      </c>
      <c r="O1060" s="34">
        <v>0.3</v>
      </c>
      <c r="P1060" s="226">
        <f t="shared" si="138"/>
        <v>5228.0886426592806</v>
      </c>
      <c r="Q1060" s="107" t="s">
        <v>1486</v>
      </c>
      <c r="R1060" s="34">
        <v>0.3</v>
      </c>
      <c r="S1060" s="226">
        <f t="shared" si="140"/>
        <v>4148</v>
      </c>
      <c r="T1060" s="156" t="s">
        <v>1486</v>
      </c>
      <c r="U1060" s="2" t="s">
        <v>50</v>
      </c>
      <c r="V1060" s="2" t="s">
        <v>47</v>
      </c>
      <c r="W1060" s="2" t="s">
        <v>5882</v>
      </c>
      <c r="X1060" s="2"/>
      <c r="Y1060" s="488" t="s">
        <v>1486</v>
      </c>
      <c r="Z1060" s="293"/>
      <c r="AA1060" s="293"/>
    </row>
    <row r="1061" spans="1:27" s="320" customFormat="1" x14ac:dyDescent="0.25">
      <c r="A1061" s="220" t="s">
        <v>3909</v>
      </c>
      <c r="B1061" s="221" t="s">
        <v>3820</v>
      </c>
      <c r="C1061" s="223" t="s">
        <v>3934</v>
      </c>
      <c r="D1061" s="220" t="s">
        <v>1646</v>
      </c>
      <c r="E1061" s="222">
        <v>1</v>
      </c>
      <c r="F1061" s="192">
        <v>10832</v>
      </c>
      <c r="G1061" s="24">
        <v>0.2</v>
      </c>
      <c r="H1061" s="24">
        <v>0.05</v>
      </c>
      <c r="I1061" s="24">
        <v>0.05</v>
      </c>
      <c r="J1061" s="24">
        <v>0</v>
      </c>
      <c r="K1061" s="224">
        <f t="shared" si="135"/>
        <v>0.27800000000000002</v>
      </c>
      <c r="L1061" s="225">
        <f t="shared" si="136"/>
        <v>15002.770083102494</v>
      </c>
      <c r="M1061" s="225">
        <f t="shared" si="137"/>
        <v>15002.770083102494</v>
      </c>
      <c r="N1061" s="226">
        <f t="shared" si="139"/>
        <v>17853.296398891966</v>
      </c>
      <c r="O1061" s="34">
        <v>0.3</v>
      </c>
      <c r="P1061" s="226">
        <f t="shared" si="138"/>
        <v>23209.285318559556</v>
      </c>
      <c r="Q1061" s="107" t="s">
        <v>1486</v>
      </c>
      <c r="R1061" s="34">
        <v>0.3</v>
      </c>
      <c r="S1061" s="226">
        <f t="shared" si="140"/>
        <v>18414.400000000001</v>
      </c>
      <c r="T1061" s="156" t="s">
        <v>1486</v>
      </c>
      <c r="U1061" s="2" t="s">
        <v>50</v>
      </c>
      <c r="V1061" s="2" t="s">
        <v>47</v>
      </c>
      <c r="W1061" s="2" t="s">
        <v>5882</v>
      </c>
      <c r="X1061" s="2"/>
      <c r="Y1061" s="488" t="s">
        <v>1486</v>
      </c>
      <c r="Z1061" s="293"/>
      <c r="AA1061" s="293"/>
    </row>
    <row r="1062" spans="1:27" s="320" customFormat="1" x14ac:dyDescent="0.25">
      <c r="A1062" s="220" t="s">
        <v>3910</v>
      </c>
      <c r="B1062" s="221" t="s">
        <v>3816</v>
      </c>
      <c r="C1062" s="223" t="s">
        <v>3934</v>
      </c>
      <c r="D1062" s="220" t="s">
        <v>1646</v>
      </c>
      <c r="E1062" s="222">
        <v>12</v>
      </c>
      <c r="F1062" s="192">
        <v>1860</v>
      </c>
      <c r="G1062" s="24">
        <v>0.2</v>
      </c>
      <c r="H1062" s="24">
        <v>0.05</v>
      </c>
      <c r="I1062" s="24">
        <v>0.05</v>
      </c>
      <c r="J1062" s="24">
        <v>0</v>
      </c>
      <c r="K1062" s="224">
        <f t="shared" si="135"/>
        <v>0.27800000000000002</v>
      </c>
      <c r="L1062" s="225">
        <f t="shared" si="136"/>
        <v>30914.12742382272</v>
      </c>
      <c r="M1062" s="225">
        <f t="shared" si="137"/>
        <v>2576.1772853185598</v>
      </c>
      <c r="N1062" s="226">
        <f t="shared" si="139"/>
        <v>3065.6509695290861</v>
      </c>
      <c r="O1062" s="34">
        <v>0.3</v>
      </c>
      <c r="P1062" s="226">
        <f t="shared" si="138"/>
        <v>3985.346260387812</v>
      </c>
      <c r="Q1062" s="107" t="s">
        <v>1486</v>
      </c>
      <c r="R1062" s="34">
        <v>0.3</v>
      </c>
      <c r="S1062" s="226">
        <f t="shared" si="140"/>
        <v>3162</v>
      </c>
      <c r="T1062" s="156" t="s">
        <v>1486</v>
      </c>
      <c r="U1062" s="2" t="s">
        <v>50</v>
      </c>
      <c r="V1062" s="2" t="s">
        <v>47</v>
      </c>
      <c r="W1062" s="2" t="s">
        <v>5882</v>
      </c>
      <c r="X1062" s="2"/>
      <c r="Y1062" s="488" t="s">
        <v>1486</v>
      </c>
      <c r="Z1062" s="293"/>
      <c r="AA1062" s="293"/>
    </row>
    <row r="1063" spans="1:27" s="320" customFormat="1" x14ac:dyDescent="0.25">
      <c r="A1063" s="220" t="s">
        <v>3911</v>
      </c>
      <c r="B1063" s="221" t="s">
        <v>3817</v>
      </c>
      <c r="C1063" s="223" t="s">
        <v>3934</v>
      </c>
      <c r="D1063" s="220" t="s">
        <v>1646</v>
      </c>
      <c r="E1063" s="222">
        <v>12</v>
      </c>
      <c r="F1063" s="192">
        <v>2532</v>
      </c>
      <c r="G1063" s="24">
        <v>0.2</v>
      </c>
      <c r="H1063" s="24">
        <v>0.05</v>
      </c>
      <c r="I1063" s="24">
        <v>0.05</v>
      </c>
      <c r="J1063" s="24">
        <v>0</v>
      </c>
      <c r="K1063" s="224">
        <f t="shared" si="135"/>
        <v>0.27800000000000014</v>
      </c>
      <c r="L1063" s="225">
        <f t="shared" si="136"/>
        <v>42083.102493074795</v>
      </c>
      <c r="M1063" s="225">
        <f t="shared" si="137"/>
        <v>3506.9252077562332</v>
      </c>
      <c r="N1063" s="226">
        <f t="shared" si="139"/>
        <v>4173.2409972299174</v>
      </c>
      <c r="O1063" s="34">
        <v>0.3</v>
      </c>
      <c r="P1063" s="226">
        <f t="shared" si="138"/>
        <v>5425.2132963988925</v>
      </c>
      <c r="Q1063" s="107" t="s">
        <v>1486</v>
      </c>
      <c r="R1063" s="34">
        <v>0.3</v>
      </c>
      <c r="S1063" s="226">
        <f t="shared" si="140"/>
        <v>4304.3999999999996</v>
      </c>
      <c r="T1063" s="156" t="s">
        <v>1486</v>
      </c>
      <c r="U1063" s="2" t="s">
        <v>50</v>
      </c>
      <c r="V1063" s="2" t="s">
        <v>47</v>
      </c>
      <c r="W1063" s="2" t="s">
        <v>5882</v>
      </c>
      <c r="X1063" s="2"/>
      <c r="Y1063" s="488" t="s">
        <v>1486</v>
      </c>
      <c r="Z1063" s="293"/>
      <c r="AA1063" s="293"/>
    </row>
    <row r="1064" spans="1:27" s="320" customFormat="1" x14ac:dyDescent="0.25">
      <c r="A1064" s="220" t="s">
        <v>3912</v>
      </c>
      <c r="B1064" s="221" t="s">
        <v>3818</v>
      </c>
      <c r="C1064" s="223" t="s">
        <v>3934</v>
      </c>
      <c r="D1064" s="220" t="s">
        <v>1646</v>
      </c>
      <c r="E1064" s="222">
        <v>10</v>
      </c>
      <c r="F1064" s="192">
        <v>3392</v>
      </c>
      <c r="G1064" s="24">
        <v>0.2</v>
      </c>
      <c r="H1064" s="24">
        <v>0.05</v>
      </c>
      <c r="I1064" s="24">
        <v>0.05</v>
      </c>
      <c r="J1064" s="24">
        <v>0</v>
      </c>
      <c r="K1064" s="224">
        <f t="shared" si="135"/>
        <v>0.27800000000000014</v>
      </c>
      <c r="L1064" s="225">
        <f t="shared" si="136"/>
        <v>46980.609418282555</v>
      </c>
      <c r="M1064" s="225">
        <f t="shared" si="137"/>
        <v>4698.0609418282556</v>
      </c>
      <c r="N1064" s="226">
        <f t="shared" si="139"/>
        <v>5590.692520775624</v>
      </c>
      <c r="O1064" s="34">
        <v>0.3</v>
      </c>
      <c r="P1064" s="226">
        <f t="shared" si="138"/>
        <v>7267.9002770083116</v>
      </c>
      <c r="Q1064" s="107" t="s">
        <v>1486</v>
      </c>
      <c r="R1064" s="34">
        <v>0.3</v>
      </c>
      <c r="S1064" s="226">
        <f t="shared" si="140"/>
        <v>5766.4000000000005</v>
      </c>
      <c r="T1064" s="156" t="s">
        <v>1486</v>
      </c>
      <c r="U1064" s="2" t="s">
        <v>50</v>
      </c>
      <c r="V1064" s="2" t="s">
        <v>47</v>
      </c>
      <c r="W1064" s="2" t="s">
        <v>5882</v>
      </c>
      <c r="X1064" s="2"/>
      <c r="Y1064" s="488" t="s">
        <v>1486</v>
      </c>
      <c r="Z1064" s="293"/>
      <c r="AA1064" s="293"/>
    </row>
    <row r="1065" spans="1:27" s="320" customFormat="1" x14ac:dyDescent="0.25">
      <c r="A1065" s="220" t="s">
        <v>3913</v>
      </c>
      <c r="B1065" s="221" t="s">
        <v>3819</v>
      </c>
      <c r="C1065" s="223" t="s">
        <v>3934</v>
      </c>
      <c r="D1065" s="220" t="s">
        <v>1646</v>
      </c>
      <c r="E1065" s="222">
        <v>10</v>
      </c>
      <c r="F1065" s="192">
        <v>3392</v>
      </c>
      <c r="G1065" s="24">
        <v>0.2</v>
      </c>
      <c r="H1065" s="24">
        <v>0.05</v>
      </c>
      <c r="I1065" s="24">
        <v>0.05</v>
      </c>
      <c r="J1065" s="24">
        <v>0</v>
      </c>
      <c r="K1065" s="224">
        <f t="shared" si="135"/>
        <v>0.27800000000000014</v>
      </c>
      <c r="L1065" s="225">
        <f t="shared" si="136"/>
        <v>46980.609418282555</v>
      </c>
      <c r="M1065" s="225">
        <f t="shared" si="137"/>
        <v>4698.0609418282556</v>
      </c>
      <c r="N1065" s="226">
        <f t="shared" si="139"/>
        <v>5590.692520775624</v>
      </c>
      <c r="O1065" s="34">
        <v>0.3</v>
      </c>
      <c r="P1065" s="226">
        <f t="shared" si="138"/>
        <v>7267.9002770083116</v>
      </c>
      <c r="Q1065" s="107" t="s">
        <v>1486</v>
      </c>
      <c r="R1065" s="34">
        <v>0.3</v>
      </c>
      <c r="S1065" s="226">
        <f t="shared" si="140"/>
        <v>5766.4000000000005</v>
      </c>
      <c r="T1065" s="156" t="s">
        <v>1486</v>
      </c>
      <c r="U1065" s="2" t="s">
        <v>50</v>
      </c>
      <c r="V1065" s="2" t="s">
        <v>47</v>
      </c>
      <c r="W1065" s="2" t="s">
        <v>5882</v>
      </c>
      <c r="X1065" s="2"/>
      <c r="Y1065" s="488" t="s">
        <v>1486</v>
      </c>
      <c r="Z1065" s="293"/>
      <c r="AA1065" s="293"/>
    </row>
    <row r="1066" spans="1:27" s="320" customFormat="1" x14ac:dyDescent="0.25">
      <c r="A1066" s="220" t="s">
        <v>3914</v>
      </c>
      <c r="B1066" s="221" t="s">
        <v>3810</v>
      </c>
      <c r="C1066" s="223" t="s">
        <v>3934</v>
      </c>
      <c r="D1066" s="220" t="s">
        <v>1646</v>
      </c>
      <c r="E1066" s="222">
        <v>8</v>
      </c>
      <c r="F1066" s="192">
        <v>788</v>
      </c>
      <c r="G1066" s="24">
        <v>0.2</v>
      </c>
      <c r="H1066" s="24">
        <v>0.05</v>
      </c>
      <c r="I1066" s="24">
        <v>0.05</v>
      </c>
      <c r="J1066" s="24">
        <v>0</v>
      </c>
      <c r="K1066" s="224">
        <f t="shared" si="135"/>
        <v>0.27800000000000002</v>
      </c>
      <c r="L1066" s="225">
        <f t="shared" si="136"/>
        <v>8731.3019390581721</v>
      </c>
      <c r="M1066" s="225">
        <f t="shared" si="137"/>
        <v>1091.4127423822715</v>
      </c>
      <c r="N1066" s="226">
        <f t="shared" si="139"/>
        <v>1298.781163434903</v>
      </c>
      <c r="O1066" s="34">
        <v>0.3</v>
      </c>
      <c r="P1066" s="226">
        <f t="shared" si="138"/>
        <v>1688.4155124653739</v>
      </c>
      <c r="Q1066" s="107" t="s">
        <v>1486</v>
      </c>
      <c r="R1066" s="34">
        <v>0.3</v>
      </c>
      <c r="S1066" s="226">
        <f t="shared" si="140"/>
        <v>1339.6</v>
      </c>
      <c r="T1066" s="156" t="s">
        <v>1486</v>
      </c>
      <c r="U1066" s="2" t="s">
        <v>50</v>
      </c>
      <c r="V1066" s="2" t="s">
        <v>47</v>
      </c>
      <c r="W1066" s="2" t="s">
        <v>5882</v>
      </c>
      <c r="X1066" s="2"/>
      <c r="Y1066" s="488" t="s">
        <v>1486</v>
      </c>
      <c r="Z1066" s="293"/>
      <c r="AA1066" s="293"/>
    </row>
    <row r="1067" spans="1:27" s="320" customFormat="1" x14ac:dyDescent="0.25">
      <c r="A1067" s="220" t="s">
        <v>3915</v>
      </c>
      <c r="B1067" s="221" t="s">
        <v>5981</v>
      </c>
      <c r="C1067" s="223" t="s">
        <v>3934</v>
      </c>
      <c r="D1067" s="220" t="s">
        <v>1646</v>
      </c>
      <c r="E1067" s="222">
        <v>4</v>
      </c>
      <c r="F1067" s="192">
        <v>16280</v>
      </c>
      <c r="G1067" s="24">
        <v>0.2</v>
      </c>
      <c r="H1067" s="24">
        <v>0.05</v>
      </c>
      <c r="I1067" s="24">
        <v>0.05</v>
      </c>
      <c r="J1067" s="24">
        <v>0</v>
      </c>
      <c r="K1067" s="224">
        <f t="shared" si="135"/>
        <v>0.27800000000000002</v>
      </c>
      <c r="L1067" s="225">
        <f t="shared" si="136"/>
        <v>90193.905817174513</v>
      </c>
      <c r="M1067" s="225">
        <f t="shared" si="137"/>
        <v>22548.476454293628</v>
      </c>
      <c r="N1067" s="226">
        <f t="shared" si="139"/>
        <v>26832.686980609415</v>
      </c>
      <c r="O1067" s="34">
        <v>0.3</v>
      </c>
      <c r="P1067" s="226">
        <f t="shared" si="138"/>
        <v>34882.493074792241</v>
      </c>
      <c r="Q1067" s="107" t="s">
        <v>1486</v>
      </c>
      <c r="R1067" s="34">
        <v>0.3</v>
      </c>
      <c r="S1067" s="226">
        <f t="shared" si="140"/>
        <v>27676</v>
      </c>
      <c r="T1067" s="156" t="s">
        <v>1486</v>
      </c>
      <c r="U1067" s="2">
        <v>17</v>
      </c>
      <c r="V1067" s="2" t="s">
        <v>47</v>
      </c>
      <c r="W1067" s="2" t="s">
        <v>5883</v>
      </c>
      <c r="X1067" s="2" t="s">
        <v>5965</v>
      </c>
      <c r="Y1067" s="488" t="s">
        <v>1486</v>
      </c>
      <c r="Z1067" s="293"/>
      <c r="AA1067" s="293"/>
    </row>
    <row r="1068" spans="1:27" s="320" customFormat="1" x14ac:dyDescent="0.25">
      <c r="A1068" s="220" t="s">
        <v>3916</v>
      </c>
      <c r="B1068" s="221" t="s">
        <v>3827</v>
      </c>
      <c r="C1068" s="223" t="s">
        <v>3934</v>
      </c>
      <c r="D1068" s="220" t="s">
        <v>1646</v>
      </c>
      <c r="E1068" s="222">
        <v>30</v>
      </c>
      <c r="F1068" s="192">
        <v>628</v>
      </c>
      <c r="G1068" s="24">
        <v>0.2</v>
      </c>
      <c r="H1068" s="24">
        <v>0.05</v>
      </c>
      <c r="I1068" s="24">
        <v>0.05</v>
      </c>
      <c r="J1068" s="24">
        <v>0</v>
      </c>
      <c r="K1068" s="224">
        <f t="shared" si="135"/>
        <v>0.27800000000000014</v>
      </c>
      <c r="L1068" s="225">
        <f t="shared" si="136"/>
        <v>26094.182825484768</v>
      </c>
      <c r="M1068" s="225">
        <f t="shared" si="137"/>
        <v>869.80609418282563</v>
      </c>
      <c r="N1068" s="226">
        <f t="shared" si="139"/>
        <v>1035.0692520775624</v>
      </c>
      <c r="O1068" s="34">
        <v>0.3</v>
      </c>
      <c r="P1068" s="226">
        <f t="shared" si="138"/>
        <v>1345.5900277008311</v>
      </c>
      <c r="Q1068" s="107" t="s">
        <v>1486</v>
      </c>
      <c r="R1068" s="34">
        <v>0.3</v>
      </c>
      <c r="S1068" s="226">
        <f t="shared" si="140"/>
        <v>1067.6000000000001</v>
      </c>
      <c r="T1068" s="156" t="s">
        <v>1486</v>
      </c>
      <c r="U1068" s="2">
        <v>2</v>
      </c>
      <c r="V1068" s="2" t="s">
        <v>47</v>
      </c>
      <c r="W1068" s="2" t="s">
        <v>5883</v>
      </c>
      <c r="X1068" s="2"/>
      <c r="Y1068" s="488" t="s">
        <v>1486</v>
      </c>
      <c r="Z1068" s="293"/>
      <c r="AA1068" s="293"/>
    </row>
    <row r="1069" spans="1:27" s="320" customFormat="1" x14ac:dyDescent="0.25">
      <c r="A1069" s="220" t="s">
        <v>3917</v>
      </c>
      <c r="B1069" s="221" t="s">
        <v>3828</v>
      </c>
      <c r="C1069" s="223" t="s">
        <v>3934</v>
      </c>
      <c r="D1069" s="220" t="s">
        <v>1646</v>
      </c>
      <c r="E1069" s="222">
        <v>15</v>
      </c>
      <c r="F1069" s="192">
        <v>2248</v>
      </c>
      <c r="G1069" s="24">
        <v>0.2</v>
      </c>
      <c r="H1069" s="24">
        <v>0.05</v>
      </c>
      <c r="I1069" s="24">
        <v>0.05</v>
      </c>
      <c r="J1069" s="24">
        <v>0</v>
      </c>
      <c r="K1069" s="224">
        <f t="shared" si="135"/>
        <v>0.27800000000000014</v>
      </c>
      <c r="L1069" s="225">
        <f t="shared" si="136"/>
        <v>46703.601108033246</v>
      </c>
      <c r="M1069" s="225">
        <f t="shared" si="137"/>
        <v>3113.5734072022165</v>
      </c>
      <c r="N1069" s="226">
        <f t="shared" si="139"/>
        <v>3705.1523545706373</v>
      </c>
      <c r="O1069" s="34">
        <v>0.3</v>
      </c>
      <c r="P1069" s="226">
        <f t="shared" si="138"/>
        <v>4816.6980609418288</v>
      </c>
      <c r="Q1069" s="107" t="s">
        <v>1486</v>
      </c>
      <c r="R1069" s="34">
        <v>0.3</v>
      </c>
      <c r="S1069" s="226">
        <f t="shared" si="140"/>
        <v>3821.6</v>
      </c>
      <c r="T1069" s="156" t="s">
        <v>1486</v>
      </c>
      <c r="U1069" s="2">
        <v>9</v>
      </c>
      <c r="V1069" s="2" t="s">
        <v>47</v>
      </c>
      <c r="W1069" s="2" t="s">
        <v>5883</v>
      </c>
      <c r="X1069" s="2" t="s">
        <v>101</v>
      </c>
      <c r="Y1069" s="488" t="s">
        <v>1486</v>
      </c>
      <c r="Z1069" s="293"/>
      <c r="AA1069" s="293"/>
    </row>
    <row r="1070" spans="1:27" s="320" customFormat="1" x14ac:dyDescent="0.25">
      <c r="A1070" s="220" t="s">
        <v>3918</v>
      </c>
      <c r="B1070" s="221" t="s">
        <v>3829</v>
      </c>
      <c r="C1070" s="223" t="s">
        <v>3934</v>
      </c>
      <c r="D1070" s="220" t="s">
        <v>1646</v>
      </c>
      <c r="E1070" s="222">
        <v>15</v>
      </c>
      <c r="F1070" s="192">
        <v>1496</v>
      </c>
      <c r="G1070" s="24">
        <v>0.2</v>
      </c>
      <c r="H1070" s="24">
        <v>0.05</v>
      </c>
      <c r="I1070" s="24">
        <v>0.05</v>
      </c>
      <c r="J1070" s="24">
        <v>0</v>
      </c>
      <c r="K1070" s="224">
        <f t="shared" si="135"/>
        <v>0.27800000000000002</v>
      </c>
      <c r="L1070" s="225">
        <f t="shared" si="136"/>
        <v>31080.332409972303</v>
      </c>
      <c r="M1070" s="225">
        <f t="shared" si="137"/>
        <v>2072.0221606648201</v>
      </c>
      <c r="N1070" s="226">
        <f t="shared" si="139"/>
        <v>2465.706371191136</v>
      </c>
      <c r="O1070" s="34">
        <v>0.3</v>
      </c>
      <c r="P1070" s="226">
        <f t="shared" si="138"/>
        <v>3205.4182825484768</v>
      </c>
      <c r="Q1070" s="107" t="s">
        <v>1486</v>
      </c>
      <c r="R1070" s="34">
        <v>0.3</v>
      </c>
      <c r="S1070" s="226">
        <f t="shared" si="140"/>
        <v>2543.2000000000003</v>
      </c>
      <c r="T1070" s="156" t="s">
        <v>1486</v>
      </c>
      <c r="U1070" s="2">
        <v>10</v>
      </c>
      <c r="V1070" s="2" t="s">
        <v>47</v>
      </c>
      <c r="W1070" s="2" t="s">
        <v>5883</v>
      </c>
      <c r="X1070" s="2" t="s">
        <v>101</v>
      </c>
      <c r="Y1070" s="488" t="s">
        <v>1486</v>
      </c>
      <c r="Z1070" s="293"/>
      <c r="AA1070" s="293"/>
    </row>
    <row r="1071" spans="1:27" s="320" customFormat="1" x14ac:dyDescent="0.25">
      <c r="A1071" s="220" t="s">
        <v>3919</v>
      </c>
      <c r="B1071" s="221" t="s">
        <v>3836</v>
      </c>
      <c r="C1071" s="223" t="s">
        <v>3934</v>
      </c>
      <c r="D1071" s="220" t="s">
        <v>1646</v>
      </c>
      <c r="E1071" s="222">
        <v>4</v>
      </c>
      <c r="F1071" s="192">
        <v>2020</v>
      </c>
      <c r="G1071" s="24">
        <v>0.2</v>
      </c>
      <c r="H1071" s="24">
        <v>0.05</v>
      </c>
      <c r="I1071" s="24">
        <v>0.05</v>
      </c>
      <c r="J1071" s="24">
        <v>0</v>
      </c>
      <c r="K1071" s="224">
        <f t="shared" si="135"/>
        <v>0.27800000000000014</v>
      </c>
      <c r="L1071" s="225">
        <f t="shared" si="136"/>
        <v>11191.135734072024</v>
      </c>
      <c r="M1071" s="225">
        <f t="shared" si="137"/>
        <v>2797.7839335180061</v>
      </c>
      <c r="N1071" s="226">
        <f t="shared" si="139"/>
        <v>3329.3628808864269</v>
      </c>
      <c r="O1071" s="34">
        <v>0.3</v>
      </c>
      <c r="P1071" s="226">
        <f t="shared" si="138"/>
        <v>4328.1717451523555</v>
      </c>
      <c r="Q1071" s="107" t="s">
        <v>1486</v>
      </c>
      <c r="R1071" s="34">
        <v>0.3</v>
      </c>
      <c r="S1071" s="226">
        <f t="shared" si="140"/>
        <v>3434</v>
      </c>
      <c r="T1071" s="156" t="s">
        <v>1486</v>
      </c>
      <c r="U1071" s="2" t="s">
        <v>50</v>
      </c>
      <c r="V1071" s="2" t="s">
        <v>47</v>
      </c>
      <c r="W1071" s="2" t="s">
        <v>5964</v>
      </c>
      <c r="X1071" s="2"/>
      <c r="Y1071" s="488" t="s">
        <v>1486</v>
      </c>
      <c r="Z1071" s="293"/>
      <c r="AA1071" s="293"/>
    </row>
    <row r="1072" spans="1:27" s="320" customFormat="1" x14ac:dyDescent="0.25">
      <c r="A1072" s="220" t="s">
        <v>3920</v>
      </c>
      <c r="B1072" s="221" t="s">
        <v>3821</v>
      </c>
      <c r="C1072" s="223" t="s">
        <v>3934</v>
      </c>
      <c r="D1072" s="220" t="s">
        <v>1646</v>
      </c>
      <c r="E1072" s="222">
        <v>1</v>
      </c>
      <c r="F1072" s="192">
        <v>29599</v>
      </c>
      <c r="G1072" s="24">
        <v>0.2</v>
      </c>
      <c r="H1072" s="24">
        <v>0.05</v>
      </c>
      <c r="I1072" s="24">
        <v>0.05</v>
      </c>
      <c r="J1072" s="24">
        <v>0</v>
      </c>
      <c r="K1072" s="224">
        <f t="shared" si="135"/>
        <v>0.27799999999999991</v>
      </c>
      <c r="L1072" s="225">
        <f t="shared" si="136"/>
        <v>40995.844875346258</v>
      </c>
      <c r="M1072" s="225">
        <f t="shared" si="137"/>
        <v>40995.844875346258</v>
      </c>
      <c r="N1072" s="226">
        <f t="shared" si="139"/>
        <v>48785.055401662044</v>
      </c>
      <c r="O1072" s="34">
        <v>0.3</v>
      </c>
      <c r="P1072" s="226">
        <f t="shared" si="138"/>
        <v>63420.572022160661</v>
      </c>
      <c r="Q1072" s="107" t="s">
        <v>1486</v>
      </c>
      <c r="R1072" s="34">
        <v>0.3</v>
      </c>
      <c r="S1072" s="226">
        <f t="shared" si="140"/>
        <v>50318.3</v>
      </c>
      <c r="T1072" s="156" t="s">
        <v>1486</v>
      </c>
      <c r="U1072" s="2" t="s">
        <v>50</v>
      </c>
      <c r="V1072" s="2" t="s">
        <v>47</v>
      </c>
      <c r="W1072" s="2" t="s">
        <v>2900</v>
      </c>
      <c r="X1072" s="2"/>
      <c r="Y1072" s="488" t="s">
        <v>1486</v>
      </c>
      <c r="Z1072" s="293"/>
      <c r="AA1072" s="293"/>
    </row>
    <row r="1073" spans="1:27" s="320" customFormat="1" x14ac:dyDescent="0.25">
      <c r="A1073" s="220" t="s">
        <v>3921</v>
      </c>
      <c r="B1073" s="221" t="s">
        <v>3822</v>
      </c>
      <c r="C1073" s="223" t="s">
        <v>3934</v>
      </c>
      <c r="D1073" s="220" t="s">
        <v>1646</v>
      </c>
      <c r="E1073" s="222">
        <v>1</v>
      </c>
      <c r="F1073" s="192">
        <v>14802</v>
      </c>
      <c r="G1073" s="24">
        <v>0.2</v>
      </c>
      <c r="H1073" s="24">
        <v>0.05</v>
      </c>
      <c r="I1073" s="24">
        <v>0.05</v>
      </c>
      <c r="J1073" s="24">
        <v>0</v>
      </c>
      <c r="K1073" s="224">
        <f t="shared" si="135"/>
        <v>0.27800000000000014</v>
      </c>
      <c r="L1073" s="225">
        <f t="shared" si="136"/>
        <v>20501.38504155125</v>
      </c>
      <c r="M1073" s="225">
        <f t="shared" si="137"/>
        <v>20501.38504155125</v>
      </c>
      <c r="N1073" s="226">
        <f t="shared" si="139"/>
        <v>24396.648199445986</v>
      </c>
      <c r="O1073" s="34">
        <v>0.3</v>
      </c>
      <c r="P1073" s="226">
        <f t="shared" si="138"/>
        <v>31715.642659279783</v>
      </c>
      <c r="Q1073" s="107" t="s">
        <v>1486</v>
      </c>
      <c r="R1073" s="34">
        <v>0.3</v>
      </c>
      <c r="S1073" s="226">
        <f t="shared" si="140"/>
        <v>25163.399999999998</v>
      </c>
      <c r="T1073" s="156" t="s">
        <v>1486</v>
      </c>
      <c r="U1073" s="2" t="s">
        <v>50</v>
      </c>
      <c r="V1073" s="2" t="s">
        <v>47</v>
      </c>
      <c r="W1073" s="2" t="s">
        <v>2900</v>
      </c>
      <c r="X1073" s="2"/>
      <c r="Y1073" s="488" t="s">
        <v>1486</v>
      </c>
      <c r="Z1073" s="293"/>
      <c r="AA1073" s="293"/>
    </row>
    <row r="1074" spans="1:27" s="320" customFormat="1" x14ac:dyDescent="0.25">
      <c r="A1074" s="220" t="s">
        <v>3922</v>
      </c>
      <c r="B1074" s="221" t="s">
        <v>3823</v>
      </c>
      <c r="C1074" s="223" t="s">
        <v>3934</v>
      </c>
      <c r="D1074" s="220" t="s">
        <v>1646</v>
      </c>
      <c r="E1074" s="222">
        <v>30</v>
      </c>
      <c r="F1074" s="192"/>
      <c r="G1074" s="24">
        <v>0.2</v>
      </c>
      <c r="H1074" s="24">
        <v>0.05</v>
      </c>
      <c r="I1074" s="24">
        <v>0.05</v>
      </c>
      <c r="J1074" s="24">
        <v>0</v>
      </c>
      <c r="K1074" s="224">
        <f t="shared" si="135"/>
        <v>0</v>
      </c>
      <c r="L1074" s="225">
        <f t="shared" si="136"/>
        <v>0</v>
      </c>
      <c r="M1074" s="225">
        <f t="shared" si="137"/>
        <v>0</v>
      </c>
      <c r="N1074" s="226">
        <f t="shared" si="139"/>
        <v>0</v>
      </c>
      <c r="O1074" s="34">
        <v>0.3</v>
      </c>
      <c r="P1074" s="226">
        <f t="shared" si="138"/>
        <v>0</v>
      </c>
      <c r="Q1074" s="107" t="s">
        <v>1486</v>
      </c>
      <c r="R1074" s="34">
        <v>0.3</v>
      </c>
      <c r="S1074" s="226">
        <f t="shared" si="140"/>
        <v>0</v>
      </c>
      <c r="T1074" s="156" t="s">
        <v>1486</v>
      </c>
      <c r="U1074" s="2" t="s">
        <v>109</v>
      </c>
      <c r="V1074" s="2" t="s">
        <v>47</v>
      </c>
      <c r="W1074" s="2" t="s">
        <v>3965</v>
      </c>
      <c r="X1074" s="2"/>
      <c r="Y1074" s="488" t="s">
        <v>1486</v>
      </c>
      <c r="Z1074" s="293"/>
      <c r="AA1074" s="293"/>
    </row>
    <row r="1075" spans="1:27" s="320" customFormat="1" x14ac:dyDescent="0.25">
      <c r="A1075" s="220" t="s">
        <v>3923</v>
      </c>
      <c r="B1075" s="221" t="s">
        <v>3824</v>
      </c>
      <c r="C1075" s="223" t="s">
        <v>3934</v>
      </c>
      <c r="D1075" s="220" t="s">
        <v>1646</v>
      </c>
      <c r="E1075" s="222">
        <v>30</v>
      </c>
      <c r="F1075" s="192"/>
      <c r="G1075" s="24">
        <v>0.2</v>
      </c>
      <c r="H1075" s="24">
        <v>0.05</v>
      </c>
      <c r="I1075" s="24">
        <v>0.05</v>
      </c>
      <c r="J1075" s="24">
        <v>0</v>
      </c>
      <c r="K1075" s="224">
        <f t="shared" si="135"/>
        <v>0</v>
      </c>
      <c r="L1075" s="225">
        <f t="shared" si="136"/>
        <v>0</v>
      </c>
      <c r="M1075" s="225">
        <f t="shared" si="137"/>
        <v>0</v>
      </c>
      <c r="N1075" s="226">
        <f t="shared" si="139"/>
        <v>0</v>
      </c>
      <c r="O1075" s="34">
        <v>0.3</v>
      </c>
      <c r="P1075" s="226">
        <f t="shared" si="138"/>
        <v>0</v>
      </c>
      <c r="Q1075" s="107" t="s">
        <v>1486</v>
      </c>
      <c r="R1075" s="34">
        <v>0.3</v>
      </c>
      <c r="S1075" s="226">
        <f t="shared" si="140"/>
        <v>0</v>
      </c>
      <c r="T1075" s="156" t="s">
        <v>1486</v>
      </c>
      <c r="U1075" s="2" t="s">
        <v>109</v>
      </c>
      <c r="V1075" s="2" t="s">
        <v>47</v>
      </c>
      <c r="W1075" s="2" t="s">
        <v>3965</v>
      </c>
      <c r="X1075" s="2"/>
      <c r="Y1075" s="488" t="s">
        <v>1486</v>
      </c>
      <c r="Z1075" s="293"/>
      <c r="AA1075" s="293"/>
    </row>
    <row r="1076" spans="1:27" s="320" customFormat="1" x14ac:dyDescent="0.25">
      <c r="A1076" s="220" t="s">
        <v>3924</v>
      </c>
      <c r="B1076" s="221" t="s">
        <v>3825</v>
      </c>
      <c r="C1076" s="223" t="s">
        <v>3934</v>
      </c>
      <c r="D1076" s="220" t="s">
        <v>1646</v>
      </c>
      <c r="E1076" s="222">
        <v>30</v>
      </c>
      <c r="F1076" s="192"/>
      <c r="G1076" s="24">
        <v>0.2</v>
      </c>
      <c r="H1076" s="24">
        <v>0.05</v>
      </c>
      <c r="I1076" s="24">
        <v>0.05</v>
      </c>
      <c r="J1076" s="24">
        <v>0</v>
      </c>
      <c r="K1076" s="224">
        <f t="shared" si="135"/>
        <v>0</v>
      </c>
      <c r="L1076" s="225">
        <f t="shared" si="136"/>
        <v>0</v>
      </c>
      <c r="M1076" s="225">
        <f t="shared" si="137"/>
        <v>0</v>
      </c>
      <c r="N1076" s="226">
        <f t="shared" si="139"/>
        <v>0</v>
      </c>
      <c r="O1076" s="34">
        <v>0.3</v>
      </c>
      <c r="P1076" s="226">
        <f t="shared" si="138"/>
        <v>0</v>
      </c>
      <c r="Q1076" s="107" t="s">
        <v>1486</v>
      </c>
      <c r="R1076" s="34">
        <v>0.3</v>
      </c>
      <c r="S1076" s="226">
        <f t="shared" si="140"/>
        <v>0</v>
      </c>
      <c r="T1076" s="156" t="s">
        <v>1486</v>
      </c>
      <c r="U1076" s="2" t="s">
        <v>109</v>
      </c>
      <c r="V1076" s="2" t="s">
        <v>47</v>
      </c>
      <c r="W1076" s="2" t="s">
        <v>3965</v>
      </c>
      <c r="X1076" s="2"/>
      <c r="Y1076" s="488" t="s">
        <v>1486</v>
      </c>
      <c r="Z1076" s="293"/>
      <c r="AA1076" s="293"/>
    </row>
    <row r="1077" spans="1:27" s="320" customFormat="1" x14ac:dyDescent="0.25">
      <c r="A1077" s="220" t="s">
        <v>3925</v>
      </c>
      <c r="B1077" s="221" t="s">
        <v>3935</v>
      </c>
      <c r="C1077" s="223" t="s">
        <v>3934</v>
      </c>
      <c r="D1077" s="220" t="s">
        <v>1646</v>
      </c>
      <c r="E1077" s="222">
        <v>10</v>
      </c>
      <c r="F1077" s="192">
        <v>1660</v>
      </c>
      <c r="G1077" s="24">
        <v>0.2</v>
      </c>
      <c r="H1077" s="24">
        <v>0.05</v>
      </c>
      <c r="I1077" s="24">
        <v>0.05</v>
      </c>
      <c r="J1077" s="24">
        <v>0</v>
      </c>
      <c r="K1077" s="224">
        <f t="shared" si="135"/>
        <v>0.27800000000000002</v>
      </c>
      <c r="L1077" s="225">
        <f t="shared" si="136"/>
        <v>22991.689750692523</v>
      </c>
      <c r="M1077" s="225">
        <f t="shared" si="137"/>
        <v>2299.1689750692522</v>
      </c>
      <c r="N1077" s="226">
        <f t="shared" si="139"/>
        <v>2736.0110803324101</v>
      </c>
      <c r="O1077" s="34">
        <v>0.3</v>
      </c>
      <c r="P1077" s="226">
        <f t="shared" si="138"/>
        <v>3556.8144044321334</v>
      </c>
      <c r="Q1077" s="107" t="s">
        <v>1486</v>
      </c>
      <c r="R1077" s="34">
        <v>0.3</v>
      </c>
      <c r="S1077" s="226">
        <f t="shared" si="140"/>
        <v>2822</v>
      </c>
      <c r="T1077" s="156" t="s">
        <v>1486</v>
      </c>
      <c r="U1077" s="2" t="s">
        <v>50</v>
      </c>
      <c r="V1077" s="2" t="s">
        <v>47</v>
      </c>
      <c r="W1077" s="2" t="s">
        <v>5882</v>
      </c>
      <c r="X1077" s="2"/>
      <c r="Y1077" s="488" t="s">
        <v>1486</v>
      </c>
      <c r="Z1077" s="293"/>
      <c r="AA1077" s="293"/>
    </row>
    <row r="1078" spans="1:27" s="320" customFormat="1" x14ac:dyDescent="0.25">
      <c r="A1078" s="220" t="s">
        <v>3926</v>
      </c>
      <c r="B1078" s="221" t="s">
        <v>3830</v>
      </c>
      <c r="C1078" s="223" t="s">
        <v>3934</v>
      </c>
      <c r="D1078" s="220" t="s">
        <v>1646</v>
      </c>
      <c r="E1078" s="222">
        <v>24</v>
      </c>
      <c r="F1078" s="192">
        <v>1128</v>
      </c>
      <c r="G1078" s="24">
        <v>0.2</v>
      </c>
      <c r="H1078" s="24">
        <v>0.05</v>
      </c>
      <c r="I1078" s="24">
        <v>0.05</v>
      </c>
      <c r="J1078" s="24">
        <v>0</v>
      </c>
      <c r="K1078" s="224">
        <f t="shared" si="135"/>
        <v>0.27800000000000014</v>
      </c>
      <c r="L1078" s="225">
        <f t="shared" si="136"/>
        <v>37495.844875346265</v>
      </c>
      <c r="M1078" s="225">
        <f t="shared" si="137"/>
        <v>1562.3268698060945</v>
      </c>
      <c r="N1078" s="226">
        <f t="shared" si="139"/>
        <v>1859.1689750692524</v>
      </c>
      <c r="O1078" s="34">
        <v>0.3</v>
      </c>
      <c r="P1078" s="226">
        <f t="shared" si="138"/>
        <v>2416.919667590028</v>
      </c>
      <c r="Q1078" s="107" t="s">
        <v>1486</v>
      </c>
      <c r="R1078" s="34">
        <v>0.3</v>
      </c>
      <c r="S1078" s="226">
        <f t="shared" si="140"/>
        <v>1917.6000000000001</v>
      </c>
      <c r="T1078" s="156" t="s">
        <v>1486</v>
      </c>
      <c r="U1078" s="2" t="s">
        <v>50</v>
      </c>
      <c r="V1078" s="2" t="s">
        <v>47</v>
      </c>
      <c r="W1078" s="2" t="s">
        <v>5963</v>
      </c>
      <c r="X1078" s="2"/>
      <c r="Y1078" s="488" t="s">
        <v>1486</v>
      </c>
      <c r="Z1078" s="293"/>
      <c r="AA1078" s="293"/>
    </row>
    <row r="1079" spans="1:27" s="320" customFormat="1" x14ac:dyDescent="0.25">
      <c r="A1079" s="220" t="s">
        <v>3927</v>
      </c>
      <c r="B1079" s="221" t="s">
        <v>3831</v>
      </c>
      <c r="C1079" s="223" t="s">
        <v>3934</v>
      </c>
      <c r="D1079" s="220" t="s">
        <v>1646</v>
      </c>
      <c r="E1079" s="222">
        <v>24</v>
      </c>
      <c r="F1079" s="192">
        <v>1700</v>
      </c>
      <c r="G1079" s="24">
        <v>0.2</v>
      </c>
      <c r="H1079" s="24">
        <v>0.05</v>
      </c>
      <c r="I1079" s="24">
        <v>0.05</v>
      </c>
      <c r="J1079" s="24">
        <v>0</v>
      </c>
      <c r="K1079" s="224">
        <f t="shared" si="135"/>
        <v>0.27800000000000002</v>
      </c>
      <c r="L1079" s="225">
        <f t="shared" si="136"/>
        <v>56509.695290858726</v>
      </c>
      <c r="M1079" s="225">
        <f t="shared" si="137"/>
        <v>2354.5706371191136</v>
      </c>
      <c r="N1079" s="226">
        <f t="shared" si="139"/>
        <v>2801.9390581717453</v>
      </c>
      <c r="O1079" s="34">
        <v>0.3</v>
      </c>
      <c r="P1079" s="226">
        <f t="shared" si="138"/>
        <v>3642.5207756232689</v>
      </c>
      <c r="Q1079" s="107" t="s">
        <v>1486</v>
      </c>
      <c r="R1079" s="34">
        <v>0.3</v>
      </c>
      <c r="S1079" s="226">
        <f t="shared" si="140"/>
        <v>2890.0000000000005</v>
      </c>
      <c r="T1079" s="156" t="s">
        <v>1486</v>
      </c>
      <c r="U1079" s="2" t="s">
        <v>50</v>
      </c>
      <c r="V1079" s="2" t="s">
        <v>47</v>
      </c>
      <c r="W1079" s="2" t="s">
        <v>5963</v>
      </c>
      <c r="X1079" s="2"/>
      <c r="Y1079" s="488" t="s">
        <v>1486</v>
      </c>
      <c r="Z1079" s="293"/>
      <c r="AA1079" s="293"/>
    </row>
    <row r="1080" spans="1:27" s="320" customFormat="1" x14ac:dyDescent="0.25">
      <c r="A1080" s="220" t="s">
        <v>3928</v>
      </c>
      <c r="B1080" s="221" t="s">
        <v>3832</v>
      </c>
      <c r="C1080" s="223" t="s">
        <v>3934</v>
      </c>
      <c r="D1080" s="220" t="s">
        <v>1646</v>
      </c>
      <c r="E1080" s="222">
        <v>20</v>
      </c>
      <c r="F1080" s="192">
        <v>2260</v>
      </c>
      <c r="G1080" s="24">
        <v>0.2</v>
      </c>
      <c r="H1080" s="24">
        <v>0.05</v>
      </c>
      <c r="I1080" s="24">
        <v>0.05</v>
      </c>
      <c r="J1080" s="24">
        <v>0</v>
      </c>
      <c r="K1080" s="224">
        <f t="shared" si="135"/>
        <v>0.27800000000000002</v>
      </c>
      <c r="L1080" s="225">
        <f t="shared" si="136"/>
        <v>62603.878116343491</v>
      </c>
      <c r="M1080" s="225">
        <f t="shared" si="137"/>
        <v>3130.1939058171747</v>
      </c>
      <c r="N1080" s="226">
        <f t="shared" si="139"/>
        <v>3724.9307479224376</v>
      </c>
      <c r="O1080" s="34">
        <v>0.3</v>
      </c>
      <c r="P1080" s="226">
        <f t="shared" si="138"/>
        <v>4842.4099722991687</v>
      </c>
      <c r="Q1080" s="107" t="s">
        <v>1486</v>
      </c>
      <c r="R1080" s="34">
        <v>0.3</v>
      </c>
      <c r="S1080" s="226">
        <f t="shared" si="140"/>
        <v>3842</v>
      </c>
      <c r="T1080" s="156" t="s">
        <v>1486</v>
      </c>
      <c r="U1080" s="2" t="s">
        <v>50</v>
      </c>
      <c r="V1080" s="2" t="s">
        <v>47</v>
      </c>
      <c r="W1080" s="2" t="s">
        <v>5963</v>
      </c>
      <c r="X1080" s="2"/>
      <c r="Y1080" s="488" t="s">
        <v>1486</v>
      </c>
      <c r="Z1080" s="293"/>
      <c r="AA1080" s="293"/>
    </row>
    <row r="1081" spans="1:27" s="320" customFormat="1" x14ac:dyDescent="0.25">
      <c r="A1081" s="220" t="s">
        <v>3929</v>
      </c>
      <c r="B1081" s="221" t="s">
        <v>3833</v>
      </c>
      <c r="C1081" s="223" t="s">
        <v>3934</v>
      </c>
      <c r="D1081" s="220" t="s">
        <v>1646</v>
      </c>
      <c r="E1081" s="222">
        <v>24</v>
      </c>
      <c r="F1081" s="192">
        <v>2836</v>
      </c>
      <c r="G1081" s="24">
        <v>0.2</v>
      </c>
      <c r="H1081" s="24">
        <v>0.05</v>
      </c>
      <c r="I1081" s="24">
        <v>0.05</v>
      </c>
      <c r="J1081" s="24">
        <v>0</v>
      </c>
      <c r="K1081" s="224">
        <f t="shared" si="135"/>
        <v>0.27800000000000002</v>
      </c>
      <c r="L1081" s="225">
        <f t="shared" si="136"/>
        <v>94271.468144044324</v>
      </c>
      <c r="M1081" s="225">
        <f t="shared" si="137"/>
        <v>3927.9778393351803</v>
      </c>
      <c r="N1081" s="226">
        <f t="shared" si="139"/>
        <v>4674.293628808864</v>
      </c>
      <c r="O1081" s="34">
        <v>0.3</v>
      </c>
      <c r="P1081" s="226">
        <f t="shared" si="138"/>
        <v>6076.5817174515232</v>
      </c>
      <c r="Q1081" s="107" t="s">
        <v>1486</v>
      </c>
      <c r="R1081" s="34">
        <v>0.3</v>
      </c>
      <c r="S1081" s="226">
        <f t="shared" si="140"/>
        <v>4821.2</v>
      </c>
      <c r="T1081" s="156" t="s">
        <v>1486</v>
      </c>
      <c r="U1081" s="2" t="s">
        <v>50</v>
      </c>
      <c r="V1081" s="2" t="s">
        <v>47</v>
      </c>
      <c r="W1081" s="2" t="s">
        <v>5963</v>
      </c>
      <c r="X1081" s="2"/>
      <c r="Y1081" s="488" t="s">
        <v>1486</v>
      </c>
      <c r="Z1081" s="293"/>
      <c r="AA1081" s="293"/>
    </row>
    <row r="1082" spans="1:27" s="320" customFormat="1" x14ac:dyDescent="0.25">
      <c r="A1082" s="220" t="s">
        <v>3930</v>
      </c>
      <c r="B1082" s="221" t="s">
        <v>3834</v>
      </c>
      <c r="C1082" s="223" t="s">
        <v>3934</v>
      </c>
      <c r="D1082" s="220" t="s">
        <v>1646</v>
      </c>
      <c r="E1082" s="222">
        <v>20</v>
      </c>
      <c r="F1082" s="192">
        <v>2836</v>
      </c>
      <c r="G1082" s="24">
        <v>0.2</v>
      </c>
      <c r="H1082" s="24">
        <v>0.05</v>
      </c>
      <c r="I1082" s="24">
        <v>0.05</v>
      </c>
      <c r="J1082" s="24">
        <v>0</v>
      </c>
      <c r="K1082" s="224">
        <f t="shared" si="135"/>
        <v>0.27800000000000002</v>
      </c>
      <c r="L1082" s="225">
        <f t="shared" si="136"/>
        <v>78559.556786703601</v>
      </c>
      <c r="M1082" s="225">
        <f t="shared" si="137"/>
        <v>3927.9778393351803</v>
      </c>
      <c r="N1082" s="226">
        <f t="shared" si="139"/>
        <v>4674.293628808864</v>
      </c>
      <c r="O1082" s="34">
        <v>0.3</v>
      </c>
      <c r="P1082" s="226">
        <f t="shared" si="138"/>
        <v>6076.5817174515232</v>
      </c>
      <c r="Q1082" s="107" t="s">
        <v>1486</v>
      </c>
      <c r="R1082" s="34">
        <v>0.3</v>
      </c>
      <c r="S1082" s="226">
        <f t="shared" si="140"/>
        <v>4821.2</v>
      </c>
      <c r="T1082" s="156" t="s">
        <v>1486</v>
      </c>
      <c r="U1082" s="2" t="s">
        <v>50</v>
      </c>
      <c r="V1082" s="2" t="s">
        <v>47</v>
      </c>
      <c r="W1082" s="2" t="s">
        <v>5963</v>
      </c>
      <c r="X1082" s="2"/>
      <c r="Y1082" s="488" t="s">
        <v>1486</v>
      </c>
      <c r="Z1082" s="293"/>
      <c r="AA1082" s="293"/>
    </row>
    <row r="1083" spans="1:27" s="320" customFormat="1" x14ac:dyDescent="0.25">
      <c r="A1083" s="220" t="s">
        <v>3931</v>
      </c>
      <c r="B1083" s="221" t="s">
        <v>3835</v>
      </c>
      <c r="C1083" s="223" t="s">
        <v>3934</v>
      </c>
      <c r="D1083" s="220" t="s">
        <v>1646</v>
      </c>
      <c r="E1083" s="222">
        <v>20</v>
      </c>
      <c r="F1083" s="192">
        <v>2832</v>
      </c>
      <c r="G1083" s="24">
        <v>0.2</v>
      </c>
      <c r="H1083" s="24">
        <v>0.05</v>
      </c>
      <c r="I1083" s="24">
        <v>0.05</v>
      </c>
      <c r="J1083" s="24">
        <v>0</v>
      </c>
      <c r="K1083" s="224">
        <f t="shared" si="135"/>
        <v>0.27800000000000002</v>
      </c>
      <c r="L1083" s="225">
        <f t="shared" si="136"/>
        <v>78448.753462603883</v>
      </c>
      <c r="M1083" s="225">
        <f t="shared" si="137"/>
        <v>3922.4376731301941</v>
      </c>
      <c r="N1083" s="226">
        <f t="shared" si="139"/>
        <v>4667.7008310249312</v>
      </c>
      <c r="O1083" s="34">
        <v>0.3</v>
      </c>
      <c r="P1083" s="226">
        <f t="shared" si="138"/>
        <v>6068.0110803324105</v>
      </c>
      <c r="Q1083" s="107" t="s">
        <v>1486</v>
      </c>
      <c r="R1083" s="34">
        <v>0.3</v>
      </c>
      <c r="S1083" s="226">
        <f t="shared" si="140"/>
        <v>4814.3999999999996</v>
      </c>
      <c r="T1083" s="156" t="s">
        <v>1486</v>
      </c>
      <c r="U1083" s="2" t="s">
        <v>50</v>
      </c>
      <c r="V1083" s="2" t="s">
        <v>47</v>
      </c>
      <c r="W1083" s="2" t="s">
        <v>5963</v>
      </c>
      <c r="X1083" s="2"/>
      <c r="Y1083" s="488" t="s">
        <v>1486</v>
      </c>
      <c r="Z1083" s="293"/>
      <c r="AA1083" s="293"/>
    </row>
    <row r="1084" spans="1:27" s="320" customFormat="1" x14ac:dyDescent="0.25">
      <c r="A1084" s="220" t="s">
        <v>3932</v>
      </c>
      <c r="B1084" s="221" t="s">
        <v>3936</v>
      </c>
      <c r="C1084" s="223" t="s">
        <v>3934</v>
      </c>
      <c r="D1084" s="220" t="s">
        <v>3950</v>
      </c>
      <c r="E1084" s="222">
        <v>16</v>
      </c>
      <c r="F1084" s="192">
        <v>1440</v>
      </c>
      <c r="G1084" s="24">
        <v>0.2</v>
      </c>
      <c r="H1084" s="24">
        <v>0.05</v>
      </c>
      <c r="I1084" s="24">
        <v>0.05</v>
      </c>
      <c r="J1084" s="24">
        <v>0</v>
      </c>
      <c r="K1084" s="224">
        <f t="shared" si="135"/>
        <v>0.27800000000000014</v>
      </c>
      <c r="L1084" s="225">
        <f t="shared" si="136"/>
        <v>31911.357340720228</v>
      </c>
      <c r="M1084" s="225">
        <f t="shared" si="137"/>
        <v>1994.4598337950142</v>
      </c>
      <c r="N1084" s="226">
        <f t="shared" si="139"/>
        <v>2373.4072022160667</v>
      </c>
      <c r="O1084" s="34">
        <v>0.3</v>
      </c>
      <c r="P1084" s="226">
        <f t="shared" si="138"/>
        <v>3085.4293628808869</v>
      </c>
      <c r="Q1084" s="107" t="s">
        <v>1486</v>
      </c>
      <c r="R1084" s="34">
        <v>0.3</v>
      </c>
      <c r="S1084" s="226">
        <f t="shared" si="140"/>
        <v>2448</v>
      </c>
      <c r="T1084" s="156" t="s">
        <v>1486</v>
      </c>
      <c r="U1084" s="2" t="s">
        <v>50</v>
      </c>
      <c r="V1084" s="2" t="s">
        <v>47</v>
      </c>
      <c r="W1084" s="2" t="s">
        <v>3965</v>
      </c>
      <c r="X1084" s="2"/>
      <c r="Y1084" s="488" t="s">
        <v>1486</v>
      </c>
      <c r="Z1084" s="293"/>
      <c r="AA1084" s="293"/>
    </row>
    <row r="1085" spans="1:27" s="320" customFormat="1" x14ac:dyDescent="0.25">
      <c r="A1085" s="220" t="s">
        <v>3933</v>
      </c>
      <c r="B1085" s="221" t="s">
        <v>3937</v>
      </c>
      <c r="C1085" s="223" t="s">
        <v>3934</v>
      </c>
      <c r="D1085" s="220" t="s">
        <v>3950</v>
      </c>
      <c r="E1085" s="222">
        <v>16</v>
      </c>
      <c r="F1085" s="192">
        <v>1440</v>
      </c>
      <c r="G1085" s="24">
        <v>0.2</v>
      </c>
      <c r="H1085" s="24">
        <v>0.05</v>
      </c>
      <c r="I1085" s="24">
        <v>0.05</v>
      </c>
      <c r="J1085" s="24">
        <v>0</v>
      </c>
      <c r="K1085" s="224">
        <f t="shared" si="135"/>
        <v>0.27800000000000014</v>
      </c>
      <c r="L1085" s="225">
        <f t="shared" si="136"/>
        <v>31911.357340720228</v>
      </c>
      <c r="M1085" s="225">
        <f t="shared" si="137"/>
        <v>1994.4598337950142</v>
      </c>
      <c r="N1085" s="226">
        <f t="shared" si="139"/>
        <v>2373.4072022160667</v>
      </c>
      <c r="O1085" s="34">
        <v>0.3</v>
      </c>
      <c r="P1085" s="226">
        <f t="shared" si="138"/>
        <v>3085.4293628808869</v>
      </c>
      <c r="Q1085" s="107" t="s">
        <v>1486</v>
      </c>
      <c r="R1085" s="34">
        <v>0.3</v>
      </c>
      <c r="S1085" s="226">
        <f t="shared" si="140"/>
        <v>2448</v>
      </c>
      <c r="T1085" s="156" t="s">
        <v>1486</v>
      </c>
      <c r="U1085" s="2" t="s">
        <v>50</v>
      </c>
      <c r="V1085" s="2" t="s">
        <v>47</v>
      </c>
      <c r="W1085" s="2" t="s">
        <v>3965</v>
      </c>
      <c r="X1085" s="2"/>
      <c r="Y1085" s="488" t="s">
        <v>1486</v>
      </c>
      <c r="Z1085" s="293"/>
      <c r="AA1085" s="293"/>
    </row>
    <row r="1086" spans="1:27" s="320" customFormat="1" x14ac:dyDescent="0.25">
      <c r="A1086" s="220" t="s">
        <v>3951</v>
      </c>
      <c r="B1086" s="221" t="s">
        <v>3938</v>
      </c>
      <c r="C1086" s="223" t="s">
        <v>3934</v>
      </c>
      <c r="D1086" s="220" t="s">
        <v>3950</v>
      </c>
      <c r="E1086" s="222">
        <v>16</v>
      </c>
      <c r="F1086" s="192">
        <v>1440</v>
      </c>
      <c r="G1086" s="24">
        <v>0.2</v>
      </c>
      <c r="H1086" s="24">
        <v>0.05</v>
      </c>
      <c r="I1086" s="24">
        <v>0.05</v>
      </c>
      <c r="J1086" s="24">
        <v>0</v>
      </c>
      <c r="K1086" s="224">
        <f t="shared" si="135"/>
        <v>0.27800000000000014</v>
      </c>
      <c r="L1086" s="225">
        <f t="shared" si="136"/>
        <v>31911.357340720228</v>
      </c>
      <c r="M1086" s="225">
        <f t="shared" si="137"/>
        <v>1994.4598337950142</v>
      </c>
      <c r="N1086" s="226">
        <f t="shared" si="139"/>
        <v>2373.4072022160667</v>
      </c>
      <c r="O1086" s="34">
        <v>0.3</v>
      </c>
      <c r="P1086" s="226">
        <f t="shared" si="138"/>
        <v>3085.4293628808869</v>
      </c>
      <c r="Q1086" s="107" t="s">
        <v>1486</v>
      </c>
      <c r="R1086" s="34">
        <v>0.3</v>
      </c>
      <c r="S1086" s="226">
        <f t="shared" si="140"/>
        <v>2448</v>
      </c>
      <c r="T1086" s="156" t="s">
        <v>1486</v>
      </c>
      <c r="U1086" s="2" t="s">
        <v>50</v>
      </c>
      <c r="V1086" s="2" t="s">
        <v>47</v>
      </c>
      <c r="W1086" s="2" t="s">
        <v>3965</v>
      </c>
      <c r="X1086" s="2"/>
      <c r="Y1086" s="488" t="s">
        <v>1486</v>
      </c>
      <c r="Z1086" s="293"/>
      <c r="AA1086" s="293"/>
    </row>
    <row r="1087" spans="1:27" s="320" customFormat="1" x14ac:dyDescent="0.25">
      <c r="A1087" s="220" t="s">
        <v>3952</v>
      </c>
      <c r="B1087" s="221" t="s">
        <v>3939</v>
      </c>
      <c r="C1087" s="223" t="s">
        <v>3934</v>
      </c>
      <c r="D1087" s="220" t="s">
        <v>3950</v>
      </c>
      <c r="E1087" s="222">
        <v>16</v>
      </c>
      <c r="F1087" s="192">
        <v>1440</v>
      </c>
      <c r="G1087" s="24">
        <v>0.2</v>
      </c>
      <c r="H1087" s="24">
        <v>0.05</v>
      </c>
      <c r="I1087" s="24">
        <v>0.05</v>
      </c>
      <c r="J1087" s="24">
        <v>0</v>
      </c>
      <c r="K1087" s="224">
        <f t="shared" si="135"/>
        <v>0.27800000000000014</v>
      </c>
      <c r="L1087" s="225">
        <f t="shared" si="136"/>
        <v>31911.357340720228</v>
      </c>
      <c r="M1087" s="225">
        <f t="shared" si="137"/>
        <v>1994.4598337950142</v>
      </c>
      <c r="N1087" s="226">
        <f t="shared" si="139"/>
        <v>2373.4072022160667</v>
      </c>
      <c r="O1087" s="34">
        <v>0.3</v>
      </c>
      <c r="P1087" s="226">
        <f t="shared" si="138"/>
        <v>3085.4293628808869</v>
      </c>
      <c r="Q1087" s="107" t="s">
        <v>1486</v>
      </c>
      <c r="R1087" s="34">
        <v>0.3</v>
      </c>
      <c r="S1087" s="226">
        <f t="shared" si="140"/>
        <v>2448</v>
      </c>
      <c r="T1087" s="156" t="s">
        <v>1486</v>
      </c>
      <c r="U1087" s="2" t="s">
        <v>50</v>
      </c>
      <c r="V1087" s="2" t="s">
        <v>47</v>
      </c>
      <c r="W1087" s="2" t="s">
        <v>3965</v>
      </c>
      <c r="X1087" s="2"/>
      <c r="Y1087" s="488" t="s">
        <v>1486</v>
      </c>
      <c r="Z1087" s="293"/>
      <c r="AA1087" s="293"/>
    </row>
    <row r="1088" spans="1:27" s="320" customFormat="1" x14ac:dyDescent="0.25">
      <c r="A1088" s="220" t="s">
        <v>3953</v>
      </c>
      <c r="B1088" s="221" t="s">
        <v>3940</v>
      </c>
      <c r="C1088" s="223" t="s">
        <v>3934</v>
      </c>
      <c r="D1088" s="220" t="s">
        <v>3950</v>
      </c>
      <c r="E1088" s="222">
        <v>25</v>
      </c>
      <c r="F1088" s="192">
        <v>1251</v>
      </c>
      <c r="G1088" s="24">
        <v>0.2</v>
      </c>
      <c r="H1088" s="24">
        <v>0.05</v>
      </c>
      <c r="I1088" s="24">
        <v>0.05</v>
      </c>
      <c r="J1088" s="24">
        <v>0</v>
      </c>
      <c r="K1088" s="224">
        <f t="shared" si="135"/>
        <v>0.27800000000000002</v>
      </c>
      <c r="L1088" s="225">
        <f t="shared" si="136"/>
        <v>43317.174515235463</v>
      </c>
      <c r="M1088" s="225">
        <f t="shared" si="137"/>
        <v>1732.6869806094185</v>
      </c>
      <c r="N1088" s="226">
        <f t="shared" si="139"/>
        <v>2061.8975069252078</v>
      </c>
      <c r="O1088" s="34">
        <v>0.3</v>
      </c>
      <c r="P1088" s="226">
        <f t="shared" si="138"/>
        <v>2680.4667590027702</v>
      </c>
      <c r="Q1088" s="107" t="s">
        <v>1486</v>
      </c>
      <c r="R1088" s="34">
        <v>0.3</v>
      </c>
      <c r="S1088" s="226">
        <f t="shared" si="140"/>
        <v>2126.7000000000003</v>
      </c>
      <c r="T1088" s="156" t="s">
        <v>1486</v>
      </c>
      <c r="U1088" s="2" t="s">
        <v>50</v>
      </c>
      <c r="V1088" s="2" t="s">
        <v>47</v>
      </c>
      <c r="W1088" s="2" t="s">
        <v>3965</v>
      </c>
      <c r="X1088" s="2"/>
      <c r="Y1088" s="488" t="s">
        <v>1486</v>
      </c>
      <c r="Z1088" s="293"/>
      <c r="AA1088" s="293"/>
    </row>
    <row r="1089" spans="1:27" s="320" customFormat="1" x14ac:dyDescent="0.25">
      <c r="A1089" s="220" t="s">
        <v>3954</v>
      </c>
      <c r="B1089" s="221" t="s">
        <v>3941</v>
      </c>
      <c r="C1089" s="223" t="s">
        <v>3934</v>
      </c>
      <c r="D1089" s="220" t="s">
        <v>3950</v>
      </c>
      <c r="E1089" s="222">
        <v>25</v>
      </c>
      <c r="F1089" s="192">
        <v>1251</v>
      </c>
      <c r="G1089" s="24">
        <v>0.2</v>
      </c>
      <c r="H1089" s="24">
        <v>0.05</v>
      </c>
      <c r="I1089" s="24">
        <v>0.05</v>
      </c>
      <c r="J1089" s="24">
        <v>0</v>
      </c>
      <c r="K1089" s="224">
        <f t="shared" si="135"/>
        <v>0.27800000000000002</v>
      </c>
      <c r="L1089" s="225">
        <f t="shared" si="136"/>
        <v>43317.174515235463</v>
      </c>
      <c r="M1089" s="225">
        <f t="shared" si="137"/>
        <v>1732.6869806094185</v>
      </c>
      <c r="N1089" s="226">
        <f t="shared" si="139"/>
        <v>2061.8975069252078</v>
      </c>
      <c r="O1089" s="34">
        <v>0.3</v>
      </c>
      <c r="P1089" s="226">
        <f t="shared" si="138"/>
        <v>2680.4667590027702</v>
      </c>
      <c r="Q1089" s="107" t="s">
        <v>1486</v>
      </c>
      <c r="R1089" s="34">
        <v>0.3</v>
      </c>
      <c r="S1089" s="226">
        <f t="shared" si="140"/>
        <v>2126.7000000000003</v>
      </c>
      <c r="T1089" s="156" t="s">
        <v>1486</v>
      </c>
      <c r="U1089" s="2" t="s">
        <v>50</v>
      </c>
      <c r="V1089" s="2" t="s">
        <v>47</v>
      </c>
      <c r="W1089" s="2" t="s">
        <v>3965</v>
      </c>
      <c r="X1089" s="2"/>
      <c r="Y1089" s="488" t="s">
        <v>1486</v>
      </c>
      <c r="Z1089" s="293"/>
      <c r="AA1089" s="293"/>
    </row>
    <row r="1090" spans="1:27" s="320" customFormat="1" x14ac:dyDescent="0.25">
      <c r="A1090" s="220" t="s">
        <v>3955</v>
      </c>
      <c r="B1090" s="221" t="s">
        <v>3942</v>
      </c>
      <c r="C1090" s="223" t="s">
        <v>3934</v>
      </c>
      <c r="D1090" s="220" t="s">
        <v>3950</v>
      </c>
      <c r="E1090" s="222">
        <v>1</v>
      </c>
      <c r="F1090" s="192">
        <v>5264</v>
      </c>
      <c r="G1090" s="24">
        <v>0.2</v>
      </c>
      <c r="H1090" s="24">
        <v>0.05</v>
      </c>
      <c r="I1090" s="24">
        <v>0.05</v>
      </c>
      <c r="J1090" s="24">
        <v>0</v>
      </c>
      <c r="K1090" s="224">
        <f t="shared" si="135"/>
        <v>0.27800000000000002</v>
      </c>
      <c r="L1090" s="225">
        <f t="shared" si="136"/>
        <v>7290.8587257617728</v>
      </c>
      <c r="M1090" s="225">
        <f t="shared" si="137"/>
        <v>7290.8587257617728</v>
      </c>
      <c r="N1090" s="226">
        <f t="shared" si="139"/>
        <v>8676.1218836565095</v>
      </c>
      <c r="O1090" s="34">
        <v>0.3</v>
      </c>
      <c r="P1090" s="226">
        <f t="shared" si="138"/>
        <v>11278.958448753463</v>
      </c>
      <c r="Q1090" s="107" t="s">
        <v>1486</v>
      </c>
      <c r="R1090" s="34">
        <v>0.3</v>
      </c>
      <c r="S1090" s="226">
        <f t="shared" si="140"/>
        <v>8948.8000000000011</v>
      </c>
      <c r="T1090" s="156" t="s">
        <v>1486</v>
      </c>
      <c r="U1090" s="2" t="s">
        <v>50</v>
      </c>
      <c r="V1090" s="2" t="s">
        <v>47</v>
      </c>
      <c r="W1090" s="2" t="s">
        <v>3965</v>
      </c>
      <c r="X1090" s="2"/>
      <c r="Y1090" s="488" t="s">
        <v>1486</v>
      </c>
      <c r="Z1090" s="293"/>
      <c r="AA1090" s="293"/>
    </row>
    <row r="1091" spans="1:27" s="320" customFormat="1" x14ac:dyDescent="0.25">
      <c r="A1091" s="220" t="s">
        <v>3956</v>
      </c>
      <c r="B1091" s="221" t="s">
        <v>3943</v>
      </c>
      <c r="C1091" s="223" t="s">
        <v>3934</v>
      </c>
      <c r="D1091" s="220" t="s">
        <v>3950</v>
      </c>
      <c r="E1091" s="222">
        <v>30</v>
      </c>
      <c r="F1091" s="192">
        <v>1020</v>
      </c>
      <c r="G1091" s="24">
        <v>0.2</v>
      </c>
      <c r="H1091" s="24">
        <v>0.05</v>
      </c>
      <c r="I1091" s="24">
        <v>0.05</v>
      </c>
      <c r="J1091" s="24">
        <v>0</v>
      </c>
      <c r="K1091" s="224">
        <f t="shared" ref="K1091:K1154" si="141">IF(F1091=0,0,1-(F1091/M1091))</f>
        <v>0.27800000000000014</v>
      </c>
      <c r="L1091" s="225">
        <f t="shared" ref="L1091:L1154" si="142">+M1091*E1091</f>
        <v>42382.271468144048</v>
      </c>
      <c r="M1091" s="225">
        <f t="shared" ref="M1091:M1154" si="143">+F1091/(1-G1091)/(1-H1091)/(1-I1091)/(1-J1091)</f>
        <v>1412.7423822714684</v>
      </c>
      <c r="N1091" s="226">
        <f t="shared" si="139"/>
        <v>1681.1634349030473</v>
      </c>
      <c r="O1091" s="34">
        <v>0.3</v>
      </c>
      <c r="P1091" s="226">
        <f t="shared" ref="P1091:P1154" si="144">+N1091*(1+O1091)</f>
        <v>2185.5124653739617</v>
      </c>
      <c r="Q1091" s="107" t="s">
        <v>1486</v>
      </c>
      <c r="R1091" s="34">
        <v>0.3</v>
      </c>
      <c r="S1091" s="226">
        <f t="shared" si="140"/>
        <v>1734.0000000000002</v>
      </c>
      <c r="T1091" s="156" t="s">
        <v>1486</v>
      </c>
      <c r="U1091" s="2" t="s">
        <v>50</v>
      </c>
      <c r="V1091" s="2" t="s">
        <v>47</v>
      </c>
      <c r="W1091" s="2" t="s">
        <v>3965</v>
      </c>
      <c r="X1091" s="2"/>
      <c r="Y1091" s="488" t="s">
        <v>1486</v>
      </c>
      <c r="Z1091" s="293"/>
      <c r="AA1091" s="293"/>
    </row>
    <row r="1092" spans="1:27" s="320" customFormat="1" x14ac:dyDescent="0.25">
      <c r="A1092" s="220" t="s">
        <v>3957</v>
      </c>
      <c r="B1092" s="221" t="s">
        <v>3944</v>
      </c>
      <c r="C1092" s="223" t="s">
        <v>3934</v>
      </c>
      <c r="D1092" s="220" t="s">
        <v>3950</v>
      </c>
      <c r="E1092" s="222">
        <v>30</v>
      </c>
      <c r="F1092" s="192">
        <v>1020</v>
      </c>
      <c r="G1092" s="24">
        <v>0.2</v>
      </c>
      <c r="H1092" s="24">
        <v>0.05</v>
      </c>
      <c r="I1092" s="24">
        <v>0.05</v>
      </c>
      <c r="J1092" s="24">
        <v>0</v>
      </c>
      <c r="K1092" s="224">
        <f t="shared" si="141"/>
        <v>0.27800000000000014</v>
      </c>
      <c r="L1092" s="225">
        <f t="shared" si="142"/>
        <v>42382.271468144048</v>
      </c>
      <c r="M1092" s="225">
        <f t="shared" si="143"/>
        <v>1412.7423822714684</v>
      </c>
      <c r="N1092" s="226">
        <f t="shared" si="139"/>
        <v>1681.1634349030473</v>
      </c>
      <c r="O1092" s="34">
        <v>0.3</v>
      </c>
      <c r="P1092" s="226">
        <f t="shared" si="144"/>
        <v>2185.5124653739617</v>
      </c>
      <c r="Q1092" s="107" t="s">
        <v>1486</v>
      </c>
      <c r="R1092" s="34">
        <v>0.3</v>
      </c>
      <c r="S1092" s="226">
        <f t="shared" si="140"/>
        <v>1734.0000000000002</v>
      </c>
      <c r="T1092" s="156" t="s">
        <v>1486</v>
      </c>
      <c r="U1092" s="2" t="s">
        <v>50</v>
      </c>
      <c r="V1092" s="2" t="s">
        <v>47</v>
      </c>
      <c r="W1092" s="2" t="s">
        <v>3965</v>
      </c>
      <c r="X1092" s="2"/>
      <c r="Y1092" s="488" t="s">
        <v>1486</v>
      </c>
      <c r="Z1092" s="293"/>
      <c r="AA1092" s="293"/>
    </row>
    <row r="1093" spans="1:27" s="320" customFormat="1" x14ac:dyDescent="0.25">
      <c r="A1093" s="220" t="s">
        <v>3958</v>
      </c>
      <c r="B1093" s="221" t="s">
        <v>3945</v>
      </c>
      <c r="C1093" s="223" t="s">
        <v>3934</v>
      </c>
      <c r="D1093" s="220" t="s">
        <v>3950</v>
      </c>
      <c r="E1093" s="222">
        <v>1</v>
      </c>
      <c r="F1093" s="192">
        <v>5264</v>
      </c>
      <c r="G1093" s="24">
        <v>0.2</v>
      </c>
      <c r="H1093" s="24">
        <v>0.05</v>
      </c>
      <c r="I1093" s="24">
        <v>0.05</v>
      </c>
      <c r="J1093" s="24">
        <v>0</v>
      </c>
      <c r="K1093" s="224">
        <f t="shared" si="141"/>
        <v>0.27800000000000002</v>
      </c>
      <c r="L1093" s="225">
        <f t="shared" si="142"/>
        <v>7290.8587257617728</v>
      </c>
      <c r="M1093" s="225">
        <f t="shared" si="143"/>
        <v>7290.8587257617728</v>
      </c>
      <c r="N1093" s="226">
        <f t="shared" si="139"/>
        <v>8676.1218836565095</v>
      </c>
      <c r="O1093" s="34">
        <v>0.3</v>
      </c>
      <c r="P1093" s="226">
        <f t="shared" si="144"/>
        <v>11278.958448753463</v>
      </c>
      <c r="Q1093" s="107" t="s">
        <v>1486</v>
      </c>
      <c r="R1093" s="34">
        <v>0.3</v>
      </c>
      <c r="S1093" s="226">
        <f t="shared" si="140"/>
        <v>8948.8000000000011</v>
      </c>
      <c r="T1093" s="156" t="s">
        <v>1486</v>
      </c>
      <c r="U1093" s="2" t="s">
        <v>50</v>
      </c>
      <c r="V1093" s="2" t="s">
        <v>47</v>
      </c>
      <c r="W1093" s="2" t="s">
        <v>3965</v>
      </c>
      <c r="X1093" s="2"/>
      <c r="Y1093" s="488" t="s">
        <v>1486</v>
      </c>
      <c r="Z1093" s="293"/>
      <c r="AA1093" s="293"/>
    </row>
    <row r="1094" spans="1:27" s="320" customFormat="1" x14ac:dyDescent="0.25">
      <c r="A1094" s="220" t="s">
        <v>3959</v>
      </c>
      <c r="B1094" s="221" t="s">
        <v>3949</v>
      </c>
      <c r="C1094" s="223" t="s">
        <v>3934</v>
      </c>
      <c r="D1094" s="220" t="s">
        <v>3950</v>
      </c>
      <c r="E1094" s="222">
        <v>1</v>
      </c>
      <c r="F1094" s="192">
        <v>10828</v>
      </c>
      <c r="G1094" s="24">
        <v>0.2</v>
      </c>
      <c r="H1094" s="24">
        <v>0.05</v>
      </c>
      <c r="I1094" s="24">
        <v>0.05</v>
      </c>
      <c r="J1094" s="24">
        <v>0</v>
      </c>
      <c r="K1094" s="224">
        <f t="shared" si="141"/>
        <v>0.27800000000000002</v>
      </c>
      <c r="L1094" s="225">
        <f t="shared" si="142"/>
        <v>14997.229916897508</v>
      </c>
      <c r="M1094" s="225">
        <f t="shared" si="143"/>
        <v>14997.229916897508</v>
      </c>
      <c r="N1094" s="226">
        <f t="shared" si="139"/>
        <v>17846.703601108034</v>
      </c>
      <c r="O1094" s="34">
        <v>0.3</v>
      </c>
      <c r="P1094" s="226">
        <f t="shared" si="144"/>
        <v>23200.714681440444</v>
      </c>
      <c r="Q1094" s="107" t="s">
        <v>1486</v>
      </c>
      <c r="R1094" s="34">
        <v>0.3</v>
      </c>
      <c r="S1094" s="226">
        <f t="shared" si="140"/>
        <v>18407.599999999999</v>
      </c>
      <c r="T1094" s="156" t="s">
        <v>1486</v>
      </c>
      <c r="U1094" s="2" t="s">
        <v>50</v>
      </c>
      <c r="V1094" s="2" t="s">
        <v>47</v>
      </c>
      <c r="W1094" s="2" t="s">
        <v>3965</v>
      </c>
      <c r="X1094" s="2"/>
      <c r="Y1094" s="488" t="s">
        <v>1486</v>
      </c>
      <c r="Z1094" s="293"/>
      <c r="AA1094" s="293"/>
    </row>
    <row r="1095" spans="1:27" s="320" customFormat="1" x14ac:dyDescent="0.25">
      <c r="A1095" s="220" t="s">
        <v>3960</v>
      </c>
      <c r="B1095" s="221" t="s">
        <v>3946</v>
      </c>
      <c r="C1095" s="223" t="s">
        <v>3934</v>
      </c>
      <c r="D1095" s="220" t="s">
        <v>3950</v>
      </c>
      <c r="E1095" s="222">
        <v>30</v>
      </c>
      <c r="F1095" s="192">
        <v>1052</v>
      </c>
      <c r="G1095" s="24">
        <v>0.2</v>
      </c>
      <c r="H1095" s="24">
        <v>0.05</v>
      </c>
      <c r="I1095" s="24">
        <v>0.05</v>
      </c>
      <c r="J1095" s="24">
        <v>0</v>
      </c>
      <c r="K1095" s="224">
        <f t="shared" si="141"/>
        <v>0.27800000000000014</v>
      </c>
      <c r="L1095" s="225">
        <f t="shared" si="142"/>
        <v>43711.91135734073</v>
      </c>
      <c r="M1095" s="225">
        <f t="shared" si="143"/>
        <v>1457.0637119113576</v>
      </c>
      <c r="N1095" s="226">
        <f t="shared" si="139"/>
        <v>1733.9058171745155</v>
      </c>
      <c r="O1095" s="34">
        <v>0.3</v>
      </c>
      <c r="P1095" s="226">
        <f t="shared" si="144"/>
        <v>2254.0775623268701</v>
      </c>
      <c r="Q1095" s="107" t="s">
        <v>1486</v>
      </c>
      <c r="R1095" s="34">
        <v>0.3</v>
      </c>
      <c r="S1095" s="226">
        <f t="shared" si="140"/>
        <v>1788.3999999999999</v>
      </c>
      <c r="T1095" s="156" t="s">
        <v>1486</v>
      </c>
      <c r="U1095" s="2" t="s">
        <v>50</v>
      </c>
      <c r="V1095" s="2" t="s">
        <v>47</v>
      </c>
      <c r="W1095" s="2" t="s">
        <v>3965</v>
      </c>
      <c r="X1095" s="2"/>
      <c r="Y1095" s="488" t="s">
        <v>1486</v>
      </c>
      <c r="Z1095" s="293"/>
      <c r="AA1095" s="293"/>
    </row>
    <row r="1096" spans="1:27" s="320" customFormat="1" x14ac:dyDescent="0.25">
      <c r="A1096" s="220" t="s">
        <v>3961</v>
      </c>
      <c r="B1096" s="221" t="s">
        <v>3947</v>
      </c>
      <c r="C1096" s="223" t="s">
        <v>3934</v>
      </c>
      <c r="D1096" s="220" t="s">
        <v>3950</v>
      </c>
      <c r="E1096" s="222">
        <v>30</v>
      </c>
      <c r="F1096" s="192">
        <v>2406</v>
      </c>
      <c r="G1096" s="24">
        <v>0.2</v>
      </c>
      <c r="H1096" s="24">
        <v>0.05</v>
      </c>
      <c r="I1096" s="24">
        <v>0.05</v>
      </c>
      <c r="J1096" s="24">
        <v>0</v>
      </c>
      <c r="K1096" s="224">
        <f t="shared" si="141"/>
        <v>0.27800000000000014</v>
      </c>
      <c r="L1096" s="225">
        <f t="shared" si="142"/>
        <v>99972.299168975092</v>
      </c>
      <c r="M1096" s="225">
        <f t="shared" si="143"/>
        <v>3332.4099722991696</v>
      </c>
      <c r="N1096" s="226">
        <f t="shared" si="139"/>
        <v>3965.5678670360116</v>
      </c>
      <c r="O1096" s="34">
        <v>0.3</v>
      </c>
      <c r="P1096" s="226">
        <f t="shared" si="144"/>
        <v>5155.238227146815</v>
      </c>
      <c r="Q1096" s="107" t="s">
        <v>1486</v>
      </c>
      <c r="R1096" s="34">
        <v>0.3</v>
      </c>
      <c r="S1096" s="226">
        <f t="shared" si="140"/>
        <v>4090.2000000000003</v>
      </c>
      <c r="T1096" s="156" t="s">
        <v>1486</v>
      </c>
      <c r="U1096" s="2" t="s">
        <v>50</v>
      </c>
      <c r="V1096" s="2" t="s">
        <v>47</v>
      </c>
      <c r="W1096" s="2" t="s">
        <v>3965</v>
      </c>
      <c r="X1096" s="2"/>
      <c r="Y1096" s="488" t="s">
        <v>1486</v>
      </c>
      <c r="Z1096" s="293"/>
      <c r="AA1096" s="293"/>
    </row>
    <row r="1097" spans="1:27" s="320" customFormat="1" x14ac:dyDescent="0.25">
      <c r="A1097" s="220" t="s">
        <v>3962</v>
      </c>
      <c r="B1097" s="221" t="s">
        <v>3948</v>
      </c>
      <c r="C1097" s="223" t="s">
        <v>3934</v>
      </c>
      <c r="D1097" s="220" t="s">
        <v>3950</v>
      </c>
      <c r="E1097" s="222">
        <v>10</v>
      </c>
      <c r="F1097" s="192">
        <v>6000</v>
      </c>
      <c r="G1097" s="24">
        <v>0.2</v>
      </c>
      <c r="H1097" s="24">
        <v>0.05</v>
      </c>
      <c r="I1097" s="24">
        <v>0.05</v>
      </c>
      <c r="J1097" s="24">
        <v>0</v>
      </c>
      <c r="K1097" s="224">
        <f t="shared" si="141"/>
        <v>0.27800000000000014</v>
      </c>
      <c r="L1097" s="225">
        <f t="shared" si="142"/>
        <v>83102.493074792263</v>
      </c>
      <c r="M1097" s="225">
        <f t="shared" si="143"/>
        <v>8310.2493074792255</v>
      </c>
      <c r="N1097" s="226">
        <f t="shared" si="139"/>
        <v>9889.1966759002771</v>
      </c>
      <c r="O1097" s="34">
        <v>0.3</v>
      </c>
      <c r="P1097" s="226">
        <f t="shared" si="144"/>
        <v>12855.955678670362</v>
      </c>
      <c r="Q1097" s="107" t="s">
        <v>1486</v>
      </c>
      <c r="R1097" s="34">
        <v>0.3</v>
      </c>
      <c r="S1097" s="226">
        <f t="shared" si="140"/>
        <v>10200</v>
      </c>
      <c r="T1097" s="156" t="s">
        <v>1486</v>
      </c>
      <c r="U1097" s="2" t="s">
        <v>50</v>
      </c>
      <c r="V1097" s="2" t="s">
        <v>47</v>
      </c>
      <c r="W1097" s="2" t="s">
        <v>3965</v>
      </c>
      <c r="X1097" s="2"/>
      <c r="Y1097" s="488" t="s">
        <v>1486</v>
      </c>
      <c r="Z1097" s="293"/>
      <c r="AA1097" s="293"/>
    </row>
    <row r="1098" spans="1:27" s="320" customFormat="1" x14ac:dyDescent="0.25">
      <c r="A1098" s="220" t="s">
        <v>3963</v>
      </c>
      <c r="B1098" s="221" t="s">
        <v>3969</v>
      </c>
      <c r="C1098" s="223" t="s">
        <v>1562</v>
      </c>
      <c r="D1098" s="220" t="s">
        <v>3616</v>
      </c>
      <c r="E1098" s="222">
        <v>180</v>
      </c>
      <c r="F1098" s="192">
        <v>64</v>
      </c>
      <c r="G1098" s="24">
        <v>0.2</v>
      </c>
      <c r="H1098" s="24">
        <v>0.05</v>
      </c>
      <c r="I1098" s="24">
        <v>0.05</v>
      </c>
      <c r="J1098" s="24">
        <v>0</v>
      </c>
      <c r="K1098" s="224">
        <f t="shared" si="141"/>
        <v>0.27800000000000002</v>
      </c>
      <c r="L1098" s="225">
        <f t="shared" si="142"/>
        <v>15955.678670360112</v>
      </c>
      <c r="M1098" s="225">
        <f t="shared" si="143"/>
        <v>88.6426592797784</v>
      </c>
      <c r="N1098" s="226">
        <f t="shared" si="139"/>
        <v>105.48476454293629</v>
      </c>
      <c r="O1098" s="34">
        <v>0.3</v>
      </c>
      <c r="P1098" s="226">
        <f t="shared" si="144"/>
        <v>137.13019390581718</v>
      </c>
      <c r="Q1098" s="107" t="s">
        <v>1486</v>
      </c>
      <c r="R1098" s="34">
        <v>0.3</v>
      </c>
      <c r="S1098" s="226">
        <f t="shared" si="140"/>
        <v>108.8</v>
      </c>
      <c r="T1098" s="156" t="s">
        <v>1486</v>
      </c>
      <c r="U1098" s="2"/>
      <c r="V1098" s="2" t="s">
        <v>47</v>
      </c>
      <c r="W1098" s="2" t="s">
        <v>1467</v>
      </c>
      <c r="X1098" s="2" t="s">
        <v>1467</v>
      </c>
      <c r="Y1098" s="488" t="s">
        <v>1486</v>
      </c>
      <c r="Z1098" s="293"/>
      <c r="AA1098" s="293"/>
    </row>
    <row r="1099" spans="1:27" s="320" customFormat="1" x14ac:dyDescent="0.25">
      <c r="A1099" s="220" t="s">
        <v>3964</v>
      </c>
      <c r="B1099" s="221" t="s">
        <v>3986</v>
      </c>
      <c r="C1099" s="223" t="s">
        <v>3934</v>
      </c>
      <c r="D1099" s="220" t="s">
        <v>1646</v>
      </c>
      <c r="E1099" s="222">
        <v>1</v>
      </c>
      <c r="F1099" s="192">
        <v>14449</v>
      </c>
      <c r="G1099" s="24">
        <v>0.2</v>
      </c>
      <c r="H1099" s="24">
        <v>0.05</v>
      </c>
      <c r="I1099" s="24">
        <v>0.05</v>
      </c>
      <c r="J1099" s="24">
        <v>0</v>
      </c>
      <c r="K1099" s="224">
        <f t="shared" si="141"/>
        <v>0.27800000000000014</v>
      </c>
      <c r="L1099" s="225">
        <f t="shared" si="142"/>
        <v>20012.465373961222</v>
      </c>
      <c r="M1099" s="225">
        <f t="shared" si="143"/>
        <v>20012.465373961222</v>
      </c>
      <c r="N1099" s="226">
        <f t="shared" si="139"/>
        <v>23814.833795013852</v>
      </c>
      <c r="O1099" s="34">
        <v>0.3</v>
      </c>
      <c r="P1099" s="226">
        <f t="shared" si="144"/>
        <v>30959.283933518007</v>
      </c>
      <c r="Q1099" s="107" t="s">
        <v>1486</v>
      </c>
      <c r="R1099" s="34">
        <v>0.3</v>
      </c>
      <c r="S1099" s="226">
        <f t="shared" si="140"/>
        <v>24563.3</v>
      </c>
      <c r="T1099" s="156" t="s">
        <v>1486</v>
      </c>
      <c r="U1099" s="2" t="s">
        <v>50</v>
      </c>
      <c r="V1099" s="2" t="s">
        <v>47</v>
      </c>
      <c r="W1099" s="2" t="s">
        <v>5882</v>
      </c>
      <c r="X1099" s="2" t="s">
        <v>1467</v>
      </c>
      <c r="Y1099" s="488" t="s">
        <v>1486</v>
      </c>
      <c r="Z1099" s="293"/>
      <c r="AA1099" s="293"/>
    </row>
    <row r="1100" spans="1:27" s="320" customFormat="1" x14ac:dyDescent="0.25">
      <c r="A1100" s="220" t="s">
        <v>3970</v>
      </c>
      <c r="B1100" s="221" t="s">
        <v>5877</v>
      </c>
      <c r="C1100" s="223" t="s">
        <v>1739</v>
      </c>
      <c r="D1100" s="220" t="s">
        <v>4045</v>
      </c>
      <c r="E1100" s="222">
        <v>12</v>
      </c>
      <c r="F1100" s="192">
        <v>1290</v>
      </c>
      <c r="G1100" s="24">
        <v>0.2</v>
      </c>
      <c r="H1100" s="24">
        <v>0.05</v>
      </c>
      <c r="I1100" s="24">
        <v>0.05</v>
      </c>
      <c r="J1100" s="24">
        <v>0</v>
      </c>
      <c r="K1100" s="224">
        <f t="shared" si="141"/>
        <v>0.27800000000000002</v>
      </c>
      <c r="L1100" s="225">
        <f t="shared" si="142"/>
        <v>21440.443213296399</v>
      </c>
      <c r="M1100" s="225">
        <f t="shared" si="143"/>
        <v>1786.7036011080334</v>
      </c>
      <c r="N1100" s="226">
        <f t="shared" ref="N1100:N1163" si="145">+M1100*1.19</f>
        <v>2126.1772853185594</v>
      </c>
      <c r="O1100" s="34">
        <v>0.3</v>
      </c>
      <c r="P1100" s="226">
        <f t="shared" si="144"/>
        <v>2764.0304709141274</v>
      </c>
      <c r="Q1100" s="107" t="s">
        <v>1486</v>
      </c>
      <c r="R1100" s="34">
        <v>0.3</v>
      </c>
      <c r="S1100" s="226">
        <f t="shared" si="140"/>
        <v>2193</v>
      </c>
      <c r="T1100" s="156" t="s">
        <v>1486</v>
      </c>
      <c r="U1100" s="2" t="s">
        <v>50</v>
      </c>
      <c r="V1100" s="2" t="s">
        <v>47</v>
      </c>
      <c r="W1100" s="2" t="s">
        <v>2900</v>
      </c>
      <c r="X1100" s="2" t="s">
        <v>2903</v>
      </c>
      <c r="Y1100" s="488" t="s">
        <v>1486</v>
      </c>
      <c r="Z1100" s="293"/>
      <c r="AA1100" s="293"/>
    </row>
    <row r="1101" spans="1:27" s="320" customFormat="1" x14ac:dyDescent="0.25">
      <c r="A1101" s="220" t="s">
        <v>3984</v>
      </c>
      <c r="B1101" s="221" t="s">
        <v>4047</v>
      </c>
      <c r="C1101" s="223" t="s">
        <v>2926</v>
      </c>
      <c r="D1101" s="220" t="s">
        <v>3374</v>
      </c>
      <c r="E1101" s="222">
        <v>10</v>
      </c>
      <c r="F1101" s="192">
        <v>7750</v>
      </c>
      <c r="G1101" s="24">
        <v>0.2</v>
      </c>
      <c r="H1101" s="24">
        <v>0.05</v>
      </c>
      <c r="I1101" s="24">
        <v>0.05</v>
      </c>
      <c r="J1101" s="24">
        <v>0</v>
      </c>
      <c r="K1101" s="224">
        <f t="shared" si="141"/>
        <v>0.27800000000000014</v>
      </c>
      <c r="L1101" s="225">
        <f t="shared" si="142"/>
        <v>107340.72022160667</v>
      </c>
      <c r="M1101" s="225">
        <f t="shared" si="143"/>
        <v>10734.072022160666</v>
      </c>
      <c r="N1101" s="226">
        <f t="shared" si="145"/>
        <v>12773.545706371193</v>
      </c>
      <c r="O1101" s="34">
        <v>0.3</v>
      </c>
      <c r="P1101" s="226">
        <f t="shared" si="144"/>
        <v>16605.609418282551</v>
      </c>
      <c r="Q1101" s="107" t="s">
        <v>1486</v>
      </c>
      <c r="R1101" s="34">
        <v>0.3</v>
      </c>
      <c r="S1101" s="226">
        <f t="shared" si="140"/>
        <v>13175</v>
      </c>
      <c r="T1101" s="156" t="s">
        <v>1486</v>
      </c>
      <c r="U1101" s="2"/>
      <c r="V1101" s="2" t="s">
        <v>47</v>
      </c>
      <c r="W1101" s="2" t="s">
        <v>1467</v>
      </c>
      <c r="X1101" s="2" t="s">
        <v>1467</v>
      </c>
      <c r="Y1101" s="488" t="s">
        <v>1486</v>
      </c>
      <c r="Z1101" s="293"/>
      <c r="AA1101" s="293"/>
    </row>
    <row r="1102" spans="1:27" s="320" customFormat="1" x14ac:dyDescent="0.25">
      <c r="A1102" s="220" t="s">
        <v>4044</v>
      </c>
      <c r="B1102" s="221" t="s">
        <v>4049</v>
      </c>
      <c r="C1102" s="223" t="s">
        <v>2926</v>
      </c>
      <c r="D1102" s="220" t="s">
        <v>3374</v>
      </c>
      <c r="E1102" s="222">
        <v>10</v>
      </c>
      <c r="F1102" s="192">
        <v>8250</v>
      </c>
      <c r="G1102" s="24">
        <v>0.2</v>
      </c>
      <c r="H1102" s="24">
        <v>0.05</v>
      </c>
      <c r="I1102" s="24">
        <v>0.05</v>
      </c>
      <c r="J1102" s="24">
        <v>0</v>
      </c>
      <c r="K1102" s="224">
        <f t="shared" si="141"/>
        <v>0.27800000000000002</v>
      </c>
      <c r="L1102" s="225">
        <f t="shared" si="142"/>
        <v>114265.92797783934</v>
      </c>
      <c r="M1102" s="225">
        <f t="shared" si="143"/>
        <v>11426.592797783935</v>
      </c>
      <c r="N1102" s="226">
        <f t="shared" si="145"/>
        <v>13597.645429362881</v>
      </c>
      <c r="O1102" s="34">
        <v>0.3</v>
      </c>
      <c r="P1102" s="226">
        <f t="shared" si="144"/>
        <v>17676.939058171745</v>
      </c>
      <c r="Q1102" s="107" t="s">
        <v>1486</v>
      </c>
      <c r="R1102" s="34">
        <v>0.3</v>
      </c>
      <c r="S1102" s="226">
        <f t="shared" si="140"/>
        <v>14025</v>
      </c>
      <c r="T1102" s="156" t="s">
        <v>1486</v>
      </c>
      <c r="U1102" s="2"/>
      <c r="V1102" s="2" t="s">
        <v>47</v>
      </c>
      <c r="W1102" s="2" t="s">
        <v>1467</v>
      </c>
      <c r="X1102" s="2" t="s">
        <v>1467</v>
      </c>
      <c r="Y1102" s="488" t="s">
        <v>1486</v>
      </c>
      <c r="Z1102" s="293"/>
      <c r="AA1102" s="293"/>
    </row>
    <row r="1103" spans="1:27" s="320" customFormat="1" x14ac:dyDescent="0.25">
      <c r="A1103" s="220" t="s">
        <v>4046</v>
      </c>
      <c r="B1103" s="221" t="s">
        <v>4061</v>
      </c>
      <c r="C1103" s="223" t="s">
        <v>1739</v>
      </c>
      <c r="D1103" s="220" t="s">
        <v>4045</v>
      </c>
      <c r="E1103" s="222">
        <v>12</v>
      </c>
      <c r="F1103" s="192">
        <v>1430</v>
      </c>
      <c r="G1103" s="24">
        <v>0.2</v>
      </c>
      <c r="H1103" s="24">
        <v>0.05</v>
      </c>
      <c r="I1103" s="24">
        <v>0.05</v>
      </c>
      <c r="J1103" s="24">
        <v>0</v>
      </c>
      <c r="K1103" s="224">
        <f t="shared" si="141"/>
        <v>0.27800000000000002</v>
      </c>
      <c r="L1103" s="225">
        <f t="shared" si="142"/>
        <v>23767.313019390582</v>
      </c>
      <c r="M1103" s="225">
        <f t="shared" si="143"/>
        <v>1980.6094182825486</v>
      </c>
      <c r="N1103" s="226">
        <f t="shared" si="145"/>
        <v>2356.9252077562328</v>
      </c>
      <c r="O1103" s="34">
        <v>0.3</v>
      </c>
      <c r="P1103" s="226">
        <f t="shared" si="144"/>
        <v>3064.0027700831029</v>
      </c>
      <c r="Q1103" s="107" t="s">
        <v>1486</v>
      </c>
      <c r="R1103" s="34">
        <v>0.3</v>
      </c>
      <c r="S1103" s="226">
        <f t="shared" si="140"/>
        <v>2431</v>
      </c>
      <c r="T1103" s="156" t="s">
        <v>1486</v>
      </c>
      <c r="U1103" s="2" t="s">
        <v>50</v>
      </c>
      <c r="V1103" s="2" t="s">
        <v>47</v>
      </c>
      <c r="W1103" s="2" t="s">
        <v>2900</v>
      </c>
      <c r="X1103" s="2" t="s">
        <v>2903</v>
      </c>
      <c r="Y1103" s="488" t="s">
        <v>1486</v>
      </c>
      <c r="Z1103" s="293"/>
      <c r="AA1103" s="293"/>
    </row>
    <row r="1104" spans="1:27" s="320" customFormat="1" x14ac:dyDescent="0.25">
      <c r="A1104" s="220" t="s">
        <v>4048</v>
      </c>
      <c r="B1104" s="221" t="s">
        <v>4063</v>
      </c>
      <c r="C1104" s="223" t="s">
        <v>1739</v>
      </c>
      <c r="D1104" s="220" t="s">
        <v>4045</v>
      </c>
      <c r="E1104" s="222">
        <v>12</v>
      </c>
      <c r="F1104" s="192">
        <v>1430</v>
      </c>
      <c r="G1104" s="24">
        <v>0.2</v>
      </c>
      <c r="H1104" s="24">
        <v>0.05</v>
      </c>
      <c r="I1104" s="24">
        <v>0.05</v>
      </c>
      <c r="J1104" s="24">
        <v>0</v>
      </c>
      <c r="K1104" s="224">
        <f t="shared" si="141"/>
        <v>0.27800000000000002</v>
      </c>
      <c r="L1104" s="225">
        <f t="shared" si="142"/>
        <v>23767.313019390582</v>
      </c>
      <c r="M1104" s="225">
        <f t="shared" si="143"/>
        <v>1980.6094182825486</v>
      </c>
      <c r="N1104" s="226">
        <f t="shared" si="145"/>
        <v>2356.9252077562328</v>
      </c>
      <c r="O1104" s="34">
        <v>0.3</v>
      </c>
      <c r="P1104" s="226">
        <f t="shared" si="144"/>
        <v>3064.0027700831029</v>
      </c>
      <c r="Q1104" s="107" t="s">
        <v>1486</v>
      </c>
      <c r="R1104" s="34">
        <v>0.3</v>
      </c>
      <c r="S1104" s="226">
        <f t="shared" si="140"/>
        <v>2431</v>
      </c>
      <c r="T1104" s="156" t="s">
        <v>1486</v>
      </c>
      <c r="U1104" s="2" t="s">
        <v>50</v>
      </c>
      <c r="V1104" s="2" t="s">
        <v>47</v>
      </c>
      <c r="W1104" s="2" t="s">
        <v>2900</v>
      </c>
      <c r="X1104" s="2" t="s">
        <v>2903</v>
      </c>
      <c r="Y1104" s="488" t="s">
        <v>1486</v>
      </c>
      <c r="Z1104" s="293"/>
      <c r="AA1104" s="293"/>
    </row>
    <row r="1105" spans="1:27" s="320" customFormat="1" x14ac:dyDescent="0.25">
      <c r="A1105" s="220" t="s">
        <v>4050</v>
      </c>
      <c r="B1105" s="221" t="s">
        <v>6002</v>
      </c>
      <c r="C1105" s="223" t="s">
        <v>1739</v>
      </c>
      <c r="D1105" s="220" t="s">
        <v>4045</v>
      </c>
      <c r="E1105" s="222">
        <v>12</v>
      </c>
      <c r="F1105" s="192">
        <v>1370</v>
      </c>
      <c r="G1105" s="24">
        <v>0.2</v>
      </c>
      <c r="H1105" s="24">
        <v>0.05</v>
      </c>
      <c r="I1105" s="24">
        <v>0.05</v>
      </c>
      <c r="J1105" s="24">
        <v>0</v>
      </c>
      <c r="K1105" s="224">
        <f t="shared" si="141"/>
        <v>0.27800000000000014</v>
      </c>
      <c r="L1105" s="225">
        <f t="shared" si="142"/>
        <v>22770.083102493078</v>
      </c>
      <c r="M1105" s="225">
        <f t="shared" si="143"/>
        <v>1897.5069252077565</v>
      </c>
      <c r="N1105" s="226">
        <f t="shared" si="145"/>
        <v>2258.0332409972302</v>
      </c>
      <c r="O1105" s="34">
        <v>0.3</v>
      </c>
      <c r="P1105" s="226">
        <f t="shared" si="144"/>
        <v>2935.4432132963993</v>
      </c>
      <c r="Q1105" s="107" t="s">
        <v>1486</v>
      </c>
      <c r="R1105" s="34">
        <v>0.3</v>
      </c>
      <c r="S1105" s="226">
        <f t="shared" si="140"/>
        <v>2329</v>
      </c>
      <c r="T1105" s="156" t="s">
        <v>1486</v>
      </c>
      <c r="U1105" s="2" t="s">
        <v>50</v>
      </c>
      <c r="V1105" s="2" t="s">
        <v>47</v>
      </c>
      <c r="W1105" s="2" t="s">
        <v>2900</v>
      </c>
      <c r="X1105" s="2" t="s">
        <v>2903</v>
      </c>
      <c r="Y1105" s="488" t="s">
        <v>1486</v>
      </c>
      <c r="Z1105" s="293"/>
      <c r="AA1105" s="293"/>
    </row>
    <row r="1106" spans="1:27" s="320" customFormat="1" x14ac:dyDescent="0.25">
      <c r="A1106" s="220" t="s">
        <v>4051</v>
      </c>
      <c r="B1106" s="221" t="s">
        <v>4062</v>
      </c>
      <c r="C1106" s="223" t="s">
        <v>1739</v>
      </c>
      <c r="D1106" s="220" t="s">
        <v>4045</v>
      </c>
      <c r="E1106" s="222">
        <v>12</v>
      </c>
      <c r="F1106" s="192">
        <v>1125</v>
      </c>
      <c r="G1106" s="24">
        <v>0.2</v>
      </c>
      <c r="H1106" s="24">
        <v>0.05</v>
      </c>
      <c r="I1106" s="24">
        <v>0.05</v>
      </c>
      <c r="J1106" s="24">
        <v>0</v>
      </c>
      <c r="K1106" s="224">
        <f t="shared" si="141"/>
        <v>0.27800000000000014</v>
      </c>
      <c r="L1106" s="225">
        <f t="shared" si="142"/>
        <v>18698.060941828258</v>
      </c>
      <c r="M1106" s="225">
        <f t="shared" si="143"/>
        <v>1558.1717451523548</v>
      </c>
      <c r="N1106" s="226">
        <f t="shared" si="145"/>
        <v>1854.2243767313021</v>
      </c>
      <c r="O1106" s="34">
        <v>0.3</v>
      </c>
      <c r="P1106" s="226">
        <f t="shared" si="144"/>
        <v>2410.4916897506928</v>
      </c>
      <c r="Q1106" s="107" t="s">
        <v>1486</v>
      </c>
      <c r="R1106" s="34">
        <v>0.3</v>
      </c>
      <c r="S1106" s="226">
        <f t="shared" si="140"/>
        <v>1912.5000000000002</v>
      </c>
      <c r="T1106" s="156" t="s">
        <v>1486</v>
      </c>
      <c r="U1106" s="2" t="s">
        <v>50</v>
      </c>
      <c r="V1106" s="2" t="s">
        <v>47</v>
      </c>
      <c r="W1106" s="2" t="s">
        <v>2900</v>
      </c>
      <c r="X1106" s="2" t="s">
        <v>2903</v>
      </c>
      <c r="Y1106" s="488" t="s">
        <v>1486</v>
      </c>
      <c r="Z1106" s="293"/>
      <c r="AA1106" s="293"/>
    </row>
    <row r="1107" spans="1:27" s="320" customFormat="1" x14ac:dyDescent="0.25">
      <c r="A1107" s="220" t="s">
        <v>4052</v>
      </c>
      <c r="B1107" s="221" t="s">
        <v>4055</v>
      </c>
      <c r="C1107" s="223" t="s">
        <v>1739</v>
      </c>
      <c r="D1107" s="220" t="s">
        <v>4045</v>
      </c>
      <c r="E1107" s="222">
        <v>12</v>
      </c>
      <c r="F1107" s="192">
        <v>1215</v>
      </c>
      <c r="G1107" s="24">
        <v>0.2</v>
      </c>
      <c r="H1107" s="24">
        <v>0.05</v>
      </c>
      <c r="I1107" s="24">
        <v>0.05</v>
      </c>
      <c r="J1107" s="24">
        <v>0</v>
      </c>
      <c r="K1107" s="224">
        <f t="shared" si="141"/>
        <v>0.27800000000000002</v>
      </c>
      <c r="L1107" s="225">
        <f t="shared" si="142"/>
        <v>20193.905817174516</v>
      </c>
      <c r="M1107" s="225">
        <f t="shared" si="143"/>
        <v>1682.825484764543</v>
      </c>
      <c r="N1107" s="226">
        <f t="shared" si="145"/>
        <v>2002.5623268698062</v>
      </c>
      <c r="O1107" s="34">
        <v>0.3</v>
      </c>
      <c r="P1107" s="226">
        <f t="shared" si="144"/>
        <v>2603.3310249307483</v>
      </c>
      <c r="Q1107" s="107" t="s">
        <v>1486</v>
      </c>
      <c r="R1107" s="34">
        <v>0.3</v>
      </c>
      <c r="S1107" s="226">
        <f t="shared" si="140"/>
        <v>2065.5</v>
      </c>
      <c r="T1107" s="156" t="s">
        <v>1486</v>
      </c>
      <c r="U1107" s="2" t="s">
        <v>50</v>
      </c>
      <c r="V1107" s="2" t="s">
        <v>47</v>
      </c>
      <c r="W1107" s="2" t="s">
        <v>2900</v>
      </c>
      <c r="X1107" s="2" t="s">
        <v>2903</v>
      </c>
      <c r="Y1107" s="488" t="s">
        <v>1486</v>
      </c>
      <c r="Z1107" s="293"/>
      <c r="AA1107" s="293"/>
    </row>
    <row r="1108" spans="1:27" s="320" customFormat="1" x14ac:dyDescent="0.25">
      <c r="A1108" s="220" t="s">
        <v>4053</v>
      </c>
      <c r="B1108" s="221" t="s">
        <v>4064</v>
      </c>
      <c r="C1108" s="223" t="s">
        <v>1739</v>
      </c>
      <c r="D1108" s="220" t="s">
        <v>4045</v>
      </c>
      <c r="E1108" s="222">
        <v>12</v>
      </c>
      <c r="F1108" s="192">
        <v>1215</v>
      </c>
      <c r="G1108" s="24">
        <v>0.2</v>
      </c>
      <c r="H1108" s="24">
        <v>0.05</v>
      </c>
      <c r="I1108" s="24">
        <v>0.05</v>
      </c>
      <c r="J1108" s="24">
        <v>0</v>
      </c>
      <c r="K1108" s="224">
        <f t="shared" si="141"/>
        <v>0.27800000000000002</v>
      </c>
      <c r="L1108" s="225">
        <f t="shared" si="142"/>
        <v>20193.905817174516</v>
      </c>
      <c r="M1108" s="225">
        <f t="shared" si="143"/>
        <v>1682.825484764543</v>
      </c>
      <c r="N1108" s="226">
        <f t="shared" si="145"/>
        <v>2002.5623268698062</v>
      </c>
      <c r="O1108" s="34">
        <v>0.3</v>
      </c>
      <c r="P1108" s="226">
        <f t="shared" si="144"/>
        <v>2603.3310249307483</v>
      </c>
      <c r="Q1108" s="107" t="s">
        <v>1486</v>
      </c>
      <c r="R1108" s="34">
        <v>0.3</v>
      </c>
      <c r="S1108" s="226">
        <f t="shared" si="140"/>
        <v>2065.5</v>
      </c>
      <c r="T1108" s="156" t="s">
        <v>1486</v>
      </c>
      <c r="U1108" s="2" t="s">
        <v>50</v>
      </c>
      <c r="V1108" s="2" t="s">
        <v>47</v>
      </c>
      <c r="W1108" s="2" t="s">
        <v>2900</v>
      </c>
      <c r="X1108" s="2" t="s">
        <v>2903</v>
      </c>
      <c r="Y1108" s="488" t="s">
        <v>1486</v>
      </c>
      <c r="Z1108" s="293"/>
      <c r="AA1108" s="293"/>
    </row>
    <row r="1109" spans="1:27" s="320" customFormat="1" x14ac:dyDescent="0.25">
      <c r="A1109" s="220" t="s">
        <v>4054</v>
      </c>
      <c r="B1109" s="221" t="s">
        <v>4058</v>
      </c>
      <c r="C1109" s="223" t="s">
        <v>1739</v>
      </c>
      <c r="D1109" s="220" t="s">
        <v>4045</v>
      </c>
      <c r="E1109" s="222">
        <v>12</v>
      </c>
      <c r="F1109" s="192">
        <v>1280</v>
      </c>
      <c r="G1109" s="24">
        <v>0.2</v>
      </c>
      <c r="H1109" s="24">
        <v>0.05</v>
      </c>
      <c r="I1109" s="24">
        <v>0.05</v>
      </c>
      <c r="J1109" s="24">
        <v>0</v>
      </c>
      <c r="K1109" s="224">
        <f t="shared" si="141"/>
        <v>0.27800000000000002</v>
      </c>
      <c r="L1109" s="225">
        <f t="shared" si="142"/>
        <v>21274.238227146816</v>
      </c>
      <c r="M1109" s="225">
        <f t="shared" si="143"/>
        <v>1772.853185595568</v>
      </c>
      <c r="N1109" s="226">
        <f t="shared" si="145"/>
        <v>2109.6952908587259</v>
      </c>
      <c r="O1109" s="34">
        <v>0.3</v>
      </c>
      <c r="P1109" s="226">
        <f t="shared" si="144"/>
        <v>2742.6038781163438</v>
      </c>
      <c r="Q1109" s="107" t="s">
        <v>1486</v>
      </c>
      <c r="R1109" s="34">
        <v>0.3</v>
      </c>
      <c r="S1109" s="226">
        <f t="shared" si="140"/>
        <v>2176</v>
      </c>
      <c r="T1109" s="156" t="s">
        <v>1486</v>
      </c>
      <c r="U1109" s="2" t="s">
        <v>50</v>
      </c>
      <c r="V1109" s="2" t="s">
        <v>47</v>
      </c>
      <c r="W1109" s="2" t="s">
        <v>2900</v>
      </c>
      <c r="X1109" s="2" t="s">
        <v>2903</v>
      </c>
      <c r="Y1109" s="488" t="s">
        <v>1486</v>
      </c>
      <c r="Z1109" s="293"/>
      <c r="AA1109" s="293"/>
    </row>
    <row r="1110" spans="1:27" s="320" customFormat="1" x14ac:dyDescent="0.25">
      <c r="A1110" s="220" t="s">
        <v>4056</v>
      </c>
      <c r="B1110" s="221" t="s">
        <v>4060</v>
      </c>
      <c r="C1110" s="223" t="s">
        <v>1739</v>
      </c>
      <c r="D1110" s="220" t="s">
        <v>4045</v>
      </c>
      <c r="E1110" s="222">
        <v>12</v>
      </c>
      <c r="F1110" s="192">
        <v>1350</v>
      </c>
      <c r="G1110" s="24">
        <v>0.2</v>
      </c>
      <c r="H1110" s="24">
        <v>0.05</v>
      </c>
      <c r="I1110" s="24">
        <v>0.05</v>
      </c>
      <c r="J1110" s="24">
        <v>0</v>
      </c>
      <c r="K1110" s="224">
        <f t="shared" si="141"/>
        <v>0.27800000000000014</v>
      </c>
      <c r="L1110" s="225">
        <f t="shared" si="142"/>
        <v>22437.673130193907</v>
      </c>
      <c r="M1110" s="225">
        <f t="shared" si="143"/>
        <v>1869.8060941828257</v>
      </c>
      <c r="N1110" s="226">
        <f t="shared" si="145"/>
        <v>2225.0692520775624</v>
      </c>
      <c r="O1110" s="34">
        <v>0.3</v>
      </c>
      <c r="P1110" s="226">
        <f t="shared" si="144"/>
        <v>2892.5900277008313</v>
      </c>
      <c r="Q1110" s="107" t="s">
        <v>1486</v>
      </c>
      <c r="R1110" s="34">
        <v>0.3</v>
      </c>
      <c r="S1110" s="226">
        <f t="shared" si="140"/>
        <v>2295</v>
      </c>
      <c r="T1110" s="156" t="s">
        <v>1486</v>
      </c>
      <c r="U1110" s="2" t="s">
        <v>50</v>
      </c>
      <c r="V1110" s="2" t="s">
        <v>47</v>
      </c>
      <c r="W1110" s="2" t="s">
        <v>2900</v>
      </c>
      <c r="X1110" s="2" t="s">
        <v>2903</v>
      </c>
      <c r="Y1110" s="488" t="s">
        <v>1486</v>
      </c>
      <c r="Z1110" s="293"/>
      <c r="AA1110" s="293"/>
    </row>
    <row r="1111" spans="1:27" s="320" customFormat="1" x14ac:dyDescent="0.25">
      <c r="A1111" s="220" t="s">
        <v>4057</v>
      </c>
      <c r="B1111" s="221" t="s">
        <v>4066</v>
      </c>
      <c r="C1111" s="223" t="s">
        <v>1739</v>
      </c>
      <c r="D1111" s="220" t="s">
        <v>4045</v>
      </c>
      <c r="E1111" s="222">
        <v>12</v>
      </c>
      <c r="F1111" s="192">
        <v>1125</v>
      </c>
      <c r="G1111" s="24">
        <v>0.2</v>
      </c>
      <c r="H1111" s="24">
        <v>0.05</v>
      </c>
      <c r="I1111" s="24">
        <v>0.05</v>
      </c>
      <c r="J1111" s="24">
        <v>0</v>
      </c>
      <c r="K1111" s="224">
        <f t="shared" si="141"/>
        <v>0.27800000000000014</v>
      </c>
      <c r="L1111" s="225">
        <f t="shared" si="142"/>
        <v>18698.060941828258</v>
      </c>
      <c r="M1111" s="225">
        <f t="shared" si="143"/>
        <v>1558.1717451523548</v>
      </c>
      <c r="N1111" s="226">
        <f t="shared" si="145"/>
        <v>1854.2243767313021</v>
      </c>
      <c r="O1111" s="34">
        <v>0.3</v>
      </c>
      <c r="P1111" s="226">
        <f t="shared" si="144"/>
        <v>2410.4916897506928</v>
      </c>
      <c r="Q1111" s="107" t="s">
        <v>1486</v>
      </c>
      <c r="R1111" s="34">
        <v>0.3</v>
      </c>
      <c r="S1111" s="226">
        <f t="shared" si="140"/>
        <v>1912.5000000000002</v>
      </c>
      <c r="T1111" s="156" t="s">
        <v>1486</v>
      </c>
      <c r="U1111" s="2" t="s">
        <v>50</v>
      </c>
      <c r="V1111" s="2" t="s">
        <v>47</v>
      </c>
      <c r="W1111" s="2" t="s">
        <v>2900</v>
      </c>
      <c r="X1111" s="2" t="s">
        <v>2903</v>
      </c>
      <c r="Y1111" s="488" t="s">
        <v>1486</v>
      </c>
      <c r="Z1111" s="293"/>
      <c r="AA1111" s="293"/>
    </row>
    <row r="1112" spans="1:27" s="320" customFormat="1" x14ac:dyDescent="0.25">
      <c r="A1112" s="220" t="s">
        <v>4059</v>
      </c>
      <c r="B1112" s="221" t="s">
        <v>4068</v>
      </c>
      <c r="C1112" s="223" t="s">
        <v>1739</v>
      </c>
      <c r="D1112" s="220" t="s">
        <v>661</v>
      </c>
      <c r="E1112" s="222">
        <v>6</v>
      </c>
      <c r="F1112" s="192">
        <v>6750</v>
      </c>
      <c r="G1112" s="24">
        <v>0.2</v>
      </c>
      <c r="H1112" s="24">
        <v>0.05</v>
      </c>
      <c r="I1112" s="24">
        <v>0.05</v>
      </c>
      <c r="J1112" s="24">
        <v>0</v>
      </c>
      <c r="K1112" s="224">
        <f t="shared" si="141"/>
        <v>0.27800000000000014</v>
      </c>
      <c r="L1112" s="225">
        <f t="shared" si="142"/>
        <v>56094.182825484779</v>
      </c>
      <c r="M1112" s="225">
        <f t="shared" si="143"/>
        <v>9349.0304709141292</v>
      </c>
      <c r="N1112" s="226">
        <f t="shared" si="145"/>
        <v>11125.346260387812</v>
      </c>
      <c r="O1112" s="34">
        <v>0.3</v>
      </c>
      <c r="P1112" s="226">
        <f t="shared" si="144"/>
        <v>14462.950138504157</v>
      </c>
      <c r="Q1112" s="107" t="s">
        <v>1486</v>
      </c>
      <c r="R1112" s="34">
        <v>0.3</v>
      </c>
      <c r="S1112" s="226">
        <f t="shared" si="140"/>
        <v>11475</v>
      </c>
      <c r="T1112" s="156" t="s">
        <v>1486</v>
      </c>
      <c r="U1112" s="2" t="s">
        <v>50</v>
      </c>
      <c r="V1112" s="2" t="s">
        <v>47</v>
      </c>
      <c r="W1112" s="2" t="s">
        <v>2900</v>
      </c>
      <c r="X1112" s="2" t="s">
        <v>2903</v>
      </c>
      <c r="Y1112" s="488" t="s">
        <v>1486</v>
      </c>
      <c r="Z1112" s="293"/>
      <c r="AA1112" s="293"/>
    </row>
    <row r="1113" spans="1:27" s="320" customFormat="1" x14ac:dyDescent="0.25">
      <c r="A1113" s="220" t="s">
        <v>4065</v>
      </c>
      <c r="B1113" s="221" t="s">
        <v>4070</v>
      </c>
      <c r="C1113" s="223" t="s">
        <v>1739</v>
      </c>
      <c r="D1113" s="220" t="s">
        <v>661</v>
      </c>
      <c r="E1113" s="222">
        <v>6</v>
      </c>
      <c r="F1113" s="192">
        <v>5310</v>
      </c>
      <c r="G1113" s="24">
        <v>0.2</v>
      </c>
      <c r="H1113" s="24">
        <v>0.05</v>
      </c>
      <c r="I1113" s="24">
        <v>0.05</v>
      </c>
      <c r="J1113" s="24">
        <v>0</v>
      </c>
      <c r="K1113" s="224">
        <f t="shared" si="141"/>
        <v>0.27800000000000014</v>
      </c>
      <c r="L1113" s="225">
        <f t="shared" si="142"/>
        <v>44127.423822714685</v>
      </c>
      <c r="M1113" s="225">
        <f t="shared" si="143"/>
        <v>7354.5706371191145</v>
      </c>
      <c r="N1113" s="226">
        <f t="shared" si="145"/>
        <v>8751.9390581717453</v>
      </c>
      <c r="O1113" s="34">
        <v>0.3</v>
      </c>
      <c r="P1113" s="226">
        <f t="shared" si="144"/>
        <v>11377.520775623268</v>
      </c>
      <c r="Q1113" s="107" t="s">
        <v>1486</v>
      </c>
      <c r="R1113" s="34">
        <v>0.3</v>
      </c>
      <c r="S1113" s="226">
        <f t="shared" si="140"/>
        <v>9027</v>
      </c>
      <c r="T1113" s="156" t="s">
        <v>1486</v>
      </c>
      <c r="U1113" s="2" t="s">
        <v>50</v>
      </c>
      <c r="V1113" s="2" t="s">
        <v>47</v>
      </c>
      <c r="W1113" s="2" t="s">
        <v>2900</v>
      </c>
      <c r="X1113" s="2" t="s">
        <v>2903</v>
      </c>
      <c r="Y1113" s="488" t="s">
        <v>1486</v>
      </c>
      <c r="Z1113" s="293"/>
      <c r="AA1113" s="293"/>
    </row>
    <row r="1114" spans="1:27" s="320" customFormat="1" x14ac:dyDescent="0.25">
      <c r="A1114" s="220" t="s">
        <v>4067</v>
      </c>
      <c r="B1114" s="221" t="s">
        <v>5878</v>
      </c>
      <c r="C1114" s="223" t="s">
        <v>1739</v>
      </c>
      <c r="D1114" s="220" t="s">
        <v>661</v>
      </c>
      <c r="E1114" s="222">
        <v>2</v>
      </c>
      <c r="F1114" s="192">
        <v>14310</v>
      </c>
      <c r="G1114" s="24">
        <v>0.2</v>
      </c>
      <c r="H1114" s="24">
        <v>0.05</v>
      </c>
      <c r="I1114" s="24">
        <v>0.05</v>
      </c>
      <c r="J1114" s="24">
        <v>0</v>
      </c>
      <c r="K1114" s="224">
        <f t="shared" si="141"/>
        <v>0.27800000000000002</v>
      </c>
      <c r="L1114" s="225">
        <f t="shared" si="142"/>
        <v>39639.889196675904</v>
      </c>
      <c r="M1114" s="225">
        <f t="shared" si="143"/>
        <v>19819.944598337952</v>
      </c>
      <c r="N1114" s="226">
        <f t="shared" si="145"/>
        <v>23585.734072022162</v>
      </c>
      <c r="O1114" s="34">
        <v>0.3</v>
      </c>
      <c r="P1114" s="226">
        <f t="shared" si="144"/>
        <v>30661.454293628813</v>
      </c>
      <c r="Q1114" s="107" t="s">
        <v>1486</v>
      </c>
      <c r="R1114" s="34">
        <v>0.3</v>
      </c>
      <c r="S1114" s="226">
        <f t="shared" si="140"/>
        <v>24327</v>
      </c>
      <c r="T1114" s="156" t="s">
        <v>1486</v>
      </c>
      <c r="U1114" s="2" t="s">
        <v>109</v>
      </c>
      <c r="V1114" s="2" t="s">
        <v>47</v>
      </c>
      <c r="W1114" s="2" t="s">
        <v>2900</v>
      </c>
      <c r="X1114" s="2" t="s">
        <v>1467</v>
      </c>
      <c r="Y1114" s="488" t="s">
        <v>1486</v>
      </c>
      <c r="Z1114" s="293"/>
      <c r="AA1114" s="293"/>
    </row>
    <row r="1115" spans="1:27" s="320" customFormat="1" x14ac:dyDescent="0.25">
      <c r="A1115" s="220" t="s">
        <v>4069</v>
      </c>
      <c r="B1115" s="221" t="s">
        <v>4073</v>
      </c>
      <c r="C1115" s="223" t="s">
        <v>1739</v>
      </c>
      <c r="D1115" s="220" t="s">
        <v>661</v>
      </c>
      <c r="E1115" s="222">
        <v>12</v>
      </c>
      <c r="F1115" s="192">
        <v>1521</v>
      </c>
      <c r="G1115" s="24">
        <v>0.2</v>
      </c>
      <c r="H1115" s="24">
        <v>0.05</v>
      </c>
      <c r="I1115" s="24">
        <v>0.05</v>
      </c>
      <c r="J1115" s="24">
        <v>0</v>
      </c>
      <c r="K1115" s="224">
        <f t="shared" si="141"/>
        <v>0.27800000000000014</v>
      </c>
      <c r="L1115" s="225">
        <f t="shared" si="142"/>
        <v>25279.778393351804</v>
      </c>
      <c r="M1115" s="225">
        <f t="shared" si="143"/>
        <v>2106.6481994459837</v>
      </c>
      <c r="N1115" s="226">
        <f t="shared" si="145"/>
        <v>2506.9113573407203</v>
      </c>
      <c r="O1115" s="34">
        <v>0.3</v>
      </c>
      <c r="P1115" s="226">
        <f t="shared" si="144"/>
        <v>3258.9847645429363</v>
      </c>
      <c r="Q1115" s="107" t="s">
        <v>1486</v>
      </c>
      <c r="R1115" s="34">
        <v>0.3</v>
      </c>
      <c r="S1115" s="226">
        <f t="shared" si="140"/>
        <v>2585.7000000000003</v>
      </c>
      <c r="T1115" s="156" t="s">
        <v>1486</v>
      </c>
      <c r="U1115" s="2" t="s">
        <v>50</v>
      </c>
      <c r="V1115" s="2" t="s">
        <v>47</v>
      </c>
      <c r="W1115" s="2" t="s">
        <v>2900</v>
      </c>
      <c r="X1115" s="2" t="s">
        <v>2903</v>
      </c>
      <c r="Y1115" s="488" t="s">
        <v>1486</v>
      </c>
      <c r="Z1115" s="293"/>
      <c r="AA1115" s="293"/>
    </row>
    <row r="1116" spans="1:27" s="320" customFormat="1" x14ac:dyDescent="0.25">
      <c r="A1116" s="220" t="s">
        <v>4071</v>
      </c>
      <c r="B1116" s="221" t="s">
        <v>4075</v>
      </c>
      <c r="C1116" s="223" t="s">
        <v>1739</v>
      </c>
      <c r="D1116" s="220" t="s">
        <v>661</v>
      </c>
      <c r="E1116" s="222">
        <v>12</v>
      </c>
      <c r="F1116" s="192">
        <v>1521</v>
      </c>
      <c r="G1116" s="24">
        <v>0.2</v>
      </c>
      <c r="H1116" s="24">
        <v>0.05</v>
      </c>
      <c r="I1116" s="24">
        <v>0.05</v>
      </c>
      <c r="J1116" s="24">
        <v>0</v>
      </c>
      <c r="K1116" s="224">
        <f t="shared" si="141"/>
        <v>0.27800000000000014</v>
      </c>
      <c r="L1116" s="225">
        <f t="shared" si="142"/>
        <v>25279.778393351804</v>
      </c>
      <c r="M1116" s="225">
        <f t="shared" si="143"/>
        <v>2106.6481994459837</v>
      </c>
      <c r="N1116" s="226">
        <f t="shared" si="145"/>
        <v>2506.9113573407203</v>
      </c>
      <c r="O1116" s="34">
        <v>0.3</v>
      </c>
      <c r="P1116" s="226">
        <f t="shared" si="144"/>
        <v>3258.9847645429363</v>
      </c>
      <c r="Q1116" s="107" t="s">
        <v>1486</v>
      </c>
      <c r="R1116" s="34">
        <v>0.3</v>
      </c>
      <c r="S1116" s="226">
        <f t="shared" si="140"/>
        <v>2585.7000000000003</v>
      </c>
      <c r="T1116" s="156" t="s">
        <v>1486</v>
      </c>
      <c r="U1116" s="2" t="s">
        <v>50</v>
      </c>
      <c r="V1116" s="2" t="s">
        <v>47</v>
      </c>
      <c r="W1116" s="2" t="s">
        <v>2900</v>
      </c>
      <c r="X1116" s="2" t="s">
        <v>2903</v>
      </c>
      <c r="Y1116" s="488" t="s">
        <v>1486</v>
      </c>
      <c r="Z1116" s="293"/>
      <c r="AA1116" s="293"/>
    </row>
    <row r="1117" spans="1:27" s="320" customFormat="1" x14ac:dyDescent="0.25">
      <c r="A1117" s="220" t="s">
        <v>4072</v>
      </c>
      <c r="B1117" s="221" t="s">
        <v>5879</v>
      </c>
      <c r="C1117" s="223" t="s">
        <v>1739</v>
      </c>
      <c r="D1117" s="220" t="s">
        <v>661</v>
      </c>
      <c r="E1117" s="222">
        <v>12</v>
      </c>
      <c r="F1117" s="192">
        <v>1215</v>
      </c>
      <c r="G1117" s="24">
        <v>0.2</v>
      </c>
      <c r="H1117" s="24">
        <v>0.05</v>
      </c>
      <c r="I1117" s="24">
        <v>0.05</v>
      </c>
      <c r="J1117" s="24">
        <v>0</v>
      </c>
      <c r="K1117" s="224">
        <f t="shared" si="141"/>
        <v>0.27800000000000002</v>
      </c>
      <c r="L1117" s="225">
        <f t="shared" si="142"/>
        <v>20193.905817174516</v>
      </c>
      <c r="M1117" s="225">
        <f t="shared" si="143"/>
        <v>1682.825484764543</v>
      </c>
      <c r="N1117" s="226">
        <f t="shared" si="145"/>
        <v>2002.5623268698062</v>
      </c>
      <c r="O1117" s="34">
        <v>0.3</v>
      </c>
      <c r="P1117" s="226">
        <f t="shared" si="144"/>
        <v>2603.3310249307483</v>
      </c>
      <c r="Q1117" s="107" t="s">
        <v>1486</v>
      </c>
      <c r="R1117" s="34">
        <v>0.3</v>
      </c>
      <c r="S1117" s="226">
        <f t="shared" ref="S1117:S1180" si="146">+(F1117/(1-R1117))*1.19</f>
        <v>2065.5</v>
      </c>
      <c r="T1117" s="156" t="s">
        <v>1486</v>
      </c>
      <c r="U1117" s="2" t="s">
        <v>50</v>
      </c>
      <c r="V1117" s="2" t="s">
        <v>47</v>
      </c>
      <c r="W1117" s="2" t="s">
        <v>2900</v>
      </c>
      <c r="X1117" s="2" t="s">
        <v>2903</v>
      </c>
      <c r="Y1117" s="488" t="s">
        <v>1486</v>
      </c>
      <c r="Z1117" s="293"/>
      <c r="AA1117" s="293"/>
    </row>
    <row r="1118" spans="1:27" s="320" customFormat="1" x14ac:dyDescent="0.25">
      <c r="A1118" s="220" t="s">
        <v>4074</v>
      </c>
      <c r="B1118" s="221" t="s">
        <v>5880</v>
      </c>
      <c r="C1118" s="223" t="s">
        <v>1739</v>
      </c>
      <c r="D1118" s="220" t="s">
        <v>661</v>
      </c>
      <c r="E1118" s="222">
        <v>12</v>
      </c>
      <c r="F1118" s="192">
        <v>862</v>
      </c>
      <c r="G1118" s="24">
        <v>0.2</v>
      </c>
      <c r="H1118" s="24">
        <v>0.05</v>
      </c>
      <c r="I1118" s="24">
        <v>0.05</v>
      </c>
      <c r="J1118" s="24">
        <v>0</v>
      </c>
      <c r="K1118" s="224">
        <f t="shared" si="141"/>
        <v>0.27800000000000014</v>
      </c>
      <c r="L1118" s="225">
        <f t="shared" si="142"/>
        <v>14326.869806094186</v>
      </c>
      <c r="M1118" s="225">
        <f t="shared" si="143"/>
        <v>1193.9058171745155</v>
      </c>
      <c r="N1118" s="226">
        <f t="shared" si="145"/>
        <v>1420.7479224376734</v>
      </c>
      <c r="O1118" s="34">
        <v>0.3</v>
      </c>
      <c r="P1118" s="226">
        <f t="shared" si="144"/>
        <v>1846.9722991689755</v>
      </c>
      <c r="Q1118" s="107" t="s">
        <v>1486</v>
      </c>
      <c r="R1118" s="34">
        <v>0.3</v>
      </c>
      <c r="S1118" s="226">
        <f t="shared" si="146"/>
        <v>1465.4</v>
      </c>
      <c r="T1118" s="156" t="s">
        <v>1486</v>
      </c>
      <c r="U1118" s="2" t="s">
        <v>50</v>
      </c>
      <c r="V1118" s="2" t="s">
        <v>47</v>
      </c>
      <c r="W1118" s="2"/>
      <c r="X1118" s="2" t="s">
        <v>1467</v>
      </c>
      <c r="Y1118" s="488" t="s">
        <v>1486</v>
      </c>
      <c r="Z1118" s="293"/>
      <c r="AA1118" s="293"/>
    </row>
    <row r="1119" spans="1:27" s="320" customFormat="1" x14ac:dyDescent="0.25">
      <c r="A1119" s="220" t="s">
        <v>4076</v>
      </c>
      <c r="B1119" s="221" t="s">
        <v>5447</v>
      </c>
      <c r="C1119" s="223" t="s">
        <v>1626</v>
      </c>
      <c r="D1119" s="220" t="s">
        <v>119</v>
      </c>
      <c r="E1119" s="222">
        <v>12</v>
      </c>
      <c r="F1119" s="192">
        <v>1014</v>
      </c>
      <c r="G1119" s="24">
        <v>0.2</v>
      </c>
      <c r="H1119" s="24">
        <v>0.05</v>
      </c>
      <c r="I1119" s="24">
        <v>0.05</v>
      </c>
      <c r="J1119" s="24">
        <v>0</v>
      </c>
      <c r="K1119" s="224">
        <f t="shared" si="141"/>
        <v>0.27800000000000002</v>
      </c>
      <c r="L1119" s="225">
        <f t="shared" si="142"/>
        <v>16853.185595567869</v>
      </c>
      <c r="M1119" s="225">
        <f t="shared" si="143"/>
        <v>1404.432132963989</v>
      </c>
      <c r="N1119" s="226">
        <f t="shared" si="145"/>
        <v>1671.274238227147</v>
      </c>
      <c r="O1119" s="34">
        <v>0.3</v>
      </c>
      <c r="P1119" s="226">
        <f t="shared" si="144"/>
        <v>2172.6565096952913</v>
      </c>
      <c r="Q1119" s="107" t="s">
        <v>1486</v>
      </c>
      <c r="R1119" s="34">
        <v>0.26220000045198877</v>
      </c>
      <c r="S1119" s="226">
        <f t="shared" si="146"/>
        <v>1635.483871969667</v>
      </c>
      <c r="T1119" s="156" t="s">
        <v>1486</v>
      </c>
      <c r="U1119" s="2" t="s">
        <v>50</v>
      </c>
      <c r="V1119" s="2" t="s">
        <v>47</v>
      </c>
      <c r="W1119" s="2" t="s">
        <v>2900</v>
      </c>
      <c r="X1119" s="2" t="s">
        <v>2903</v>
      </c>
      <c r="Y1119" s="488" t="s">
        <v>1486</v>
      </c>
      <c r="Z1119" s="293"/>
      <c r="AA1119" s="293"/>
    </row>
    <row r="1120" spans="1:27" s="320" customFormat="1" x14ac:dyDescent="0.25">
      <c r="A1120" s="220" t="s">
        <v>4077</v>
      </c>
      <c r="B1120" s="221" t="s">
        <v>4087</v>
      </c>
      <c r="C1120" s="223" t="s">
        <v>1626</v>
      </c>
      <c r="D1120" s="220" t="s">
        <v>119</v>
      </c>
      <c r="E1120" s="222">
        <v>12</v>
      </c>
      <c r="F1120" s="192">
        <v>1635</v>
      </c>
      <c r="G1120" s="24">
        <v>0.2</v>
      </c>
      <c r="H1120" s="24">
        <v>0.05</v>
      </c>
      <c r="I1120" s="24">
        <v>0.05</v>
      </c>
      <c r="J1120" s="24">
        <v>0</v>
      </c>
      <c r="K1120" s="224">
        <f t="shared" si="141"/>
        <v>0.27800000000000002</v>
      </c>
      <c r="L1120" s="225">
        <f t="shared" si="142"/>
        <v>27174.515235457064</v>
      </c>
      <c r="M1120" s="225">
        <f t="shared" si="143"/>
        <v>2264.5429362880886</v>
      </c>
      <c r="N1120" s="226">
        <f t="shared" si="145"/>
        <v>2694.8060941828253</v>
      </c>
      <c r="O1120" s="34">
        <v>0.3</v>
      </c>
      <c r="P1120" s="226">
        <f t="shared" si="144"/>
        <v>3503.247922437673</v>
      </c>
      <c r="Q1120" s="107" t="s">
        <v>1486</v>
      </c>
      <c r="R1120" s="34">
        <v>0.3</v>
      </c>
      <c r="S1120" s="226">
        <f t="shared" si="146"/>
        <v>2779.5</v>
      </c>
      <c r="T1120" s="156" t="s">
        <v>1486</v>
      </c>
      <c r="U1120" s="2" t="s">
        <v>50</v>
      </c>
      <c r="V1120" s="2" t="s">
        <v>47</v>
      </c>
      <c r="W1120" s="2" t="s">
        <v>2900</v>
      </c>
      <c r="X1120" s="2" t="s">
        <v>2903</v>
      </c>
      <c r="Y1120" s="488" t="s">
        <v>1486</v>
      </c>
      <c r="Z1120" s="293"/>
      <c r="AA1120" s="293"/>
    </row>
    <row r="1121" spans="1:27" s="320" customFormat="1" x14ac:dyDescent="0.25">
      <c r="A1121" s="220" t="s">
        <v>4084</v>
      </c>
      <c r="B1121" s="221" t="s">
        <v>4095</v>
      </c>
      <c r="C1121" s="223" t="s">
        <v>1626</v>
      </c>
      <c r="D1121" s="220" t="s">
        <v>3364</v>
      </c>
      <c r="E1121" s="222">
        <v>24</v>
      </c>
      <c r="F1121" s="192">
        <v>1502</v>
      </c>
      <c r="G1121" s="24">
        <v>0.2</v>
      </c>
      <c r="H1121" s="24">
        <v>0.05</v>
      </c>
      <c r="I1121" s="24">
        <v>0.05</v>
      </c>
      <c r="J1121" s="24">
        <v>0</v>
      </c>
      <c r="K1121" s="224">
        <f t="shared" si="141"/>
        <v>0.27800000000000014</v>
      </c>
      <c r="L1121" s="225">
        <f t="shared" si="142"/>
        <v>49927.977839335188</v>
      </c>
      <c r="M1121" s="225">
        <f t="shared" si="143"/>
        <v>2080.3324099722995</v>
      </c>
      <c r="N1121" s="226">
        <f t="shared" si="145"/>
        <v>2475.5955678670362</v>
      </c>
      <c r="O1121" s="34">
        <v>0.3</v>
      </c>
      <c r="P1121" s="226">
        <f t="shared" si="144"/>
        <v>3218.2742382271472</v>
      </c>
      <c r="Q1121" s="107" t="s">
        <v>1486</v>
      </c>
      <c r="R1121" s="34">
        <v>0.3</v>
      </c>
      <c r="S1121" s="226">
        <f t="shared" si="146"/>
        <v>2553.4</v>
      </c>
      <c r="T1121" s="156" t="s">
        <v>1486</v>
      </c>
      <c r="U1121" s="2" t="s">
        <v>50</v>
      </c>
      <c r="V1121" s="2" t="s">
        <v>47</v>
      </c>
      <c r="W1121" s="2" t="s">
        <v>2900</v>
      </c>
      <c r="X1121" s="2" t="s">
        <v>2901</v>
      </c>
      <c r="Y1121" s="488" t="s">
        <v>1486</v>
      </c>
      <c r="Z1121" s="293"/>
      <c r="AA1121" s="293"/>
    </row>
    <row r="1122" spans="1:27" s="320" customFormat="1" x14ac:dyDescent="0.25">
      <c r="A1122" s="220" t="s">
        <v>4086</v>
      </c>
      <c r="B1122" s="221" t="s">
        <v>5576</v>
      </c>
      <c r="C1122" s="223" t="s">
        <v>3934</v>
      </c>
      <c r="D1122" s="220" t="s">
        <v>1646</v>
      </c>
      <c r="E1122" s="222">
        <v>1</v>
      </c>
      <c r="F1122" s="192">
        <v>2408</v>
      </c>
      <c r="G1122" s="24">
        <v>0.2</v>
      </c>
      <c r="H1122" s="24">
        <v>0.05</v>
      </c>
      <c r="I1122" s="24">
        <v>0.05</v>
      </c>
      <c r="J1122" s="24">
        <v>0</v>
      </c>
      <c r="K1122" s="224">
        <f t="shared" si="141"/>
        <v>0.27800000000000014</v>
      </c>
      <c r="L1122" s="225">
        <f t="shared" si="142"/>
        <v>3335.1800554016627</v>
      </c>
      <c r="M1122" s="225">
        <f t="shared" si="143"/>
        <v>3335.1800554016627</v>
      </c>
      <c r="N1122" s="226">
        <f t="shared" si="145"/>
        <v>3968.8642659279785</v>
      </c>
      <c r="O1122" s="34">
        <v>0.3</v>
      </c>
      <c r="P1122" s="226">
        <f t="shared" si="144"/>
        <v>5159.5235457063718</v>
      </c>
      <c r="Q1122" s="107" t="s">
        <v>1486</v>
      </c>
      <c r="R1122" s="34">
        <v>0.35</v>
      </c>
      <c r="S1122" s="226">
        <f t="shared" si="146"/>
        <v>4408.4923076923069</v>
      </c>
      <c r="T1122" s="156" t="s">
        <v>1486</v>
      </c>
      <c r="U1122" s="2" t="s">
        <v>50</v>
      </c>
      <c r="V1122" s="2" t="s">
        <v>47</v>
      </c>
      <c r="W1122" s="2" t="s">
        <v>5882</v>
      </c>
      <c r="X1122" s="2" t="s">
        <v>1467</v>
      </c>
      <c r="Y1122" s="488" t="s">
        <v>1486</v>
      </c>
      <c r="Z1122" s="293">
        <f t="shared" ref="Z1122:Z1185" si="147">+M1122-F1122</f>
        <v>927.18005540166268</v>
      </c>
      <c r="AA1122" s="293">
        <f t="shared" ref="AA1122:AA1185" si="148">+(S1122/1.19)-F1122</f>
        <v>1296.6153846153843</v>
      </c>
    </row>
    <row r="1123" spans="1:27" s="320" customFormat="1" ht="15" customHeight="1" x14ac:dyDescent="0.25">
      <c r="A1123" s="220" t="s">
        <v>4094</v>
      </c>
      <c r="B1123" s="221" t="s">
        <v>4111</v>
      </c>
      <c r="C1123" s="223" t="s">
        <v>1562</v>
      </c>
      <c r="D1123" s="220" t="s">
        <v>1900</v>
      </c>
      <c r="E1123" s="222">
        <v>54</v>
      </c>
      <c r="F1123" s="192">
        <v>104</v>
      </c>
      <c r="G1123" s="24">
        <v>0.2</v>
      </c>
      <c r="H1123" s="24">
        <v>0.05</v>
      </c>
      <c r="I1123" s="24">
        <v>0.05</v>
      </c>
      <c r="J1123" s="24">
        <v>0</v>
      </c>
      <c r="K1123" s="224">
        <f t="shared" si="141"/>
        <v>0.27800000000000002</v>
      </c>
      <c r="L1123" s="225">
        <f t="shared" si="142"/>
        <v>7778.3933518005542</v>
      </c>
      <c r="M1123" s="225">
        <f t="shared" si="143"/>
        <v>144.0443213296399</v>
      </c>
      <c r="N1123" s="226">
        <f t="shared" si="145"/>
        <v>171.41274238227146</v>
      </c>
      <c r="O1123" s="34">
        <v>0.3</v>
      </c>
      <c r="P1123" s="226">
        <f t="shared" si="144"/>
        <v>222.83656509695291</v>
      </c>
      <c r="Q1123" s="107" t="s">
        <v>1486</v>
      </c>
      <c r="R1123" s="34">
        <v>0.35</v>
      </c>
      <c r="S1123" s="226">
        <f t="shared" si="146"/>
        <v>190.39999999999998</v>
      </c>
      <c r="T1123" s="156" t="s">
        <v>1486</v>
      </c>
      <c r="U1123" s="2"/>
      <c r="V1123" s="2" t="s">
        <v>47</v>
      </c>
      <c r="W1123" s="2" t="s">
        <v>1467</v>
      </c>
      <c r="X1123" s="2" t="s">
        <v>1467</v>
      </c>
      <c r="Y1123" s="488" t="s">
        <v>1486</v>
      </c>
      <c r="Z1123" s="293">
        <f t="shared" si="147"/>
        <v>40.044321329639899</v>
      </c>
      <c r="AA1123" s="293">
        <f t="shared" si="148"/>
        <v>56</v>
      </c>
    </row>
    <row r="1124" spans="1:27" s="320" customFormat="1" x14ac:dyDescent="0.25">
      <c r="A1124" s="220" t="s">
        <v>4108</v>
      </c>
      <c r="B1124" s="221" t="s">
        <v>4113</v>
      </c>
      <c r="C1124" s="223" t="s">
        <v>1562</v>
      </c>
      <c r="D1124" s="220" t="s">
        <v>3616</v>
      </c>
      <c r="E1124" s="222">
        <v>250</v>
      </c>
      <c r="F1124" s="192">
        <v>22</v>
      </c>
      <c r="G1124" s="24">
        <v>0.2</v>
      </c>
      <c r="H1124" s="24">
        <v>0.05</v>
      </c>
      <c r="I1124" s="24">
        <v>0.05</v>
      </c>
      <c r="J1124" s="24">
        <v>0</v>
      </c>
      <c r="K1124" s="224">
        <f t="shared" si="141"/>
        <v>0.27800000000000002</v>
      </c>
      <c r="L1124" s="225">
        <f t="shared" si="142"/>
        <v>7617.7285318559561</v>
      </c>
      <c r="M1124" s="225">
        <f t="shared" si="143"/>
        <v>30.470914127423825</v>
      </c>
      <c r="N1124" s="226">
        <f t="shared" si="145"/>
        <v>36.260387811634352</v>
      </c>
      <c r="O1124" s="34">
        <v>0.3</v>
      </c>
      <c r="P1124" s="226">
        <f t="shared" si="144"/>
        <v>47.138504155124657</v>
      </c>
      <c r="Q1124" s="107" t="s">
        <v>1486</v>
      </c>
      <c r="R1124" s="34">
        <v>0.35</v>
      </c>
      <c r="S1124" s="226">
        <f t="shared" si="146"/>
        <v>40.276923076923076</v>
      </c>
      <c r="T1124" s="156" t="s">
        <v>1486</v>
      </c>
      <c r="U1124" s="2"/>
      <c r="V1124" s="2" t="s">
        <v>47</v>
      </c>
      <c r="W1124" s="2" t="s">
        <v>1467</v>
      </c>
      <c r="X1124" s="2" t="s">
        <v>1467</v>
      </c>
      <c r="Y1124" s="488" t="s">
        <v>1486</v>
      </c>
      <c r="Z1124" s="293">
        <f t="shared" si="147"/>
        <v>8.4709141274238249</v>
      </c>
      <c r="AA1124" s="293">
        <f t="shared" si="148"/>
        <v>11.846153846153847</v>
      </c>
    </row>
    <row r="1125" spans="1:27" s="320" customFormat="1" x14ac:dyDescent="0.25">
      <c r="A1125" s="220" t="s">
        <v>4110</v>
      </c>
      <c r="B1125" s="221" t="s">
        <v>4115</v>
      </c>
      <c r="C1125" s="223" t="s">
        <v>1562</v>
      </c>
      <c r="D1125" s="220" t="s">
        <v>4116</v>
      </c>
      <c r="E1125" s="222">
        <v>350</v>
      </c>
      <c r="F1125" s="192">
        <v>15</v>
      </c>
      <c r="G1125" s="24">
        <v>0.2</v>
      </c>
      <c r="H1125" s="24">
        <v>0.05</v>
      </c>
      <c r="I1125" s="24">
        <v>0.05</v>
      </c>
      <c r="J1125" s="24">
        <v>0</v>
      </c>
      <c r="K1125" s="224">
        <f t="shared" si="141"/>
        <v>0.27800000000000002</v>
      </c>
      <c r="L1125" s="225">
        <f t="shared" si="142"/>
        <v>7271.4681440443219</v>
      </c>
      <c r="M1125" s="225">
        <f t="shared" si="143"/>
        <v>20.775623268698062</v>
      </c>
      <c r="N1125" s="226">
        <f t="shared" si="145"/>
        <v>24.722991689750693</v>
      </c>
      <c r="O1125" s="34">
        <v>0.3</v>
      </c>
      <c r="P1125" s="226">
        <f t="shared" si="144"/>
        <v>32.139889196675902</v>
      </c>
      <c r="Q1125" s="107" t="s">
        <v>1486</v>
      </c>
      <c r="R1125" s="34">
        <v>0.35</v>
      </c>
      <c r="S1125" s="226">
        <f t="shared" si="146"/>
        <v>27.46153846153846</v>
      </c>
      <c r="T1125" s="156" t="s">
        <v>1486</v>
      </c>
      <c r="U1125" s="2"/>
      <c r="V1125" s="2" t="s">
        <v>47</v>
      </c>
      <c r="W1125" s="2" t="s">
        <v>1467</v>
      </c>
      <c r="X1125" s="2" t="s">
        <v>1467</v>
      </c>
      <c r="Y1125" s="488" t="s">
        <v>1486</v>
      </c>
      <c r="Z1125" s="293">
        <f t="shared" si="147"/>
        <v>5.7756232686980624</v>
      </c>
      <c r="AA1125" s="293">
        <f t="shared" si="148"/>
        <v>8.0769230769230766</v>
      </c>
    </row>
    <row r="1126" spans="1:27" s="320" customFormat="1" x14ac:dyDescent="0.25">
      <c r="A1126" s="220" t="s">
        <v>4112</v>
      </c>
      <c r="B1126" s="221" t="s">
        <v>4118</v>
      </c>
      <c r="C1126" s="223" t="s">
        <v>1562</v>
      </c>
      <c r="D1126" s="220" t="s">
        <v>3616</v>
      </c>
      <c r="E1126" s="222">
        <v>600</v>
      </c>
      <c r="F1126" s="192">
        <v>28</v>
      </c>
      <c r="G1126" s="24">
        <v>0.2</v>
      </c>
      <c r="H1126" s="24">
        <v>0.05</v>
      </c>
      <c r="I1126" s="24">
        <v>0.05</v>
      </c>
      <c r="J1126" s="24">
        <v>0</v>
      </c>
      <c r="K1126" s="224">
        <f t="shared" si="141"/>
        <v>0.27800000000000002</v>
      </c>
      <c r="L1126" s="225">
        <f t="shared" si="142"/>
        <v>23268.698060941831</v>
      </c>
      <c r="M1126" s="225">
        <f t="shared" si="143"/>
        <v>38.78116343490305</v>
      </c>
      <c r="N1126" s="226">
        <f t="shared" si="145"/>
        <v>46.149584487534625</v>
      </c>
      <c r="O1126" s="34">
        <v>0.3</v>
      </c>
      <c r="P1126" s="226">
        <f t="shared" si="144"/>
        <v>59.994459833795013</v>
      </c>
      <c r="Q1126" s="107" t="s">
        <v>1486</v>
      </c>
      <c r="R1126" s="34">
        <v>0.36</v>
      </c>
      <c r="S1126" s="226">
        <f t="shared" si="146"/>
        <v>52.0625</v>
      </c>
      <c r="T1126" s="156" t="s">
        <v>1486</v>
      </c>
      <c r="U1126" s="2"/>
      <c r="V1126" s="2" t="s">
        <v>47</v>
      </c>
      <c r="W1126" s="2" t="s">
        <v>1467</v>
      </c>
      <c r="X1126" s="2" t="s">
        <v>1467</v>
      </c>
      <c r="Y1126" s="488" t="s">
        <v>1486</v>
      </c>
      <c r="Z1126" s="293">
        <f t="shared" si="147"/>
        <v>10.78116343490305</v>
      </c>
      <c r="AA1126" s="293">
        <f t="shared" si="148"/>
        <v>15.75</v>
      </c>
    </row>
    <row r="1127" spans="1:27" s="320" customFormat="1" x14ac:dyDescent="0.25">
      <c r="A1127" s="220" t="s">
        <v>4114</v>
      </c>
      <c r="B1127" s="221" t="s">
        <v>4120</v>
      </c>
      <c r="C1127" s="223" t="s">
        <v>1562</v>
      </c>
      <c r="D1127" s="220" t="s">
        <v>3616</v>
      </c>
      <c r="E1127" s="222">
        <v>42</v>
      </c>
      <c r="F1127" s="192">
        <v>143</v>
      </c>
      <c r="G1127" s="24">
        <v>0.2</v>
      </c>
      <c r="H1127" s="24">
        <v>0.05</v>
      </c>
      <c r="I1127" s="24">
        <v>0.05</v>
      </c>
      <c r="J1127" s="24">
        <v>0</v>
      </c>
      <c r="K1127" s="224">
        <f t="shared" si="141"/>
        <v>0.27800000000000002</v>
      </c>
      <c r="L1127" s="225">
        <f t="shared" si="142"/>
        <v>8318.559556786704</v>
      </c>
      <c r="M1127" s="225">
        <f t="shared" si="143"/>
        <v>198.06094182825487</v>
      </c>
      <c r="N1127" s="226">
        <f t="shared" si="145"/>
        <v>235.69252077562328</v>
      </c>
      <c r="O1127" s="34">
        <v>0.3</v>
      </c>
      <c r="P1127" s="226">
        <f t="shared" si="144"/>
        <v>306.4002770083103</v>
      </c>
      <c r="Q1127" s="107" t="s">
        <v>1486</v>
      </c>
      <c r="R1127" s="34">
        <v>0.35</v>
      </c>
      <c r="S1127" s="226">
        <f t="shared" si="146"/>
        <v>261.8</v>
      </c>
      <c r="T1127" s="156" t="s">
        <v>1486</v>
      </c>
      <c r="U1127" s="2"/>
      <c r="V1127" s="2" t="s">
        <v>47</v>
      </c>
      <c r="W1127" s="2" t="s">
        <v>1467</v>
      </c>
      <c r="X1127" s="2" t="s">
        <v>1467</v>
      </c>
      <c r="Y1127" s="488" t="s">
        <v>1486</v>
      </c>
      <c r="Z1127" s="293">
        <f t="shared" si="147"/>
        <v>55.060941828254869</v>
      </c>
      <c r="AA1127" s="293">
        <f t="shared" si="148"/>
        <v>77.000000000000028</v>
      </c>
    </row>
    <row r="1128" spans="1:27" s="320" customFormat="1" x14ac:dyDescent="0.25">
      <c r="A1128" s="220" t="s">
        <v>4117</v>
      </c>
      <c r="B1128" s="221" t="s">
        <v>4122</v>
      </c>
      <c r="C1128" s="223" t="s">
        <v>1562</v>
      </c>
      <c r="D1128" s="220" t="s">
        <v>3616</v>
      </c>
      <c r="E1128" s="222">
        <v>300</v>
      </c>
      <c r="F1128" s="192">
        <v>28</v>
      </c>
      <c r="G1128" s="24">
        <v>0.2</v>
      </c>
      <c r="H1128" s="24">
        <v>0.05</v>
      </c>
      <c r="I1128" s="24">
        <v>0.05</v>
      </c>
      <c r="J1128" s="24">
        <v>0</v>
      </c>
      <c r="K1128" s="224">
        <f t="shared" si="141"/>
        <v>0.27800000000000002</v>
      </c>
      <c r="L1128" s="225">
        <f t="shared" si="142"/>
        <v>11634.349030470916</v>
      </c>
      <c r="M1128" s="225">
        <f t="shared" si="143"/>
        <v>38.78116343490305</v>
      </c>
      <c r="N1128" s="226">
        <f t="shared" si="145"/>
        <v>46.149584487534625</v>
      </c>
      <c r="O1128" s="34">
        <v>0.3</v>
      </c>
      <c r="P1128" s="226">
        <f t="shared" si="144"/>
        <v>59.994459833795013</v>
      </c>
      <c r="Q1128" s="107" t="s">
        <v>1486</v>
      </c>
      <c r="R1128" s="34">
        <v>0.35</v>
      </c>
      <c r="S1128" s="226">
        <f t="shared" si="146"/>
        <v>51.261538461538457</v>
      </c>
      <c r="T1128" s="156" t="s">
        <v>1486</v>
      </c>
      <c r="U1128" s="2"/>
      <c r="V1128" s="2" t="s">
        <v>47</v>
      </c>
      <c r="W1128" s="2" t="s">
        <v>1467</v>
      </c>
      <c r="X1128" s="2" t="s">
        <v>1467</v>
      </c>
      <c r="Y1128" s="488" t="s">
        <v>1486</v>
      </c>
      <c r="Z1128" s="293">
        <f t="shared" si="147"/>
        <v>10.78116343490305</v>
      </c>
      <c r="AA1128" s="293">
        <f t="shared" si="148"/>
        <v>15.076923076923073</v>
      </c>
    </row>
    <row r="1129" spans="1:27" s="320" customFormat="1" x14ac:dyDescent="0.25">
      <c r="A1129" s="220" t="s">
        <v>4119</v>
      </c>
      <c r="B1129" s="221" t="s">
        <v>4124</v>
      </c>
      <c r="C1129" s="223" t="s">
        <v>1562</v>
      </c>
      <c r="D1129" s="220" t="s">
        <v>3616</v>
      </c>
      <c r="E1129" s="222">
        <v>600</v>
      </c>
      <c r="F1129" s="192">
        <v>326</v>
      </c>
      <c r="G1129" s="24">
        <v>0.2</v>
      </c>
      <c r="H1129" s="24">
        <v>0.05</v>
      </c>
      <c r="I1129" s="24">
        <v>0.05</v>
      </c>
      <c r="J1129" s="24">
        <v>0</v>
      </c>
      <c r="K1129" s="224">
        <f t="shared" si="141"/>
        <v>0.27800000000000002</v>
      </c>
      <c r="L1129" s="225">
        <f t="shared" si="142"/>
        <v>270914.12742382276</v>
      </c>
      <c r="M1129" s="225">
        <f t="shared" si="143"/>
        <v>451.52354570637124</v>
      </c>
      <c r="N1129" s="226">
        <f t="shared" si="145"/>
        <v>537.31301939058176</v>
      </c>
      <c r="O1129" s="34">
        <v>0.3</v>
      </c>
      <c r="P1129" s="226">
        <f t="shared" si="144"/>
        <v>698.50692520775635</v>
      </c>
      <c r="Q1129" s="107" t="s">
        <v>1486</v>
      </c>
      <c r="R1129" s="34">
        <v>0.35</v>
      </c>
      <c r="S1129" s="226">
        <f t="shared" si="146"/>
        <v>596.83076923076919</v>
      </c>
      <c r="T1129" s="156" t="s">
        <v>1486</v>
      </c>
      <c r="U1129" s="2"/>
      <c r="V1129" s="2" t="s">
        <v>47</v>
      </c>
      <c r="W1129" s="2" t="s">
        <v>1467</v>
      </c>
      <c r="X1129" s="2" t="s">
        <v>1467</v>
      </c>
      <c r="Y1129" s="488" t="s">
        <v>1486</v>
      </c>
      <c r="Z1129" s="293">
        <f t="shared" si="147"/>
        <v>125.52354570637124</v>
      </c>
      <c r="AA1129" s="293">
        <f t="shared" si="148"/>
        <v>175.53846153846155</v>
      </c>
    </row>
    <row r="1130" spans="1:27" s="320" customFormat="1" x14ac:dyDescent="0.25">
      <c r="A1130" s="220" t="s">
        <v>4121</v>
      </c>
      <c r="B1130" s="221" t="s">
        <v>4126</v>
      </c>
      <c r="C1130" s="223" t="s">
        <v>1562</v>
      </c>
      <c r="D1130" s="220" t="s">
        <v>3616</v>
      </c>
      <c r="E1130" s="222">
        <v>760</v>
      </c>
      <c r="F1130" s="192">
        <v>12</v>
      </c>
      <c r="G1130" s="24">
        <v>0.2</v>
      </c>
      <c r="H1130" s="24">
        <v>0.05</v>
      </c>
      <c r="I1130" s="24">
        <v>0.05</v>
      </c>
      <c r="J1130" s="24">
        <v>0</v>
      </c>
      <c r="K1130" s="224">
        <f t="shared" si="141"/>
        <v>0.27800000000000002</v>
      </c>
      <c r="L1130" s="225">
        <f t="shared" si="142"/>
        <v>12631.578947368422</v>
      </c>
      <c r="M1130" s="225">
        <f t="shared" si="143"/>
        <v>16.62049861495845</v>
      </c>
      <c r="N1130" s="226">
        <f t="shared" si="145"/>
        <v>19.778393351800556</v>
      </c>
      <c r="O1130" s="34">
        <v>0.3</v>
      </c>
      <c r="P1130" s="226">
        <f t="shared" si="144"/>
        <v>25.711911357340725</v>
      </c>
      <c r="Q1130" s="107" t="s">
        <v>1486</v>
      </c>
      <c r="R1130" s="34">
        <v>0.35</v>
      </c>
      <c r="S1130" s="226">
        <f t="shared" si="146"/>
        <v>21.969230769230766</v>
      </c>
      <c r="T1130" s="156" t="s">
        <v>1486</v>
      </c>
      <c r="U1130" s="2"/>
      <c r="V1130" s="2" t="s">
        <v>47</v>
      </c>
      <c r="W1130" s="2" t="s">
        <v>1467</v>
      </c>
      <c r="X1130" s="2" t="s">
        <v>1467</v>
      </c>
      <c r="Y1130" s="488" t="s">
        <v>1486</v>
      </c>
      <c r="Z1130" s="293">
        <f t="shared" si="147"/>
        <v>4.6204986149584499</v>
      </c>
      <c r="AA1130" s="293">
        <f t="shared" si="148"/>
        <v>6.4615384615384599</v>
      </c>
    </row>
    <row r="1131" spans="1:27" s="320" customFormat="1" x14ac:dyDescent="0.25">
      <c r="A1131" s="220" t="s">
        <v>4123</v>
      </c>
      <c r="B1131" s="221" t="s">
        <v>4128</v>
      </c>
      <c r="C1131" s="223" t="s">
        <v>1562</v>
      </c>
      <c r="D1131" s="220" t="s">
        <v>3616</v>
      </c>
      <c r="E1131" s="222">
        <v>480</v>
      </c>
      <c r="F1131" s="192">
        <v>18</v>
      </c>
      <c r="G1131" s="24">
        <v>0.2</v>
      </c>
      <c r="H1131" s="24">
        <v>0.05</v>
      </c>
      <c r="I1131" s="24">
        <v>0.05</v>
      </c>
      <c r="J1131" s="24">
        <v>0</v>
      </c>
      <c r="K1131" s="224">
        <f t="shared" si="141"/>
        <v>0.27800000000000002</v>
      </c>
      <c r="L1131" s="225">
        <f t="shared" si="142"/>
        <v>11966.759002770084</v>
      </c>
      <c r="M1131" s="225">
        <f t="shared" si="143"/>
        <v>24.930747922437675</v>
      </c>
      <c r="N1131" s="226">
        <f t="shared" si="145"/>
        <v>29.667590027700832</v>
      </c>
      <c r="O1131" s="34">
        <v>0.3</v>
      </c>
      <c r="P1131" s="226">
        <f t="shared" si="144"/>
        <v>38.56786703601108</v>
      </c>
      <c r="Q1131" s="107" t="s">
        <v>1486</v>
      </c>
      <c r="R1131" s="34">
        <v>0.35</v>
      </c>
      <c r="S1131" s="226">
        <f t="shared" si="146"/>
        <v>32.95384615384615</v>
      </c>
      <c r="T1131" s="156" t="s">
        <v>1486</v>
      </c>
      <c r="U1131" s="2"/>
      <c r="V1131" s="2" t="s">
        <v>47</v>
      </c>
      <c r="W1131" s="2" t="s">
        <v>1467</v>
      </c>
      <c r="X1131" s="2" t="s">
        <v>1467</v>
      </c>
      <c r="Y1131" s="488" t="s">
        <v>1486</v>
      </c>
      <c r="Z1131" s="293">
        <f t="shared" si="147"/>
        <v>6.9307479224376749</v>
      </c>
      <c r="AA1131" s="293">
        <f t="shared" si="148"/>
        <v>9.6923076923076898</v>
      </c>
    </row>
    <row r="1132" spans="1:27" s="320" customFormat="1" x14ac:dyDescent="0.25">
      <c r="A1132" s="220" t="s">
        <v>4125</v>
      </c>
      <c r="B1132" s="221" t="s">
        <v>4130</v>
      </c>
      <c r="C1132" s="223" t="s">
        <v>1562</v>
      </c>
      <c r="D1132" s="220" t="s">
        <v>3616</v>
      </c>
      <c r="E1132" s="222">
        <v>600</v>
      </c>
      <c r="F1132" s="192">
        <v>17</v>
      </c>
      <c r="G1132" s="24">
        <v>0.2</v>
      </c>
      <c r="H1132" s="24">
        <v>0.05</v>
      </c>
      <c r="I1132" s="24">
        <v>0.05</v>
      </c>
      <c r="J1132" s="24">
        <v>0</v>
      </c>
      <c r="K1132" s="224">
        <f t="shared" si="141"/>
        <v>0.27800000000000002</v>
      </c>
      <c r="L1132" s="225">
        <f t="shared" si="142"/>
        <v>14127.423822714682</v>
      </c>
      <c r="M1132" s="225">
        <f t="shared" si="143"/>
        <v>23.545706371191137</v>
      </c>
      <c r="N1132" s="226">
        <f t="shared" si="145"/>
        <v>28.019390581717452</v>
      </c>
      <c r="O1132" s="34">
        <v>0.3</v>
      </c>
      <c r="P1132" s="226">
        <f t="shared" si="144"/>
        <v>36.425207756232687</v>
      </c>
      <c r="Q1132" s="107" t="s">
        <v>1486</v>
      </c>
      <c r="R1132" s="34">
        <v>0.35</v>
      </c>
      <c r="S1132" s="226">
        <f t="shared" si="146"/>
        <v>31.123076923076923</v>
      </c>
      <c r="T1132" s="156" t="s">
        <v>1486</v>
      </c>
      <c r="U1132" s="2"/>
      <c r="V1132" s="2" t="s">
        <v>47</v>
      </c>
      <c r="W1132" s="2" t="s">
        <v>1467</v>
      </c>
      <c r="X1132" s="2" t="s">
        <v>1467</v>
      </c>
      <c r="Y1132" s="488" t="s">
        <v>1486</v>
      </c>
      <c r="Z1132" s="293">
        <f t="shared" si="147"/>
        <v>6.5457063711911374</v>
      </c>
      <c r="AA1132" s="293">
        <f t="shared" si="148"/>
        <v>9.1538461538461533</v>
      </c>
    </row>
    <row r="1133" spans="1:27" s="320" customFormat="1" x14ac:dyDescent="0.25">
      <c r="A1133" s="220" t="s">
        <v>4127</v>
      </c>
      <c r="B1133" s="221" t="s">
        <v>4132</v>
      </c>
      <c r="C1133" s="223" t="s">
        <v>1562</v>
      </c>
      <c r="D1133" s="220" t="s">
        <v>3616</v>
      </c>
      <c r="E1133" s="222">
        <v>128</v>
      </c>
      <c r="F1133" s="192">
        <v>30</v>
      </c>
      <c r="G1133" s="24">
        <v>0.2</v>
      </c>
      <c r="H1133" s="24">
        <v>0.05</v>
      </c>
      <c r="I1133" s="24">
        <v>0.05</v>
      </c>
      <c r="J1133" s="24">
        <v>0</v>
      </c>
      <c r="K1133" s="224">
        <f t="shared" si="141"/>
        <v>0.27800000000000002</v>
      </c>
      <c r="L1133" s="225">
        <f t="shared" si="142"/>
        <v>5318.559556786704</v>
      </c>
      <c r="M1133" s="225">
        <f t="shared" si="143"/>
        <v>41.551246537396125</v>
      </c>
      <c r="N1133" s="226">
        <f t="shared" si="145"/>
        <v>49.445983379501385</v>
      </c>
      <c r="O1133" s="34">
        <v>0.3</v>
      </c>
      <c r="P1133" s="226">
        <f t="shared" si="144"/>
        <v>64.279778393351805</v>
      </c>
      <c r="Q1133" s="107" t="s">
        <v>1486</v>
      </c>
      <c r="R1133" s="34">
        <v>0.35</v>
      </c>
      <c r="S1133" s="226">
        <f t="shared" si="146"/>
        <v>54.92307692307692</v>
      </c>
      <c r="T1133" s="156" t="s">
        <v>1486</v>
      </c>
      <c r="U1133" s="2"/>
      <c r="V1133" s="2" t="s">
        <v>47</v>
      </c>
      <c r="W1133" s="2" t="s">
        <v>1467</v>
      </c>
      <c r="X1133" s="2" t="s">
        <v>1467</v>
      </c>
      <c r="Y1133" s="488" t="s">
        <v>1486</v>
      </c>
      <c r="Z1133" s="293">
        <f t="shared" si="147"/>
        <v>11.551246537396125</v>
      </c>
      <c r="AA1133" s="293">
        <f t="shared" si="148"/>
        <v>16.153846153846153</v>
      </c>
    </row>
    <row r="1134" spans="1:27" s="320" customFormat="1" x14ac:dyDescent="0.25">
      <c r="A1134" s="220" t="s">
        <v>4129</v>
      </c>
      <c r="B1134" s="221" t="s">
        <v>4134</v>
      </c>
      <c r="C1134" s="223" t="s">
        <v>1562</v>
      </c>
      <c r="D1134" s="220" t="s">
        <v>3616</v>
      </c>
      <c r="E1134" s="222">
        <v>12</v>
      </c>
      <c r="F1134" s="192">
        <v>1254</v>
      </c>
      <c r="G1134" s="24">
        <v>0.2</v>
      </c>
      <c r="H1134" s="24">
        <v>0.05</v>
      </c>
      <c r="I1134" s="24">
        <v>0.05</v>
      </c>
      <c r="J1134" s="24">
        <v>0</v>
      </c>
      <c r="K1134" s="224">
        <f t="shared" si="141"/>
        <v>0.27800000000000002</v>
      </c>
      <c r="L1134" s="225">
        <f t="shared" si="142"/>
        <v>20842.105263157893</v>
      </c>
      <c r="M1134" s="225">
        <f t="shared" si="143"/>
        <v>1736.8421052631579</v>
      </c>
      <c r="N1134" s="226">
        <f t="shared" si="145"/>
        <v>2066.8421052631579</v>
      </c>
      <c r="O1134" s="34">
        <v>0.3</v>
      </c>
      <c r="P1134" s="226">
        <f t="shared" si="144"/>
        <v>2686.8947368421054</v>
      </c>
      <c r="Q1134" s="107" t="s">
        <v>1486</v>
      </c>
      <c r="R1134" s="34">
        <v>0.35</v>
      </c>
      <c r="S1134" s="226">
        <f t="shared" si="146"/>
        <v>2295.7846153846149</v>
      </c>
      <c r="T1134" s="156" t="s">
        <v>1486</v>
      </c>
      <c r="U1134" s="2"/>
      <c r="V1134" s="2" t="s">
        <v>47</v>
      </c>
      <c r="W1134" s="2" t="s">
        <v>1467</v>
      </c>
      <c r="X1134" s="2" t="s">
        <v>1467</v>
      </c>
      <c r="Y1134" s="488" t="s">
        <v>1486</v>
      </c>
      <c r="Z1134" s="293">
        <f t="shared" si="147"/>
        <v>482.84210526315792</v>
      </c>
      <c r="AA1134" s="293">
        <f t="shared" si="148"/>
        <v>675.23076923076883</v>
      </c>
    </row>
    <row r="1135" spans="1:27" s="320" customFormat="1" x14ac:dyDescent="0.25">
      <c r="A1135" s="220" t="s">
        <v>4131</v>
      </c>
      <c r="B1135" s="221" t="s">
        <v>4136</v>
      </c>
      <c r="C1135" s="223" t="s">
        <v>1562</v>
      </c>
      <c r="D1135" s="220" t="s">
        <v>3616</v>
      </c>
      <c r="E1135" s="222">
        <v>30</v>
      </c>
      <c r="F1135" s="192">
        <v>436</v>
      </c>
      <c r="G1135" s="24">
        <v>0.2</v>
      </c>
      <c r="H1135" s="24">
        <v>0.05</v>
      </c>
      <c r="I1135" s="24">
        <v>0.05</v>
      </c>
      <c r="J1135" s="24">
        <v>0</v>
      </c>
      <c r="K1135" s="224">
        <f t="shared" si="141"/>
        <v>0.27800000000000014</v>
      </c>
      <c r="L1135" s="225">
        <f t="shared" si="142"/>
        <v>18116.343490304713</v>
      </c>
      <c r="M1135" s="225">
        <f t="shared" si="143"/>
        <v>603.87811634349043</v>
      </c>
      <c r="N1135" s="226">
        <f t="shared" si="145"/>
        <v>718.61495844875355</v>
      </c>
      <c r="O1135" s="34">
        <v>0.3</v>
      </c>
      <c r="P1135" s="226">
        <f t="shared" si="144"/>
        <v>934.19944598337963</v>
      </c>
      <c r="Q1135" s="107" t="s">
        <v>1486</v>
      </c>
      <c r="R1135" s="34">
        <v>0.35</v>
      </c>
      <c r="S1135" s="226">
        <f t="shared" si="146"/>
        <v>798.21538461538455</v>
      </c>
      <c r="T1135" s="156" t="s">
        <v>1486</v>
      </c>
      <c r="U1135" s="2"/>
      <c r="V1135" s="2" t="s">
        <v>47</v>
      </c>
      <c r="W1135" s="2" t="s">
        <v>1467</v>
      </c>
      <c r="X1135" s="2" t="s">
        <v>1467</v>
      </c>
      <c r="Y1135" s="488" t="s">
        <v>1486</v>
      </c>
      <c r="Z1135" s="293">
        <f t="shared" si="147"/>
        <v>167.87811634349043</v>
      </c>
      <c r="AA1135" s="293">
        <f t="shared" si="148"/>
        <v>234.76923076923072</v>
      </c>
    </row>
    <row r="1136" spans="1:27" s="320" customFormat="1" x14ac:dyDescent="0.25">
      <c r="A1136" s="220" t="s">
        <v>4133</v>
      </c>
      <c r="B1136" s="221" t="s">
        <v>4138</v>
      </c>
      <c r="C1136" s="223" t="s">
        <v>1562</v>
      </c>
      <c r="D1136" s="220" t="s">
        <v>3616</v>
      </c>
      <c r="E1136" s="222">
        <v>12</v>
      </c>
      <c r="F1136" s="192">
        <v>1838</v>
      </c>
      <c r="G1136" s="24">
        <v>0.2</v>
      </c>
      <c r="H1136" s="24">
        <v>0.05</v>
      </c>
      <c r="I1136" s="24">
        <v>0.05</v>
      </c>
      <c r="J1136" s="24">
        <v>0</v>
      </c>
      <c r="K1136" s="224">
        <f t="shared" si="141"/>
        <v>0.27800000000000002</v>
      </c>
      <c r="L1136" s="225">
        <f t="shared" si="142"/>
        <v>30548.476454293632</v>
      </c>
      <c r="M1136" s="225">
        <f t="shared" si="143"/>
        <v>2545.706371191136</v>
      </c>
      <c r="N1136" s="226">
        <f t="shared" si="145"/>
        <v>3029.3905817174518</v>
      </c>
      <c r="O1136" s="34">
        <v>0.3</v>
      </c>
      <c r="P1136" s="226">
        <f t="shared" si="144"/>
        <v>3938.2077562326876</v>
      </c>
      <c r="Q1136" s="107" t="s">
        <v>1486</v>
      </c>
      <c r="R1136" s="34">
        <v>0.35</v>
      </c>
      <c r="S1136" s="226">
        <f t="shared" si="146"/>
        <v>3364.9538461538459</v>
      </c>
      <c r="T1136" s="156" t="s">
        <v>1486</v>
      </c>
      <c r="U1136" s="2"/>
      <c r="V1136" s="2" t="s">
        <v>47</v>
      </c>
      <c r="W1136" s="2" t="s">
        <v>1467</v>
      </c>
      <c r="X1136" s="2" t="s">
        <v>1467</v>
      </c>
      <c r="Y1136" s="488" t="s">
        <v>1486</v>
      </c>
      <c r="Z1136" s="293">
        <f t="shared" si="147"/>
        <v>707.70637119113599</v>
      </c>
      <c r="AA1136" s="293">
        <f t="shared" si="148"/>
        <v>989.69230769230762</v>
      </c>
    </row>
    <row r="1137" spans="1:27" s="320" customFormat="1" x14ac:dyDescent="0.25">
      <c r="A1137" s="220" t="s">
        <v>4135</v>
      </c>
      <c r="B1137" s="221" t="s">
        <v>4140</v>
      </c>
      <c r="C1137" s="223" t="s">
        <v>1562</v>
      </c>
      <c r="D1137" s="220" t="s">
        <v>3616</v>
      </c>
      <c r="E1137" s="222">
        <v>12</v>
      </c>
      <c r="F1137" s="192">
        <v>1555</v>
      </c>
      <c r="G1137" s="24">
        <v>0.2</v>
      </c>
      <c r="H1137" s="24">
        <v>0.05</v>
      </c>
      <c r="I1137" s="24">
        <v>0.05</v>
      </c>
      <c r="J1137" s="24">
        <v>0</v>
      </c>
      <c r="K1137" s="224">
        <f t="shared" si="141"/>
        <v>0.27800000000000002</v>
      </c>
      <c r="L1137" s="225">
        <f t="shared" si="142"/>
        <v>25844.875346260389</v>
      </c>
      <c r="M1137" s="225">
        <f t="shared" si="143"/>
        <v>2153.7396121883658</v>
      </c>
      <c r="N1137" s="226">
        <f t="shared" si="145"/>
        <v>2562.9501385041553</v>
      </c>
      <c r="O1137" s="34">
        <v>0.3</v>
      </c>
      <c r="P1137" s="226">
        <f t="shared" si="144"/>
        <v>3331.8351800554019</v>
      </c>
      <c r="Q1137" s="107" t="s">
        <v>1486</v>
      </c>
      <c r="R1137" s="34">
        <v>0.35</v>
      </c>
      <c r="S1137" s="226">
        <f t="shared" si="146"/>
        <v>2846.8461538461538</v>
      </c>
      <c r="T1137" s="156" t="s">
        <v>1486</v>
      </c>
      <c r="U1137" s="2"/>
      <c r="V1137" s="2" t="s">
        <v>47</v>
      </c>
      <c r="W1137" s="2" t="s">
        <v>1467</v>
      </c>
      <c r="X1137" s="2" t="s">
        <v>1467</v>
      </c>
      <c r="Y1137" s="488" t="s">
        <v>1486</v>
      </c>
      <c r="Z1137" s="293">
        <f t="shared" si="147"/>
        <v>598.73961218836575</v>
      </c>
      <c r="AA1137" s="293">
        <f t="shared" si="148"/>
        <v>837.30769230769238</v>
      </c>
    </row>
    <row r="1138" spans="1:27" s="320" customFormat="1" x14ac:dyDescent="0.25">
      <c r="A1138" s="220" t="s">
        <v>4137</v>
      </c>
      <c r="B1138" s="221" t="s">
        <v>4142</v>
      </c>
      <c r="C1138" s="223" t="s">
        <v>3616</v>
      </c>
      <c r="D1138" s="220" t="s">
        <v>3616</v>
      </c>
      <c r="E1138" s="222">
        <v>12</v>
      </c>
      <c r="F1138" s="192">
        <v>1681</v>
      </c>
      <c r="G1138" s="24">
        <v>0.2</v>
      </c>
      <c r="H1138" s="24">
        <v>0.05</v>
      </c>
      <c r="I1138" s="24">
        <v>0.05</v>
      </c>
      <c r="J1138" s="24">
        <v>0</v>
      </c>
      <c r="K1138" s="224">
        <f t="shared" si="141"/>
        <v>0.27800000000000002</v>
      </c>
      <c r="L1138" s="225">
        <f t="shared" si="142"/>
        <v>27939.058171745153</v>
      </c>
      <c r="M1138" s="225">
        <f t="shared" si="143"/>
        <v>2328.2548476454294</v>
      </c>
      <c r="N1138" s="226">
        <f t="shared" si="145"/>
        <v>2770.6232686980611</v>
      </c>
      <c r="O1138" s="34">
        <v>0.3</v>
      </c>
      <c r="P1138" s="226">
        <f t="shared" si="144"/>
        <v>3601.8102493074794</v>
      </c>
      <c r="Q1138" s="107" t="s">
        <v>1486</v>
      </c>
      <c r="R1138" s="34">
        <v>0.35</v>
      </c>
      <c r="S1138" s="226">
        <f t="shared" si="146"/>
        <v>3077.523076923077</v>
      </c>
      <c r="T1138" s="156" t="s">
        <v>1486</v>
      </c>
      <c r="U1138" s="2"/>
      <c r="V1138" s="2" t="s">
        <v>47</v>
      </c>
      <c r="W1138" s="2" t="s">
        <v>1467</v>
      </c>
      <c r="X1138" s="2" t="s">
        <v>1467</v>
      </c>
      <c r="Y1138" s="488" t="s">
        <v>1486</v>
      </c>
      <c r="Z1138" s="293">
        <f t="shared" si="147"/>
        <v>647.25484764542944</v>
      </c>
      <c r="AA1138" s="293">
        <f t="shared" si="148"/>
        <v>905.15384615384619</v>
      </c>
    </row>
    <row r="1139" spans="1:27" s="320" customFormat="1" x14ac:dyDescent="0.25">
      <c r="A1139" s="220" t="s">
        <v>4139</v>
      </c>
      <c r="B1139" s="221" t="s">
        <v>4144</v>
      </c>
      <c r="C1139" s="223" t="s">
        <v>1562</v>
      </c>
      <c r="D1139" s="220" t="s">
        <v>3616</v>
      </c>
      <c r="E1139" s="222">
        <v>30</v>
      </c>
      <c r="F1139" s="192">
        <v>1205</v>
      </c>
      <c r="G1139" s="24">
        <v>0.2</v>
      </c>
      <c r="H1139" s="24">
        <v>0.05</v>
      </c>
      <c r="I1139" s="24">
        <v>0.05</v>
      </c>
      <c r="J1139" s="24">
        <v>0</v>
      </c>
      <c r="K1139" s="224">
        <f t="shared" si="141"/>
        <v>0.27800000000000002</v>
      </c>
      <c r="L1139" s="225">
        <f t="shared" si="142"/>
        <v>50069.252077562327</v>
      </c>
      <c r="M1139" s="225">
        <f t="shared" si="143"/>
        <v>1668.9750692520777</v>
      </c>
      <c r="N1139" s="226">
        <f t="shared" si="145"/>
        <v>1986.0803324099722</v>
      </c>
      <c r="O1139" s="34">
        <v>0.3</v>
      </c>
      <c r="P1139" s="226">
        <f t="shared" si="144"/>
        <v>2581.9044321329638</v>
      </c>
      <c r="Q1139" s="107" t="s">
        <v>1486</v>
      </c>
      <c r="R1139" s="34">
        <v>0.35</v>
      </c>
      <c r="S1139" s="226">
        <f t="shared" si="146"/>
        <v>2206.0769230769229</v>
      </c>
      <c r="T1139" s="156" t="s">
        <v>1486</v>
      </c>
      <c r="U1139" s="2"/>
      <c r="V1139" s="2" t="s">
        <v>47</v>
      </c>
      <c r="W1139" s="2" t="s">
        <v>1467</v>
      </c>
      <c r="X1139" s="2" t="s">
        <v>1467</v>
      </c>
      <c r="Y1139" s="488" t="s">
        <v>1486</v>
      </c>
      <c r="Z1139" s="293">
        <f t="shared" si="147"/>
        <v>463.97506925207767</v>
      </c>
      <c r="AA1139" s="293">
        <f t="shared" si="148"/>
        <v>648.84615384615381</v>
      </c>
    </row>
    <row r="1140" spans="1:27" s="320" customFormat="1" x14ac:dyDescent="0.25">
      <c r="A1140" s="220" t="s">
        <v>4141</v>
      </c>
      <c r="B1140" s="221" t="s">
        <v>4146</v>
      </c>
      <c r="C1140" s="223" t="s">
        <v>1562</v>
      </c>
      <c r="D1140" s="220" t="s">
        <v>3616</v>
      </c>
      <c r="E1140" s="222">
        <v>240</v>
      </c>
      <c r="F1140" s="192">
        <v>45</v>
      </c>
      <c r="G1140" s="24">
        <v>0.2</v>
      </c>
      <c r="H1140" s="24">
        <v>0.05</v>
      </c>
      <c r="I1140" s="24">
        <v>0.05</v>
      </c>
      <c r="J1140" s="24">
        <v>0</v>
      </c>
      <c r="K1140" s="224">
        <f t="shared" si="141"/>
        <v>0.27800000000000014</v>
      </c>
      <c r="L1140" s="225">
        <f t="shared" si="142"/>
        <v>14958.448753462606</v>
      </c>
      <c r="M1140" s="225">
        <f t="shared" si="143"/>
        <v>62.326869806094194</v>
      </c>
      <c r="N1140" s="226">
        <f t="shared" si="145"/>
        <v>74.168975069252085</v>
      </c>
      <c r="O1140" s="34">
        <v>0.3</v>
      </c>
      <c r="P1140" s="226">
        <f t="shared" si="144"/>
        <v>96.419667590027714</v>
      </c>
      <c r="Q1140" s="107" t="s">
        <v>1486</v>
      </c>
      <c r="R1140" s="34">
        <v>0.35</v>
      </c>
      <c r="S1140" s="226">
        <f t="shared" si="146"/>
        <v>82.384615384615373</v>
      </c>
      <c r="T1140" s="156" t="s">
        <v>1486</v>
      </c>
      <c r="U1140" s="2"/>
      <c r="V1140" s="2" t="s">
        <v>47</v>
      </c>
      <c r="W1140" s="2" t="s">
        <v>1467</v>
      </c>
      <c r="X1140" s="2" t="s">
        <v>1467</v>
      </c>
      <c r="Y1140" s="488" t="s">
        <v>1486</v>
      </c>
      <c r="Z1140" s="293">
        <f t="shared" si="147"/>
        <v>17.326869806094194</v>
      </c>
      <c r="AA1140" s="293">
        <f t="shared" si="148"/>
        <v>24.230769230769226</v>
      </c>
    </row>
    <row r="1141" spans="1:27" s="320" customFormat="1" x14ac:dyDescent="0.25">
      <c r="A1141" s="220" t="s">
        <v>4143</v>
      </c>
      <c r="B1141" s="221" t="s">
        <v>4148</v>
      </c>
      <c r="C1141" s="223" t="s">
        <v>3616</v>
      </c>
      <c r="D1141" s="220" t="s">
        <v>3616</v>
      </c>
      <c r="E1141" s="222" t="s">
        <v>4149</v>
      </c>
      <c r="F1141" s="192">
        <v>70</v>
      </c>
      <c r="G1141" s="24">
        <v>0.2</v>
      </c>
      <c r="H1141" s="24">
        <v>0.05</v>
      </c>
      <c r="I1141" s="24">
        <v>0.05</v>
      </c>
      <c r="J1141" s="24">
        <v>0</v>
      </c>
      <c r="K1141" s="224">
        <f t="shared" si="141"/>
        <v>0.27800000000000002</v>
      </c>
      <c r="L1141" s="225">
        <f t="shared" si="142"/>
        <v>1751909.9722991693</v>
      </c>
      <c r="M1141" s="225">
        <f t="shared" si="143"/>
        <v>96.952908587257625</v>
      </c>
      <c r="N1141" s="226">
        <f t="shared" si="145"/>
        <v>115.37396121883657</v>
      </c>
      <c r="O1141" s="34">
        <v>0.3</v>
      </c>
      <c r="P1141" s="226">
        <f t="shared" si="144"/>
        <v>149.98614958448755</v>
      </c>
      <c r="Q1141" s="107" t="s">
        <v>1486</v>
      </c>
      <c r="R1141" s="34">
        <v>0.35</v>
      </c>
      <c r="S1141" s="226">
        <f t="shared" si="146"/>
        <v>128.15384615384616</v>
      </c>
      <c r="T1141" s="156" t="s">
        <v>1486</v>
      </c>
      <c r="U1141" s="2"/>
      <c r="V1141" s="2" t="s">
        <v>47</v>
      </c>
      <c r="W1141" s="2" t="s">
        <v>1467</v>
      </c>
      <c r="X1141" s="2" t="s">
        <v>1467</v>
      </c>
      <c r="Y1141" s="488" t="s">
        <v>1486</v>
      </c>
      <c r="Z1141" s="293">
        <f t="shared" si="147"/>
        <v>26.952908587257625</v>
      </c>
      <c r="AA1141" s="293">
        <f t="shared" si="148"/>
        <v>37.692307692307708</v>
      </c>
    </row>
    <row r="1142" spans="1:27" s="320" customFormat="1" x14ac:dyDescent="0.25">
      <c r="A1142" s="220" t="s">
        <v>4145</v>
      </c>
      <c r="B1142" s="221" t="s">
        <v>4151</v>
      </c>
      <c r="C1142" s="223" t="s">
        <v>1561</v>
      </c>
      <c r="D1142" s="220" t="s">
        <v>4152</v>
      </c>
      <c r="E1142" s="222">
        <v>1</v>
      </c>
      <c r="F1142" s="192">
        <v>14957</v>
      </c>
      <c r="G1142" s="24">
        <v>0.2</v>
      </c>
      <c r="H1142" s="24">
        <v>0.05</v>
      </c>
      <c r="I1142" s="24">
        <v>0.05</v>
      </c>
      <c r="J1142" s="24">
        <v>0</v>
      </c>
      <c r="K1142" s="224">
        <f t="shared" si="141"/>
        <v>0.27800000000000002</v>
      </c>
      <c r="L1142" s="225">
        <f t="shared" si="142"/>
        <v>20716.066481994461</v>
      </c>
      <c r="M1142" s="225">
        <f t="shared" si="143"/>
        <v>20716.066481994461</v>
      </c>
      <c r="N1142" s="226">
        <f t="shared" si="145"/>
        <v>24652.119113573408</v>
      </c>
      <c r="O1142" s="34">
        <v>0.3</v>
      </c>
      <c r="P1142" s="226">
        <f t="shared" si="144"/>
        <v>32047.754847645432</v>
      </c>
      <c r="Q1142" s="107" t="s">
        <v>1486</v>
      </c>
      <c r="R1142" s="34">
        <v>0.35</v>
      </c>
      <c r="S1142" s="226">
        <f t="shared" si="146"/>
        <v>27382.815384615384</v>
      </c>
      <c r="T1142" s="156" t="s">
        <v>1486</v>
      </c>
      <c r="U1142" s="2" t="s">
        <v>50</v>
      </c>
      <c r="V1142" s="2" t="s">
        <v>47</v>
      </c>
      <c r="W1142" s="2" t="s">
        <v>5964</v>
      </c>
      <c r="X1142" s="2" t="s">
        <v>1467</v>
      </c>
      <c r="Y1142" s="488" t="s">
        <v>1486</v>
      </c>
      <c r="Z1142" s="293">
        <f t="shared" si="147"/>
        <v>5759.0664819944614</v>
      </c>
      <c r="AA1142" s="293">
        <f t="shared" si="148"/>
        <v>8053.7692307692305</v>
      </c>
    </row>
    <row r="1143" spans="1:27" s="320" customFormat="1" x14ac:dyDescent="0.25">
      <c r="A1143" s="220" t="s">
        <v>4147</v>
      </c>
      <c r="B1143" s="221" t="s">
        <v>4154</v>
      </c>
      <c r="C1143" s="223" t="s">
        <v>1561</v>
      </c>
      <c r="D1143" s="220" t="s">
        <v>4155</v>
      </c>
      <c r="E1143" s="222">
        <v>12</v>
      </c>
      <c r="F1143" s="192">
        <v>3828</v>
      </c>
      <c r="G1143" s="24">
        <v>0.2</v>
      </c>
      <c r="H1143" s="24">
        <v>0.05</v>
      </c>
      <c r="I1143" s="24">
        <v>0.05</v>
      </c>
      <c r="J1143" s="24">
        <v>0</v>
      </c>
      <c r="K1143" s="224">
        <f t="shared" si="141"/>
        <v>0.27800000000000014</v>
      </c>
      <c r="L1143" s="225">
        <f t="shared" si="142"/>
        <v>63623.268698060958</v>
      </c>
      <c r="M1143" s="225">
        <f t="shared" si="143"/>
        <v>5301.9390581717462</v>
      </c>
      <c r="N1143" s="226">
        <f t="shared" si="145"/>
        <v>6309.3074792243779</v>
      </c>
      <c r="O1143" s="34">
        <v>0.3</v>
      </c>
      <c r="P1143" s="226">
        <f t="shared" si="144"/>
        <v>8202.099722991692</v>
      </c>
      <c r="Q1143" s="107" t="s">
        <v>1486</v>
      </c>
      <c r="R1143" s="34">
        <v>0.45</v>
      </c>
      <c r="S1143" s="226">
        <f t="shared" si="146"/>
        <v>8282.3999999999978</v>
      </c>
      <c r="T1143" s="156" t="s">
        <v>1486</v>
      </c>
      <c r="U1143" s="2" t="s">
        <v>50</v>
      </c>
      <c r="V1143" s="2" t="s">
        <v>47</v>
      </c>
      <c r="W1143" s="2" t="s">
        <v>5964</v>
      </c>
      <c r="X1143" s="2" t="s">
        <v>1467</v>
      </c>
      <c r="Y1143" s="488" t="s">
        <v>1486</v>
      </c>
      <c r="Z1143" s="293">
        <f t="shared" si="147"/>
        <v>1473.9390581717462</v>
      </c>
      <c r="AA1143" s="293">
        <f t="shared" si="148"/>
        <v>3131.9999999999982</v>
      </c>
    </row>
    <row r="1144" spans="1:27" s="320" customFormat="1" x14ac:dyDescent="0.25">
      <c r="A1144" s="220" t="s">
        <v>4150</v>
      </c>
      <c r="B1144" s="221" t="s">
        <v>4157</v>
      </c>
      <c r="C1144" s="223" t="s">
        <v>1561</v>
      </c>
      <c r="D1144" s="220" t="s">
        <v>4158</v>
      </c>
      <c r="E1144" s="222">
        <v>1</v>
      </c>
      <c r="F1144" s="192">
        <v>3828</v>
      </c>
      <c r="G1144" s="24">
        <v>0.2</v>
      </c>
      <c r="H1144" s="24">
        <v>0.05</v>
      </c>
      <c r="I1144" s="24">
        <v>0.05</v>
      </c>
      <c r="J1144" s="24">
        <v>0</v>
      </c>
      <c r="K1144" s="224">
        <f t="shared" si="141"/>
        <v>0.27800000000000014</v>
      </c>
      <c r="L1144" s="225">
        <f t="shared" si="142"/>
        <v>5301.9390581717462</v>
      </c>
      <c r="M1144" s="225">
        <f t="shared" si="143"/>
        <v>5301.9390581717462</v>
      </c>
      <c r="N1144" s="226">
        <f t="shared" si="145"/>
        <v>6309.3074792243779</v>
      </c>
      <c r="O1144" s="34">
        <v>0.3</v>
      </c>
      <c r="P1144" s="226">
        <f t="shared" si="144"/>
        <v>8202.099722991692</v>
      </c>
      <c r="Q1144" s="107" t="s">
        <v>1486</v>
      </c>
      <c r="R1144" s="34">
        <v>0.35</v>
      </c>
      <c r="S1144" s="226">
        <f t="shared" si="146"/>
        <v>7008.1846153846145</v>
      </c>
      <c r="T1144" s="156" t="s">
        <v>1486</v>
      </c>
      <c r="U1144" s="2" t="s">
        <v>50</v>
      </c>
      <c r="V1144" s="2" t="s">
        <v>47</v>
      </c>
      <c r="W1144" s="2" t="s">
        <v>5964</v>
      </c>
      <c r="X1144" s="2" t="s">
        <v>1467</v>
      </c>
      <c r="Y1144" s="488" t="s">
        <v>1486</v>
      </c>
      <c r="Z1144" s="293">
        <f t="shared" si="147"/>
        <v>1473.9390581717462</v>
      </c>
      <c r="AA1144" s="293">
        <f t="shared" si="148"/>
        <v>2061.2307692307686</v>
      </c>
    </row>
    <row r="1145" spans="1:27" s="320" customFormat="1" x14ac:dyDescent="0.25">
      <c r="A1145" s="220" t="s">
        <v>4153</v>
      </c>
      <c r="B1145" s="221" t="s">
        <v>4160</v>
      </c>
      <c r="C1145" s="223" t="s">
        <v>1561</v>
      </c>
      <c r="D1145" s="220" t="s">
        <v>4161</v>
      </c>
      <c r="E1145" s="222">
        <v>12</v>
      </c>
      <c r="F1145" s="192">
        <v>2384</v>
      </c>
      <c r="G1145" s="24">
        <v>0.2</v>
      </c>
      <c r="H1145" s="24">
        <v>0.05</v>
      </c>
      <c r="I1145" s="24">
        <v>0.05</v>
      </c>
      <c r="J1145" s="24">
        <v>0</v>
      </c>
      <c r="K1145" s="224">
        <f t="shared" si="141"/>
        <v>0.27800000000000002</v>
      </c>
      <c r="L1145" s="225">
        <f t="shared" si="142"/>
        <v>39623.268698060943</v>
      </c>
      <c r="M1145" s="225">
        <f t="shared" si="143"/>
        <v>3301.9390581717453</v>
      </c>
      <c r="N1145" s="226">
        <f t="shared" si="145"/>
        <v>3929.3074792243765</v>
      </c>
      <c r="O1145" s="34">
        <v>0.3</v>
      </c>
      <c r="P1145" s="226">
        <f t="shared" si="144"/>
        <v>5108.0997229916893</v>
      </c>
      <c r="Q1145" s="107" t="s">
        <v>1486</v>
      </c>
      <c r="R1145" s="34">
        <v>0.35</v>
      </c>
      <c r="S1145" s="226">
        <f t="shared" si="146"/>
        <v>4364.5538461538463</v>
      </c>
      <c r="T1145" s="156" t="s">
        <v>1486</v>
      </c>
      <c r="U1145" s="2" t="s">
        <v>50</v>
      </c>
      <c r="V1145" s="2" t="s">
        <v>47</v>
      </c>
      <c r="W1145" s="2" t="s">
        <v>5964</v>
      </c>
      <c r="X1145" s="2" t="s">
        <v>1467</v>
      </c>
      <c r="Y1145" s="488" t="s">
        <v>1486</v>
      </c>
      <c r="Z1145" s="293">
        <f t="shared" si="147"/>
        <v>917.93905817174527</v>
      </c>
      <c r="AA1145" s="293">
        <f t="shared" si="148"/>
        <v>1283.6923076923081</v>
      </c>
    </row>
    <row r="1146" spans="1:27" s="320" customFormat="1" x14ac:dyDescent="0.25">
      <c r="A1146" s="220" t="s">
        <v>4156</v>
      </c>
      <c r="B1146" s="221" t="s">
        <v>4177</v>
      </c>
      <c r="C1146" s="223" t="s">
        <v>1561</v>
      </c>
      <c r="D1146" s="220" t="s">
        <v>4161</v>
      </c>
      <c r="E1146" s="222">
        <v>12</v>
      </c>
      <c r="F1146" s="192">
        <v>2384</v>
      </c>
      <c r="G1146" s="24">
        <v>0.2</v>
      </c>
      <c r="H1146" s="24">
        <v>0.05</v>
      </c>
      <c r="I1146" s="24">
        <v>0.05</v>
      </c>
      <c r="J1146" s="24">
        <v>0</v>
      </c>
      <c r="K1146" s="224">
        <f t="shared" si="141"/>
        <v>0.27800000000000002</v>
      </c>
      <c r="L1146" s="225">
        <f t="shared" si="142"/>
        <v>39623.268698060943</v>
      </c>
      <c r="M1146" s="225">
        <f t="shared" si="143"/>
        <v>3301.9390581717453</v>
      </c>
      <c r="N1146" s="226">
        <f t="shared" si="145"/>
        <v>3929.3074792243765</v>
      </c>
      <c r="O1146" s="34">
        <v>0.3</v>
      </c>
      <c r="P1146" s="226">
        <f t="shared" si="144"/>
        <v>5108.0997229916893</v>
      </c>
      <c r="Q1146" s="107" t="s">
        <v>1486</v>
      </c>
      <c r="R1146" s="34">
        <v>0.35</v>
      </c>
      <c r="S1146" s="226">
        <f t="shared" si="146"/>
        <v>4364.5538461538463</v>
      </c>
      <c r="T1146" s="156" t="s">
        <v>1486</v>
      </c>
      <c r="U1146" s="2" t="s">
        <v>50</v>
      </c>
      <c r="V1146" s="2" t="s">
        <v>47</v>
      </c>
      <c r="W1146" s="2" t="s">
        <v>5964</v>
      </c>
      <c r="X1146" s="2" t="s">
        <v>1467</v>
      </c>
      <c r="Y1146" s="488" t="s">
        <v>1486</v>
      </c>
      <c r="Z1146" s="293">
        <f t="shared" si="147"/>
        <v>917.93905817174527</v>
      </c>
      <c r="AA1146" s="293">
        <f t="shared" si="148"/>
        <v>1283.6923076923081</v>
      </c>
    </row>
    <row r="1147" spans="1:27" s="320" customFormat="1" x14ac:dyDescent="0.25">
      <c r="A1147" s="220" t="s">
        <v>4159</v>
      </c>
      <c r="B1147" s="221" t="s">
        <v>4164</v>
      </c>
      <c r="C1147" s="223" t="s">
        <v>1561</v>
      </c>
      <c r="D1147" s="220" t="s">
        <v>4161</v>
      </c>
      <c r="E1147" s="222">
        <v>9</v>
      </c>
      <c r="F1147" s="192">
        <v>11173</v>
      </c>
      <c r="G1147" s="24">
        <v>0.2</v>
      </c>
      <c r="H1147" s="24">
        <v>0.05</v>
      </c>
      <c r="I1147" s="24">
        <v>0.05</v>
      </c>
      <c r="J1147" s="24">
        <v>0</v>
      </c>
      <c r="K1147" s="224">
        <f t="shared" si="141"/>
        <v>0.27800000000000014</v>
      </c>
      <c r="L1147" s="225">
        <f t="shared" si="142"/>
        <v>139275.62326869808</v>
      </c>
      <c r="M1147" s="225">
        <f t="shared" si="143"/>
        <v>15475.069252077565</v>
      </c>
      <c r="N1147" s="226">
        <f t="shared" si="145"/>
        <v>18415.3324099723</v>
      </c>
      <c r="O1147" s="34">
        <v>0.3</v>
      </c>
      <c r="P1147" s="226">
        <f t="shared" si="144"/>
        <v>23939.93213296399</v>
      </c>
      <c r="Q1147" s="107" t="s">
        <v>1486</v>
      </c>
      <c r="R1147" s="34">
        <v>0.35</v>
      </c>
      <c r="S1147" s="226">
        <f t="shared" si="146"/>
        <v>20455.184615384616</v>
      </c>
      <c r="T1147" s="156" t="s">
        <v>1486</v>
      </c>
      <c r="U1147" s="2" t="s">
        <v>50</v>
      </c>
      <c r="V1147" s="2" t="s">
        <v>47</v>
      </c>
      <c r="W1147" s="2" t="s">
        <v>5964</v>
      </c>
      <c r="X1147" s="2" t="s">
        <v>1467</v>
      </c>
      <c r="Y1147" s="488" t="s">
        <v>1486</v>
      </c>
      <c r="Z1147" s="293">
        <f t="shared" si="147"/>
        <v>4302.0692520775647</v>
      </c>
      <c r="AA1147" s="293">
        <f t="shared" si="148"/>
        <v>6016.2307692307695</v>
      </c>
    </row>
    <row r="1148" spans="1:27" s="320" customFormat="1" x14ac:dyDescent="0.25">
      <c r="A1148" s="220" t="s">
        <v>4162</v>
      </c>
      <c r="B1148" s="221" t="s">
        <v>4166</v>
      </c>
      <c r="C1148" s="223" t="s">
        <v>1561</v>
      </c>
      <c r="D1148" s="220" t="s">
        <v>4167</v>
      </c>
      <c r="E1148" s="222">
        <v>6</v>
      </c>
      <c r="F1148" s="192">
        <v>5474</v>
      </c>
      <c r="G1148" s="24">
        <v>0.2</v>
      </c>
      <c r="H1148" s="24">
        <v>0.05</v>
      </c>
      <c r="I1148" s="24">
        <v>0.05</v>
      </c>
      <c r="J1148" s="24">
        <v>0</v>
      </c>
      <c r="K1148" s="224">
        <f t="shared" si="141"/>
        <v>0.27800000000000002</v>
      </c>
      <c r="L1148" s="225">
        <f t="shared" si="142"/>
        <v>45490.304709141274</v>
      </c>
      <c r="M1148" s="225">
        <f t="shared" si="143"/>
        <v>7581.7174515235456</v>
      </c>
      <c r="N1148" s="226">
        <f t="shared" si="145"/>
        <v>9022.2437673130189</v>
      </c>
      <c r="O1148" s="34">
        <v>0.3</v>
      </c>
      <c r="P1148" s="226">
        <f t="shared" si="144"/>
        <v>11728.916897506924</v>
      </c>
      <c r="Q1148" s="107" t="s">
        <v>1486</v>
      </c>
      <c r="R1148" s="34">
        <v>0.35</v>
      </c>
      <c r="S1148" s="226">
        <f t="shared" si="146"/>
        <v>10021.630769230767</v>
      </c>
      <c r="T1148" s="156" t="s">
        <v>1486</v>
      </c>
      <c r="U1148" s="2" t="s">
        <v>50</v>
      </c>
      <c r="V1148" s="2" t="s">
        <v>47</v>
      </c>
      <c r="W1148" s="2" t="s">
        <v>5964</v>
      </c>
      <c r="X1148" s="2" t="s">
        <v>1467</v>
      </c>
      <c r="Y1148" s="488" t="s">
        <v>1486</v>
      </c>
      <c r="Z1148" s="293">
        <f t="shared" si="147"/>
        <v>2107.7174515235456</v>
      </c>
      <c r="AA1148" s="293">
        <f t="shared" si="148"/>
        <v>2947.538461538461</v>
      </c>
    </row>
    <row r="1149" spans="1:27" s="320" customFormat="1" x14ac:dyDescent="0.25">
      <c r="A1149" s="220" t="s">
        <v>4163</v>
      </c>
      <c r="B1149" s="221" t="s">
        <v>4169</v>
      </c>
      <c r="C1149" s="223" t="s">
        <v>1561</v>
      </c>
      <c r="D1149" s="220" t="s">
        <v>4170</v>
      </c>
      <c r="E1149" s="222">
        <v>24</v>
      </c>
      <c r="F1149" s="192">
        <v>567</v>
      </c>
      <c r="G1149" s="24">
        <v>0.2</v>
      </c>
      <c r="H1149" s="24">
        <v>0.05</v>
      </c>
      <c r="I1149" s="24">
        <v>0.05</v>
      </c>
      <c r="J1149" s="24">
        <v>0</v>
      </c>
      <c r="K1149" s="224">
        <f t="shared" si="141"/>
        <v>0.27800000000000014</v>
      </c>
      <c r="L1149" s="225">
        <f t="shared" si="142"/>
        <v>18847.645429362885</v>
      </c>
      <c r="M1149" s="225">
        <f t="shared" si="143"/>
        <v>785.31855955678679</v>
      </c>
      <c r="N1149" s="226">
        <f t="shared" si="145"/>
        <v>934.52908587257627</v>
      </c>
      <c r="O1149" s="34">
        <v>0.3</v>
      </c>
      <c r="P1149" s="226">
        <f t="shared" si="144"/>
        <v>1214.8878116343492</v>
      </c>
      <c r="Q1149" s="107" t="s">
        <v>1486</v>
      </c>
      <c r="R1149" s="34">
        <v>0.35</v>
      </c>
      <c r="S1149" s="226">
        <f t="shared" si="146"/>
        <v>1038.0461538461539</v>
      </c>
      <c r="T1149" s="156" t="s">
        <v>1486</v>
      </c>
      <c r="U1149" s="2" t="s">
        <v>50</v>
      </c>
      <c r="V1149" s="2" t="s">
        <v>47</v>
      </c>
      <c r="W1149" s="2" t="s">
        <v>5964</v>
      </c>
      <c r="X1149" s="2" t="s">
        <v>1467</v>
      </c>
      <c r="Y1149" s="488" t="s">
        <v>1486</v>
      </c>
      <c r="Z1149" s="293">
        <f t="shared" si="147"/>
        <v>218.31855955678679</v>
      </c>
      <c r="AA1149" s="293">
        <f t="shared" si="148"/>
        <v>305.30769230769238</v>
      </c>
    </row>
    <row r="1150" spans="1:27" s="320" customFormat="1" x14ac:dyDescent="0.25">
      <c r="A1150" s="220" t="s">
        <v>4165</v>
      </c>
      <c r="B1150" s="221" t="s">
        <v>4172</v>
      </c>
      <c r="C1150" s="223" t="s">
        <v>1561</v>
      </c>
      <c r="D1150" s="220" t="s">
        <v>4173</v>
      </c>
      <c r="E1150" s="222">
        <v>12</v>
      </c>
      <c r="F1150" s="192">
        <v>5290</v>
      </c>
      <c r="G1150" s="24">
        <v>0.2</v>
      </c>
      <c r="H1150" s="24">
        <v>0.05</v>
      </c>
      <c r="I1150" s="24">
        <v>0.05</v>
      </c>
      <c r="J1150" s="24">
        <v>0</v>
      </c>
      <c r="K1150" s="224">
        <f t="shared" si="141"/>
        <v>0.27800000000000002</v>
      </c>
      <c r="L1150" s="225">
        <f t="shared" si="142"/>
        <v>87922.437673130204</v>
      </c>
      <c r="M1150" s="225">
        <f t="shared" si="143"/>
        <v>7326.8698060941833</v>
      </c>
      <c r="N1150" s="226">
        <f t="shared" si="145"/>
        <v>8718.9750692520774</v>
      </c>
      <c r="O1150" s="34">
        <v>0.3</v>
      </c>
      <c r="P1150" s="226">
        <f t="shared" si="144"/>
        <v>11334.6675900277</v>
      </c>
      <c r="Q1150" s="107" t="s">
        <v>1486</v>
      </c>
      <c r="R1150" s="34">
        <v>0.35</v>
      </c>
      <c r="S1150" s="226">
        <f t="shared" si="146"/>
        <v>9684.7692307692305</v>
      </c>
      <c r="T1150" s="156" t="s">
        <v>1486</v>
      </c>
      <c r="U1150" s="2" t="s">
        <v>50</v>
      </c>
      <c r="V1150" s="2" t="s">
        <v>47</v>
      </c>
      <c r="W1150" s="2" t="s">
        <v>5886</v>
      </c>
      <c r="X1150" s="2" t="s">
        <v>1467</v>
      </c>
      <c r="Y1150" s="488" t="s">
        <v>1486</v>
      </c>
      <c r="Z1150" s="293">
        <f t="shared" si="147"/>
        <v>2036.8698060941833</v>
      </c>
      <c r="AA1150" s="293">
        <f t="shared" si="148"/>
        <v>2848.461538461539</v>
      </c>
    </row>
    <row r="1151" spans="1:27" s="320" customFormat="1" x14ac:dyDescent="0.25">
      <c r="A1151" s="220" t="s">
        <v>4168</v>
      </c>
      <c r="B1151" s="221" t="s">
        <v>4181</v>
      </c>
      <c r="C1151" s="223" t="s">
        <v>1562</v>
      </c>
      <c r="D1151" s="220" t="s">
        <v>4182</v>
      </c>
      <c r="E1151" s="222">
        <v>80</v>
      </c>
      <c r="F1151" s="192">
        <v>99</v>
      </c>
      <c r="G1151" s="24">
        <v>0.2</v>
      </c>
      <c r="H1151" s="24">
        <v>0.05</v>
      </c>
      <c r="I1151" s="24">
        <v>0.05</v>
      </c>
      <c r="J1151" s="24">
        <v>0</v>
      </c>
      <c r="K1151" s="224">
        <f t="shared" si="141"/>
        <v>0.27800000000000014</v>
      </c>
      <c r="L1151" s="225">
        <f t="shared" si="142"/>
        <v>10969.529085872578</v>
      </c>
      <c r="M1151" s="225">
        <f t="shared" si="143"/>
        <v>137.11911357340722</v>
      </c>
      <c r="N1151" s="226">
        <f t="shared" si="145"/>
        <v>163.17174515235459</v>
      </c>
      <c r="O1151" s="34">
        <v>0.3</v>
      </c>
      <c r="P1151" s="226">
        <f t="shared" si="144"/>
        <v>212.12326869806097</v>
      </c>
      <c r="Q1151" s="107" t="s">
        <v>1486</v>
      </c>
      <c r="R1151" s="34">
        <v>0.35</v>
      </c>
      <c r="S1151" s="226">
        <f t="shared" si="146"/>
        <v>181.24615384615382</v>
      </c>
      <c r="T1151" s="156" t="s">
        <v>1486</v>
      </c>
      <c r="U1151" s="2"/>
      <c r="V1151" s="2" t="s">
        <v>47</v>
      </c>
      <c r="W1151" s="2" t="s">
        <v>1467</v>
      </c>
      <c r="X1151" s="2" t="s">
        <v>1467</v>
      </c>
      <c r="Y1151" s="488" t="s">
        <v>1486</v>
      </c>
      <c r="Z1151" s="293">
        <f t="shared" si="147"/>
        <v>38.119113573407219</v>
      </c>
      <c r="AA1151" s="293">
        <f t="shared" si="148"/>
        <v>53.307692307692292</v>
      </c>
    </row>
    <row r="1152" spans="1:27" s="320" customFormat="1" x14ac:dyDescent="0.25">
      <c r="A1152" s="220" t="s">
        <v>4171</v>
      </c>
      <c r="B1152" s="221" t="s">
        <v>4184</v>
      </c>
      <c r="C1152" s="223" t="s">
        <v>1562</v>
      </c>
      <c r="D1152" s="220" t="s">
        <v>3616</v>
      </c>
      <c r="E1152" s="222">
        <v>300</v>
      </c>
      <c r="F1152" s="192">
        <v>130</v>
      </c>
      <c r="G1152" s="24">
        <v>0.2</v>
      </c>
      <c r="H1152" s="24">
        <v>0.05</v>
      </c>
      <c r="I1152" s="24">
        <v>0.05</v>
      </c>
      <c r="J1152" s="24">
        <v>0</v>
      </c>
      <c r="K1152" s="224">
        <f t="shared" si="141"/>
        <v>0.27800000000000002</v>
      </c>
      <c r="L1152" s="225">
        <f t="shared" si="142"/>
        <v>54016.620498614961</v>
      </c>
      <c r="M1152" s="225">
        <f t="shared" si="143"/>
        <v>180.05540166204986</v>
      </c>
      <c r="N1152" s="226">
        <f t="shared" si="145"/>
        <v>214.26592797783931</v>
      </c>
      <c r="O1152" s="34">
        <v>0.3</v>
      </c>
      <c r="P1152" s="226">
        <f t="shared" si="144"/>
        <v>278.5457063711911</v>
      </c>
      <c r="Q1152" s="107" t="s">
        <v>1486</v>
      </c>
      <c r="R1152" s="34">
        <v>0.35</v>
      </c>
      <c r="S1152" s="226">
        <f t="shared" si="146"/>
        <v>238</v>
      </c>
      <c r="T1152" s="156" t="s">
        <v>1486</v>
      </c>
      <c r="U1152" s="2"/>
      <c r="V1152" s="2" t="s">
        <v>47</v>
      </c>
      <c r="W1152" s="2" t="s">
        <v>1467</v>
      </c>
      <c r="X1152" s="2" t="s">
        <v>1467</v>
      </c>
      <c r="Y1152" s="488" t="s">
        <v>1486</v>
      </c>
      <c r="Z1152" s="293">
        <f t="shared" si="147"/>
        <v>50.05540166204986</v>
      </c>
      <c r="AA1152" s="293">
        <f t="shared" si="148"/>
        <v>70</v>
      </c>
    </row>
    <row r="1153" spans="1:27" s="320" customFormat="1" x14ac:dyDescent="0.25">
      <c r="A1153" s="220" t="s">
        <v>4180</v>
      </c>
      <c r="B1153" s="221" t="s">
        <v>4186</v>
      </c>
      <c r="C1153" s="223" t="s">
        <v>1562</v>
      </c>
      <c r="D1153" s="220" t="s">
        <v>3616</v>
      </c>
      <c r="E1153" s="222">
        <v>210</v>
      </c>
      <c r="F1153" s="192">
        <v>57</v>
      </c>
      <c r="G1153" s="24">
        <v>0.2</v>
      </c>
      <c r="H1153" s="24">
        <v>0.05</v>
      </c>
      <c r="I1153" s="24">
        <v>0.05</v>
      </c>
      <c r="J1153" s="24">
        <v>0</v>
      </c>
      <c r="K1153" s="224">
        <f t="shared" si="141"/>
        <v>0.27800000000000002</v>
      </c>
      <c r="L1153" s="225">
        <f t="shared" si="142"/>
        <v>16578.947368421053</v>
      </c>
      <c r="M1153" s="225">
        <f t="shared" si="143"/>
        <v>78.94736842105263</v>
      </c>
      <c r="N1153" s="226">
        <f t="shared" si="145"/>
        <v>93.94736842105263</v>
      </c>
      <c r="O1153" s="34">
        <v>0.3</v>
      </c>
      <c r="P1153" s="226">
        <f t="shared" si="144"/>
        <v>122.13157894736842</v>
      </c>
      <c r="Q1153" s="107" t="s">
        <v>1486</v>
      </c>
      <c r="R1153" s="34">
        <v>0.35</v>
      </c>
      <c r="S1153" s="226">
        <f t="shared" si="146"/>
        <v>104.35384615384615</v>
      </c>
      <c r="T1153" s="156" t="s">
        <v>1486</v>
      </c>
      <c r="U1153" s="2"/>
      <c r="V1153" s="2" t="s">
        <v>47</v>
      </c>
      <c r="W1153" s="2" t="s">
        <v>1467</v>
      </c>
      <c r="X1153" s="2" t="s">
        <v>1467</v>
      </c>
      <c r="Y1153" s="488" t="s">
        <v>1486</v>
      </c>
      <c r="Z1153" s="293">
        <f t="shared" si="147"/>
        <v>21.94736842105263</v>
      </c>
      <c r="AA1153" s="293">
        <f t="shared" si="148"/>
        <v>30.692307692307693</v>
      </c>
    </row>
    <row r="1154" spans="1:27" s="320" customFormat="1" x14ac:dyDescent="0.25">
      <c r="A1154" s="220" t="s">
        <v>4183</v>
      </c>
      <c r="B1154" s="221" t="s">
        <v>4188</v>
      </c>
      <c r="C1154" s="223" t="s">
        <v>1562</v>
      </c>
      <c r="D1154" s="220" t="s">
        <v>3616</v>
      </c>
      <c r="E1154" s="222">
        <v>360</v>
      </c>
      <c r="F1154" s="192">
        <v>31</v>
      </c>
      <c r="G1154" s="24">
        <v>0.2</v>
      </c>
      <c r="H1154" s="24">
        <v>0.05</v>
      </c>
      <c r="I1154" s="24">
        <v>0.05</v>
      </c>
      <c r="J1154" s="24">
        <v>0</v>
      </c>
      <c r="K1154" s="224">
        <f t="shared" si="141"/>
        <v>0.27800000000000002</v>
      </c>
      <c r="L1154" s="225">
        <f t="shared" si="142"/>
        <v>15457.063711911358</v>
      </c>
      <c r="M1154" s="225">
        <f t="shared" si="143"/>
        <v>42.936288088642662</v>
      </c>
      <c r="N1154" s="226">
        <f t="shared" si="145"/>
        <v>51.094182825484765</v>
      </c>
      <c r="O1154" s="34">
        <v>0.3</v>
      </c>
      <c r="P1154" s="226">
        <f t="shared" si="144"/>
        <v>66.42243767313019</v>
      </c>
      <c r="Q1154" s="107" t="s">
        <v>1486</v>
      </c>
      <c r="R1154" s="34">
        <v>0.35</v>
      </c>
      <c r="S1154" s="226">
        <f t="shared" si="146"/>
        <v>56.753846153846155</v>
      </c>
      <c r="T1154" s="156" t="s">
        <v>1486</v>
      </c>
      <c r="U1154" s="2"/>
      <c r="V1154" s="2" t="s">
        <v>47</v>
      </c>
      <c r="W1154" s="2" t="s">
        <v>1467</v>
      </c>
      <c r="X1154" s="2" t="s">
        <v>1467</v>
      </c>
      <c r="Y1154" s="488" t="s">
        <v>1486</v>
      </c>
      <c r="Z1154" s="293">
        <f t="shared" si="147"/>
        <v>11.936288088642662</v>
      </c>
      <c r="AA1154" s="293">
        <f t="shared" si="148"/>
        <v>16.692307692307693</v>
      </c>
    </row>
    <row r="1155" spans="1:27" s="320" customFormat="1" x14ac:dyDescent="0.25">
      <c r="A1155" s="220" t="s">
        <v>4185</v>
      </c>
      <c r="B1155" s="221" t="s">
        <v>4190</v>
      </c>
      <c r="C1155" s="223" t="s">
        <v>1562</v>
      </c>
      <c r="D1155" s="220" t="s">
        <v>3616</v>
      </c>
      <c r="E1155" s="222">
        <v>96</v>
      </c>
      <c r="F1155" s="192">
        <v>83</v>
      </c>
      <c r="G1155" s="24">
        <v>0.2</v>
      </c>
      <c r="H1155" s="24">
        <v>0.05</v>
      </c>
      <c r="I1155" s="24">
        <v>0.05</v>
      </c>
      <c r="J1155" s="24">
        <v>0</v>
      </c>
      <c r="K1155" s="224">
        <f t="shared" ref="K1155:K1218" si="149">IF(F1155=0,0,1-(F1155/M1155))</f>
        <v>0.27800000000000014</v>
      </c>
      <c r="L1155" s="225">
        <f t="shared" ref="L1155:L1218" si="150">+M1155*E1155</f>
        <v>11036.011080332411</v>
      </c>
      <c r="M1155" s="225">
        <f t="shared" ref="M1155:M1218" si="151">+F1155/(1-G1155)/(1-H1155)/(1-I1155)/(1-J1155)</f>
        <v>114.95844875346262</v>
      </c>
      <c r="N1155" s="226">
        <f t="shared" si="145"/>
        <v>136.80055401662051</v>
      </c>
      <c r="O1155" s="34">
        <v>0.3</v>
      </c>
      <c r="P1155" s="226">
        <f t="shared" ref="P1155:P1218" si="152">+N1155*(1+O1155)</f>
        <v>177.84072022160666</v>
      </c>
      <c r="Q1155" s="107" t="s">
        <v>1486</v>
      </c>
      <c r="R1155" s="34">
        <v>0.35</v>
      </c>
      <c r="S1155" s="226">
        <f t="shared" si="146"/>
        <v>151.95384615384614</v>
      </c>
      <c r="T1155" s="156" t="s">
        <v>1486</v>
      </c>
      <c r="U1155" s="2"/>
      <c r="V1155" s="2" t="s">
        <v>47</v>
      </c>
      <c r="W1155" s="2" t="s">
        <v>1467</v>
      </c>
      <c r="X1155" s="2" t="s">
        <v>1467</v>
      </c>
      <c r="Y1155" s="488" t="s">
        <v>1486</v>
      </c>
      <c r="Z1155" s="293">
        <f t="shared" si="147"/>
        <v>31.958448753462619</v>
      </c>
      <c r="AA1155" s="293">
        <f t="shared" si="148"/>
        <v>44.692307692307693</v>
      </c>
    </row>
    <row r="1156" spans="1:27" s="320" customFormat="1" x14ac:dyDescent="0.25">
      <c r="A1156" s="220" t="s">
        <v>4187</v>
      </c>
      <c r="B1156" s="221" t="s">
        <v>4192</v>
      </c>
      <c r="C1156" s="223" t="s">
        <v>1562</v>
      </c>
      <c r="D1156" s="220" t="s">
        <v>3616</v>
      </c>
      <c r="E1156" s="222">
        <v>96</v>
      </c>
      <c r="F1156" s="192">
        <v>83</v>
      </c>
      <c r="G1156" s="24">
        <v>0.2</v>
      </c>
      <c r="H1156" s="24">
        <v>0.05</v>
      </c>
      <c r="I1156" s="24">
        <v>0.05</v>
      </c>
      <c r="J1156" s="24">
        <v>0</v>
      </c>
      <c r="K1156" s="224">
        <f t="shared" si="149"/>
        <v>0.27800000000000014</v>
      </c>
      <c r="L1156" s="225">
        <f t="shared" si="150"/>
        <v>11036.011080332411</v>
      </c>
      <c r="M1156" s="225">
        <f t="shared" si="151"/>
        <v>114.95844875346262</v>
      </c>
      <c r="N1156" s="226">
        <f t="shared" si="145"/>
        <v>136.80055401662051</v>
      </c>
      <c r="O1156" s="34">
        <v>0.3</v>
      </c>
      <c r="P1156" s="226">
        <f t="shared" si="152"/>
        <v>177.84072022160666</v>
      </c>
      <c r="Q1156" s="107" t="s">
        <v>1486</v>
      </c>
      <c r="R1156" s="34">
        <v>0.35</v>
      </c>
      <c r="S1156" s="226">
        <f t="shared" si="146"/>
        <v>151.95384615384614</v>
      </c>
      <c r="T1156" s="156" t="s">
        <v>1486</v>
      </c>
      <c r="U1156" s="2"/>
      <c r="V1156" s="2" t="s">
        <v>47</v>
      </c>
      <c r="W1156" s="2" t="s">
        <v>1467</v>
      </c>
      <c r="X1156" s="2" t="s">
        <v>1467</v>
      </c>
      <c r="Y1156" s="488" t="s">
        <v>1486</v>
      </c>
      <c r="Z1156" s="293">
        <f t="shared" si="147"/>
        <v>31.958448753462619</v>
      </c>
      <c r="AA1156" s="293">
        <f t="shared" si="148"/>
        <v>44.692307692307693</v>
      </c>
    </row>
    <row r="1157" spans="1:27" s="320" customFormat="1" x14ac:dyDescent="0.25">
      <c r="A1157" s="220" t="s">
        <v>4189</v>
      </c>
      <c r="B1157" s="221" t="s">
        <v>4194</v>
      </c>
      <c r="C1157" s="223" t="s">
        <v>1562</v>
      </c>
      <c r="D1157" s="220" t="s">
        <v>3616</v>
      </c>
      <c r="E1157" s="222">
        <v>180</v>
      </c>
      <c r="F1157" s="192">
        <v>57</v>
      </c>
      <c r="G1157" s="24">
        <v>0.2</v>
      </c>
      <c r="H1157" s="24">
        <v>0.05</v>
      </c>
      <c r="I1157" s="24">
        <v>0.05</v>
      </c>
      <c r="J1157" s="24">
        <v>0</v>
      </c>
      <c r="K1157" s="224">
        <f t="shared" si="149"/>
        <v>0.27800000000000002</v>
      </c>
      <c r="L1157" s="225">
        <f t="shared" si="150"/>
        <v>14210.526315789473</v>
      </c>
      <c r="M1157" s="225">
        <f t="shared" si="151"/>
        <v>78.94736842105263</v>
      </c>
      <c r="N1157" s="226">
        <f t="shared" si="145"/>
        <v>93.94736842105263</v>
      </c>
      <c r="O1157" s="34">
        <v>0.3</v>
      </c>
      <c r="P1157" s="226">
        <f t="shared" si="152"/>
        <v>122.13157894736842</v>
      </c>
      <c r="Q1157" s="107" t="s">
        <v>1486</v>
      </c>
      <c r="R1157" s="34">
        <v>0.35</v>
      </c>
      <c r="S1157" s="226">
        <f t="shared" si="146"/>
        <v>104.35384615384615</v>
      </c>
      <c r="T1157" s="156" t="s">
        <v>1486</v>
      </c>
      <c r="U1157" s="2"/>
      <c r="V1157" s="2" t="s">
        <v>47</v>
      </c>
      <c r="W1157" s="2" t="s">
        <v>1467</v>
      </c>
      <c r="X1157" s="2" t="s">
        <v>1467</v>
      </c>
      <c r="Y1157" s="488" t="s">
        <v>1486</v>
      </c>
      <c r="Z1157" s="293">
        <f t="shared" si="147"/>
        <v>21.94736842105263</v>
      </c>
      <c r="AA1157" s="293">
        <f t="shared" si="148"/>
        <v>30.692307692307693</v>
      </c>
    </row>
    <row r="1158" spans="1:27" s="320" customFormat="1" x14ac:dyDescent="0.25">
      <c r="A1158" s="220" t="s">
        <v>4191</v>
      </c>
      <c r="B1158" s="221" t="s">
        <v>3179</v>
      </c>
      <c r="C1158" s="223" t="s">
        <v>1570</v>
      </c>
      <c r="D1158" s="220" t="s">
        <v>572</v>
      </c>
      <c r="E1158" s="222">
        <v>12.5</v>
      </c>
      <c r="F1158" s="192">
        <v>2700</v>
      </c>
      <c r="G1158" s="24">
        <v>0.2</v>
      </c>
      <c r="H1158" s="24">
        <v>0.05</v>
      </c>
      <c r="I1158" s="24">
        <v>0.05</v>
      </c>
      <c r="J1158" s="24">
        <v>0</v>
      </c>
      <c r="K1158" s="224">
        <f t="shared" si="149"/>
        <v>0.27800000000000014</v>
      </c>
      <c r="L1158" s="225">
        <f t="shared" si="150"/>
        <v>46745.152354570644</v>
      </c>
      <c r="M1158" s="225">
        <f t="shared" si="151"/>
        <v>3739.6121883656515</v>
      </c>
      <c r="N1158" s="226">
        <f t="shared" si="145"/>
        <v>4450.1385041551248</v>
      </c>
      <c r="O1158" s="34">
        <v>0.3</v>
      </c>
      <c r="P1158" s="226">
        <f t="shared" si="152"/>
        <v>5785.1800554016627</v>
      </c>
      <c r="Q1158" s="107" t="s">
        <v>1486</v>
      </c>
      <c r="R1158" s="34">
        <v>0.3</v>
      </c>
      <c r="S1158" s="226">
        <f t="shared" si="146"/>
        <v>4590</v>
      </c>
      <c r="T1158" s="156" t="s">
        <v>1486</v>
      </c>
      <c r="U1158" s="2" t="s">
        <v>109</v>
      </c>
      <c r="V1158" s="2" t="s">
        <v>47</v>
      </c>
      <c r="W1158" s="2" t="s">
        <v>5883</v>
      </c>
      <c r="X1158" s="2" t="s">
        <v>5886</v>
      </c>
      <c r="Y1158" s="488" t="s">
        <v>1486</v>
      </c>
      <c r="Z1158" s="293">
        <f t="shared" si="147"/>
        <v>1039.6121883656515</v>
      </c>
      <c r="AA1158" s="293">
        <f t="shared" si="148"/>
        <v>1157.1428571428573</v>
      </c>
    </row>
    <row r="1159" spans="1:27" s="320" customFormat="1" ht="15" customHeight="1" x14ac:dyDescent="0.25">
      <c r="A1159" s="220" t="s">
        <v>4193</v>
      </c>
      <c r="B1159" s="221" t="s">
        <v>3178</v>
      </c>
      <c r="C1159" s="223" t="s">
        <v>1570</v>
      </c>
      <c r="D1159" s="220" t="s">
        <v>572</v>
      </c>
      <c r="E1159" s="222">
        <v>20</v>
      </c>
      <c r="F1159" s="192">
        <v>3600</v>
      </c>
      <c r="G1159" s="24">
        <v>0.2</v>
      </c>
      <c r="H1159" s="24">
        <v>0.05</v>
      </c>
      <c r="I1159" s="24">
        <v>0.05</v>
      </c>
      <c r="J1159" s="24">
        <v>0</v>
      </c>
      <c r="K1159" s="224">
        <f t="shared" si="149"/>
        <v>0.27800000000000014</v>
      </c>
      <c r="L1159" s="225">
        <f t="shared" si="150"/>
        <v>99722.991689750706</v>
      </c>
      <c r="M1159" s="225">
        <f t="shared" si="151"/>
        <v>4986.1495844875353</v>
      </c>
      <c r="N1159" s="226">
        <f t="shared" si="145"/>
        <v>5933.518005540167</v>
      </c>
      <c r="O1159" s="34">
        <v>0.3</v>
      </c>
      <c r="P1159" s="226">
        <f t="shared" si="152"/>
        <v>7713.5734072022169</v>
      </c>
      <c r="Q1159" s="107" t="s">
        <v>1486</v>
      </c>
      <c r="R1159" s="34">
        <v>0.3</v>
      </c>
      <c r="S1159" s="226">
        <f t="shared" si="146"/>
        <v>6120</v>
      </c>
      <c r="T1159" s="156" t="s">
        <v>1486</v>
      </c>
      <c r="U1159" s="2" t="s">
        <v>109</v>
      </c>
      <c r="V1159" s="2" t="s">
        <v>47</v>
      </c>
      <c r="W1159" s="2" t="s">
        <v>5883</v>
      </c>
      <c r="X1159" s="2" t="s">
        <v>5886</v>
      </c>
      <c r="Y1159" s="488" t="s">
        <v>1486</v>
      </c>
      <c r="Z1159" s="293">
        <f t="shared" si="147"/>
        <v>1386.1495844875353</v>
      </c>
      <c r="AA1159" s="293">
        <f t="shared" si="148"/>
        <v>1542.8571428571431</v>
      </c>
    </row>
    <row r="1160" spans="1:27" s="320" customFormat="1" ht="15" customHeight="1" x14ac:dyDescent="0.25">
      <c r="A1160" s="220" t="s">
        <v>571</v>
      </c>
      <c r="B1160" s="221" t="s">
        <v>3180</v>
      </c>
      <c r="C1160" s="223" t="s">
        <v>1570</v>
      </c>
      <c r="D1160" s="220" t="s">
        <v>572</v>
      </c>
      <c r="E1160" s="222">
        <v>5</v>
      </c>
      <c r="F1160" s="192">
        <v>3000</v>
      </c>
      <c r="G1160" s="24">
        <v>0.2</v>
      </c>
      <c r="H1160" s="24">
        <v>0.05</v>
      </c>
      <c r="I1160" s="24">
        <v>0.05</v>
      </c>
      <c r="J1160" s="24">
        <v>0</v>
      </c>
      <c r="K1160" s="224">
        <f t="shared" si="149"/>
        <v>0.27800000000000014</v>
      </c>
      <c r="L1160" s="225">
        <f t="shared" si="150"/>
        <v>20775.623268698066</v>
      </c>
      <c r="M1160" s="225">
        <f t="shared" si="151"/>
        <v>4155.1246537396128</v>
      </c>
      <c r="N1160" s="226">
        <f t="shared" si="145"/>
        <v>4944.5983379501386</v>
      </c>
      <c r="O1160" s="34">
        <v>0.3</v>
      </c>
      <c r="P1160" s="226">
        <f t="shared" si="152"/>
        <v>6427.9778393351808</v>
      </c>
      <c r="Q1160" s="107" t="s">
        <v>1486</v>
      </c>
      <c r="R1160" s="34">
        <v>0.3</v>
      </c>
      <c r="S1160" s="226">
        <f t="shared" si="146"/>
        <v>5100</v>
      </c>
      <c r="T1160" s="156" t="s">
        <v>1486</v>
      </c>
      <c r="U1160" s="2" t="s">
        <v>109</v>
      </c>
      <c r="V1160" s="2" t="s">
        <v>47</v>
      </c>
      <c r="W1160" s="2" t="s">
        <v>5883</v>
      </c>
      <c r="X1160" s="2" t="s">
        <v>5886</v>
      </c>
      <c r="Y1160" s="488" t="s">
        <v>1486</v>
      </c>
      <c r="Z1160" s="293">
        <f t="shared" si="147"/>
        <v>1155.1246537396128</v>
      </c>
      <c r="AA1160" s="293">
        <f t="shared" si="148"/>
        <v>1285.7142857142862</v>
      </c>
    </row>
    <row r="1161" spans="1:27" s="320" customFormat="1" x14ac:dyDescent="0.25">
      <c r="A1161" s="220" t="s">
        <v>574</v>
      </c>
      <c r="B1161" s="221" t="s">
        <v>3181</v>
      </c>
      <c r="C1161" s="223" t="s">
        <v>1570</v>
      </c>
      <c r="D1161" s="220" t="s">
        <v>572</v>
      </c>
      <c r="E1161" s="222">
        <v>25</v>
      </c>
      <c r="F1161" s="192">
        <v>500</v>
      </c>
      <c r="G1161" s="24">
        <v>0.2</v>
      </c>
      <c r="H1161" s="24">
        <v>0.05</v>
      </c>
      <c r="I1161" s="24">
        <v>0.05</v>
      </c>
      <c r="J1161" s="24">
        <v>0</v>
      </c>
      <c r="K1161" s="224">
        <f t="shared" si="149"/>
        <v>0.27800000000000014</v>
      </c>
      <c r="L1161" s="225">
        <f t="shared" si="150"/>
        <v>17313.019390581721</v>
      </c>
      <c r="M1161" s="225">
        <f t="shared" si="151"/>
        <v>692.52077562326883</v>
      </c>
      <c r="N1161" s="226">
        <f t="shared" si="145"/>
        <v>824.09972299168987</v>
      </c>
      <c r="O1161" s="34">
        <v>0.3</v>
      </c>
      <c r="P1161" s="226">
        <f t="shared" si="152"/>
        <v>1071.3296398891969</v>
      </c>
      <c r="Q1161" s="107" t="s">
        <v>1486</v>
      </c>
      <c r="R1161" s="34">
        <v>0.3</v>
      </c>
      <c r="S1161" s="226">
        <f t="shared" si="146"/>
        <v>850</v>
      </c>
      <c r="T1161" s="156" t="s">
        <v>1486</v>
      </c>
      <c r="U1161" s="2" t="s">
        <v>109</v>
      </c>
      <c r="V1161" s="2" t="s">
        <v>47</v>
      </c>
      <c r="W1161" s="2" t="s">
        <v>5883</v>
      </c>
      <c r="X1161" s="2" t="s">
        <v>5886</v>
      </c>
      <c r="Y1161" s="488" t="s">
        <v>1486</v>
      </c>
      <c r="Z1161" s="293">
        <f t="shared" si="147"/>
        <v>192.52077562326883</v>
      </c>
      <c r="AA1161" s="293">
        <f t="shared" si="148"/>
        <v>214.28571428571433</v>
      </c>
    </row>
    <row r="1162" spans="1:27" s="320" customFormat="1" x14ac:dyDescent="0.25">
      <c r="A1162" s="220" t="s">
        <v>575</v>
      </c>
      <c r="B1162" s="221" t="s">
        <v>3182</v>
      </c>
      <c r="C1162" s="223" t="s">
        <v>1570</v>
      </c>
      <c r="D1162" s="220" t="s">
        <v>572</v>
      </c>
      <c r="E1162" s="222">
        <v>25</v>
      </c>
      <c r="F1162" s="192">
        <v>850</v>
      </c>
      <c r="G1162" s="24">
        <v>0.2</v>
      </c>
      <c r="H1162" s="24">
        <v>0.05</v>
      </c>
      <c r="I1162" s="24">
        <v>0.05</v>
      </c>
      <c r="J1162" s="24">
        <v>0</v>
      </c>
      <c r="K1162" s="224">
        <f t="shared" si="149"/>
        <v>0.27800000000000002</v>
      </c>
      <c r="L1162" s="225">
        <f t="shared" si="150"/>
        <v>29432.132963988919</v>
      </c>
      <c r="M1162" s="225">
        <f t="shared" si="151"/>
        <v>1177.2853185595568</v>
      </c>
      <c r="N1162" s="226">
        <f t="shared" si="145"/>
        <v>1400.9695290858726</v>
      </c>
      <c r="O1162" s="34">
        <v>0.3</v>
      </c>
      <c r="P1162" s="226">
        <f t="shared" si="152"/>
        <v>1821.2603878116345</v>
      </c>
      <c r="Q1162" s="107" t="s">
        <v>1486</v>
      </c>
      <c r="R1162" s="34">
        <v>0.3</v>
      </c>
      <c r="S1162" s="226">
        <f t="shared" si="146"/>
        <v>1445.0000000000002</v>
      </c>
      <c r="T1162" s="156" t="s">
        <v>1486</v>
      </c>
      <c r="U1162" s="2" t="s">
        <v>109</v>
      </c>
      <c r="V1162" s="2" t="s">
        <v>47</v>
      </c>
      <c r="W1162" s="2" t="s">
        <v>5883</v>
      </c>
      <c r="X1162" s="2" t="s">
        <v>5886</v>
      </c>
      <c r="Y1162" s="488" t="s">
        <v>1486</v>
      </c>
      <c r="Z1162" s="293">
        <f t="shared" si="147"/>
        <v>327.2853185595568</v>
      </c>
      <c r="AA1162" s="293">
        <f t="shared" si="148"/>
        <v>364.28571428571445</v>
      </c>
    </row>
    <row r="1163" spans="1:27" s="320" customFormat="1" x14ac:dyDescent="0.25">
      <c r="A1163" s="220" t="s">
        <v>576</v>
      </c>
      <c r="B1163" s="221" t="s">
        <v>3183</v>
      </c>
      <c r="C1163" s="223" t="s">
        <v>1570</v>
      </c>
      <c r="D1163" s="220" t="s">
        <v>572</v>
      </c>
      <c r="E1163" s="222">
        <v>25</v>
      </c>
      <c r="F1163" s="192">
        <v>2300</v>
      </c>
      <c r="G1163" s="24">
        <v>0.2</v>
      </c>
      <c r="H1163" s="24">
        <v>0.05</v>
      </c>
      <c r="I1163" s="24">
        <v>0.05</v>
      </c>
      <c r="J1163" s="24">
        <v>0</v>
      </c>
      <c r="K1163" s="224">
        <f t="shared" si="149"/>
        <v>0.27800000000000002</v>
      </c>
      <c r="L1163" s="225">
        <f t="shared" si="150"/>
        <v>79639.889196675911</v>
      </c>
      <c r="M1163" s="225">
        <f t="shared" si="151"/>
        <v>3185.5955678670362</v>
      </c>
      <c r="N1163" s="226">
        <f t="shared" si="145"/>
        <v>3790.8587257617728</v>
      </c>
      <c r="O1163" s="34">
        <v>0.3</v>
      </c>
      <c r="P1163" s="226">
        <f t="shared" si="152"/>
        <v>4928.1163434903046</v>
      </c>
      <c r="Q1163" s="107" t="s">
        <v>1486</v>
      </c>
      <c r="R1163" s="34">
        <v>0.3</v>
      </c>
      <c r="S1163" s="226">
        <f t="shared" si="146"/>
        <v>3910</v>
      </c>
      <c r="T1163" s="156" t="s">
        <v>1486</v>
      </c>
      <c r="U1163" s="2" t="s">
        <v>109</v>
      </c>
      <c r="V1163" s="2" t="s">
        <v>47</v>
      </c>
      <c r="W1163" s="2" t="s">
        <v>5883</v>
      </c>
      <c r="X1163" s="2" t="s">
        <v>5886</v>
      </c>
      <c r="Y1163" s="488" t="s">
        <v>1486</v>
      </c>
      <c r="Z1163" s="293">
        <f t="shared" si="147"/>
        <v>885.59556786703615</v>
      </c>
      <c r="AA1163" s="293">
        <f t="shared" si="148"/>
        <v>985.71428571428578</v>
      </c>
    </row>
    <row r="1164" spans="1:27" s="320" customFormat="1" x14ac:dyDescent="0.25">
      <c r="A1164" s="220" t="s">
        <v>577</v>
      </c>
      <c r="B1164" s="221" t="s">
        <v>3184</v>
      </c>
      <c r="C1164" s="223" t="s">
        <v>1570</v>
      </c>
      <c r="D1164" s="220" t="s">
        <v>572</v>
      </c>
      <c r="E1164" s="222">
        <v>25</v>
      </c>
      <c r="F1164" s="192">
        <v>3500</v>
      </c>
      <c r="G1164" s="24">
        <v>0.2</v>
      </c>
      <c r="H1164" s="24">
        <v>0.05</v>
      </c>
      <c r="I1164" s="24">
        <v>0.05</v>
      </c>
      <c r="J1164" s="24">
        <v>0</v>
      </c>
      <c r="K1164" s="224">
        <f t="shared" si="149"/>
        <v>0.27800000000000002</v>
      </c>
      <c r="L1164" s="225">
        <f t="shared" si="150"/>
        <v>121191.13573407203</v>
      </c>
      <c r="M1164" s="225">
        <f t="shared" si="151"/>
        <v>4847.6454293628813</v>
      </c>
      <c r="N1164" s="226">
        <f t="shared" ref="N1164:N1227" si="153">+M1164*1.19</f>
        <v>5768.6980609418288</v>
      </c>
      <c r="O1164" s="34">
        <v>0.3</v>
      </c>
      <c r="P1164" s="226">
        <f t="shared" si="152"/>
        <v>7499.3074792243779</v>
      </c>
      <c r="Q1164" s="107" t="s">
        <v>1486</v>
      </c>
      <c r="R1164" s="34">
        <v>0.3</v>
      </c>
      <c r="S1164" s="226">
        <f t="shared" si="146"/>
        <v>5950</v>
      </c>
      <c r="T1164" s="156" t="s">
        <v>1486</v>
      </c>
      <c r="U1164" s="2" t="s">
        <v>109</v>
      </c>
      <c r="V1164" s="2" t="s">
        <v>47</v>
      </c>
      <c r="W1164" s="2" t="s">
        <v>5883</v>
      </c>
      <c r="X1164" s="2" t="s">
        <v>5886</v>
      </c>
      <c r="Y1164" s="488" t="s">
        <v>1486</v>
      </c>
      <c r="Z1164" s="293">
        <f t="shared" si="147"/>
        <v>1347.6454293628813</v>
      </c>
      <c r="AA1164" s="293">
        <f t="shared" si="148"/>
        <v>1500</v>
      </c>
    </row>
    <row r="1165" spans="1:27" s="320" customFormat="1" x14ac:dyDescent="0.25">
      <c r="A1165" s="220" t="s">
        <v>578</v>
      </c>
      <c r="B1165" s="221" t="s">
        <v>3185</v>
      </c>
      <c r="C1165" s="223" t="s">
        <v>1570</v>
      </c>
      <c r="D1165" s="220" t="s">
        <v>572</v>
      </c>
      <c r="E1165" s="222">
        <v>25</v>
      </c>
      <c r="F1165" s="192">
        <v>4150</v>
      </c>
      <c r="G1165" s="24">
        <v>0.2</v>
      </c>
      <c r="H1165" s="24">
        <v>0.05</v>
      </c>
      <c r="I1165" s="24">
        <v>0.05</v>
      </c>
      <c r="J1165" s="24">
        <v>0</v>
      </c>
      <c r="K1165" s="224">
        <f t="shared" si="149"/>
        <v>0.27800000000000014</v>
      </c>
      <c r="L1165" s="225">
        <f t="shared" si="150"/>
        <v>143698.06094182827</v>
      </c>
      <c r="M1165" s="225">
        <f t="shared" si="151"/>
        <v>5747.9224376731308</v>
      </c>
      <c r="N1165" s="226">
        <f t="shared" si="153"/>
        <v>6840.027700831025</v>
      </c>
      <c r="O1165" s="34">
        <v>0.3</v>
      </c>
      <c r="P1165" s="226">
        <f t="shared" si="152"/>
        <v>8892.0360110803322</v>
      </c>
      <c r="Q1165" s="107" t="s">
        <v>1486</v>
      </c>
      <c r="R1165" s="34">
        <v>0.3</v>
      </c>
      <c r="S1165" s="226">
        <f t="shared" si="146"/>
        <v>7055.0000000000009</v>
      </c>
      <c r="T1165" s="156" t="s">
        <v>1486</v>
      </c>
      <c r="U1165" s="2" t="s">
        <v>109</v>
      </c>
      <c r="V1165" s="2" t="s">
        <v>47</v>
      </c>
      <c r="W1165" s="2" t="s">
        <v>5883</v>
      </c>
      <c r="X1165" s="2" t="s">
        <v>5886</v>
      </c>
      <c r="Y1165" s="488" t="s">
        <v>1486</v>
      </c>
      <c r="Z1165" s="293">
        <f t="shared" si="147"/>
        <v>1597.9224376731308</v>
      </c>
      <c r="AA1165" s="293">
        <f t="shared" si="148"/>
        <v>1778.5714285714294</v>
      </c>
    </row>
    <row r="1166" spans="1:27" s="320" customFormat="1" ht="15" customHeight="1" x14ac:dyDescent="0.25">
      <c r="A1166" s="220" t="s">
        <v>579</v>
      </c>
      <c r="B1166" s="221" t="s">
        <v>3186</v>
      </c>
      <c r="C1166" s="223" t="s">
        <v>1570</v>
      </c>
      <c r="D1166" s="220" t="s">
        <v>572</v>
      </c>
      <c r="E1166" s="222">
        <v>25</v>
      </c>
      <c r="F1166" s="192">
        <v>650</v>
      </c>
      <c r="G1166" s="24">
        <v>0.2</v>
      </c>
      <c r="H1166" s="24">
        <v>0.05</v>
      </c>
      <c r="I1166" s="24">
        <v>0.05</v>
      </c>
      <c r="J1166" s="24">
        <v>0</v>
      </c>
      <c r="K1166" s="224">
        <f t="shared" si="149"/>
        <v>0.27800000000000002</v>
      </c>
      <c r="L1166" s="225">
        <f t="shared" si="150"/>
        <v>22506.925207756234</v>
      </c>
      <c r="M1166" s="225">
        <f t="shared" si="151"/>
        <v>900.27700831024936</v>
      </c>
      <c r="N1166" s="226">
        <f t="shared" si="153"/>
        <v>1071.3296398891966</v>
      </c>
      <c r="O1166" s="34">
        <v>0.3</v>
      </c>
      <c r="P1166" s="226">
        <f t="shared" si="152"/>
        <v>1392.7285318559557</v>
      </c>
      <c r="Q1166" s="107" t="s">
        <v>1486</v>
      </c>
      <c r="R1166" s="34">
        <v>0.3</v>
      </c>
      <c r="S1166" s="226">
        <f t="shared" si="146"/>
        <v>1105</v>
      </c>
      <c r="T1166" s="156" t="s">
        <v>1486</v>
      </c>
      <c r="U1166" s="2" t="s">
        <v>109</v>
      </c>
      <c r="V1166" s="2" t="s">
        <v>47</v>
      </c>
      <c r="W1166" s="2" t="s">
        <v>5883</v>
      </c>
      <c r="X1166" s="2" t="s">
        <v>5886</v>
      </c>
      <c r="Y1166" s="488" t="s">
        <v>1486</v>
      </c>
      <c r="Z1166" s="293">
        <f t="shared" si="147"/>
        <v>250.27700831024936</v>
      </c>
      <c r="AA1166" s="293">
        <f t="shared" si="148"/>
        <v>278.57142857142867</v>
      </c>
    </row>
    <row r="1167" spans="1:27" s="320" customFormat="1" x14ac:dyDescent="0.25">
      <c r="A1167" s="220" t="s">
        <v>580</v>
      </c>
      <c r="B1167" s="221" t="s">
        <v>3187</v>
      </c>
      <c r="C1167" s="223" t="s">
        <v>1570</v>
      </c>
      <c r="D1167" s="220" t="s">
        <v>572</v>
      </c>
      <c r="E1167" s="222">
        <v>25</v>
      </c>
      <c r="F1167" s="192">
        <v>2031</v>
      </c>
      <c r="G1167" s="24">
        <v>0.2</v>
      </c>
      <c r="H1167" s="24">
        <v>0.05</v>
      </c>
      <c r="I1167" s="24">
        <v>0.05</v>
      </c>
      <c r="J1167" s="24">
        <v>0</v>
      </c>
      <c r="K1167" s="224">
        <f t="shared" si="149"/>
        <v>0.27800000000000002</v>
      </c>
      <c r="L1167" s="225">
        <f t="shared" si="150"/>
        <v>70325.48476454294</v>
      </c>
      <c r="M1167" s="225">
        <f t="shared" si="151"/>
        <v>2813.0193905817177</v>
      </c>
      <c r="N1167" s="226">
        <f t="shared" si="153"/>
        <v>3347.493074792244</v>
      </c>
      <c r="O1167" s="34">
        <v>0.3</v>
      </c>
      <c r="P1167" s="226">
        <f t="shared" si="152"/>
        <v>4351.7409972299174</v>
      </c>
      <c r="Q1167" s="107" t="s">
        <v>1486</v>
      </c>
      <c r="R1167" s="34">
        <v>0.3</v>
      </c>
      <c r="S1167" s="226">
        <f t="shared" si="146"/>
        <v>3452.7</v>
      </c>
      <c r="T1167" s="156" t="s">
        <v>1486</v>
      </c>
      <c r="U1167" s="2" t="s">
        <v>109</v>
      </c>
      <c r="V1167" s="2" t="s">
        <v>47</v>
      </c>
      <c r="W1167" s="2" t="s">
        <v>5883</v>
      </c>
      <c r="X1167" s="2" t="s">
        <v>5886</v>
      </c>
      <c r="Y1167" s="488" t="s">
        <v>1486</v>
      </c>
      <c r="Z1167" s="293">
        <f t="shared" si="147"/>
        <v>782.01939058171774</v>
      </c>
      <c r="AA1167" s="293">
        <f t="shared" si="148"/>
        <v>870.42857142857156</v>
      </c>
    </row>
    <row r="1168" spans="1:27" s="320" customFormat="1" x14ac:dyDescent="0.25">
      <c r="A1168" s="220" t="s">
        <v>581</v>
      </c>
      <c r="B1168" s="221" t="s">
        <v>3188</v>
      </c>
      <c r="C1168" s="223" t="s">
        <v>1570</v>
      </c>
      <c r="D1168" s="220" t="s">
        <v>572</v>
      </c>
      <c r="E1168" s="222">
        <v>20</v>
      </c>
      <c r="F1168" s="192">
        <v>1056</v>
      </c>
      <c r="G1168" s="24">
        <v>0.2</v>
      </c>
      <c r="H1168" s="24">
        <v>0.05</v>
      </c>
      <c r="I1168" s="24">
        <v>0.05</v>
      </c>
      <c r="J1168" s="24">
        <v>0</v>
      </c>
      <c r="K1168" s="224">
        <f t="shared" si="149"/>
        <v>0.27800000000000014</v>
      </c>
      <c r="L1168" s="225">
        <f t="shared" si="150"/>
        <v>29252.077562326878</v>
      </c>
      <c r="M1168" s="225">
        <f t="shared" si="151"/>
        <v>1462.6038781163438</v>
      </c>
      <c r="N1168" s="226">
        <f t="shared" si="153"/>
        <v>1740.498614958449</v>
      </c>
      <c r="O1168" s="34">
        <v>0.3</v>
      </c>
      <c r="P1168" s="226">
        <f t="shared" si="152"/>
        <v>2262.6481994459837</v>
      </c>
      <c r="Q1168" s="107" t="s">
        <v>1486</v>
      </c>
      <c r="R1168" s="34">
        <v>0.3</v>
      </c>
      <c r="S1168" s="226">
        <f t="shared" si="146"/>
        <v>1795.2</v>
      </c>
      <c r="T1168" s="156" t="s">
        <v>1486</v>
      </c>
      <c r="U1168" s="2" t="s">
        <v>109</v>
      </c>
      <c r="V1168" s="2" t="s">
        <v>47</v>
      </c>
      <c r="W1168" s="2" t="s">
        <v>5883</v>
      </c>
      <c r="X1168" s="2" t="s">
        <v>5886</v>
      </c>
      <c r="Y1168" s="488" t="s">
        <v>1486</v>
      </c>
      <c r="Z1168" s="293">
        <f t="shared" si="147"/>
        <v>406.60387811634382</v>
      </c>
      <c r="AA1168" s="293">
        <f t="shared" si="148"/>
        <v>452.57142857142867</v>
      </c>
    </row>
    <row r="1169" spans="1:27" s="320" customFormat="1" x14ac:dyDescent="0.25">
      <c r="A1169" s="220" t="s">
        <v>582</v>
      </c>
      <c r="B1169" s="221" t="s">
        <v>3189</v>
      </c>
      <c r="C1169" s="223" t="s">
        <v>1570</v>
      </c>
      <c r="D1169" s="220" t="s">
        <v>572</v>
      </c>
      <c r="E1169" s="222">
        <v>25</v>
      </c>
      <c r="F1169" s="192">
        <v>15500</v>
      </c>
      <c r="G1169" s="24">
        <v>0.2</v>
      </c>
      <c r="H1169" s="24">
        <v>0.05</v>
      </c>
      <c r="I1169" s="24">
        <v>0.05</v>
      </c>
      <c r="J1169" s="24">
        <v>0</v>
      </c>
      <c r="K1169" s="224">
        <f t="shared" si="149"/>
        <v>0.27800000000000014</v>
      </c>
      <c r="L1169" s="225">
        <f t="shared" si="150"/>
        <v>536703.60110803333</v>
      </c>
      <c r="M1169" s="225">
        <f t="shared" si="151"/>
        <v>21468.144044321332</v>
      </c>
      <c r="N1169" s="226">
        <f t="shared" si="153"/>
        <v>25547.091412742386</v>
      </c>
      <c r="O1169" s="34">
        <v>0.3</v>
      </c>
      <c r="P1169" s="226">
        <f t="shared" si="152"/>
        <v>33211.218836565102</v>
      </c>
      <c r="Q1169" s="107" t="s">
        <v>1486</v>
      </c>
      <c r="R1169" s="34">
        <v>0.3</v>
      </c>
      <c r="S1169" s="226">
        <f t="shared" si="146"/>
        <v>26350</v>
      </c>
      <c r="T1169" s="156" t="s">
        <v>1486</v>
      </c>
      <c r="U1169" s="2" t="s">
        <v>109</v>
      </c>
      <c r="V1169" s="2" t="s">
        <v>47</v>
      </c>
      <c r="W1169" s="2" t="s">
        <v>5883</v>
      </c>
      <c r="X1169" s="2" t="s">
        <v>5886</v>
      </c>
      <c r="Y1169" s="488" t="s">
        <v>1486</v>
      </c>
      <c r="Z1169" s="293">
        <f t="shared" si="147"/>
        <v>5968.1440443213323</v>
      </c>
      <c r="AA1169" s="293">
        <f t="shared" si="148"/>
        <v>6642.8571428571449</v>
      </c>
    </row>
    <row r="1170" spans="1:27" s="320" customFormat="1" ht="15" customHeight="1" x14ac:dyDescent="0.25">
      <c r="A1170" s="220" t="s">
        <v>583</v>
      </c>
      <c r="B1170" s="221" t="s">
        <v>3190</v>
      </c>
      <c r="C1170" s="223" t="s">
        <v>1570</v>
      </c>
      <c r="D1170" s="220" t="s">
        <v>572</v>
      </c>
      <c r="E1170" s="222">
        <v>25</v>
      </c>
      <c r="F1170" s="192">
        <v>14000</v>
      </c>
      <c r="G1170" s="24">
        <v>0.2</v>
      </c>
      <c r="H1170" s="24">
        <v>0.05</v>
      </c>
      <c r="I1170" s="24">
        <v>0.05</v>
      </c>
      <c r="J1170" s="24">
        <v>0</v>
      </c>
      <c r="K1170" s="224">
        <f t="shared" si="149"/>
        <v>0.27800000000000002</v>
      </c>
      <c r="L1170" s="225">
        <f t="shared" si="150"/>
        <v>484764.54293628811</v>
      </c>
      <c r="M1170" s="225">
        <f t="shared" si="151"/>
        <v>19390.581717451525</v>
      </c>
      <c r="N1170" s="226">
        <f t="shared" si="153"/>
        <v>23074.792243767315</v>
      </c>
      <c r="O1170" s="34">
        <v>0.3</v>
      </c>
      <c r="P1170" s="226">
        <f t="shared" si="152"/>
        <v>29997.229916897511</v>
      </c>
      <c r="Q1170" s="107" t="s">
        <v>1486</v>
      </c>
      <c r="R1170" s="34">
        <v>0.3</v>
      </c>
      <c r="S1170" s="226">
        <f t="shared" si="146"/>
        <v>23800</v>
      </c>
      <c r="T1170" s="156" t="s">
        <v>1486</v>
      </c>
      <c r="U1170" s="2" t="s">
        <v>109</v>
      </c>
      <c r="V1170" s="2" t="s">
        <v>47</v>
      </c>
      <c r="W1170" s="2" t="s">
        <v>5883</v>
      </c>
      <c r="X1170" s="2" t="s">
        <v>5886</v>
      </c>
      <c r="Y1170" s="488" t="s">
        <v>1486</v>
      </c>
      <c r="Z1170" s="293">
        <f t="shared" si="147"/>
        <v>5390.581717451525</v>
      </c>
      <c r="AA1170" s="293">
        <f t="shared" si="148"/>
        <v>6000</v>
      </c>
    </row>
    <row r="1171" spans="1:27" s="320" customFormat="1" x14ac:dyDescent="0.25">
      <c r="A1171" s="220" t="s">
        <v>584</v>
      </c>
      <c r="B1171" s="221" t="s">
        <v>3191</v>
      </c>
      <c r="C1171" s="223" t="s">
        <v>1570</v>
      </c>
      <c r="D1171" s="220" t="s">
        <v>572</v>
      </c>
      <c r="E1171" s="222">
        <v>25</v>
      </c>
      <c r="F1171" s="192">
        <v>4000</v>
      </c>
      <c r="G1171" s="24">
        <v>0.2</v>
      </c>
      <c r="H1171" s="24">
        <v>0.05</v>
      </c>
      <c r="I1171" s="24">
        <v>0.05</v>
      </c>
      <c r="J1171" s="24">
        <v>0</v>
      </c>
      <c r="K1171" s="224">
        <f t="shared" si="149"/>
        <v>0.27800000000000014</v>
      </c>
      <c r="L1171" s="225">
        <f t="shared" si="150"/>
        <v>138504.15512465377</v>
      </c>
      <c r="M1171" s="225">
        <f t="shared" si="151"/>
        <v>5540.1662049861507</v>
      </c>
      <c r="N1171" s="226">
        <f t="shared" si="153"/>
        <v>6592.797783933519</v>
      </c>
      <c r="O1171" s="34">
        <v>0.3</v>
      </c>
      <c r="P1171" s="226">
        <f t="shared" si="152"/>
        <v>8570.637119113575</v>
      </c>
      <c r="Q1171" s="107" t="s">
        <v>1486</v>
      </c>
      <c r="R1171" s="34">
        <v>0.3</v>
      </c>
      <c r="S1171" s="226">
        <f t="shared" si="146"/>
        <v>6800</v>
      </c>
      <c r="T1171" s="156" t="s">
        <v>1486</v>
      </c>
      <c r="U1171" s="2" t="s">
        <v>109</v>
      </c>
      <c r="V1171" s="2" t="s">
        <v>47</v>
      </c>
      <c r="W1171" s="2" t="s">
        <v>5883</v>
      </c>
      <c r="X1171" s="2" t="s">
        <v>5886</v>
      </c>
      <c r="Y1171" s="488" t="s">
        <v>1486</v>
      </c>
      <c r="Z1171" s="293">
        <f t="shared" si="147"/>
        <v>1540.1662049861507</v>
      </c>
      <c r="AA1171" s="293">
        <f t="shared" si="148"/>
        <v>1714.2857142857147</v>
      </c>
    </row>
    <row r="1172" spans="1:27" s="320" customFormat="1" x14ac:dyDescent="0.25">
      <c r="A1172" s="220" t="s">
        <v>585</v>
      </c>
      <c r="B1172" s="221" t="s">
        <v>3192</v>
      </c>
      <c r="C1172" s="223" t="s">
        <v>1570</v>
      </c>
      <c r="D1172" s="220" t="s">
        <v>572</v>
      </c>
      <c r="E1172" s="222">
        <v>10</v>
      </c>
      <c r="F1172" s="192">
        <v>4800</v>
      </c>
      <c r="G1172" s="24">
        <v>0.2</v>
      </c>
      <c r="H1172" s="24">
        <v>0.05</v>
      </c>
      <c r="I1172" s="24">
        <v>0.05</v>
      </c>
      <c r="J1172" s="24">
        <v>0</v>
      </c>
      <c r="K1172" s="224">
        <f t="shared" si="149"/>
        <v>0.27800000000000014</v>
      </c>
      <c r="L1172" s="225">
        <f t="shared" si="150"/>
        <v>66481.994459833804</v>
      </c>
      <c r="M1172" s="225">
        <f t="shared" si="151"/>
        <v>6648.1994459833804</v>
      </c>
      <c r="N1172" s="226">
        <f t="shared" si="153"/>
        <v>7911.3573407202221</v>
      </c>
      <c r="O1172" s="34">
        <v>0.3</v>
      </c>
      <c r="P1172" s="226">
        <f t="shared" si="152"/>
        <v>10284.764542936289</v>
      </c>
      <c r="Q1172" s="107" t="s">
        <v>1486</v>
      </c>
      <c r="R1172" s="34">
        <v>0.3</v>
      </c>
      <c r="S1172" s="226">
        <f t="shared" si="146"/>
        <v>8160</v>
      </c>
      <c r="T1172" s="156" t="s">
        <v>1486</v>
      </c>
      <c r="U1172" s="2" t="s">
        <v>109</v>
      </c>
      <c r="V1172" s="2" t="s">
        <v>47</v>
      </c>
      <c r="W1172" s="2" t="s">
        <v>5883</v>
      </c>
      <c r="X1172" s="2" t="s">
        <v>5886</v>
      </c>
      <c r="Y1172" s="488" t="s">
        <v>1486</v>
      </c>
      <c r="Z1172" s="293">
        <f t="shared" si="147"/>
        <v>1848.1994459833804</v>
      </c>
      <c r="AA1172" s="293">
        <f t="shared" si="148"/>
        <v>2057.1428571428578</v>
      </c>
    </row>
    <row r="1173" spans="1:27" s="320" customFormat="1" x14ac:dyDescent="0.25">
      <c r="A1173" s="220" t="s">
        <v>586</v>
      </c>
      <c r="B1173" s="221" t="s">
        <v>3193</v>
      </c>
      <c r="C1173" s="223" t="s">
        <v>1570</v>
      </c>
      <c r="D1173" s="220" t="s">
        <v>572</v>
      </c>
      <c r="E1173" s="222">
        <v>20</v>
      </c>
      <c r="F1173" s="192">
        <v>850</v>
      </c>
      <c r="G1173" s="24">
        <v>0.2</v>
      </c>
      <c r="H1173" s="24">
        <v>0.05</v>
      </c>
      <c r="I1173" s="24">
        <v>0.05</v>
      </c>
      <c r="J1173" s="24">
        <v>0</v>
      </c>
      <c r="K1173" s="224">
        <f t="shared" si="149"/>
        <v>0.27800000000000002</v>
      </c>
      <c r="L1173" s="225">
        <f t="shared" si="150"/>
        <v>23545.706371191136</v>
      </c>
      <c r="M1173" s="225">
        <f t="shared" si="151"/>
        <v>1177.2853185595568</v>
      </c>
      <c r="N1173" s="226">
        <f t="shared" si="153"/>
        <v>1400.9695290858726</v>
      </c>
      <c r="O1173" s="34">
        <v>0.3</v>
      </c>
      <c r="P1173" s="226">
        <f t="shared" si="152"/>
        <v>1821.2603878116345</v>
      </c>
      <c r="Q1173" s="107" t="s">
        <v>1486</v>
      </c>
      <c r="R1173" s="34">
        <v>0.3</v>
      </c>
      <c r="S1173" s="226">
        <f t="shared" si="146"/>
        <v>1445.0000000000002</v>
      </c>
      <c r="T1173" s="156" t="s">
        <v>1486</v>
      </c>
      <c r="U1173" s="2" t="s">
        <v>109</v>
      </c>
      <c r="V1173" s="2" t="s">
        <v>47</v>
      </c>
      <c r="W1173" s="2" t="s">
        <v>5883</v>
      </c>
      <c r="X1173" s="2" t="s">
        <v>5886</v>
      </c>
      <c r="Y1173" s="488" t="s">
        <v>1486</v>
      </c>
      <c r="Z1173" s="293">
        <f t="shared" si="147"/>
        <v>327.2853185595568</v>
      </c>
      <c r="AA1173" s="293">
        <f t="shared" si="148"/>
        <v>364.28571428571445</v>
      </c>
    </row>
    <row r="1174" spans="1:27" s="320" customFormat="1" x14ac:dyDescent="0.25">
      <c r="A1174" s="220" t="s">
        <v>587</v>
      </c>
      <c r="B1174" s="221" t="s">
        <v>3194</v>
      </c>
      <c r="C1174" s="223" t="s">
        <v>1570</v>
      </c>
      <c r="D1174" s="220" t="s">
        <v>572</v>
      </c>
      <c r="E1174" s="222">
        <v>20</v>
      </c>
      <c r="F1174" s="192">
        <v>1000</v>
      </c>
      <c r="G1174" s="24">
        <v>0.2</v>
      </c>
      <c r="H1174" s="24">
        <v>0.05</v>
      </c>
      <c r="I1174" s="24">
        <v>0.05</v>
      </c>
      <c r="J1174" s="24">
        <v>0</v>
      </c>
      <c r="K1174" s="224">
        <f t="shared" si="149"/>
        <v>0.27800000000000014</v>
      </c>
      <c r="L1174" s="225">
        <f t="shared" si="150"/>
        <v>27700.831024930754</v>
      </c>
      <c r="M1174" s="225">
        <f t="shared" si="151"/>
        <v>1385.0415512465377</v>
      </c>
      <c r="N1174" s="226">
        <f t="shared" si="153"/>
        <v>1648.1994459833797</v>
      </c>
      <c r="O1174" s="34">
        <v>0.3</v>
      </c>
      <c r="P1174" s="226">
        <f t="shared" si="152"/>
        <v>2142.6592797783937</v>
      </c>
      <c r="Q1174" s="107" t="s">
        <v>1486</v>
      </c>
      <c r="R1174" s="34">
        <v>0.3</v>
      </c>
      <c r="S1174" s="226">
        <f t="shared" si="146"/>
        <v>1700</v>
      </c>
      <c r="T1174" s="156" t="s">
        <v>1486</v>
      </c>
      <c r="U1174" s="2" t="s">
        <v>109</v>
      </c>
      <c r="V1174" s="2" t="s">
        <v>47</v>
      </c>
      <c r="W1174" s="2" t="s">
        <v>5883</v>
      </c>
      <c r="X1174" s="2" t="s">
        <v>5886</v>
      </c>
      <c r="Y1174" s="488" t="s">
        <v>1486</v>
      </c>
      <c r="Z1174" s="293">
        <f t="shared" si="147"/>
        <v>385.04155124653767</v>
      </c>
      <c r="AA1174" s="293">
        <f t="shared" si="148"/>
        <v>428.57142857142867</v>
      </c>
    </row>
    <row r="1175" spans="1:27" s="320" customFormat="1" x14ac:dyDescent="0.25">
      <c r="A1175" s="220" t="s">
        <v>588</v>
      </c>
      <c r="B1175" s="221" t="s">
        <v>3196</v>
      </c>
      <c r="C1175" s="223" t="s">
        <v>1570</v>
      </c>
      <c r="D1175" s="220" t="s">
        <v>572</v>
      </c>
      <c r="E1175" s="222">
        <v>20</v>
      </c>
      <c r="F1175" s="192">
        <v>9500</v>
      </c>
      <c r="G1175" s="24">
        <v>0.2</v>
      </c>
      <c r="H1175" s="24">
        <v>0.05</v>
      </c>
      <c r="I1175" s="24">
        <v>0.05</v>
      </c>
      <c r="J1175" s="24">
        <v>0</v>
      </c>
      <c r="K1175" s="224">
        <f t="shared" si="149"/>
        <v>0.27800000000000002</v>
      </c>
      <c r="L1175" s="225">
        <f t="shared" si="150"/>
        <v>263157.89473684208</v>
      </c>
      <c r="M1175" s="225">
        <f t="shared" si="151"/>
        <v>13157.894736842105</v>
      </c>
      <c r="N1175" s="226">
        <f t="shared" si="153"/>
        <v>15657.894736842105</v>
      </c>
      <c r="O1175" s="34">
        <v>0.3</v>
      </c>
      <c r="P1175" s="226">
        <f t="shared" si="152"/>
        <v>20355.263157894737</v>
      </c>
      <c r="Q1175" s="107" t="s">
        <v>1486</v>
      </c>
      <c r="R1175" s="34">
        <v>0.3</v>
      </c>
      <c r="S1175" s="226">
        <f t="shared" si="146"/>
        <v>16150</v>
      </c>
      <c r="T1175" s="156" t="s">
        <v>1486</v>
      </c>
      <c r="U1175" s="2" t="s">
        <v>109</v>
      </c>
      <c r="V1175" s="2" t="s">
        <v>47</v>
      </c>
      <c r="W1175" s="2" t="s">
        <v>5883</v>
      </c>
      <c r="X1175" s="2" t="s">
        <v>5886</v>
      </c>
      <c r="Y1175" s="488" t="s">
        <v>1486</v>
      </c>
      <c r="Z1175" s="293">
        <f t="shared" si="147"/>
        <v>3657.894736842105</v>
      </c>
      <c r="AA1175" s="293">
        <f t="shared" si="148"/>
        <v>4071.4285714285725</v>
      </c>
    </row>
    <row r="1176" spans="1:27" s="320" customFormat="1" ht="15" customHeight="1" x14ac:dyDescent="0.25">
      <c r="A1176" s="220" t="s">
        <v>589</v>
      </c>
      <c r="B1176" s="221" t="s">
        <v>3195</v>
      </c>
      <c r="C1176" s="223" t="s">
        <v>1570</v>
      </c>
      <c r="D1176" s="220" t="s">
        <v>572</v>
      </c>
      <c r="E1176" s="222">
        <v>10</v>
      </c>
      <c r="F1176" s="192">
        <v>10000</v>
      </c>
      <c r="G1176" s="24">
        <v>0.2</v>
      </c>
      <c r="H1176" s="24">
        <v>0.05</v>
      </c>
      <c r="I1176" s="24">
        <v>0.05</v>
      </c>
      <c r="J1176" s="24">
        <v>0</v>
      </c>
      <c r="K1176" s="224">
        <f t="shared" si="149"/>
        <v>0.27800000000000002</v>
      </c>
      <c r="L1176" s="225">
        <f t="shared" si="150"/>
        <v>138504.15512465374</v>
      </c>
      <c r="M1176" s="225">
        <f t="shared" si="151"/>
        <v>13850.415512465373</v>
      </c>
      <c r="N1176" s="226">
        <f t="shared" si="153"/>
        <v>16481.994459833793</v>
      </c>
      <c r="O1176" s="34">
        <v>0.3</v>
      </c>
      <c r="P1176" s="226">
        <f t="shared" si="152"/>
        <v>21426.592797783931</v>
      </c>
      <c r="Q1176" s="107" t="s">
        <v>1486</v>
      </c>
      <c r="R1176" s="34">
        <v>0.3</v>
      </c>
      <c r="S1176" s="226">
        <f t="shared" si="146"/>
        <v>17000</v>
      </c>
      <c r="T1176" s="156" t="s">
        <v>1486</v>
      </c>
      <c r="U1176" s="2" t="s">
        <v>109</v>
      </c>
      <c r="V1176" s="2" t="s">
        <v>47</v>
      </c>
      <c r="W1176" s="2" t="s">
        <v>5883</v>
      </c>
      <c r="X1176" s="2" t="s">
        <v>5886</v>
      </c>
      <c r="Y1176" s="488" t="s">
        <v>1486</v>
      </c>
      <c r="Z1176" s="293">
        <f t="shared" si="147"/>
        <v>3850.4155124653735</v>
      </c>
      <c r="AA1176" s="293">
        <f t="shared" si="148"/>
        <v>4285.7142857142862</v>
      </c>
    </row>
    <row r="1177" spans="1:27" s="320" customFormat="1" x14ac:dyDescent="0.25">
      <c r="A1177" s="220" t="s">
        <v>590</v>
      </c>
      <c r="B1177" s="221" t="s">
        <v>3197</v>
      </c>
      <c r="C1177" s="223" t="s">
        <v>1570</v>
      </c>
      <c r="D1177" s="220" t="s">
        <v>572</v>
      </c>
      <c r="E1177" s="222">
        <v>25</v>
      </c>
      <c r="F1177" s="192">
        <v>3550</v>
      </c>
      <c r="G1177" s="24">
        <v>0.2</v>
      </c>
      <c r="H1177" s="24">
        <v>0.05</v>
      </c>
      <c r="I1177" s="24">
        <v>0.05</v>
      </c>
      <c r="J1177" s="24">
        <v>0</v>
      </c>
      <c r="K1177" s="224">
        <f t="shared" si="149"/>
        <v>0.27800000000000002</v>
      </c>
      <c r="L1177" s="225">
        <f t="shared" si="150"/>
        <v>122922.4376731302</v>
      </c>
      <c r="M1177" s="225">
        <f t="shared" si="151"/>
        <v>4916.8975069252083</v>
      </c>
      <c r="N1177" s="226">
        <f t="shared" si="153"/>
        <v>5851.1080332409974</v>
      </c>
      <c r="O1177" s="34">
        <v>0.3</v>
      </c>
      <c r="P1177" s="226">
        <f t="shared" si="152"/>
        <v>7606.4404432132969</v>
      </c>
      <c r="Q1177" s="107" t="s">
        <v>1486</v>
      </c>
      <c r="R1177" s="34">
        <v>0.3</v>
      </c>
      <c r="S1177" s="226">
        <f t="shared" si="146"/>
        <v>6035</v>
      </c>
      <c r="T1177" s="156" t="s">
        <v>1486</v>
      </c>
      <c r="U1177" s="2" t="s">
        <v>109</v>
      </c>
      <c r="V1177" s="2" t="s">
        <v>47</v>
      </c>
      <c r="W1177" s="2" t="s">
        <v>5883</v>
      </c>
      <c r="X1177" s="2" t="s">
        <v>5886</v>
      </c>
      <c r="Y1177" s="488" t="s">
        <v>1486</v>
      </c>
      <c r="Z1177" s="293">
        <f t="shared" si="147"/>
        <v>1366.8975069252083</v>
      </c>
      <c r="AA1177" s="293">
        <f t="shared" si="148"/>
        <v>1521.4285714285716</v>
      </c>
    </row>
    <row r="1178" spans="1:27" s="320" customFormat="1" x14ac:dyDescent="0.25">
      <c r="A1178" s="220" t="s">
        <v>591</v>
      </c>
      <c r="B1178" s="221" t="s">
        <v>3199</v>
      </c>
      <c r="C1178" s="223" t="s">
        <v>1570</v>
      </c>
      <c r="D1178" s="220" t="s">
        <v>572</v>
      </c>
      <c r="E1178" s="222">
        <v>10</v>
      </c>
      <c r="F1178" s="192">
        <v>3150</v>
      </c>
      <c r="G1178" s="24">
        <v>0.2</v>
      </c>
      <c r="H1178" s="24">
        <v>0.05</v>
      </c>
      <c r="I1178" s="24">
        <v>0.05</v>
      </c>
      <c r="J1178" s="24">
        <v>0</v>
      </c>
      <c r="K1178" s="224">
        <f t="shared" si="149"/>
        <v>0.27800000000000002</v>
      </c>
      <c r="L1178" s="225">
        <f t="shared" si="150"/>
        <v>43628.808864265928</v>
      </c>
      <c r="M1178" s="225">
        <f t="shared" si="151"/>
        <v>4362.880886426593</v>
      </c>
      <c r="N1178" s="226">
        <f t="shared" si="153"/>
        <v>5191.8282548476454</v>
      </c>
      <c r="O1178" s="34">
        <v>0.3</v>
      </c>
      <c r="P1178" s="226">
        <f t="shared" si="152"/>
        <v>6749.3767313019389</v>
      </c>
      <c r="Q1178" s="107" t="s">
        <v>1486</v>
      </c>
      <c r="R1178" s="34">
        <v>0.3</v>
      </c>
      <c r="S1178" s="226">
        <f t="shared" si="146"/>
        <v>5355</v>
      </c>
      <c r="T1178" s="156" t="s">
        <v>1486</v>
      </c>
      <c r="U1178" s="2" t="s">
        <v>109</v>
      </c>
      <c r="V1178" s="2" t="s">
        <v>47</v>
      </c>
      <c r="W1178" s="2" t="s">
        <v>5883</v>
      </c>
      <c r="X1178" s="2" t="s">
        <v>5886</v>
      </c>
      <c r="Y1178" s="488" t="s">
        <v>1486</v>
      </c>
      <c r="Z1178" s="293">
        <f t="shared" si="147"/>
        <v>1212.880886426593</v>
      </c>
      <c r="AA1178" s="293">
        <f t="shared" si="148"/>
        <v>1350</v>
      </c>
    </row>
    <row r="1179" spans="1:27" s="320" customFormat="1" x14ac:dyDescent="0.25">
      <c r="A1179" s="220" t="s">
        <v>592</v>
      </c>
      <c r="B1179" s="221" t="s">
        <v>3198</v>
      </c>
      <c r="C1179" s="223" t="s">
        <v>1570</v>
      </c>
      <c r="D1179" s="220" t="s">
        <v>572</v>
      </c>
      <c r="E1179" s="222">
        <v>10</v>
      </c>
      <c r="F1179" s="192">
        <v>0</v>
      </c>
      <c r="G1179" s="24">
        <v>0.2</v>
      </c>
      <c r="H1179" s="24">
        <v>0.05</v>
      </c>
      <c r="I1179" s="24">
        <v>0.05</v>
      </c>
      <c r="J1179" s="24">
        <v>0</v>
      </c>
      <c r="K1179" s="224">
        <f t="shared" si="149"/>
        <v>0</v>
      </c>
      <c r="L1179" s="225">
        <f t="shared" si="150"/>
        <v>0</v>
      </c>
      <c r="M1179" s="225">
        <f t="shared" si="151"/>
        <v>0</v>
      </c>
      <c r="N1179" s="226">
        <f t="shared" si="153"/>
        <v>0</v>
      </c>
      <c r="O1179" s="34">
        <v>0.3</v>
      </c>
      <c r="P1179" s="226">
        <f t="shared" si="152"/>
        <v>0</v>
      </c>
      <c r="Q1179" s="107" t="s">
        <v>1486</v>
      </c>
      <c r="R1179" s="34">
        <v>0.3</v>
      </c>
      <c r="S1179" s="226">
        <f t="shared" si="146"/>
        <v>0</v>
      </c>
      <c r="T1179" s="156" t="s">
        <v>1486</v>
      </c>
      <c r="U1179" s="2" t="s">
        <v>109</v>
      </c>
      <c r="V1179" s="2" t="s">
        <v>47</v>
      </c>
      <c r="W1179" s="2" t="s">
        <v>5883</v>
      </c>
      <c r="X1179" s="2" t="s">
        <v>5886</v>
      </c>
      <c r="Y1179" s="488" t="s">
        <v>1486</v>
      </c>
      <c r="Z1179" s="293">
        <f t="shared" si="147"/>
        <v>0</v>
      </c>
      <c r="AA1179" s="293">
        <f t="shared" si="148"/>
        <v>0</v>
      </c>
    </row>
    <row r="1180" spans="1:27" s="320" customFormat="1" x14ac:dyDescent="0.25">
      <c r="A1180" s="220" t="s">
        <v>593</v>
      </c>
      <c r="B1180" s="221" t="s">
        <v>596</v>
      </c>
      <c r="C1180" s="223" t="s">
        <v>1570</v>
      </c>
      <c r="D1180" s="220" t="s">
        <v>572</v>
      </c>
      <c r="E1180" s="222">
        <v>1</v>
      </c>
      <c r="F1180" s="192">
        <v>259</v>
      </c>
      <c r="G1180" s="24">
        <v>0.2</v>
      </c>
      <c r="H1180" s="24">
        <v>0.05</v>
      </c>
      <c r="I1180" s="24">
        <v>0.05</v>
      </c>
      <c r="J1180" s="24">
        <v>0</v>
      </c>
      <c r="K1180" s="224">
        <f t="shared" si="149"/>
        <v>0.27800000000000002</v>
      </c>
      <c r="L1180" s="225">
        <f t="shared" si="150"/>
        <v>358.72576177285322</v>
      </c>
      <c r="M1180" s="225">
        <f t="shared" si="151"/>
        <v>358.72576177285322</v>
      </c>
      <c r="N1180" s="226">
        <f t="shared" si="153"/>
        <v>426.8836565096953</v>
      </c>
      <c r="O1180" s="34">
        <v>0.3</v>
      </c>
      <c r="P1180" s="226">
        <f t="shared" si="152"/>
        <v>554.94875346260392</v>
      </c>
      <c r="Q1180" s="107" t="s">
        <v>1486</v>
      </c>
      <c r="R1180" s="34">
        <v>0.3</v>
      </c>
      <c r="S1180" s="226">
        <f t="shared" si="146"/>
        <v>440.29999999999995</v>
      </c>
      <c r="T1180" s="156" t="s">
        <v>1486</v>
      </c>
      <c r="U1180" s="2" t="s">
        <v>109</v>
      </c>
      <c r="V1180" s="2" t="s">
        <v>47</v>
      </c>
      <c r="W1180" s="2" t="s">
        <v>5883</v>
      </c>
      <c r="X1180" s="2" t="s">
        <v>5886</v>
      </c>
      <c r="Y1180" s="488" t="s">
        <v>1486</v>
      </c>
      <c r="Z1180" s="293">
        <f t="shared" si="147"/>
        <v>99.725761772853218</v>
      </c>
      <c r="AA1180" s="293">
        <f t="shared" si="148"/>
        <v>111</v>
      </c>
    </row>
    <row r="1181" spans="1:27" s="320" customFormat="1" x14ac:dyDescent="0.25">
      <c r="A1181" s="220" t="s">
        <v>594</v>
      </c>
      <c r="B1181" s="221" t="s">
        <v>598</v>
      </c>
      <c r="C1181" s="223" t="s">
        <v>1570</v>
      </c>
      <c r="D1181" s="220" t="s">
        <v>572</v>
      </c>
      <c r="E1181" s="222">
        <v>1</v>
      </c>
      <c r="F1181" s="192">
        <v>0</v>
      </c>
      <c r="G1181" s="24">
        <v>0.2</v>
      </c>
      <c r="H1181" s="24">
        <v>0.05</v>
      </c>
      <c r="I1181" s="24">
        <v>0.05</v>
      </c>
      <c r="J1181" s="24">
        <v>0</v>
      </c>
      <c r="K1181" s="224">
        <f t="shared" si="149"/>
        <v>0</v>
      </c>
      <c r="L1181" s="225">
        <f t="shared" si="150"/>
        <v>0</v>
      </c>
      <c r="M1181" s="225">
        <f t="shared" si="151"/>
        <v>0</v>
      </c>
      <c r="N1181" s="226">
        <f t="shared" si="153"/>
        <v>0</v>
      </c>
      <c r="O1181" s="34">
        <v>0.3</v>
      </c>
      <c r="P1181" s="226">
        <f t="shared" si="152"/>
        <v>0</v>
      </c>
      <c r="Q1181" s="107" t="s">
        <v>1486</v>
      </c>
      <c r="R1181" s="34">
        <v>0.3</v>
      </c>
      <c r="S1181" s="226">
        <f t="shared" ref="S1181:S1244" si="154">+(F1181/(1-R1181))*1.19</f>
        <v>0</v>
      </c>
      <c r="T1181" s="156" t="s">
        <v>1486</v>
      </c>
      <c r="U1181" s="2" t="s">
        <v>109</v>
      </c>
      <c r="V1181" s="2" t="s">
        <v>47</v>
      </c>
      <c r="W1181" s="2" t="s">
        <v>5883</v>
      </c>
      <c r="X1181" s="2" t="s">
        <v>5886</v>
      </c>
      <c r="Y1181" s="488" t="s">
        <v>1486</v>
      </c>
      <c r="Z1181" s="293">
        <f t="shared" si="147"/>
        <v>0</v>
      </c>
      <c r="AA1181" s="293">
        <f t="shared" si="148"/>
        <v>0</v>
      </c>
    </row>
    <row r="1182" spans="1:27" s="320" customFormat="1" ht="15" customHeight="1" x14ac:dyDescent="0.25">
      <c r="A1182" s="220" t="s">
        <v>595</v>
      </c>
      <c r="B1182" s="221" t="s">
        <v>600</v>
      </c>
      <c r="C1182" s="223" t="s">
        <v>1570</v>
      </c>
      <c r="D1182" s="220" t="s">
        <v>572</v>
      </c>
      <c r="E1182" s="222">
        <v>1</v>
      </c>
      <c r="F1182" s="192">
        <v>0</v>
      </c>
      <c r="G1182" s="24">
        <v>0.2</v>
      </c>
      <c r="H1182" s="24">
        <v>0.05</v>
      </c>
      <c r="I1182" s="24">
        <v>0.05</v>
      </c>
      <c r="J1182" s="24">
        <v>0</v>
      </c>
      <c r="K1182" s="224">
        <f t="shared" si="149"/>
        <v>0</v>
      </c>
      <c r="L1182" s="225">
        <f t="shared" si="150"/>
        <v>0</v>
      </c>
      <c r="M1182" s="225">
        <f t="shared" si="151"/>
        <v>0</v>
      </c>
      <c r="N1182" s="226">
        <f t="shared" si="153"/>
        <v>0</v>
      </c>
      <c r="O1182" s="34">
        <v>0.3</v>
      </c>
      <c r="P1182" s="226">
        <f t="shared" si="152"/>
        <v>0</v>
      </c>
      <c r="Q1182" s="107" t="s">
        <v>1486</v>
      </c>
      <c r="R1182" s="34">
        <v>0.3</v>
      </c>
      <c r="S1182" s="226">
        <f t="shared" si="154"/>
        <v>0</v>
      </c>
      <c r="T1182" s="156" t="s">
        <v>1486</v>
      </c>
      <c r="U1182" s="2" t="s">
        <v>109</v>
      </c>
      <c r="V1182" s="2" t="s">
        <v>47</v>
      </c>
      <c r="W1182" s="2" t="s">
        <v>5883</v>
      </c>
      <c r="X1182" s="2" t="s">
        <v>5886</v>
      </c>
      <c r="Y1182" s="488" t="s">
        <v>1486</v>
      </c>
      <c r="Z1182" s="293">
        <f t="shared" si="147"/>
        <v>0</v>
      </c>
      <c r="AA1182" s="293">
        <f t="shared" si="148"/>
        <v>0</v>
      </c>
    </row>
    <row r="1183" spans="1:27" s="320" customFormat="1" x14ac:dyDescent="0.25">
      <c r="A1183" s="220" t="s">
        <v>597</v>
      </c>
      <c r="B1183" s="221" t="s">
        <v>602</v>
      </c>
      <c r="C1183" s="223" t="s">
        <v>1570</v>
      </c>
      <c r="D1183" s="220" t="s">
        <v>572</v>
      </c>
      <c r="E1183" s="222">
        <v>1</v>
      </c>
      <c r="F1183" s="192">
        <v>0</v>
      </c>
      <c r="G1183" s="24">
        <v>0.2</v>
      </c>
      <c r="H1183" s="24">
        <v>0.05</v>
      </c>
      <c r="I1183" s="24">
        <v>0.05</v>
      </c>
      <c r="J1183" s="24">
        <v>0</v>
      </c>
      <c r="K1183" s="224">
        <f t="shared" si="149"/>
        <v>0</v>
      </c>
      <c r="L1183" s="225">
        <f t="shared" si="150"/>
        <v>0</v>
      </c>
      <c r="M1183" s="225">
        <f t="shared" si="151"/>
        <v>0</v>
      </c>
      <c r="N1183" s="226">
        <f t="shared" si="153"/>
        <v>0</v>
      </c>
      <c r="O1183" s="34">
        <v>0.3</v>
      </c>
      <c r="P1183" s="226">
        <f t="shared" si="152"/>
        <v>0</v>
      </c>
      <c r="Q1183" s="107" t="s">
        <v>1486</v>
      </c>
      <c r="R1183" s="34">
        <v>0.3</v>
      </c>
      <c r="S1183" s="226">
        <f t="shared" si="154"/>
        <v>0</v>
      </c>
      <c r="T1183" s="156" t="s">
        <v>1486</v>
      </c>
      <c r="U1183" s="2" t="s">
        <v>109</v>
      </c>
      <c r="V1183" s="2" t="s">
        <v>47</v>
      </c>
      <c r="W1183" s="2" t="s">
        <v>5883</v>
      </c>
      <c r="X1183" s="2" t="s">
        <v>5886</v>
      </c>
      <c r="Y1183" s="488" t="s">
        <v>1486</v>
      </c>
      <c r="Z1183" s="293">
        <f t="shared" si="147"/>
        <v>0</v>
      </c>
      <c r="AA1183" s="293">
        <f t="shared" si="148"/>
        <v>0</v>
      </c>
    </row>
    <row r="1184" spans="1:27" s="320" customFormat="1" x14ac:dyDescent="0.25">
      <c r="A1184" s="220" t="s">
        <v>599</v>
      </c>
      <c r="B1184" s="221" t="s">
        <v>604</v>
      </c>
      <c r="C1184" s="223" t="s">
        <v>1570</v>
      </c>
      <c r="D1184" s="220" t="s">
        <v>572</v>
      </c>
      <c r="E1184" s="222">
        <v>1</v>
      </c>
      <c r="F1184" s="192">
        <v>0</v>
      </c>
      <c r="G1184" s="24">
        <v>0.2</v>
      </c>
      <c r="H1184" s="24">
        <v>0.05</v>
      </c>
      <c r="I1184" s="24">
        <v>0.05</v>
      </c>
      <c r="J1184" s="24">
        <v>0</v>
      </c>
      <c r="K1184" s="224">
        <f t="shared" si="149"/>
        <v>0</v>
      </c>
      <c r="L1184" s="225">
        <f t="shared" si="150"/>
        <v>0</v>
      </c>
      <c r="M1184" s="225">
        <f t="shared" si="151"/>
        <v>0</v>
      </c>
      <c r="N1184" s="226">
        <f t="shared" si="153"/>
        <v>0</v>
      </c>
      <c r="O1184" s="34">
        <v>0.3</v>
      </c>
      <c r="P1184" s="226">
        <f t="shared" si="152"/>
        <v>0</v>
      </c>
      <c r="Q1184" s="107" t="s">
        <v>1486</v>
      </c>
      <c r="R1184" s="34">
        <v>0.3</v>
      </c>
      <c r="S1184" s="226">
        <f t="shared" si="154"/>
        <v>0</v>
      </c>
      <c r="T1184" s="156" t="s">
        <v>1486</v>
      </c>
      <c r="U1184" s="2" t="s">
        <v>109</v>
      </c>
      <c r="V1184" s="2" t="s">
        <v>47</v>
      </c>
      <c r="W1184" s="2" t="s">
        <v>5883</v>
      </c>
      <c r="X1184" s="2" t="s">
        <v>5886</v>
      </c>
      <c r="Y1184" s="488" t="s">
        <v>1486</v>
      </c>
      <c r="Z1184" s="293">
        <f t="shared" si="147"/>
        <v>0</v>
      </c>
      <c r="AA1184" s="293">
        <f t="shared" si="148"/>
        <v>0</v>
      </c>
    </row>
    <row r="1185" spans="1:27" s="320" customFormat="1" x14ac:dyDescent="0.25">
      <c r="A1185" s="220" t="s">
        <v>601</v>
      </c>
      <c r="B1185" s="221" t="s">
        <v>604</v>
      </c>
      <c r="C1185" s="223" t="s">
        <v>1570</v>
      </c>
      <c r="D1185" s="220" t="s">
        <v>572</v>
      </c>
      <c r="E1185" s="222">
        <v>1</v>
      </c>
      <c r="F1185" s="192">
        <v>0</v>
      </c>
      <c r="G1185" s="24">
        <v>0.2</v>
      </c>
      <c r="H1185" s="24">
        <v>0.05</v>
      </c>
      <c r="I1185" s="24">
        <v>0.05</v>
      </c>
      <c r="J1185" s="24">
        <v>0</v>
      </c>
      <c r="K1185" s="224">
        <f t="shared" si="149"/>
        <v>0</v>
      </c>
      <c r="L1185" s="225">
        <f t="shared" si="150"/>
        <v>0</v>
      </c>
      <c r="M1185" s="225">
        <f t="shared" si="151"/>
        <v>0</v>
      </c>
      <c r="N1185" s="226">
        <f t="shared" si="153"/>
        <v>0</v>
      </c>
      <c r="O1185" s="34">
        <v>0.3</v>
      </c>
      <c r="P1185" s="226">
        <f t="shared" si="152"/>
        <v>0</v>
      </c>
      <c r="Q1185" s="107" t="s">
        <v>1486</v>
      </c>
      <c r="R1185" s="34">
        <v>0.3</v>
      </c>
      <c r="S1185" s="226">
        <f t="shared" si="154"/>
        <v>0</v>
      </c>
      <c r="T1185" s="156" t="s">
        <v>1486</v>
      </c>
      <c r="U1185" s="2" t="s">
        <v>109</v>
      </c>
      <c r="V1185" s="2" t="s">
        <v>47</v>
      </c>
      <c r="W1185" s="2" t="s">
        <v>5883</v>
      </c>
      <c r="X1185" s="2" t="s">
        <v>5886</v>
      </c>
      <c r="Y1185" s="488" t="s">
        <v>1486</v>
      </c>
      <c r="Z1185" s="293">
        <f t="shared" si="147"/>
        <v>0</v>
      </c>
      <c r="AA1185" s="293">
        <f t="shared" si="148"/>
        <v>0</v>
      </c>
    </row>
    <row r="1186" spans="1:27" s="320" customFormat="1" x14ac:dyDescent="0.25">
      <c r="A1186" s="220" t="s">
        <v>603</v>
      </c>
      <c r="B1186" s="221" t="s">
        <v>607</v>
      </c>
      <c r="C1186" s="223" t="s">
        <v>1570</v>
      </c>
      <c r="D1186" s="220" t="s">
        <v>572</v>
      </c>
      <c r="E1186" s="222">
        <v>1</v>
      </c>
      <c r="F1186" s="192">
        <v>0</v>
      </c>
      <c r="G1186" s="24">
        <v>0.2</v>
      </c>
      <c r="H1186" s="24">
        <v>0.05</v>
      </c>
      <c r="I1186" s="24">
        <v>0.05</v>
      </c>
      <c r="J1186" s="24">
        <v>0</v>
      </c>
      <c r="K1186" s="224">
        <f t="shared" si="149"/>
        <v>0</v>
      </c>
      <c r="L1186" s="225">
        <f t="shared" si="150"/>
        <v>0</v>
      </c>
      <c r="M1186" s="225">
        <f t="shared" si="151"/>
        <v>0</v>
      </c>
      <c r="N1186" s="226">
        <f t="shared" si="153"/>
        <v>0</v>
      </c>
      <c r="O1186" s="34">
        <v>0.3</v>
      </c>
      <c r="P1186" s="226">
        <f t="shared" si="152"/>
        <v>0</v>
      </c>
      <c r="Q1186" s="107" t="s">
        <v>1486</v>
      </c>
      <c r="R1186" s="34">
        <v>0.3</v>
      </c>
      <c r="S1186" s="226">
        <f t="shared" si="154"/>
        <v>0</v>
      </c>
      <c r="T1186" s="156" t="s">
        <v>1486</v>
      </c>
      <c r="U1186" s="2" t="s">
        <v>109</v>
      </c>
      <c r="V1186" s="2" t="s">
        <v>47</v>
      </c>
      <c r="W1186" s="2" t="s">
        <v>5883</v>
      </c>
      <c r="X1186" s="2" t="s">
        <v>5886</v>
      </c>
      <c r="Y1186" s="488" t="s">
        <v>1486</v>
      </c>
      <c r="Z1186" s="293">
        <f t="shared" ref="Z1186:Z1249" si="155">+M1186-F1186</f>
        <v>0</v>
      </c>
      <c r="AA1186" s="293">
        <f t="shared" ref="AA1186:AA1249" si="156">+(S1186/1.19)-F1186</f>
        <v>0</v>
      </c>
    </row>
    <row r="1187" spans="1:27" s="320" customFormat="1" x14ac:dyDescent="0.25">
      <c r="A1187" s="220" t="s">
        <v>605</v>
      </c>
      <c r="B1187" s="221" t="s">
        <v>609</v>
      </c>
      <c r="C1187" s="223" t="s">
        <v>1570</v>
      </c>
      <c r="D1187" s="220" t="s">
        <v>572</v>
      </c>
      <c r="E1187" s="222">
        <v>1</v>
      </c>
      <c r="F1187" s="192">
        <v>0</v>
      </c>
      <c r="G1187" s="24">
        <v>0.2</v>
      </c>
      <c r="H1187" s="24">
        <v>0.05</v>
      </c>
      <c r="I1187" s="24">
        <v>0.05</v>
      </c>
      <c r="J1187" s="24">
        <v>0</v>
      </c>
      <c r="K1187" s="224">
        <f t="shared" si="149"/>
        <v>0</v>
      </c>
      <c r="L1187" s="225">
        <f t="shared" si="150"/>
        <v>0</v>
      </c>
      <c r="M1187" s="225">
        <f t="shared" si="151"/>
        <v>0</v>
      </c>
      <c r="N1187" s="226">
        <f t="shared" si="153"/>
        <v>0</v>
      </c>
      <c r="O1187" s="34">
        <v>0.3</v>
      </c>
      <c r="P1187" s="226">
        <f t="shared" si="152"/>
        <v>0</v>
      </c>
      <c r="Q1187" s="107" t="s">
        <v>1486</v>
      </c>
      <c r="R1187" s="34">
        <v>0.3</v>
      </c>
      <c r="S1187" s="226">
        <f t="shared" si="154"/>
        <v>0</v>
      </c>
      <c r="T1187" s="156" t="s">
        <v>1486</v>
      </c>
      <c r="U1187" s="2" t="s">
        <v>109</v>
      </c>
      <c r="V1187" s="2" t="s">
        <v>47</v>
      </c>
      <c r="W1187" s="2" t="s">
        <v>5883</v>
      </c>
      <c r="X1187" s="2" t="s">
        <v>5886</v>
      </c>
      <c r="Y1187" s="488" t="s">
        <v>1486</v>
      </c>
      <c r="Z1187" s="293">
        <f t="shared" si="155"/>
        <v>0</v>
      </c>
      <c r="AA1187" s="293">
        <f t="shared" si="156"/>
        <v>0</v>
      </c>
    </row>
    <row r="1188" spans="1:27" s="320" customFormat="1" x14ac:dyDescent="0.25">
      <c r="A1188" s="220" t="s">
        <v>606</v>
      </c>
      <c r="B1188" s="221" t="s">
        <v>611</v>
      </c>
      <c r="C1188" s="223" t="s">
        <v>1570</v>
      </c>
      <c r="D1188" s="220" t="s">
        <v>572</v>
      </c>
      <c r="E1188" s="222">
        <v>1</v>
      </c>
      <c r="F1188" s="192">
        <v>0</v>
      </c>
      <c r="G1188" s="24">
        <v>0.2</v>
      </c>
      <c r="H1188" s="24">
        <v>0.05</v>
      </c>
      <c r="I1188" s="24">
        <v>0.05</v>
      </c>
      <c r="J1188" s="24">
        <v>0</v>
      </c>
      <c r="K1188" s="224">
        <f t="shared" si="149"/>
        <v>0</v>
      </c>
      <c r="L1188" s="225">
        <f t="shared" si="150"/>
        <v>0</v>
      </c>
      <c r="M1188" s="225">
        <f t="shared" si="151"/>
        <v>0</v>
      </c>
      <c r="N1188" s="226">
        <f t="shared" si="153"/>
        <v>0</v>
      </c>
      <c r="O1188" s="34">
        <v>0.3</v>
      </c>
      <c r="P1188" s="226">
        <f t="shared" si="152"/>
        <v>0</v>
      </c>
      <c r="Q1188" s="107" t="s">
        <v>1486</v>
      </c>
      <c r="R1188" s="34">
        <v>0.3</v>
      </c>
      <c r="S1188" s="226">
        <f t="shared" si="154"/>
        <v>0</v>
      </c>
      <c r="T1188" s="156" t="s">
        <v>1486</v>
      </c>
      <c r="U1188" s="2" t="s">
        <v>109</v>
      </c>
      <c r="V1188" s="2" t="s">
        <v>47</v>
      </c>
      <c r="W1188" s="2" t="s">
        <v>5883</v>
      </c>
      <c r="X1188" s="2" t="s">
        <v>5886</v>
      </c>
      <c r="Y1188" s="488" t="s">
        <v>1486</v>
      </c>
      <c r="Z1188" s="293">
        <f t="shared" si="155"/>
        <v>0</v>
      </c>
      <c r="AA1188" s="293">
        <f t="shared" si="156"/>
        <v>0</v>
      </c>
    </row>
    <row r="1189" spans="1:27" s="320" customFormat="1" x14ac:dyDescent="0.25">
      <c r="A1189" s="220" t="s">
        <v>608</v>
      </c>
      <c r="B1189" s="221" t="s">
        <v>613</v>
      </c>
      <c r="C1189" s="223" t="s">
        <v>1570</v>
      </c>
      <c r="D1189" s="220" t="s">
        <v>572</v>
      </c>
      <c r="E1189" s="222">
        <v>1</v>
      </c>
      <c r="F1189" s="192">
        <v>0</v>
      </c>
      <c r="G1189" s="24">
        <v>0.2</v>
      </c>
      <c r="H1189" s="24">
        <v>0.05</v>
      </c>
      <c r="I1189" s="24">
        <v>0.05</v>
      </c>
      <c r="J1189" s="24">
        <v>0</v>
      </c>
      <c r="K1189" s="224">
        <f t="shared" si="149"/>
        <v>0</v>
      </c>
      <c r="L1189" s="225">
        <f t="shared" si="150"/>
        <v>0</v>
      </c>
      <c r="M1189" s="225">
        <f t="shared" si="151"/>
        <v>0</v>
      </c>
      <c r="N1189" s="226">
        <f t="shared" si="153"/>
        <v>0</v>
      </c>
      <c r="O1189" s="34">
        <v>0.3</v>
      </c>
      <c r="P1189" s="226">
        <f t="shared" si="152"/>
        <v>0</v>
      </c>
      <c r="Q1189" s="107" t="s">
        <v>1486</v>
      </c>
      <c r="R1189" s="34">
        <v>0.3</v>
      </c>
      <c r="S1189" s="226">
        <f t="shared" si="154"/>
        <v>0</v>
      </c>
      <c r="T1189" s="156" t="s">
        <v>1486</v>
      </c>
      <c r="U1189" s="2" t="s">
        <v>109</v>
      </c>
      <c r="V1189" s="2" t="s">
        <v>47</v>
      </c>
      <c r="W1189" s="2" t="s">
        <v>5883</v>
      </c>
      <c r="X1189" s="2" t="s">
        <v>5886</v>
      </c>
      <c r="Y1189" s="488" t="s">
        <v>1486</v>
      </c>
      <c r="Z1189" s="293">
        <f t="shared" si="155"/>
        <v>0</v>
      </c>
      <c r="AA1189" s="293">
        <f t="shared" si="156"/>
        <v>0</v>
      </c>
    </row>
    <row r="1190" spans="1:27" s="320" customFormat="1" x14ac:dyDescent="0.25">
      <c r="A1190" s="220" t="s">
        <v>610</v>
      </c>
      <c r="B1190" s="221" t="s">
        <v>615</v>
      </c>
      <c r="C1190" s="223" t="s">
        <v>1570</v>
      </c>
      <c r="D1190" s="220" t="s">
        <v>572</v>
      </c>
      <c r="E1190" s="222">
        <v>1</v>
      </c>
      <c r="F1190" s="192">
        <v>0</v>
      </c>
      <c r="G1190" s="24">
        <v>0.2</v>
      </c>
      <c r="H1190" s="24">
        <v>0.05</v>
      </c>
      <c r="I1190" s="24">
        <v>0.05</v>
      </c>
      <c r="J1190" s="24">
        <v>0</v>
      </c>
      <c r="K1190" s="224">
        <f t="shared" si="149"/>
        <v>0</v>
      </c>
      <c r="L1190" s="225">
        <f t="shared" si="150"/>
        <v>0</v>
      </c>
      <c r="M1190" s="225">
        <f t="shared" si="151"/>
        <v>0</v>
      </c>
      <c r="N1190" s="226">
        <f t="shared" si="153"/>
        <v>0</v>
      </c>
      <c r="O1190" s="34">
        <v>0.3</v>
      </c>
      <c r="P1190" s="226">
        <f t="shared" si="152"/>
        <v>0</v>
      </c>
      <c r="Q1190" s="107" t="s">
        <v>1486</v>
      </c>
      <c r="R1190" s="34">
        <v>0.3</v>
      </c>
      <c r="S1190" s="226">
        <f t="shared" si="154"/>
        <v>0</v>
      </c>
      <c r="T1190" s="156" t="s">
        <v>1486</v>
      </c>
      <c r="U1190" s="2" t="s">
        <v>109</v>
      </c>
      <c r="V1190" s="2" t="s">
        <v>47</v>
      </c>
      <c r="W1190" s="2" t="s">
        <v>5883</v>
      </c>
      <c r="X1190" s="2" t="s">
        <v>5886</v>
      </c>
      <c r="Y1190" s="488" t="s">
        <v>1486</v>
      </c>
      <c r="Z1190" s="293">
        <f t="shared" si="155"/>
        <v>0</v>
      </c>
      <c r="AA1190" s="293">
        <f t="shared" si="156"/>
        <v>0</v>
      </c>
    </row>
    <row r="1191" spans="1:27" s="320" customFormat="1" x14ac:dyDescent="0.25">
      <c r="A1191" s="220" t="s">
        <v>612</v>
      </c>
      <c r="B1191" s="221" t="s">
        <v>617</v>
      </c>
      <c r="C1191" s="223" t="s">
        <v>1570</v>
      </c>
      <c r="D1191" s="220" t="s">
        <v>572</v>
      </c>
      <c r="E1191" s="222">
        <v>1</v>
      </c>
      <c r="F1191" s="192">
        <v>0</v>
      </c>
      <c r="G1191" s="24">
        <v>0.2</v>
      </c>
      <c r="H1191" s="24">
        <v>0.05</v>
      </c>
      <c r="I1191" s="24">
        <v>0.05</v>
      </c>
      <c r="J1191" s="24">
        <v>0</v>
      </c>
      <c r="K1191" s="224">
        <f t="shared" si="149"/>
        <v>0</v>
      </c>
      <c r="L1191" s="225">
        <f t="shared" si="150"/>
        <v>0</v>
      </c>
      <c r="M1191" s="225">
        <f t="shared" si="151"/>
        <v>0</v>
      </c>
      <c r="N1191" s="226">
        <f t="shared" si="153"/>
        <v>0</v>
      </c>
      <c r="O1191" s="34">
        <v>0.3</v>
      </c>
      <c r="P1191" s="226">
        <f t="shared" si="152"/>
        <v>0</v>
      </c>
      <c r="Q1191" s="107" t="s">
        <v>1486</v>
      </c>
      <c r="R1191" s="34">
        <v>0.3</v>
      </c>
      <c r="S1191" s="226">
        <f t="shared" si="154"/>
        <v>0</v>
      </c>
      <c r="T1191" s="156" t="s">
        <v>1486</v>
      </c>
      <c r="U1191" s="2" t="s">
        <v>109</v>
      </c>
      <c r="V1191" s="2" t="s">
        <v>47</v>
      </c>
      <c r="W1191" s="2" t="s">
        <v>5883</v>
      </c>
      <c r="X1191" s="2" t="s">
        <v>5886</v>
      </c>
      <c r="Y1191" s="488" t="s">
        <v>1486</v>
      </c>
      <c r="Z1191" s="293">
        <f t="shared" si="155"/>
        <v>0</v>
      </c>
      <c r="AA1191" s="293">
        <f t="shared" si="156"/>
        <v>0</v>
      </c>
    </row>
    <row r="1192" spans="1:27" s="320" customFormat="1" x14ac:dyDescent="0.25">
      <c r="A1192" s="220" t="s">
        <v>614</v>
      </c>
      <c r="B1192" s="221" t="s">
        <v>619</v>
      </c>
      <c r="C1192" s="223" t="s">
        <v>1570</v>
      </c>
      <c r="D1192" s="220" t="s">
        <v>572</v>
      </c>
      <c r="E1192" s="222">
        <v>1</v>
      </c>
      <c r="F1192" s="192">
        <v>41250</v>
      </c>
      <c r="G1192" s="24">
        <v>0.2</v>
      </c>
      <c r="H1192" s="24">
        <v>0.05</v>
      </c>
      <c r="I1192" s="24">
        <v>0.05</v>
      </c>
      <c r="J1192" s="24">
        <v>0</v>
      </c>
      <c r="K1192" s="224">
        <f t="shared" si="149"/>
        <v>0.27800000000000002</v>
      </c>
      <c r="L1192" s="225">
        <f t="shared" si="150"/>
        <v>57132.96398891967</v>
      </c>
      <c r="M1192" s="225">
        <f t="shared" si="151"/>
        <v>57132.96398891967</v>
      </c>
      <c r="N1192" s="226">
        <f t="shared" si="153"/>
        <v>67988.227146814403</v>
      </c>
      <c r="O1192" s="34">
        <v>0.3</v>
      </c>
      <c r="P1192" s="226">
        <f t="shared" si="152"/>
        <v>88384.695290858726</v>
      </c>
      <c r="Q1192" s="107" t="s">
        <v>1486</v>
      </c>
      <c r="R1192" s="34">
        <v>0.3</v>
      </c>
      <c r="S1192" s="226">
        <f t="shared" si="154"/>
        <v>70125</v>
      </c>
      <c r="T1192" s="156" t="s">
        <v>1486</v>
      </c>
      <c r="U1192" s="2" t="s">
        <v>109</v>
      </c>
      <c r="V1192" s="2" t="s">
        <v>47</v>
      </c>
      <c r="W1192" s="2" t="s">
        <v>5883</v>
      </c>
      <c r="X1192" s="2" t="s">
        <v>5886</v>
      </c>
      <c r="Y1192" s="488" t="s">
        <v>1486</v>
      </c>
      <c r="Z1192" s="293">
        <f t="shared" si="155"/>
        <v>15882.96398891967</v>
      </c>
      <c r="AA1192" s="293">
        <f t="shared" si="156"/>
        <v>17678.571428571435</v>
      </c>
    </row>
    <row r="1193" spans="1:27" s="320" customFormat="1" x14ac:dyDescent="0.25">
      <c r="A1193" s="220" t="s">
        <v>616</v>
      </c>
      <c r="B1193" s="221" t="s">
        <v>621</v>
      </c>
      <c r="C1193" s="223" t="s">
        <v>1570</v>
      </c>
      <c r="D1193" s="220" t="s">
        <v>572</v>
      </c>
      <c r="E1193" s="222">
        <v>1</v>
      </c>
      <c r="F1193" s="192">
        <v>0</v>
      </c>
      <c r="G1193" s="24">
        <v>0.2</v>
      </c>
      <c r="H1193" s="24">
        <v>0.05</v>
      </c>
      <c r="I1193" s="24">
        <v>0.05</v>
      </c>
      <c r="J1193" s="24">
        <v>0</v>
      </c>
      <c r="K1193" s="224">
        <f t="shared" si="149"/>
        <v>0</v>
      </c>
      <c r="L1193" s="225">
        <f t="shared" si="150"/>
        <v>0</v>
      </c>
      <c r="M1193" s="225">
        <f t="shared" si="151"/>
        <v>0</v>
      </c>
      <c r="N1193" s="226">
        <f t="shared" si="153"/>
        <v>0</v>
      </c>
      <c r="O1193" s="34">
        <v>0.3</v>
      </c>
      <c r="P1193" s="226">
        <f t="shared" si="152"/>
        <v>0</v>
      </c>
      <c r="Q1193" s="107" t="s">
        <v>1486</v>
      </c>
      <c r="R1193" s="34">
        <v>0.3</v>
      </c>
      <c r="S1193" s="226">
        <f t="shared" si="154"/>
        <v>0</v>
      </c>
      <c r="T1193" s="156" t="s">
        <v>1486</v>
      </c>
      <c r="U1193" s="2" t="s">
        <v>109</v>
      </c>
      <c r="V1193" s="2" t="s">
        <v>47</v>
      </c>
      <c r="W1193" s="2" t="s">
        <v>5883</v>
      </c>
      <c r="X1193" s="2" t="s">
        <v>5886</v>
      </c>
      <c r="Y1193" s="488" t="s">
        <v>1486</v>
      </c>
      <c r="Z1193" s="293">
        <f t="shared" si="155"/>
        <v>0</v>
      </c>
      <c r="AA1193" s="293">
        <f t="shared" si="156"/>
        <v>0</v>
      </c>
    </row>
    <row r="1194" spans="1:27" s="320" customFormat="1" x14ac:dyDescent="0.25">
      <c r="A1194" s="220" t="s">
        <v>618</v>
      </c>
      <c r="B1194" s="221" t="s">
        <v>623</v>
      </c>
      <c r="C1194" s="223" t="s">
        <v>1570</v>
      </c>
      <c r="D1194" s="220" t="s">
        <v>572</v>
      </c>
      <c r="E1194" s="222">
        <v>1</v>
      </c>
      <c r="F1194" s="192">
        <v>0</v>
      </c>
      <c r="G1194" s="24">
        <v>0.2</v>
      </c>
      <c r="H1194" s="24">
        <v>0.05</v>
      </c>
      <c r="I1194" s="24">
        <v>0.05</v>
      </c>
      <c r="J1194" s="24">
        <v>0</v>
      </c>
      <c r="K1194" s="224">
        <f t="shared" si="149"/>
        <v>0</v>
      </c>
      <c r="L1194" s="225">
        <f t="shared" si="150"/>
        <v>0</v>
      </c>
      <c r="M1194" s="225">
        <f t="shared" si="151"/>
        <v>0</v>
      </c>
      <c r="N1194" s="226">
        <f t="shared" si="153"/>
        <v>0</v>
      </c>
      <c r="O1194" s="34">
        <v>0.3</v>
      </c>
      <c r="P1194" s="226">
        <f t="shared" si="152"/>
        <v>0</v>
      </c>
      <c r="Q1194" s="107" t="s">
        <v>1486</v>
      </c>
      <c r="R1194" s="34">
        <v>0.3</v>
      </c>
      <c r="S1194" s="226">
        <f t="shared" si="154"/>
        <v>0</v>
      </c>
      <c r="T1194" s="156" t="s">
        <v>1486</v>
      </c>
      <c r="U1194" s="2" t="s">
        <v>109</v>
      </c>
      <c r="V1194" s="2" t="s">
        <v>47</v>
      </c>
      <c r="W1194" s="2" t="s">
        <v>5883</v>
      </c>
      <c r="X1194" s="2" t="s">
        <v>5886</v>
      </c>
      <c r="Y1194" s="488" t="s">
        <v>1486</v>
      </c>
      <c r="Z1194" s="293">
        <f t="shared" si="155"/>
        <v>0</v>
      </c>
      <c r="AA1194" s="293">
        <f t="shared" si="156"/>
        <v>0</v>
      </c>
    </row>
    <row r="1195" spans="1:27" s="320" customFormat="1" x14ac:dyDescent="0.25">
      <c r="A1195" s="220" t="s">
        <v>620</v>
      </c>
      <c r="B1195" s="221" t="s">
        <v>625</v>
      </c>
      <c r="C1195" s="223" t="s">
        <v>1570</v>
      </c>
      <c r="D1195" s="220" t="s">
        <v>572</v>
      </c>
      <c r="E1195" s="222">
        <v>1</v>
      </c>
      <c r="F1195" s="192">
        <v>0</v>
      </c>
      <c r="G1195" s="24">
        <v>0.2</v>
      </c>
      <c r="H1195" s="24">
        <v>0.05</v>
      </c>
      <c r="I1195" s="24">
        <v>0.05</v>
      </c>
      <c r="J1195" s="24">
        <v>0</v>
      </c>
      <c r="K1195" s="224">
        <f t="shared" si="149"/>
        <v>0</v>
      </c>
      <c r="L1195" s="225">
        <f t="shared" si="150"/>
        <v>0</v>
      </c>
      <c r="M1195" s="225">
        <f t="shared" si="151"/>
        <v>0</v>
      </c>
      <c r="N1195" s="226">
        <f t="shared" si="153"/>
        <v>0</v>
      </c>
      <c r="O1195" s="34">
        <v>0.3</v>
      </c>
      <c r="P1195" s="226">
        <f t="shared" si="152"/>
        <v>0</v>
      </c>
      <c r="Q1195" s="107" t="s">
        <v>1486</v>
      </c>
      <c r="R1195" s="34">
        <v>0.3</v>
      </c>
      <c r="S1195" s="226">
        <f t="shared" si="154"/>
        <v>0</v>
      </c>
      <c r="T1195" s="156" t="s">
        <v>1486</v>
      </c>
      <c r="U1195" s="2" t="s">
        <v>109</v>
      </c>
      <c r="V1195" s="2" t="s">
        <v>47</v>
      </c>
      <c r="W1195" s="2" t="s">
        <v>5883</v>
      </c>
      <c r="X1195" s="2" t="s">
        <v>5886</v>
      </c>
      <c r="Y1195" s="488" t="s">
        <v>1486</v>
      </c>
      <c r="Z1195" s="293">
        <f t="shared" si="155"/>
        <v>0</v>
      </c>
      <c r="AA1195" s="293">
        <f t="shared" si="156"/>
        <v>0</v>
      </c>
    </row>
    <row r="1196" spans="1:27" s="320" customFormat="1" x14ac:dyDescent="0.25">
      <c r="A1196" s="220" t="s">
        <v>622</v>
      </c>
      <c r="B1196" s="221" t="s">
        <v>627</v>
      </c>
      <c r="C1196" s="223" t="s">
        <v>1570</v>
      </c>
      <c r="D1196" s="220" t="s">
        <v>572</v>
      </c>
      <c r="E1196" s="222">
        <v>1</v>
      </c>
      <c r="F1196" s="192">
        <v>0</v>
      </c>
      <c r="G1196" s="24">
        <v>0.2</v>
      </c>
      <c r="H1196" s="24">
        <v>0.05</v>
      </c>
      <c r="I1196" s="24">
        <v>0.05</v>
      </c>
      <c r="J1196" s="24">
        <v>0</v>
      </c>
      <c r="K1196" s="224">
        <f t="shared" si="149"/>
        <v>0</v>
      </c>
      <c r="L1196" s="225">
        <f t="shared" si="150"/>
        <v>0</v>
      </c>
      <c r="M1196" s="225">
        <f t="shared" si="151"/>
        <v>0</v>
      </c>
      <c r="N1196" s="226">
        <f t="shared" si="153"/>
        <v>0</v>
      </c>
      <c r="O1196" s="34">
        <v>0.3</v>
      </c>
      <c r="P1196" s="226">
        <f t="shared" si="152"/>
        <v>0</v>
      </c>
      <c r="Q1196" s="107" t="s">
        <v>1486</v>
      </c>
      <c r="R1196" s="34">
        <v>0.3</v>
      </c>
      <c r="S1196" s="226">
        <f t="shared" si="154"/>
        <v>0</v>
      </c>
      <c r="T1196" s="156" t="s">
        <v>1486</v>
      </c>
      <c r="U1196" s="2" t="s">
        <v>109</v>
      </c>
      <c r="V1196" s="2" t="s">
        <v>47</v>
      </c>
      <c r="W1196" s="2" t="s">
        <v>5883</v>
      </c>
      <c r="X1196" s="2" t="s">
        <v>5886</v>
      </c>
      <c r="Y1196" s="488" t="s">
        <v>1486</v>
      </c>
      <c r="Z1196" s="293">
        <f t="shared" si="155"/>
        <v>0</v>
      </c>
      <c r="AA1196" s="293">
        <f t="shared" si="156"/>
        <v>0</v>
      </c>
    </row>
    <row r="1197" spans="1:27" s="320" customFormat="1" x14ac:dyDescent="0.25">
      <c r="A1197" s="220" t="s">
        <v>624</v>
      </c>
      <c r="B1197" s="221" t="s">
        <v>629</v>
      </c>
      <c r="C1197" s="223" t="s">
        <v>1570</v>
      </c>
      <c r="D1197" s="220" t="s">
        <v>572</v>
      </c>
      <c r="E1197" s="222">
        <v>1</v>
      </c>
      <c r="F1197" s="192">
        <v>0</v>
      </c>
      <c r="G1197" s="24">
        <v>0.2</v>
      </c>
      <c r="H1197" s="24">
        <v>0.05</v>
      </c>
      <c r="I1197" s="24">
        <v>0.05</v>
      </c>
      <c r="J1197" s="24">
        <v>0</v>
      </c>
      <c r="K1197" s="224">
        <f t="shared" si="149"/>
        <v>0</v>
      </c>
      <c r="L1197" s="225">
        <f t="shared" si="150"/>
        <v>0</v>
      </c>
      <c r="M1197" s="225">
        <f t="shared" si="151"/>
        <v>0</v>
      </c>
      <c r="N1197" s="226">
        <f t="shared" si="153"/>
        <v>0</v>
      </c>
      <c r="O1197" s="34">
        <v>0.3</v>
      </c>
      <c r="P1197" s="226">
        <f t="shared" si="152"/>
        <v>0</v>
      </c>
      <c r="Q1197" s="107" t="s">
        <v>1486</v>
      </c>
      <c r="R1197" s="34">
        <v>0.3</v>
      </c>
      <c r="S1197" s="226">
        <f t="shared" si="154"/>
        <v>0</v>
      </c>
      <c r="T1197" s="156" t="s">
        <v>1486</v>
      </c>
      <c r="U1197" s="2" t="s">
        <v>109</v>
      </c>
      <c r="V1197" s="2" t="s">
        <v>47</v>
      </c>
      <c r="W1197" s="2" t="s">
        <v>5883</v>
      </c>
      <c r="X1197" s="2" t="s">
        <v>5886</v>
      </c>
      <c r="Y1197" s="488" t="s">
        <v>1486</v>
      </c>
      <c r="Z1197" s="293">
        <f t="shared" si="155"/>
        <v>0</v>
      </c>
      <c r="AA1197" s="293">
        <f t="shared" si="156"/>
        <v>0</v>
      </c>
    </row>
    <row r="1198" spans="1:27" s="320" customFormat="1" x14ac:dyDescent="0.25">
      <c r="A1198" s="220" t="s">
        <v>626</v>
      </c>
      <c r="B1198" s="221" t="s">
        <v>631</v>
      </c>
      <c r="C1198" s="223" t="s">
        <v>1570</v>
      </c>
      <c r="D1198" s="220" t="s">
        <v>572</v>
      </c>
      <c r="E1198" s="222">
        <v>1</v>
      </c>
      <c r="F1198" s="192">
        <v>0</v>
      </c>
      <c r="G1198" s="24">
        <v>0.2</v>
      </c>
      <c r="H1198" s="24">
        <v>0.05</v>
      </c>
      <c r="I1198" s="24">
        <v>0.05</v>
      </c>
      <c r="J1198" s="24">
        <v>0</v>
      </c>
      <c r="K1198" s="224">
        <f t="shared" si="149"/>
        <v>0</v>
      </c>
      <c r="L1198" s="225">
        <f t="shared" si="150"/>
        <v>0</v>
      </c>
      <c r="M1198" s="225">
        <f t="shared" si="151"/>
        <v>0</v>
      </c>
      <c r="N1198" s="226">
        <f t="shared" si="153"/>
        <v>0</v>
      </c>
      <c r="O1198" s="34">
        <v>0.3</v>
      </c>
      <c r="P1198" s="226">
        <f t="shared" si="152"/>
        <v>0</v>
      </c>
      <c r="Q1198" s="107" t="s">
        <v>1486</v>
      </c>
      <c r="R1198" s="34">
        <v>0.3</v>
      </c>
      <c r="S1198" s="226">
        <f t="shared" si="154"/>
        <v>0</v>
      </c>
      <c r="T1198" s="156" t="s">
        <v>1486</v>
      </c>
      <c r="U1198" s="2" t="s">
        <v>109</v>
      </c>
      <c r="V1198" s="2" t="s">
        <v>47</v>
      </c>
      <c r="W1198" s="2" t="s">
        <v>5883</v>
      </c>
      <c r="X1198" s="2" t="s">
        <v>5886</v>
      </c>
      <c r="Y1198" s="488" t="s">
        <v>1486</v>
      </c>
      <c r="Z1198" s="293">
        <f t="shared" si="155"/>
        <v>0</v>
      </c>
      <c r="AA1198" s="293">
        <f t="shared" si="156"/>
        <v>0</v>
      </c>
    </row>
    <row r="1199" spans="1:27" s="320" customFormat="1" x14ac:dyDescent="0.25">
      <c r="A1199" s="220" t="s">
        <v>628</v>
      </c>
      <c r="B1199" s="221" t="s">
        <v>633</v>
      </c>
      <c r="C1199" s="223" t="s">
        <v>1570</v>
      </c>
      <c r="D1199" s="220" t="s">
        <v>572</v>
      </c>
      <c r="E1199" s="222">
        <v>1</v>
      </c>
      <c r="F1199" s="192">
        <v>0</v>
      </c>
      <c r="G1199" s="24">
        <v>0.2</v>
      </c>
      <c r="H1199" s="24">
        <v>0.05</v>
      </c>
      <c r="I1199" s="24">
        <v>0.05</v>
      </c>
      <c r="J1199" s="24">
        <v>0</v>
      </c>
      <c r="K1199" s="224">
        <f t="shared" si="149"/>
        <v>0</v>
      </c>
      <c r="L1199" s="225">
        <f t="shared" si="150"/>
        <v>0</v>
      </c>
      <c r="M1199" s="225">
        <f t="shared" si="151"/>
        <v>0</v>
      </c>
      <c r="N1199" s="226">
        <f t="shared" si="153"/>
        <v>0</v>
      </c>
      <c r="O1199" s="34">
        <v>0.3</v>
      </c>
      <c r="P1199" s="226">
        <f t="shared" si="152"/>
        <v>0</v>
      </c>
      <c r="Q1199" s="107" t="s">
        <v>1486</v>
      </c>
      <c r="R1199" s="34">
        <v>0.3</v>
      </c>
      <c r="S1199" s="226">
        <f t="shared" si="154"/>
        <v>0</v>
      </c>
      <c r="T1199" s="156" t="s">
        <v>1486</v>
      </c>
      <c r="U1199" s="2" t="s">
        <v>109</v>
      </c>
      <c r="V1199" s="2" t="s">
        <v>47</v>
      </c>
      <c r="W1199" s="2" t="s">
        <v>5883</v>
      </c>
      <c r="X1199" s="2" t="s">
        <v>5886</v>
      </c>
      <c r="Y1199" s="488" t="s">
        <v>1486</v>
      </c>
      <c r="Z1199" s="293">
        <f t="shared" si="155"/>
        <v>0</v>
      </c>
      <c r="AA1199" s="293">
        <f t="shared" si="156"/>
        <v>0</v>
      </c>
    </row>
    <row r="1200" spans="1:27" s="320" customFormat="1" x14ac:dyDescent="0.25">
      <c r="A1200" s="220" t="s">
        <v>630</v>
      </c>
      <c r="B1200" s="221" t="s">
        <v>635</v>
      </c>
      <c r="C1200" s="223" t="s">
        <v>1570</v>
      </c>
      <c r="D1200" s="220" t="s">
        <v>572</v>
      </c>
      <c r="E1200" s="222">
        <v>1</v>
      </c>
      <c r="F1200" s="192">
        <v>0</v>
      </c>
      <c r="G1200" s="24">
        <v>0.2</v>
      </c>
      <c r="H1200" s="24">
        <v>0.05</v>
      </c>
      <c r="I1200" s="24">
        <v>0.05</v>
      </c>
      <c r="J1200" s="24">
        <v>0</v>
      </c>
      <c r="K1200" s="224">
        <f t="shared" si="149"/>
        <v>0</v>
      </c>
      <c r="L1200" s="225">
        <f t="shared" si="150"/>
        <v>0</v>
      </c>
      <c r="M1200" s="225">
        <f t="shared" si="151"/>
        <v>0</v>
      </c>
      <c r="N1200" s="226">
        <f t="shared" si="153"/>
        <v>0</v>
      </c>
      <c r="O1200" s="34">
        <v>0.3</v>
      </c>
      <c r="P1200" s="226">
        <f t="shared" si="152"/>
        <v>0</v>
      </c>
      <c r="Q1200" s="107" t="s">
        <v>1486</v>
      </c>
      <c r="R1200" s="34">
        <v>0.3</v>
      </c>
      <c r="S1200" s="226">
        <f t="shared" si="154"/>
        <v>0</v>
      </c>
      <c r="T1200" s="156" t="s">
        <v>1486</v>
      </c>
      <c r="U1200" s="2" t="s">
        <v>109</v>
      </c>
      <c r="V1200" s="2" t="s">
        <v>47</v>
      </c>
      <c r="W1200" s="2" t="s">
        <v>5883</v>
      </c>
      <c r="X1200" s="2" t="s">
        <v>5886</v>
      </c>
      <c r="Y1200" s="488" t="s">
        <v>1486</v>
      </c>
      <c r="Z1200" s="293">
        <f t="shared" si="155"/>
        <v>0</v>
      </c>
      <c r="AA1200" s="293">
        <f t="shared" si="156"/>
        <v>0</v>
      </c>
    </row>
    <row r="1201" spans="1:27" s="320" customFormat="1" x14ac:dyDescent="0.25">
      <c r="A1201" s="220" t="s">
        <v>632</v>
      </c>
      <c r="B1201" s="221" t="s">
        <v>637</v>
      </c>
      <c r="C1201" s="223" t="s">
        <v>1570</v>
      </c>
      <c r="D1201" s="220" t="s">
        <v>572</v>
      </c>
      <c r="E1201" s="222">
        <v>1</v>
      </c>
      <c r="F1201" s="192">
        <v>0</v>
      </c>
      <c r="G1201" s="24">
        <v>0.2</v>
      </c>
      <c r="H1201" s="24">
        <v>0.05</v>
      </c>
      <c r="I1201" s="24">
        <v>0.05</v>
      </c>
      <c r="J1201" s="24">
        <v>0</v>
      </c>
      <c r="K1201" s="224">
        <f t="shared" si="149"/>
        <v>0</v>
      </c>
      <c r="L1201" s="225">
        <f t="shared" si="150"/>
        <v>0</v>
      </c>
      <c r="M1201" s="225">
        <f t="shared" si="151"/>
        <v>0</v>
      </c>
      <c r="N1201" s="226">
        <f t="shared" si="153"/>
        <v>0</v>
      </c>
      <c r="O1201" s="34">
        <v>0.3</v>
      </c>
      <c r="P1201" s="226">
        <f t="shared" si="152"/>
        <v>0</v>
      </c>
      <c r="Q1201" s="107" t="s">
        <v>1486</v>
      </c>
      <c r="R1201" s="34">
        <v>0.3</v>
      </c>
      <c r="S1201" s="226">
        <f t="shared" si="154"/>
        <v>0</v>
      </c>
      <c r="T1201" s="156" t="s">
        <v>1486</v>
      </c>
      <c r="U1201" s="2" t="s">
        <v>109</v>
      </c>
      <c r="V1201" s="2" t="s">
        <v>47</v>
      </c>
      <c r="W1201" s="2" t="s">
        <v>5883</v>
      </c>
      <c r="X1201" s="2" t="s">
        <v>5886</v>
      </c>
      <c r="Y1201" s="488" t="s">
        <v>1486</v>
      </c>
      <c r="Z1201" s="293">
        <f t="shared" si="155"/>
        <v>0</v>
      </c>
      <c r="AA1201" s="293">
        <f t="shared" si="156"/>
        <v>0</v>
      </c>
    </row>
    <row r="1202" spans="1:27" s="320" customFormat="1" x14ac:dyDescent="0.25">
      <c r="A1202" s="220" t="s">
        <v>634</v>
      </c>
      <c r="B1202" s="221" t="s">
        <v>639</v>
      </c>
      <c r="C1202" s="223" t="s">
        <v>1570</v>
      </c>
      <c r="D1202" s="220" t="s">
        <v>572</v>
      </c>
      <c r="E1202" s="222">
        <v>1</v>
      </c>
      <c r="F1202" s="192">
        <v>0</v>
      </c>
      <c r="G1202" s="24">
        <v>0.2</v>
      </c>
      <c r="H1202" s="24">
        <v>0.05</v>
      </c>
      <c r="I1202" s="24">
        <v>0.05</v>
      </c>
      <c r="J1202" s="24">
        <v>0</v>
      </c>
      <c r="K1202" s="224">
        <f t="shared" si="149"/>
        <v>0</v>
      </c>
      <c r="L1202" s="225">
        <f t="shared" si="150"/>
        <v>0</v>
      </c>
      <c r="M1202" s="225">
        <f t="shared" si="151"/>
        <v>0</v>
      </c>
      <c r="N1202" s="226">
        <f t="shared" si="153"/>
        <v>0</v>
      </c>
      <c r="O1202" s="34">
        <v>0.3</v>
      </c>
      <c r="P1202" s="226">
        <f t="shared" si="152"/>
        <v>0</v>
      </c>
      <c r="Q1202" s="107" t="s">
        <v>1486</v>
      </c>
      <c r="R1202" s="34">
        <v>0.3</v>
      </c>
      <c r="S1202" s="226">
        <f t="shared" si="154"/>
        <v>0</v>
      </c>
      <c r="T1202" s="156" t="s">
        <v>1486</v>
      </c>
      <c r="U1202" s="2" t="s">
        <v>109</v>
      </c>
      <c r="V1202" s="2" t="s">
        <v>47</v>
      </c>
      <c r="W1202" s="2" t="s">
        <v>5883</v>
      </c>
      <c r="X1202" s="2" t="s">
        <v>5886</v>
      </c>
      <c r="Y1202" s="488" t="s">
        <v>1486</v>
      </c>
      <c r="Z1202" s="293">
        <f t="shared" si="155"/>
        <v>0</v>
      </c>
      <c r="AA1202" s="293">
        <f t="shared" si="156"/>
        <v>0</v>
      </c>
    </row>
    <row r="1203" spans="1:27" s="320" customFormat="1" x14ac:dyDescent="0.25">
      <c r="A1203" s="220" t="s">
        <v>636</v>
      </c>
      <c r="B1203" s="221" t="s">
        <v>641</v>
      </c>
      <c r="C1203" s="223" t="s">
        <v>1570</v>
      </c>
      <c r="D1203" s="220" t="s">
        <v>572</v>
      </c>
      <c r="E1203" s="222">
        <v>1</v>
      </c>
      <c r="F1203" s="192">
        <v>0</v>
      </c>
      <c r="G1203" s="24">
        <v>0.2</v>
      </c>
      <c r="H1203" s="24">
        <v>0.05</v>
      </c>
      <c r="I1203" s="24">
        <v>0.05</v>
      </c>
      <c r="J1203" s="24">
        <v>0</v>
      </c>
      <c r="K1203" s="224">
        <f t="shared" si="149"/>
        <v>0</v>
      </c>
      <c r="L1203" s="225">
        <f t="shared" si="150"/>
        <v>0</v>
      </c>
      <c r="M1203" s="225">
        <f t="shared" si="151"/>
        <v>0</v>
      </c>
      <c r="N1203" s="226">
        <f t="shared" si="153"/>
        <v>0</v>
      </c>
      <c r="O1203" s="34">
        <v>0.3</v>
      </c>
      <c r="P1203" s="226">
        <f t="shared" si="152"/>
        <v>0</v>
      </c>
      <c r="Q1203" s="107" t="s">
        <v>1486</v>
      </c>
      <c r="R1203" s="34">
        <v>0.3</v>
      </c>
      <c r="S1203" s="226">
        <f t="shared" si="154"/>
        <v>0</v>
      </c>
      <c r="T1203" s="156" t="s">
        <v>1486</v>
      </c>
      <c r="U1203" s="2" t="s">
        <v>109</v>
      </c>
      <c r="V1203" s="2" t="s">
        <v>47</v>
      </c>
      <c r="W1203" s="2" t="s">
        <v>5883</v>
      </c>
      <c r="X1203" s="2" t="s">
        <v>5886</v>
      </c>
      <c r="Y1203" s="488" t="s">
        <v>1486</v>
      </c>
      <c r="Z1203" s="293">
        <f t="shared" si="155"/>
        <v>0</v>
      </c>
      <c r="AA1203" s="293">
        <f t="shared" si="156"/>
        <v>0</v>
      </c>
    </row>
    <row r="1204" spans="1:27" s="320" customFormat="1" x14ac:dyDescent="0.25">
      <c r="A1204" s="220" t="s">
        <v>638</v>
      </c>
      <c r="B1204" s="221" t="s">
        <v>643</v>
      </c>
      <c r="C1204" s="223" t="s">
        <v>1570</v>
      </c>
      <c r="D1204" s="220" t="s">
        <v>572</v>
      </c>
      <c r="E1204" s="222">
        <v>1</v>
      </c>
      <c r="F1204" s="192">
        <v>0</v>
      </c>
      <c r="G1204" s="24">
        <v>0.2</v>
      </c>
      <c r="H1204" s="24">
        <v>0.05</v>
      </c>
      <c r="I1204" s="24">
        <v>0.05</v>
      </c>
      <c r="J1204" s="24">
        <v>0</v>
      </c>
      <c r="K1204" s="224">
        <f t="shared" si="149"/>
        <v>0</v>
      </c>
      <c r="L1204" s="225">
        <f t="shared" si="150"/>
        <v>0</v>
      </c>
      <c r="M1204" s="225">
        <f t="shared" si="151"/>
        <v>0</v>
      </c>
      <c r="N1204" s="226">
        <f t="shared" si="153"/>
        <v>0</v>
      </c>
      <c r="O1204" s="34">
        <v>0.3</v>
      </c>
      <c r="P1204" s="226">
        <f t="shared" si="152"/>
        <v>0</v>
      </c>
      <c r="Q1204" s="107" t="s">
        <v>1486</v>
      </c>
      <c r="R1204" s="34">
        <v>0.3</v>
      </c>
      <c r="S1204" s="226">
        <f t="shared" si="154"/>
        <v>0</v>
      </c>
      <c r="T1204" s="156" t="s">
        <v>1486</v>
      </c>
      <c r="U1204" s="2" t="s">
        <v>109</v>
      </c>
      <c r="V1204" s="2" t="s">
        <v>47</v>
      </c>
      <c r="W1204" s="2" t="s">
        <v>5883</v>
      </c>
      <c r="X1204" s="2" t="s">
        <v>5886</v>
      </c>
      <c r="Y1204" s="488" t="s">
        <v>1486</v>
      </c>
      <c r="Z1204" s="293">
        <f t="shared" si="155"/>
        <v>0</v>
      </c>
      <c r="AA1204" s="293">
        <f t="shared" si="156"/>
        <v>0</v>
      </c>
    </row>
    <row r="1205" spans="1:27" s="320" customFormat="1" x14ac:dyDescent="0.25">
      <c r="A1205" s="220" t="s">
        <v>640</v>
      </c>
      <c r="B1205" s="221" t="s">
        <v>645</v>
      </c>
      <c r="C1205" s="223" t="s">
        <v>1570</v>
      </c>
      <c r="D1205" s="220" t="s">
        <v>572</v>
      </c>
      <c r="E1205" s="222">
        <v>1</v>
      </c>
      <c r="F1205" s="192">
        <v>0</v>
      </c>
      <c r="G1205" s="24">
        <v>0.2</v>
      </c>
      <c r="H1205" s="24">
        <v>0.05</v>
      </c>
      <c r="I1205" s="24">
        <v>0.05</v>
      </c>
      <c r="J1205" s="24">
        <v>0</v>
      </c>
      <c r="K1205" s="224">
        <f t="shared" si="149"/>
        <v>0</v>
      </c>
      <c r="L1205" s="225">
        <f t="shared" si="150"/>
        <v>0</v>
      </c>
      <c r="M1205" s="225">
        <f t="shared" si="151"/>
        <v>0</v>
      </c>
      <c r="N1205" s="226">
        <f t="shared" si="153"/>
        <v>0</v>
      </c>
      <c r="O1205" s="34">
        <v>0.3</v>
      </c>
      <c r="P1205" s="226">
        <f t="shared" si="152"/>
        <v>0</v>
      </c>
      <c r="Q1205" s="107" t="s">
        <v>1486</v>
      </c>
      <c r="R1205" s="34">
        <v>0.3</v>
      </c>
      <c r="S1205" s="226">
        <f t="shared" si="154"/>
        <v>0</v>
      </c>
      <c r="T1205" s="156" t="s">
        <v>1486</v>
      </c>
      <c r="U1205" s="2" t="s">
        <v>109</v>
      </c>
      <c r="V1205" s="2" t="s">
        <v>47</v>
      </c>
      <c r="W1205" s="2" t="s">
        <v>5883</v>
      </c>
      <c r="X1205" s="2" t="s">
        <v>5886</v>
      </c>
      <c r="Y1205" s="488" t="s">
        <v>1486</v>
      </c>
      <c r="Z1205" s="293">
        <f t="shared" si="155"/>
        <v>0</v>
      </c>
      <c r="AA1205" s="293">
        <f t="shared" si="156"/>
        <v>0</v>
      </c>
    </row>
    <row r="1206" spans="1:27" s="320" customFormat="1" x14ac:dyDescent="0.25">
      <c r="A1206" s="220" t="s">
        <v>642</v>
      </c>
      <c r="B1206" s="221" t="s">
        <v>647</v>
      </c>
      <c r="C1206" s="223" t="s">
        <v>1570</v>
      </c>
      <c r="D1206" s="220" t="s">
        <v>572</v>
      </c>
      <c r="E1206" s="222">
        <v>1</v>
      </c>
      <c r="F1206" s="192">
        <v>0</v>
      </c>
      <c r="G1206" s="24">
        <v>0.2</v>
      </c>
      <c r="H1206" s="24">
        <v>0.05</v>
      </c>
      <c r="I1206" s="24">
        <v>0.05</v>
      </c>
      <c r="J1206" s="24">
        <v>0</v>
      </c>
      <c r="K1206" s="224">
        <f t="shared" si="149"/>
        <v>0</v>
      </c>
      <c r="L1206" s="225">
        <f t="shared" si="150"/>
        <v>0</v>
      </c>
      <c r="M1206" s="225">
        <f t="shared" si="151"/>
        <v>0</v>
      </c>
      <c r="N1206" s="226">
        <f t="shared" si="153"/>
        <v>0</v>
      </c>
      <c r="O1206" s="34">
        <v>0.3</v>
      </c>
      <c r="P1206" s="226">
        <f t="shared" si="152"/>
        <v>0</v>
      </c>
      <c r="Q1206" s="107" t="s">
        <v>1486</v>
      </c>
      <c r="R1206" s="34">
        <v>0.3</v>
      </c>
      <c r="S1206" s="226">
        <f t="shared" si="154"/>
        <v>0</v>
      </c>
      <c r="T1206" s="156" t="s">
        <v>1486</v>
      </c>
      <c r="U1206" s="2" t="s">
        <v>109</v>
      </c>
      <c r="V1206" s="2" t="s">
        <v>47</v>
      </c>
      <c r="W1206" s="2" t="s">
        <v>5883</v>
      </c>
      <c r="X1206" s="2" t="s">
        <v>5886</v>
      </c>
      <c r="Y1206" s="488" t="s">
        <v>1486</v>
      </c>
      <c r="Z1206" s="293">
        <f t="shared" si="155"/>
        <v>0</v>
      </c>
      <c r="AA1206" s="293">
        <f t="shared" si="156"/>
        <v>0</v>
      </c>
    </row>
    <row r="1207" spans="1:27" s="320" customFormat="1" x14ac:dyDescent="0.25">
      <c r="A1207" s="220" t="s">
        <v>644</v>
      </c>
      <c r="B1207" s="221" t="s">
        <v>649</v>
      </c>
      <c r="C1207" s="223" t="s">
        <v>1570</v>
      </c>
      <c r="D1207" s="220" t="s">
        <v>572</v>
      </c>
      <c r="E1207" s="222">
        <v>1</v>
      </c>
      <c r="F1207" s="192">
        <v>0</v>
      </c>
      <c r="G1207" s="24">
        <v>0.2</v>
      </c>
      <c r="H1207" s="24">
        <v>0.05</v>
      </c>
      <c r="I1207" s="24">
        <v>0.05</v>
      </c>
      <c r="J1207" s="24">
        <v>0</v>
      </c>
      <c r="K1207" s="224">
        <f t="shared" si="149"/>
        <v>0</v>
      </c>
      <c r="L1207" s="225">
        <f t="shared" si="150"/>
        <v>0</v>
      </c>
      <c r="M1207" s="225">
        <f t="shared" si="151"/>
        <v>0</v>
      </c>
      <c r="N1207" s="226">
        <f t="shared" si="153"/>
        <v>0</v>
      </c>
      <c r="O1207" s="34">
        <v>0.3</v>
      </c>
      <c r="P1207" s="226">
        <f t="shared" si="152"/>
        <v>0</v>
      </c>
      <c r="Q1207" s="107" t="s">
        <v>1486</v>
      </c>
      <c r="R1207" s="34">
        <v>0.3</v>
      </c>
      <c r="S1207" s="226">
        <f t="shared" si="154"/>
        <v>0</v>
      </c>
      <c r="T1207" s="156" t="s">
        <v>1486</v>
      </c>
      <c r="U1207" s="2" t="s">
        <v>109</v>
      </c>
      <c r="V1207" s="2" t="s">
        <v>47</v>
      </c>
      <c r="W1207" s="2" t="s">
        <v>5883</v>
      </c>
      <c r="X1207" s="2" t="s">
        <v>5886</v>
      </c>
      <c r="Y1207" s="488" t="s">
        <v>1486</v>
      </c>
      <c r="Z1207" s="293">
        <f t="shared" si="155"/>
        <v>0</v>
      </c>
      <c r="AA1207" s="293">
        <f t="shared" si="156"/>
        <v>0</v>
      </c>
    </row>
    <row r="1208" spans="1:27" s="320" customFormat="1" x14ac:dyDescent="0.25">
      <c r="A1208" s="220" t="s">
        <v>646</v>
      </c>
      <c r="B1208" s="221" t="s">
        <v>651</v>
      </c>
      <c r="C1208" s="223" t="s">
        <v>1570</v>
      </c>
      <c r="D1208" s="220" t="s">
        <v>572</v>
      </c>
      <c r="E1208" s="222">
        <v>1</v>
      </c>
      <c r="F1208" s="192">
        <v>0</v>
      </c>
      <c r="G1208" s="24">
        <v>0.2</v>
      </c>
      <c r="H1208" s="24">
        <v>0.05</v>
      </c>
      <c r="I1208" s="24">
        <v>0.05</v>
      </c>
      <c r="J1208" s="24">
        <v>0</v>
      </c>
      <c r="K1208" s="224">
        <f t="shared" si="149"/>
        <v>0</v>
      </c>
      <c r="L1208" s="225">
        <f t="shared" si="150"/>
        <v>0</v>
      </c>
      <c r="M1208" s="225">
        <f t="shared" si="151"/>
        <v>0</v>
      </c>
      <c r="N1208" s="226">
        <f t="shared" si="153"/>
        <v>0</v>
      </c>
      <c r="O1208" s="34">
        <v>0.3</v>
      </c>
      <c r="P1208" s="226">
        <f t="shared" si="152"/>
        <v>0</v>
      </c>
      <c r="Q1208" s="107" t="s">
        <v>1486</v>
      </c>
      <c r="R1208" s="34">
        <v>0.3</v>
      </c>
      <c r="S1208" s="226">
        <f t="shared" si="154"/>
        <v>0</v>
      </c>
      <c r="T1208" s="156" t="s">
        <v>1486</v>
      </c>
      <c r="U1208" s="2" t="s">
        <v>109</v>
      </c>
      <c r="V1208" s="2" t="s">
        <v>47</v>
      </c>
      <c r="W1208" s="2" t="s">
        <v>5883</v>
      </c>
      <c r="X1208" s="2" t="s">
        <v>5886</v>
      </c>
      <c r="Y1208" s="488" t="s">
        <v>1486</v>
      </c>
      <c r="Z1208" s="293">
        <f t="shared" si="155"/>
        <v>0</v>
      </c>
      <c r="AA1208" s="293">
        <f t="shared" si="156"/>
        <v>0</v>
      </c>
    </row>
    <row r="1209" spans="1:27" s="320" customFormat="1" x14ac:dyDescent="0.25">
      <c r="A1209" s="220" t="s">
        <v>648</v>
      </c>
      <c r="B1209" s="221" t="s">
        <v>653</v>
      </c>
      <c r="C1209" s="223" t="s">
        <v>1570</v>
      </c>
      <c r="D1209" s="220" t="s">
        <v>572</v>
      </c>
      <c r="E1209" s="222">
        <v>1</v>
      </c>
      <c r="F1209" s="192">
        <v>0</v>
      </c>
      <c r="G1209" s="24">
        <v>0.2</v>
      </c>
      <c r="H1209" s="24">
        <v>0.05</v>
      </c>
      <c r="I1209" s="24">
        <v>0.05</v>
      </c>
      <c r="J1209" s="24">
        <v>0</v>
      </c>
      <c r="K1209" s="224">
        <f t="shared" si="149"/>
        <v>0</v>
      </c>
      <c r="L1209" s="225">
        <f t="shared" si="150"/>
        <v>0</v>
      </c>
      <c r="M1209" s="225">
        <f t="shared" si="151"/>
        <v>0</v>
      </c>
      <c r="N1209" s="226">
        <f t="shared" si="153"/>
        <v>0</v>
      </c>
      <c r="O1209" s="34">
        <v>0.3</v>
      </c>
      <c r="P1209" s="226">
        <f t="shared" si="152"/>
        <v>0</v>
      </c>
      <c r="Q1209" s="107" t="s">
        <v>1486</v>
      </c>
      <c r="R1209" s="34">
        <v>0.3</v>
      </c>
      <c r="S1209" s="226">
        <f t="shared" si="154"/>
        <v>0</v>
      </c>
      <c r="T1209" s="156" t="s">
        <v>1486</v>
      </c>
      <c r="U1209" s="2" t="s">
        <v>109</v>
      </c>
      <c r="V1209" s="2" t="s">
        <v>47</v>
      </c>
      <c r="W1209" s="2" t="s">
        <v>5883</v>
      </c>
      <c r="X1209" s="2" t="s">
        <v>5886</v>
      </c>
      <c r="Y1209" s="488" t="s">
        <v>1486</v>
      </c>
      <c r="Z1209" s="293">
        <f t="shared" si="155"/>
        <v>0</v>
      </c>
      <c r="AA1209" s="293">
        <f t="shared" si="156"/>
        <v>0</v>
      </c>
    </row>
    <row r="1210" spans="1:27" s="320" customFormat="1" x14ac:dyDescent="0.25">
      <c r="A1210" s="220" t="s">
        <v>650</v>
      </c>
      <c r="B1210" s="221" t="s">
        <v>655</v>
      </c>
      <c r="C1210" s="223" t="s">
        <v>1570</v>
      </c>
      <c r="D1210" s="220" t="s">
        <v>572</v>
      </c>
      <c r="E1210" s="222">
        <v>1</v>
      </c>
      <c r="F1210" s="192">
        <v>0</v>
      </c>
      <c r="G1210" s="24">
        <v>0.2</v>
      </c>
      <c r="H1210" s="24">
        <v>0.05</v>
      </c>
      <c r="I1210" s="24">
        <v>0.05</v>
      </c>
      <c r="J1210" s="24">
        <v>0</v>
      </c>
      <c r="K1210" s="224">
        <f t="shared" si="149"/>
        <v>0</v>
      </c>
      <c r="L1210" s="225">
        <f t="shared" si="150"/>
        <v>0</v>
      </c>
      <c r="M1210" s="225">
        <f t="shared" si="151"/>
        <v>0</v>
      </c>
      <c r="N1210" s="226">
        <f t="shared" si="153"/>
        <v>0</v>
      </c>
      <c r="O1210" s="34">
        <v>0.3</v>
      </c>
      <c r="P1210" s="226">
        <f t="shared" si="152"/>
        <v>0</v>
      </c>
      <c r="Q1210" s="107" t="s">
        <v>1486</v>
      </c>
      <c r="R1210" s="34">
        <v>0.3</v>
      </c>
      <c r="S1210" s="226">
        <f t="shared" si="154"/>
        <v>0</v>
      </c>
      <c r="T1210" s="156" t="s">
        <v>1486</v>
      </c>
      <c r="U1210" s="2" t="s">
        <v>109</v>
      </c>
      <c r="V1210" s="2" t="s">
        <v>47</v>
      </c>
      <c r="W1210" s="2" t="s">
        <v>5883</v>
      </c>
      <c r="X1210" s="2" t="s">
        <v>5886</v>
      </c>
      <c r="Y1210" s="488" t="s">
        <v>1486</v>
      </c>
      <c r="Z1210" s="293">
        <f t="shared" si="155"/>
        <v>0</v>
      </c>
      <c r="AA1210" s="293">
        <f t="shared" si="156"/>
        <v>0</v>
      </c>
    </row>
    <row r="1211" spans="1:27" s="320" customFormat="1" x14ac:dyDescent="0.25">
      <c r="A1211" s="220" t="s">
        <v>652</v>
      </c>
      <c r="B1211" s="221" t="s">
        <v>657</v>
      </c>
      <c r="C1211" s="223" t="s">
        <v>1570</v>
      </c>
      <c r="D1211" s="220" t="s">
        <v>572</v>
      </c>
      <c r="E1211" s="222">
        <v>1</v>
      </c>
      <c r="F1211" s="192">
        <v>0</v>
      </c>
      <c r="G1211" s="24">
        <v>0.2</v>
      </c>
      <c r="H1211" s="24">
        <v>0.05</v>
      </c>
      <c r="I1211" s="24">
        <v>0.05</v>
      </c>
      <c r="J1211" s="24">
        <v>0</v>
      </c>
      <c r="K1211" s="224">
        <f t="shared" si="149"/>
        <v>0</v>
      </c>
      <c r="L1211" s="225">
        <f t="shared" si="150"/>
        <v>0</v>
      </c>
      <c r="M1211" s="225">
        <f t="shared" si="151"/>
        <v>0</v>
      </c>
      <c r="N1211" s="226">
        <f t="shared" si="153"/>
        <v>0</v>
      </c>
      <c r="O1211" s="34">
        <v>0.3</v>
      </c>
      <c r="P1211" s="226">
        <f t="shared" si="152"/>
        <v>0</v>
      </c>
      <c r="Q1211" s="107" t="s">
        <v>1486</v>
      </c>
      <c r="R1211" s="34">
        <v>0.3</v>
      </c>
      <c r="S1211" s="226">
        <f t="shared" si="154"/>
        <v>0</v>
      </c>
      <c r="T1211" s="156" t="s">
        <v>1486</v>
      </c>
      <c r="U1211" s="2" t="s">
        <v>109</v>
      </c>
      <c r="V1211" s="2" t="s">
        <v>47</v>
      </c>
      <c r="W1211" s="2" t="s">
        <v>5883</v>
      </c>
      <c r="X1211" s="2" t="s">
        <v>5886</v>
      </c>
      <c r="Y1211" s="488" t="s">
        <v>1486</v>
      </c>
      <c r="Z1211" s="293">
        <f t="shared" si="155"/>
        <v>0</v>
      </c>
      <c r="AA1211" s="293">
        <f t="shared" si="156"/>
        <v>0</v>
      </c>
    </row>
    <row r="1212" spans="1:27" s="320" customFormat="1" x14ac:dyDescent="0.25">
      <c r="A1212" s="220" t="s">
        <v>654</v>
      </c>
      <c r="B1212" s="221" t="s">
        <v>659</v>
      </c>
      <c r="C1212" s="223" t="s">
        <v>1570</v>
      </c>
      <c r="D1212" s="220" t="s">
        <v>572</v>
      </c>
      <c r="E1212" s="222">
        <v>1</v>
      </c>
      <c r="F1212" s="192">
        <v>0</v>
      </c>
      <c r="G1212" s="24">
        <v>0.2</v>
      </c>
      <c r="H1212" s="24">
        <v>0.05</v>
      </c>
      <c r="I1212" s="24">
        <v>0.05</v>
      </c>
      <c r="J1212" s="24">
        <v>0</v>
      </c>
      <c r="K1212" s="224">
        <f t="shared" si="149"/>
        <v>0</v>
      </c>
      <c r="L1212" s="225">
        <f t="shared" si="150"/>
        <v>0</v>
      </c>
      <c r="M1212" s="225">
        <f t="shared" si="151"/>
        <v>0</v>
      </c>
      <c r="N1212" s="226">
        <f t="shared" si="153"/>
        <v>0</v>
      </c>
      <c r="O1212" s="34">
        <v>0.3</v>
      </c>
      <c r="P1212" s="226">
        <f t="shared" si="152"/>
        <v>0</v>
      </c>
      <c r="Q1212" s="107" t="s">
        <v>1486</v>
      </c>
      <c r="R1212" s="34">
        <v>0.3</v>
      </c>
      <c r="S1212" s="226">
        <f t="shared" si="154"/>
        <v>0</v>
      </c>
      <c r="T1212" s="156" t="s">
        <v>1486</v>
      </c>
      <c r="U1212" s="2" t="s">
        <v>109</v>
      </c>
      <c r="V1212" s="2" t="s">
        <v>47</v>
      </c>
      <c r="W1212" s="2" t="s">
        <v>5883</v>
      </c>
      <c r="X1212" s="2" t="s">
        <v>5886</v>
      </c>
      <c r="Y1212" s="488" t="s">
        <v>1486</v>
      </c>
      <c r="Z1212" s="293">
        <f t="shared" si="155"/>
        <v>0</v>
      </c>
      <c r="AA1212" s="293">
        <f t="shared" si="156"/>
        <v>0</v>
      </c>
    </row>
    <row r="1213" spans="1:27" s="320" customFormat="1" x14ac:dyDescent="0.25">
      <c r="A1213" s="220" t="s">
        <v>656</v>
      </c>
      <c r="B1213" s="221" t="s">
        <v>1973</v>
      </c>
      <c r="C1213" s="223" t="s">
        <v>1551</v>
      </c>
      <c r="D1213" s="220" t="s">
        <v>794</v>
      </c>
      <c r="E1213" s="222">
        <v>1</v>
      </c>
      <c r="F1213" s="192">
        <v>14604</v>
      </c>
      <c r="G1213" s="24">
        <v>0.2</v>
      </c>
      <c r="H1213" s="24">
        <v>0.05</v>
      </c>
      <c r="I1213" s="24">
        <v>0.05</v>
      </c>
      <c r="J1213" s="24">
        <v>0</v>
      </c>
      <c r="K1213" s="224">
        <f t="shared" si="149"/>
        <v>0.27800000000000002</v>
      </c>
      <c r="L1213" s="225">
        <f t="shared" si="150"/>
        <v>20227.146814404434</v>
      </c>
      <c r="M1213" s="225">
        <f t="shared" si="151"/>
        <v>20227.146814404434</v>
      </c>
      <c r="N1213" s="226">
        <f t="shared" si="153"/>
        <v>24070.304709141274</v>
      </c>
      <c r="O1213" s="34">
        <v>0.3</v>
      </c>
      <c r="P1213" s="226">
        <f t="shared" si="152"/>
        <v>31291.396121883656</v>
      </c>
      <c r="Q1213" s="107" t="s">
        <v>1486</v>
      </c>
      <c r="R1213" s="34">
        <v>0.24440173913329435</v>
      </c>
      <c r="S1213" s="226">
        <f t="shared" si="154"/>
        <v>23000.000000087042</v>
      </c>
      <c r="T1213" s="156" t="s">
        <v>1486</v>
      </c>
      <c r="U1213" s="2" t="s">
        <v>50</v>
      </c>
      <c r="V1213" s="2" t="s">
        <v>795</v>
      </c>
      <c r="W1213" s="2" t="s">
        <v>3399</v>
      </c>
      <c r="X1213" s="2" t="s">
        <v>3400</v>
      </c>
      <c r="Y1213" s="488" t="s">
        <v>1486</v>
      </c>
      <c r="Z1213" s="293">
        <f t="shared" si="155"/>
        <v>5623.1468144044338</v>
      </c>
      <c r="AA1213" s="293">
        <f t="shared" si="156"/>
        <v>4723.7310925101192</v>
      </c>
    </row>
    <row r="1214" spans="1:27" s="320" customFormat="1" x14ac:dyDescent="0.25">
      <c r="A1214" s="220" t="s">
        <v>658</v>
      </c>
      <c r="B1214" s="221" t="s">
        <v>1974</v>
      </c>
      <c r="C1214" s="223" t="s">
        <v>1551</v>
      </c>
      <c r="D1214" s="220" t="s">
        <v>794</v>
      </c>
      <c r="E1214" s="222">
        <v>1</v>
      </c>
      <c r="F1214" s="192">
        <v>14604</v>
      </c>
      <c r="G1214" s="24">
        <v>0.2</v>
      </c>
      <c r="H1214" s="24">
        <v>0.05</v>
      </c>
      <c r="I1214" s="24">
        <v>0.05</v>
      </c>
      <c r="J1214" s="24">
        <v>0</v>
      </c>
      <c r="K1214" s="224">
        <f t="shared" si="149"/>
        <v>0.27800000000000002</v>
      </c>
      <c r="L1214" s="225">
        <f t="shared" si="150"/>
        <v>20227.146814404434</v>
      </c>
      <c r="M1214" s="225">
        <f t="shared" si="151"/>
        <v>20227.146814404434</v>
      </c>
      <c r="N1214" s="226">
        <f t="shared" si="153"/>
        <v>24070.304709141274</v>
      </c>
      <c r="O1214" s="34">
        <v>0.3</v>
      </c>
      <c r="P1214" s="226">
        <f t="shared" si="152"/>
        <v>31291.396121883656</v>
      </c>
      <c r="Q1214" s="107" t="s">
        <v>1486</v>
      </c>
      <c r="R1214" s="34">
        <v>0.24440173913329435</v>
      </c>
      <c r="S1214" s="226">
        <f t="shared" si="154"/>
        <v>23000.000000087042</v>
      </c>
      <c r="T1214" s="156" t="s">
        <v>1486</v>
      </c>
      <c r="U1214" s="2" t="s">
        <v>50</v>
      </c>
      <c r="V1214" s="2" t="s">
        <v>795</v>
      </c>
      <c r="W1214" s="2" t="s">
        <v>3399</v>
      </c>
      <c r="X1214" s="2"/>
      <c r="Y1214" s="488" t="s">
        <v>1486</v>
      </c>
      <c r="Z1214" s="293">
        <f t="shared" si="155"/>
        <v>5623.1468144044338</v>
      </c>
      <c r="AA1214" s="293">
        <f t="shared" si="156"/>
        <v>4723.7310925101192</v>
      </c>
    </row>
    <row r="1215" spans="1:27" s="320" customFormat="1" x14ac:dyDescent="0.25">
      <c r="A1215" s="220" t="s">
        <v>792</v>
      </c>
      <c r="B1215" s="221" t="s">
        <v>1928</v>
      </c>
      <c r="C1215" s="223" t="s">
        <v>1551</v>
      </c>
      <c r="D1215" s="220" t="s">
        <v>794</v>
      </c>
      <c r="E1215" s="222">
        <v>1</v>
      </c>
      <c r="F1215" s="192">
        <v>14604</v>
      </c>
      <c r="G1215" s="24">
        <v>0.2</v>
      </c>
      <c r="H1215" s="24">
        <v>0.05</v>
      </c>
      <c r="I1215" s="24">
        <v>0.05</v>
      </c>
      <c r="J1215" s="24">
        <v>0</v>
      </c>
      <c r="K1215" s="224">
        <f t="shared" si="149"/>
        <v>0.27800000000000002</v>
      </c>
      <c r="L1215" s="225">
        <f t="shared" si="150"/>
        <v>20227.146814404434</v>
      </c>
      <c r="M1215" s="225">
        <f t="shared" si="151"/>
        <v>20227.146814404434</v>
      </c>
      <c r="N1215" s="226">
        <f t="shared" si="153"/>
        <v>24070.304709141274</v>
      </c>
      <c r="O1215" s="34">
        <v>0.3</v>
      </c>
      <c r="P1215" s="226">
        <f t="shared" si="152"/>
        <v>31291.396121883656</v>
      </c>
      <c r="Q1215" s="107" t="s">
        <v>1486</v>
      </c>
      <c r="R1215" s="34">
        <v>0.27285520892427495</v>
      </c>
      <c r="S1215" s="226">
        <f t="shared" si="154"/>
        <v>23899.999303151399</v>
      </c>
      <c r="T1215" s="156" t="s">
        <v>1486</v>
      </c>
      <c r="U1215" s="2" t="s">
        <v>50</v>
      </c>
      <c r="V1215" s="2" t="s">
        <v>795</v>
      </c>
      <c r="W1215" s="2" t="s">
        <v>3399</v>
      </c>
      <c r="X1215" s="2"/>
      <c r="Y1215" s="488" t="s">
        <v>1486</v>
      </c>
      <c r="Z1215" s="293">
        <f t="shared" si="155"/>
        <v>5623.1468144044338</v>
      </c>
      <c r="AA1215" s="293">
        <f t="shared" si="156"/>
        <v>5480.0330278583206</v>
      </c>
    </row>
    <row r="1216" spans="1:27" s="320" customFormat="1" x14ac:dyDescent="0.25">
      <c r="A1216" s="220" t="s">
        <v>798</v>
      </c>
      <c r="B1216" s="221" t="s">
        <v>1975</v>
      </c>
      <c r="C1216" s="223" t="s">
        <v>1551</v>
      </c>
      <c r="D1216" s="220" t="s">
        <v>1976</v>
      </c>
      <c r="E1216" s="222">
        <v>1</v>
      </c>
      <c r="F1216" s="192">
        <v>21094</v>
      </c>
      <c r="G1216" s="24">
        <v>0.2</v>
      </c>
      <c r="H1216" s="24">
        <v>0.05</v>
      </c>
      <c r="I1216" s="24">
        <v>0.05</v>
      </c>
      <c r="J1216" s="24">
        <v>0</v>
      </c>
      <c r="K1216" s="224">
        <f t="shared" si="149"/>
        <v>0.27800000000000002</v>
      </c>
      <c r="L1216" s="225">
        <f t="shared" si="150"/>
        <v>29216.066481994461</v>
      </c>
      <c r="M1216" s="225">
        <f t="shared" si="151"/>
        <v>29216.066481994461</v>
      </c>
      <c r="N1216" s="226">
        <f t="shared" si="153"/>
        <v>34767.119113573404</v>
      </c>
      <c r="O1216" s="34">
        <v>0.3</v>
      </c>
      <c r="P1216" s="226">
        <f t="shared" si="152"/>
        <v>45197.254847645425</v>
      </c>
      <c r="Q1216" s="107" t="s">
        <v>1486</v>
      </c>
      <c r="R1216" s="34">
        <v>0.25069074224152987</v>
      </c>
      <c r="S1216" s="226">
        <f t="shared" si="154"/>
        <v>33499.999819955847</v>
      </c>
      <c r="T1216" s="156" t="s">
        <v>1486</v>
      </c>
      <c r="U1216" s="2" t="s">
        <v>50</v>
      </c>
      <c r="V1216" s="2" t="s">
        <v>795</v>
      </c>
      <c r="W1216" s="2" t="s">
        <v>3399</v>
      </c>
      <c r="X1216" s="2"/>
      <c r="Y1216" s="488" t="s">
        <v>1486</v>
      </c>
      <c r="Z1216" s="293">
        <f t="shared" si="155"/>
        <v>8122.0664819944614</v>
      </c>
      <c r="AA1216" s="293">
        <f t="shared" si="156"/>
        <v>7057.2603529040753</v>
      </c>
    </row>
    <row r="1217" spans="1:27" s="320" customFormat="1" x14ac:dyDescent="0.25">
      <c r="A1217" s="220" t="s">
        <v>799</v>
      </c>
      <c r="B1217" s="221" t="s">
        <v>1926</v>
      </c>
      <c r="C1217" s="223" t="s">
        <v>1551</v>
      </c>
      <c r="D1217" s="220" t="s">
        <v>802</v>
      </c>
      <c r="E1217" s="222">
        <v>1</v>
      </c>
      <c r="F1217" s="192">
        <v>13279</v>
      </c>
      <c r="G1217" s="24">
        <v>0.2</v>
      </c>
      <c r="H1217" s="24">
        <v>0.05</v>
      </c>
      <c r="I1217" s="24">
        <v>0.05</v>
      </c>
      <c r="J1217" s="24">
        <v>0</v>
      </c>
      <c r="K1217" s="224">
        <f t="shared" si="149"/>
        <v>0.27800000000000002</v>
      </c>
      <c r="L1217" s="225">
        <f t="shared" si="150"/>
        <v>18391.966759002771</v>
      </c>
      <c r="M1217" s="225">
        <f t="shared" si="151"/>
        <v>18391.966759002771</v>
      </c>
      <c r="N1217" s="226">
        <f t="shared" si="153"/>
        <v>21886.440443213298</v>
      </c>
      <c r="O1217" s="34">
        <v>0.3</v>
      </c>
      <c r="P1217" s="226">
        <f t="shared" si="152"/>
        <v>28452.372576177288</v>
      </c>
      <c r="Q1217" s="107" t="s">
        <v>1486</v>
      </c>
      <c r="R1217" s="34">
        <v>0.25462216982082103</v>
      </c>
      <c r="S1217" s="226">
        <f t="shared" si="154"/>
        <v>21200.000000270211</v>
      </c>
      <c r="T1217" s="156" t="s">
        <v>1486</v>
      </c>
      <c r="U1217" s="2" t="s">
        <v>50</v>
      </c>
      <c r="V1217" s="2" t="s">
        <v>795</v>
      </c>
      <c r="W1217" s="2" t="s">
        <v>3399</v>
      </c>
      <c r="X1217" s="2"/>
      <c r="Y1217" s="488" t="s">
        <v>1486</v>
      </c>
      <c r="Z1217" s="293">
        <f t="shared" si="155"/>
        <v>5112.9667590027711</v>
      </c>
      <c r="AA1217" s="293">
        <f t="shared" si="156"/>
        <v>4536.1260506472354</v>
      </c>
    </row>
    <row r="1218" spans="1:27" s="320" customFormat="1" x14ac:dyDescent="0.25">
      <c r="A1218" s="220" t="s">
        <v>800</v>
      </c>
      <c r="B1218" s="221" t="s">
        <v>1927</v>
      </c>
      <c r="C1218" s="223" t="s">
        <v>1551</v>
      </c>
      <c r="D1218" s="220" t="s">
        <v>802</v>
      </c>
      <c r="E1218" s="222">
        <v>1</v>
      </c>
      <c r="F1218" s="192">
        <v>14894</v>
      </c>
      <c r="G1218" s="24">
        <v>0.2</v>
      </c>
      <c r="H1218" s="24">
        <v>0.05</v>
      </c>
      <c r="I1218" s="24">
        <v>0.05</v>
      </c>
      <c r="J1218" s="24">
        <v>0</v>
      </c>
      <c r="K1218" s="224">
        <f t="shared" si="149"/>
        <v>0.27800000000000014</v>
      </c>
      <c r="L1218" s="225">
        <f t="shared" si="150"/>
        <v>20628.808864265931</v>
      </c>
      <c r="M1218" s="225">
        <f t="shared" si="151"/>
        <v>20628.808864265931</v>
      </c>
      <c r="N1218" s="226">
        <f t="shared" si="153"/>
        <v>24548.282548476458</v>
      </c>
      <c r="O1218" s="34">
        <v>0.3</v>
      </c>
      <c r="P1218" s="226">
        <f t="shared" si="152"/>
        <v>31912.767313019398</v>
      </c>
      <c r="Q1218" s="107" t="s">
        <v>1486</v>
      </c>
      <c r="R1218" s="34">
        <v>0.24579321303411114</v>
      </c>
      <c r="S1218" s="226">
        <f t="shared" si="154"/>
        <v>23500.000671303442</v>
      </c>
      <c r="T1218" s="156" t="s">
        <v>1486</v>
      </c>
      <c r="U1218" s="2" t="s">
        <v>50</v>
      </c>
      <c r="V1218" s="2" t="s">
        <v>795</v>
      </c>
      <c r="W1218" s="2" t="s">
        <v>3399</v>
      </c>
      <c r="X1218" s="2"/>
      <c r="Y1218" s="488" t="s">
        <v>1486</v>
      </c>
      <c r="Z1218" s="293">
        <f t="shared" si="155"/>
        <v>5734.8088642659313</v>
      </c>
      <c r="AA1218" s="293">
        <f t="shared" si="156"/>
        <v>4853.8997237844051</v>
      </c>
    </row>
    <row r="1219" spans="1:27" s="320" customFormat="1" x14ac:dyDescent="0.25">
      <c r="A1219" s="220" t="s">
        <v>801</v>
      </c>
      <c r="B1219" s="221" t="s">
        <v>806</v>
      </c>
      <c r="C1219" s="223" t="s">
        <v>1551</v>
      </c>
      <c r="D1219" s="220" t="s">
        <v>807</v>
      </c>
      <c r="E1219" s="222">
        <v>24</v>
      </c>
      <c r="F1219" s="192">
        <v>0</v>
      </c>
      <c r="G1219" s="24">
        <v>0.2</v>
      </c>
      <c r="H1219" s="24">
        <v>0.05</v>
      </c>
      <c r="I1219" s="24">
        <v>0.05</v>
      </c>
      <c r="J1219" s="24">
        <v>0</v>
      </c>
      <c r="K1219" s="224">
        <f t="shared" ref="K1219:K1282" si="157">IF(F1219=0,0,1-(F1219/M1219))</f>
        <v>0</v>
      </c>
      <c r="L1219" s="225">
        <f t="shared" ref="L1219:L1244" si="158">+M1219*E1219</f>
        <v>0</v>
      </c>
      <c r="M1219" s="225">
        <f t="shared" ref="M1219:M1282" si="159">+F1219/(1-G1219)/(1-H1219)/(1-I1219)/(1-J1219)</f>
        <v>0</v>
      </c>
      <c r="N1219" s="226">
        <f t="shared" si="153"/>
        <v>0</v>
      </c>
      <c r="O1219" s="34">
        <v>0.3</v>
      </c>
      <c r="P1219" s="226">
        <f t="shared" ref="P1219:P1282" si="160">+N1219*(1+O1219)</f>
        <v>0</v>
      </c>
      <c r="Q1219" s="107" t="s">
        <v>1486</v>
      </c>
      <c r="R1219" s="34">
        <v>0.3</v>
      </c>
      <c r="S1219" s="226">
        <f t="shared" si="154"/>
        <v>0</v>
      </c>
      <c r="T1219" s="156" t="s">
        <v>1486</v>
      </c>
      <c r="U1219" s="2" t="s">
        <v>109</v>
      </c>
      <c r="V1219" s="2" t="s">
        <v>795</v>
      </c>
      <c r="W1219" s="2" t="s">
        <v>3399</v>
      </c>
      <c r="X1219" s="2"/>
      <c r="Y1219" s="488" t="s">
        <v>1486</v>
      </c>
      <c r="Z1219" s="293">
        <f t="shared" si="155"/>
        <v>0</v>
      </c>
      <c r="AA1219" s="293">
        <f t="shared" si="156"/>
        <v>0</v>
      </c>
    </row>
    <row r="1220" spans="1:27" s="320" customFormat="1" x14ac:dyDescent="0.25">
      <c r="A1220" s="220" t="s">
        <v>803</v>
      </c>
      <c r="B1220" s="221" t="s">
        <v>809</v>
      </c>
      <c r="C1220" s="223" t="s">
        <v>1551</v>
      </c>
      <c r="D1220" s="220" t="s">
        <v>807</v>
      </c>
      <c r="E1220" s="222">
        <v>24</v>
      </c>
      <c r="F1220" s="192">
        <v>0</v>
      </c>
      <c r="G1220" s="24">
        <v>0.2</v>
      </c>
      <c r="H1220" s="24">
        <v>0.05</v>
      </c>
      <c r="I1220" s="24">
        <v>0.05</v>
      </c>
      <c r="J1220" s="24">
        <v>0</v>
      </c>
      <c r="K1220" s="224">
        <f t="shared" si="157"/>
        <v>0</v>
      </c>
      <c r="L1220" s="225">
        <f t="shared" si="158"/>
        <v>0</v>
      </c>
      <c r="M1220" s="225">
        <f t="shared" si="159"/>
        <v>0</v>
      </c>
      <c r="N1220" s="226">
        <f t="shared" si="153"/>
        <v>0</v>
      </c>
      <c r="O1220" s="34">
        <v>0.3</v>
      </c>
      <c r="P1220" s="226">
        <f t="shared" si="160"/>
        <v>0</v>
      </c>
      <c r="Q1220" s="107" t="s">
        <v>1486</v>
      </c>
      <c r="R1220" s="34">
        <v>0.3</v>
      </c>
      <c r="S1220" s="226">
        <f t="shared" si="154"/>
        <v>0</v>
      </c>
      <c r="T1220" s="156" t="s">
        <v>1486</v>
      </c>
      <c r="U1220" s="2" t="s">
        <v>109</v>
      </c>
      <c r="V1220" s="2" t="s">
        <v>795</v>
      </c>
      <c r="W1220" s="2" t="s">
        <v>3399</v>
      </c>
      <c r="X1220" s="2"/>
      <c r="Y1220" s="488" t="s">
        <v>1486</v>
      </c>
      <c r="Z1220" s="293">
        <f t="shared" si="155"/>
        <v>0</v>
      </c>
      <c r="AA1220" s="293">
        <f t="shared" si="156"/>
        <v>0</v>
      </c>
    </row>
    <row r="1221" spans="1:27" s="320" customFormat="1" x14ac:dyDescent="0.25">
      <c r="A1221" s="220" t="s">
        <v>805</v>
      </c>
      <c r="B1221" s="221" t="s">
        <v>811</v>
      </c>
      <c r="C1221" s="223" t="s">
        <v>1551</v>
      </c>
      <c r="D1221" s="220" t="s">
        <v>807</v>
      </c>
      <c r="E1221" s="222">
        <v>24</v>
      </c>
      <c r="F1221" s="192">
        <v>0</v>
      </c>
      <c r="G1221" s="24">
        <v>0.2</v>
      </c>
      <c r="H1221" s="24">
        <v>0.05</v>
      </c>
      <c r="I1221" s="24">
        <v>0.05</v>
      </c>
      <c r="J1221" s="24">
        <v>0</v>
      </c>
      <c r="K1221" s="224">
        <f t="shared" si="157"/>
        <v>0</v>
      </c>
      <c r="L1221" s="225">
        <f t="shared" si="158"/>
        <v>0</v>
      </c>
      <c r="M1221" s="225">
        <f t="shared" si="159"/>
        <v>0</v>
      </c>
      <c r="N1221" s="226">
        <f t="shared" si="153"/>
        <v>0</v>
      </c>
      <c r="O1221" s="34">
        <v>0.3</v>
      </c>
      <c r="P1221" s="226">
        <f t="shared" si="160"/>
        <v>0</v>
      </c>
      <c r="Q1221" s="107" t="s">
        <v>1486</v>
      </c>
      <c r="R1221" s="34">
        <v>0.3</v>
      </c>
      <c r="S1221" s="226">
        <f t="shared" si="154"/>
        <v>0</v>
      </c>
      <c r="T1221" s="156" t="s">
        <v>1486</v>
      </c>
      <c r="U1221" s="2" t="s">
        <v>109</v>
      </c>
      <c r="V1221" s="2" t="s">
        <v>795</v>
      </c>
      <c r="W1221" s="2" t="s">
        <v>3399</v>
      </c>
      <c r="X1221" s="2"/>
      <c r="Y1221" s="488" t="s">
        <v>1486</v>
      </c>
      <c r="Z1221" s="293">
        <f t="shared" si="155"/>
        <v>0</v>
      </c>
      <c r="AA1221" s="293">
        <f t="shared" si="156"/>
        <v>0</v>
      </c>
    </row>
    <row r="1222" spans="1:27" s="320" customFormat="1" x14ac:dyDescent="0.25">
      <c r="A1222" s="220" t="s">
        <v>808</v>
      </c>
      <c r="B1222" s="221" t="s">
        <v>813</v>
      </c>
      <c r="C1222" s="223" t="s">
        <v>1551</v>
      </c>
      <c r="D1222" s="220" t="s">
        <v>807</v>
      </c>
      <c r="E1222" s="222">
        <v>24</v>
      </c>
      <c r="F1222" s="192">
        <v>0</v>
      </c>
      <c r="G1222" s="24">
        <v>0.2</v>
      </c>
      <c r="H1222" s="24">
        <v>0.05</v>
      </c>
      <c r="I1222" s="24">
        <v>0.05</v>
      </c>
      <c r="J1222" s="24">
        <v>0</v>
      </c>
      <c r="K1222" s="224">
        <f t="shared" si="157"/>
        <v>0</v>
      </c>
      <c r="L1222" s="225">
        <f t="shared" si="158"/>
        <v>0</v>
      </c>
      <c r="M1222" s="225">
        <f t="shared" si="159"/>
        <v>0</v>
      </c>
      <c r="N1222" s="226">
        <f t="shared" si="153"/>
        <v>0</v>
      </c>
      <c r="O1222" s="34">
        <v>0.3</v>
      </c>
      <c r="P1222" s="226">
        <f t="shared" si="160"/>
        <v>0</v>
      </c>
      <c r="Q1222" s="107" t="s">
        <v>1486</v>
      </c>
      <c r="R1222" s="34">
        <v>0.3</v>
      </c>
      <c r="S1222" s="226">
        <f t="shared" si="154"/>
        <v>0</v>
      </c>
      <c r="T1222" s="156" t="s">
        <v>1486</v>
      </c>
      <c r="U1222" s="2" t="s">
        <v>109</v>
      </c>
      <c r="V1222" s="2" t="s">
        <v>795</v>
      </c>
      <c r="W1222" s="2" t="s">
        <v>3399</v>
      </c>
      <c r="X1222" s="2"/>
      <c r="Y1222" s="488" t="s">
        <v>1486</v>
      </c>
      <c r="Z1222" s="293">
        <f t="shared" si="155"/>
        <v>0</v>
      </c>
      <c r="AA1222" s="293">
        <f t="shared" si="156"/>
        <v>0</v>
      </c>
    </row>
    <row r="1223" spans="1:27" s="320" customFormat="1" x14ac:dyDescent="0.25">
      <c r="A1223" s="220" t="s">
        <v>810</v>
      </c>
      <c r="B1223" s="221" t="s">
        <v>815</v>
      </c>
      <c r="C1223" s="223" t="s">
        <v>1551</v>
      </c>
      <c r="D1223" s="220" t="s">
        <v>807</v>
      </c>
      <c r="E1223" s="222">
        <v>24</v>
      </c>
      <c r="F1223" s="192">
        <v>0</v>
      </c>
      <c r="G1223" s="24">
        <v>0.2</v>
      </c>
      <c r="H1223" s="24">
        <v>0.05</v>
      </c>
      <c r="I1223" s="24">
        <v>0.05</v>
      </c>
      <c r="J1223" s="24">
        <v>0</v>
      </c>
      <c r="K1223" s="224">
        <f t="shared" si="157"/>
        <v>0</v>
      </c>
      <c r="L1223" s="225">
        <f t="shared" si="158"/>
        <v>0</v>
      </c>
      <c r="M1223" s="225">
        <f t="shared" si="159"/>
        <v>0</v>
      </c>
      <c r="N1223" s="226">
        <f t="shared" si="153"/>
        <v>0</v>
      </c>
      <c r="O1223" s="34">
        <v>0.3</v>
      </c>
      <c r="P1223" s="226">
        <f t="shared" si="160"/>
        <v>0</v>
      </c>
      <c r="Q1223" s="107" t="s">
        <v>1486</v>
      </c>
      <c r="R1223" s="34">
        <v>0.3</v>
      </c>
      <c r="S1223" s="226">
        <f t="shared" si="154"/>
        <v>0</v>
      </c>
      <c r="T1223" s="156" t="s">
        <v>1486</v>
      </c>
      <c r="U1223" s="2" t="s">
        <v>109</v>
      </c>
      <c r="V1223" s="2" t="s">
        <v>795</v>
      </c>
      <c r="W1223" s="2" t="s">
        <v>3399</v>
      </c>
      <c r="X1223" s="2"/>
      <c r="Y1223" s="488" t="s">
        <v>1486</v>
      </c>
      <c r="Z1223" s="293">
        <f t="shared" si="155"/>
        <v>0</v>
      </c>
      <c r="AA1223" s="293">
        <f t="shared" si="156"/>
        <v>0</v>
      </c>
    </row>
    <row r="1224" spans="1:27" s="320" customFormat="1" x14ac:dyDescent="0.25">
      <c r="A1224" s="220" t="s">
        <v>812</v>
      </c>
      <c r="B1224" s="221" t="s">
        <v>817</v>
      </c>
      <c r="C1224" s="223" t="s">
        <v>1551</v>
      </c>
      <c r="D1224" s="220" t="s">
        <v>807</v>
      </c>
      <c r="E1224" s="222">
        <v>24</v>
      </c>
      <c r="F1224" s="192">
        <v>0</v>
      </c>
      <c r="G1224" s="24">
        <v>0.2</v>
      </c>
      <c r="H1224" s="24">
        <v>0.05</v>
      </c>
      <c r="I1224" s="24">
        <v>0.05</v>
      </c>
      <c r="J1224" s="24">
        <v>0</v>
      </c>
      <c r="K1224" s="224">
        <f t="shared" si="157"/>
        <v>0</v>
      </c>
      <c r="L1224" s="225">
        <f t="shared" si="158"/>
        <v>0</v>
      </c>
      <c r="M1224" s="225">
        <f t="shared" si="159"/>
        <v>0</v>
      </c>
      <c r="N1224" s="226">
        <f t="shared" si="153"/>
        <v>0</v>
      </c>
      <c r="O1224" s="34">
        <v>0.3</v>
      </c>
      <c r="P1224" s="226">
        <f t="shared" si="160"/>
        <v>0</v>
      </c>
      <c r="Q1224" s="107" t="s">
        <v>1486</v>
      </c>
      <c r="R1224" s="34">
        <v>0.3</v>
      </c>
      <c r="S1224" s="226">
        <f t="shared" si="154"/>
        <v>0</v>
      </c>
      <c r="T1224" s="156" t="s">
        <v>1486</v>
      </c>
      <c r="U1224" s="2" t="s">
        <v>109</v>
      </c>
      <c r="V1224" s="2" t="s">
        <v>795</v>
      </c>
      <c r="W1224" s="2" t="s">
        <v>3399</v>
      </c>
      <c r="X1224" s="2"/>
      <c r="Y1224" s="488" t="s">
        <v>1486</v>
      </c>
      <c r="Z1224" s="293">
        <f t="shared" si="155"/>
        <v>0</v>
      </c>
      <c r="AA1224" s="293">
        <f t="shared" si="156"/>
        <v>0</v>
      </c>
    </row>
    <row r="1225" spans="1:27" s="320" customFormat="1" x14ac:dyDescent="0.25">
      <c r="A1225" s="220" t="s">
        <v>814</v>
      </c>
      <c r="B1225" s="221" t="s">
        <v>819</v>
      </c>
      <c r="C1225" s="223" t="s">
        <v>1551</v>
      </c>
      <c r="D1225" s="220" t="s">
        <v>807</v>
      </c>
      <c r="E1225" s="222">
        <v>24</v>
      </c>
      <c r="F1225" s="192">
        <v>0</v>
      </c>
      <c r="G1225" s="24">
        <v>0.2</v>
      </c>
      <c r="H1225" s="24">
        <v>0.05</v>
      </c>
      <c r="I1225" s="24">
        <v>0.05</v>
      </c>
      <c r="J1225" s="24">
        <v>0</v>
      </c>
      <c r="K1225" s="224">
        <f t="shared" si="157"/>
        <v>0</v>
      </c>
      <c r="L1225" s="225">
        <f t="shared" si="158"/>
        <v>0</v>
      </c>
      <c r="M1225" s="225">
        <f t="shared" si="159"/>
        <v>0</v>
      </c>
      <c r="N1225" s="226">
        <f t="shared" si="153"/>
        <v>0</v>
      </c>
      <c r="O1225" s="34">
        <v>0.3</v>
      </c>
      <c r="P1225" s="226">
        <f t="shared" si="160"/>
        <v>0</v>
      </c>
      <c r="Q1225" s="107" t="s">
        <v>1486</v>
      </c>
      <c r="R1225" s="34">
        <v>0.3</v>
      </c>
      <c r="S1225" s="226">
        <f t="shared" si="154"/>
        <v>0</v>
      </c>
      <c r="T1225" s="156" t="s">
        <v>1486</v>
      </c>
      <c r="U1225" s="2" t="s">
        <v>109</v>
      </c>
      <c r="V1225" s="2" t="s">
        <v>795</v>
      </c>
      <c r="W1225" s="2" t="s">
        <v>3399</v>
      </c>
      <c r="X1225" s="2"/>
      <c r="Y1225" s="488" t="s">
        <v>1486</v>
      </c>
      <c r="Z1225" s="293">
        <f t="shared" si="155"/>
        <v>0</v>
      </c>
      <c r="AA1225" s="293">
        <f t="shared" si="156"/>
        <v>0</v>
      </c>
    </row>
    <row r="1226" spans="1:27" s="320" customFormat="1" x14ac:dyDescent="0.25">
      <c r="A1226" s="220" t="s">
        <v>816</v>
      </c>
      <c r="B1226" s="221" t="s">
        <v>821</v>
      </c>
      <c r="C1226" s="223" t="s">
        <v>1551</v>
      </c>
      <c r="D1226" s="220" t="s">
        <v>807</v>
      </c>
      <c r="E1226" s="222">
        <v>24</v>
      </c>
      <c r="F1226" s="192">
        <v>0</v>
      </c>
      <c r="G1226" s="24">
        <v>0.2</v>
      </c>
      <c r="H1226" s="24">
        <v>0.05</v>
      </c>
      <c r="I1226" s="24">
        <v>0.05</v>
      </c>
      <c r="J1226" s="24">
        <v>0</v>
      </c>
      <c r="K1226" s="224">
        <f t="shared" si="157"/>
        <v>0</v>
      </c>
      <c r="L1226" s="225">
        <f t="shared" si="158"/>
        <v>0</v>
      </c>
      <c r="M1226" s="225">
        <f t="shared" si="159"/>
        <v>0</v>
      </c>
      <c r="N1226" s="226">
        <f t="shared" si="153"/>
        <v>0</v>
      </c>
      <c r="O1226" s="34">
        <v>0.3</v>
      </c>
      <c r="P1226" s="226">
        <f t="shared" si="160"/>
        <v>0</v>
      </c>
      <c r="Q1226" s="107" t="s">
        <v>1486</v>
      </c>
      <c r="R1226" s="34">
        <v>0.3</v>
      </c>
      <c r="S1226" s="226">
        <f t="shared" si="154"/>
        <v>0</v>
      </c>
      <c r="T1226" s="156" t="s">
        <v>1486</v>
      </c>
      <c r="U1226" s="2" t="s">
        <v>109</v>
      </c>
      <c r="V1226" s="2" t="s">
        <v>795</v>
      </c>
      <c r="W1226" s="2" t="s">
        <v>3399</v>
      </c>
      <c r="X1226" s="2"/>
      <c r="Y1226" s="488" t="s">
        <v>1486</v>
      </c>
      <c r="Z1226" s="293">
        <f t="shared" si="155"/>
        <v>0</v>
      </c>
      <c r="AA1226" s="293">
        <f t="shared" si="156"/>
        <v>0</v>
      </c>
    </row>
    <row r="1227" spans="1:27" s="320" customFormat="1" x14ac:dyDescent="0.25">
      <c r="A1227" s="220" t="s">
        <v>818</v>
      </c>
      <c r="B1227" s="221" t="s">
        <v>823</v>
      </c>
      <c r="C1227" s="223" t="s">
        <v>1551</v>
      </c>
      <c r="D1227" s="220" t="s">
        <v>807</v>
      </c>
      <c r="E1227" s="222">
        <v>24</v>
      </c>
      <c r="F1227" s="192">
        <v>0</v>
      </c>
      <c r="G1227" s="24">
        <v>0.2</v>
      </c>
      <c r="H1227" s="24">
        <v>0.05</v>
      </c>
      <c r="I1227" s="24">
        <v>0.05</v>
      </c>
      <c r="J1227" s="24">
        <v>0</v>
      </c>
      <c r="K1227" s="224">
        <f t="shared" si="157"/>
        <v>0</v>
      </c>
      <c r="L1227" s="225">
        <f t="shared" si="158"/>
        <v>0</v>
      </c>
      <c r="M1227" s="225">
        <f t="shared" si="159"/>
        <v>0</v>
      </c>
      <c r="N1227" s="226">
        <f t="shared" si="153"/>
        <v>0</v>
      </c>
      <c r="O1227" s="34">
        <v>0.3</v>
      </c>
      <c r="P1227" s="226">
        <f t="shared" si="160"/>
        <v>0</v>
      </c>
      <c r="Q1227" s="107" t="s">
        <v>1486</v>
      </c>
      <c r="R1227" s="34">
        <v>0.3</v>
      </c>
      <c r="S1227" s="226">
        <f t="shared" si="154"/>
        <v>0</v>
      </c>
      <c r="T1227" s="156" t="s">
        <v>1486</v>
      </c>
      <c r="U1227" s="2" t="s">
        <v>109</v>
      </c>
      <c r="V1227" s="2" t="s">
        <v>795</v>
      </c>
      <c r="W1227" s="2" t="s">
        <v>3399</v>
      </c>
      <c r="X1227" s="2"/>
      <c r="Y1227" s="488" t="s">
        <v>1486</v>
      </c>
      <c r="Z1227" s="293">
        <f t="shared" si="155"/>
        <v>0</v>
      </c>
      <c r="AA1227" s="293">
        <f t="shared" si="156"/>
        <v>0</v>
      </c>
    </row>
    <row r="1228" spans="1:27" s="320" customFormat="1" x14ac:dyDescent="0.25">
      <c r="A1228" s="220" t="s">
        <v>820</v>
      </c>
      <c r="B1228" s="221" t="s">
        <v>825</v>
      </c>
      <c r="C1228" s="223" t="s">
        <v>1551</v>
      </c>
      <c r="D1228" s="220" t="s">
        <v>807</v>
      </c>
      <c r="E1228" s="222">
        <v>24</v>
      </c>
      <c r="F1228" s="192">
        <v>0</v>
      </c>
      <c r="G1228" s="24">
        <v>0.2</v>
      </c>
      <c r="H1228" s="24">
        <v>0.05</v>
      </c>
      <c r="I1228" s="24">
        <v>0.05</v>
      </c>
      <c r="J1228" s="24">
        <v>0</v>
      </c>
      <c r="K1228" s="224">
        <f t="shared" si="157"/>
        <v>0</v>
      </c>
      <c r="L1228" s="225">
        <f t="shared" si="158"/>
        <v>0</v>
      </c>
      <c r="M1228" s="225">
        <f t="shared" si="159"/>
        <v>0</v>
      </c>
      <c r="N1228" s="226">
        <f t="shared" ref="N1228:N1291" si="161">+M1228*1.19</f>
        <v>0</v>
      </c>
      <c r="O1228" s="34">
        <v>0.3</v>
      </c>
      <c r="P1228" s="226">
        <f t="shared" si="160"/>
        <v>0</v>
      </c>
      <c r="Q1228" s="107" t="s">
        <v>1486</v>
      </c>
      <c r="R1228" s="34">
        <v>0.3</v>
      </c>
      <c r="S1228" s="226">
        <f t="shared" si="154"/>
        <v>0</v>
      </c>
      <c r="T1228" s="156" t="s">
        <v>1486</v>
      </c>
      <c r="U1228" s="2" t="s">
        <v>109</v>
      </c>
      <c r="V1228" s="2" t="s">
        <v>795</v>
      </c>
      <c r="W1228" s="2" t="s">
        <v>3399</v>
      </c>
      <c r="X1228" s="2"/>
      <c r="Y1228" s="488" t="s">
        <v>1486</v>
      </c>
      <c r="Z1228" s="293">
        <f t="shared" si="155"/>
        <v>0</v>
      </c>
      <c r="AA1228" s="293">
        <f t="shared" si="156"/>
        <v>0</v>
      </c>
    </row>
    <row r="1229" spans="1:27" s="320" customFormat="1" x14ac:dyDescent="0.25">
      <c r="A1229" s="220" t="s">
        <v>822</v>
      </c>
      <c r="B1229" s="221" t="s">
        <v>827</v>
      </c>
      <c r="C1229" s="223" t="s">
        <v>1551</v>
      </c>
      <c r="D1229" s="220" t="s">
        <v>807</v>
      </c>
      <c r="E1229" s="222">
        <v>24</v>
      </c>
      <c r="F1229" s="192">
        <v>0</v>
      </c>
      <c r="G1229" s="24">
        <v>0.2</v>
      </c>
      <c r="H1229" s="24">
        <v>0.05</v>
      </c>
      <c r="I1229" s="24">
        <v>0.05</v>
      </c>
      <c r="J1229" s="24">
        <v>0</v>
      </c>
      <c r="K1229" s="224">
        <f t="shared" si="157"/>
        <v>0</v>
      </c>
      <c r="L1229" s="225">
        <f t="shared" si="158"/>
        <v>0</v>
      </c>
      <c r="M1229" s="225">
        <f t="shared" si="159"/>
        <v>0</v>
      </c>
      <c r="N1229" s="226">
        <f t="shared" si="161"/>
        <v>0</v>
      </c>
      <c r="O1229" s="34">
        <v>0.3</v>
      </c>
      <c r="P1229" s="226">
        <f t="shared" si="160"/>
        <v>0</v>
      </c>
      <c r="Q1229" s="107" t="s">
        <v>1486</v>
      </c>
      <c r="R1229" s="34">
        <v>0.3</v>
      </c>
      <c r="S1229" s="226">
        <f t="shared" si="154"/>
        <v>0</v>
      </c>
      <c r="T1229" s="156" t="s">
        <v>1486</v>
      </c>
      <c r="U1229" s="2" t="s">
        <v>109</v>
      </c>
      <c r="V1229" s="2" t="s">
        <v>795</v>
      </c>
      <c r="W1229" s="2" t="s">
        <v>3399</v>
      </c>
      <c r="X1229" s="2"/>
      <c r="Y1229" s="488" t="s">
        <v>1486</v>
      </c>
      <c r="Z1229" s="293">
        <f t="shared" si="155"/>
        <v>0</v>
      </c>
      <c r="AA1229" s="293">
        <f t="shared" si="156"/>
        <v>0</v>
      </c>
    </row>
    <row r="1230" spans="1:27" s="320" customFormat="1" x14ac:dyDescent="0.25">
      <c r="A1230" s="220" t="s">
        <v>824</v>
      </c>
      <c r="B1230" s="221" t="s">
        <v>829</v>
      </c>
      <c r="C1230" s="223" t="s">
        <v>1551</v>
      </c>
      <c r="D1230" s="220" t="s">
        <v>807</v>
      </c>
      <c r="E1230" s="222">
        <v>18</v>
      </c>
      <c r="F1230" s="192">
        <v>0</v>
      </c>
      <c r="G1230" s="24">
        <v>0.2</v>
      </c>
      <c r="H1230" s="24">
        <v>0.05</v>
      </c>
      <c r="I1230" s="24">
        <v>0.05</v>
      </c>
      <c r="J1230" s="24">
        <v>0</v>
      </c>
      <c r="K1230" s="224">
        <f t="shared" si="157"/>
        <v>0</v>
      </c>
      <c r="L1230" s="225">
        <f t="shared" si="158"/>
        <v>0</v>
      </c>
      <c r="M1230" s="225">
        <f t="shared" si="159"/>
        <v>0</v>
      </c>
      <c r="N1230" s="226">
        <f t="shared" si="161"/>
        <v>0</v>
      </c>
      <c r="O1230" s="34">
        <v>0.3</v>
      </c>
      <c r="P1230" s="226">
        <f t="shared" si="160"/>
        <v>0</v>
      </c>
      <c r="Q1230" s="107" t="s">
        <v>1486</v>
      </c>
      <c r="R1230" s="34">
        <v>0.3</v>
      </c>
      <c r="S1230" s="226">
        <f t="shared" si="154"/>
        <v>0</v>
      </c>
      <c r="T1230" s="156" t="s">
        <v>1486</v>
      </c>
      <c r="U1230" s="2" t="s">
        <v>109</v>
      </c>
      <c r="V1230" s="2" t="s">
        <v>795</v>
      </c>
      <c r="W1230" s="2" t="s">
        <v>3399</v>
      </c>
      <c r="X1230" s="2"/>
      <c r="Y1230" s="488" t="s">
        <v>1486</v>
      </c>
      <c r="Z1230" s="293">
        <f t="shared" si="155"/>
        <v>0</v>
      </c>
      <c r="AA1230" s="293">
        <f t="shared" si="156"/>
        <v>0</v>
      </c>
    </row>
    <row r="1231" spans="1:27" s="320" customFormat="1" x14ac:dyDescent="0.25">
      <c r="A1231" s="220" t="s">
        <v>826</v>
      </c>
      <c r="B1231" s="221" t="s">
        <v>831</v>
      </c>
      <c r="C1231" s="223" t="s">
        <v>1551</v>
      </c>
      <c r="D1231" s="220" t="s">
        <v>807</v>
      </c>
      <c r="E1231" s="222">
        <v>18</v>
      </c>
      <c r="F1231" s="192">
        <v>0</v>
      </c>
      <c r="G1231" s="24">
        <v>0.2</v>
      </c>
      <c r="H1231" s="24">
        <v>0.05</v>
      </c>
      <c r="I1231" s="24">
        <v>0.05</v>
      </c>
      <c r="J1231" s="24">
        <v>0</v>
      </c>
      <c r="K1231" s="224">
        <f t="shared" si="157"/>
        <v>0</v>
      </c>
      <c r="L1231" s="225">
        <f t="shared" si="158"/>
        <v>0</v>
      </c>
      <c r="M1231" s="225">
        <f t="shared" si="159"/>
        <v>0</v>
      </c>
      <c r="N1231" s="226">
        <f t="shared" si="161"/>
        <v>0</v>
      </c>
      <c r="O1231" s="34">
        <v>0.3</v>
      </c>
      <c r="P1231" s="226">
        <f t="shared" si="160"/>
        <v>0</v>
      </c>
      <c r="Q1231" s="107" t="s">
        <v>1486</v>
      </c>
      <c r="R1231" s="34">
        <v>0.3</v>
      </c>
      <c r="S1231" s="226">
        <f t="shared" si="154"/>
        <v>0</v>
      </c>
      <c r="T1231" s="156" t="s">
        <v>1486</v>
      </c>
      <c r="U1231" s="2" t="s">
        <v>109</v>
      </c>
      <c r="V1231" s="2" t="s">
        <v>795</v>
      </c>
      <c r="W1231" s="2" t="s">
        <v>3399</v>
      </c>
      <c r="X1231" s="2"/>
      <c r="Y1231" s="488" t="s">
        <v>1486</v>
      </c>
      <c r="Z1231" s="293">
        <f t="shared" si="155"/>
        <v>0</v>
      </c>
      <c r="AA1231" s="293">
        <f t="shared" si="156"/>
        <v>0</v>
      </c>
    </row>
    <row r="1232" spans="1:27" s="320" customFormat="1" x14ac:dyDescent="0.25">
      <c r="A1232" s="220" t="s">
        <v>828</v>
      </c>
      <c r="B1232" s="221" t="s">
        <v>833</v>
      </c>
      <c r="C1232" s="223" t="s">
        <v>1551</v>
      </c>
      <c r="D1232" s="220" t="s">
        <v>807</v>
      </c>
      <c r="E1232" s="222">
        <v>18</v>
      </c>
      <c r="F1232" s="192">
        <v>0</v>
      </c>
      <c r="G1232" s="24">
        <v>0.2</v>
      </c>
      <c r="H1232" s="24">
        <v>0.05</v>
      </c>
      <c r="I1232" s="24">
        <v>0.05</v>
      </c>
      <c r="J1232" s="24">
        <v>0</v>
      </c>
      <c r="K1232" s="224">
        <f t="shared" si="157"/>
        <v>0</v>
      </c>
      <c r="L1232" s="225">
        <f t="shared" si="158"/>
        <v>0</v>
      </c>
      <c r="M1232" s="225">
        <f t="shared" si="159"/>
        <v>0</v>
      </c>
      <c r="N1232" s="226">
        <f t="shared" si="161"/>
        <v>0</v>
      </c>
      <c r="O1232" s="34">
        <v>0.3</v>
      </c>
      <c r="P1232" s="226">
        <f t="shared" si="160"/>
        <v>0</v>
      </c>
      <c r="Q1232" s="107" t="s">
        <v>1486</v>
      </c>
      <c r="R1232" s="34">
        <v>0.3</v>
      </c>
      <c r="S1232" s="226">
        <f t="shared" si="154"/>
        <v>0</v>
      </c>
      <c r="T1232" s="156" t="s">
        <v>1486</v>
      </c>
      <c r="U1232" s="2" t="s">
        <v>109</v>
      </c>
      <c r="V1232" s="2" t="s">
        <v>795</v>
      </c>
      <c r="W1232" s="2" t="s">
        <v>3399</v>
      </c>
      <c r="X1232" s="2"/>
      <c r="Y1232" s="488" t="s">
        <v>1486</v>
      </c>
      <c r="Z1232" s="293">
        <f t="shared" si="155"/>
        <v>0</v>
      </c>
      <c r="AA1232" s="293">
        <f t="shared" si="156"/>
        <v>0</v>
      </c>
    </row>
    <row r="1233" spans="1:27" s="320" customFormat="1" x14ac:dyDescent="0.25">
      <c r="A1233" s="220" t="s">
        <v>830</v>
      </c>
      <c r="B1233" s="221" t="s">
        <v>2495</v>
      </c>
      <c r="C1233" s="223" t="s">
        <v>1572</v>
      </c>
      <c r="D1233" s="220" t="s">
        <v>837</v>
      </c>
      <c r="E1233" s="222">
        <v>1</v>
      </c>
      <c r="F1233" s="192">
        <v>10390</v>
      </c>
      <c r="G1233" s="24">
        <v>0.2</v>
      </c>
      <c r="H1233" s="24">
        <v>0.05</v>
      </c>
      <c r="I1233" s="24">
        <v>0.05</v>
      </c>
      <c r="J1233" s="24">
        <v>0</v>
      </c>
      <c r="K1233" s="224">
        <f t="shared" si="157"/>
        <v>0.27800000000000002</v>
      </c>
      <c r="L1233" s="225">
        <f t="shared" si="158"/>
        <v>14390.581717451525</v>
      </c>
      <c r="M1233" s="225">
        <f t="shared" si="159"/>
        <v>14390.581717451525</v>
      </c>
      <c r="N1233" s="226">
        <f t="shared" si="161"/>
        <v>17124.792243767315</v>
      </c>
      <c r="O1233" s="34">
        <v>0.3</v>
      </c>
      <c r="P1233" s="226">
        <f t="shared" si="160"/>
        <v>22262.229916897511</v>
      </c>
      <c r="Q1233" s="107" t="s">
        <v>1486</v>
      </c>
      <c r="R1233" s="34">
        <v>0.25066060208013097</v>
      </c>
      <c r="S1233" s="226">
        <f t="shared" si="154"/>
        <v>16499.999912352345</v>
      </c>
      <c r="T1233" s="156" t="s">
        <v>1486</v>
      </c>
      <c r="U1233" s="2"/>
      <c r="V1233" s="2" t="s">
        <v>795</v>
      </c>
      <c r="W1233" s="2" t="s">
        <v>3399</v>
      </c>
      <c r="X1233" s="2" t="s">
        <v>3479</v>
      </c>
      <c r="Y1233" s="488" t="s">
        <v>1486</v>
      </c>
      <c r="Z1233" s="293">
        <f t="shared" si="155"/>
        <v>4000.581717451525</v>
      </c>
      <c r="AA1233" s="293">
        <f t="shared" si="156"/>
        <v>3475.5461448339047</v>
      </c>
    </row>
    <row r="1234" spans="1:27" s="320" customFormat="1" x14ac:dyDescent="0.25">
      <c r="A1234" s="220" t="s">
        <v>832</v>
      </c>
      <c r="B1234" s="221" t="s">
        <v>2496</v>
      </c>
      <c r="C1234" s="223" t="s">
        <v>1572</v>
      </c>
      <c r="D1234" s="220" t="s">
        <v>837</v>
      </c>
      <c r="E1234" s="222">
        <v>1</v>
      </c>
      <c r="F1234" s="192">
        <v>10390</v>
      </c>
      <c r="G1234" s="24">
        <v>0.2</v>
      </c>
      <c r="H1234" s="24">
        <v>0.05</v>
      </c>
      <c r="I1234" s="24">
        <v>0.05</v>
      </c>
      <c r="J1234" s="24">
        <v>0</v>
      </c>
      <c r="K1234" s="224">
        <f t="shared" si="157"/>
        <v>0.27800000000000002</v>
      </c>
      <c r="L1234" s="225">
        <f t="shared" si="158"/>
        <v>14390.581717451525</v>
      </c>
      <c r="M1234" s="225">
        <f t="shared" si="159"/>
        <v>14390.581717451525</v>
      </c>
      <c r="N1234" s="226">
        <f t="shared" si="161"/>
        <v>17124.792243767315</v>
      </c>
      <c r="O1234" s="34">
        <v>0.3</v>
      </c>
      <c r="P1234" s="226">
        <f t="shared" si="160"/>
        <v>22262.229916897511</v>
      </c>
      <c r="Q1234" s="107" t="s">
        <v>1486</v>
      </c>
      <c r="R1234" s="34">
        <v>0.25517470202438081</v>
      </c>
      <c r="S1234" s="226">
        <f t="shared" si="154"/>
        <v>16600.000071969524</v>
      </c>
      <c r="T1234" s="156" t="s">
        <v>1486</v>
      </c>
      <c r="U1234" s="2"/>
      <c r="V1234" s="2" t="s">
        <v>795</v>
      </c>
      <c r="W1234" s="2" t="s">
        <v>3399</v>
      </c>
      <c r="X1234" s="2"/>
      <c r="Y1234" s="488" t="s">
        <v>1486</v>
      </c>
      <c r="Z1234" s="293">
        <f t="shared" si="155"/>
        <v>4000.581717451525</v>
      </c>
      <c r="AA1234" s="293">
        <f t="shared" si="156"/>
        <v>3559.5798924113642</v>
      </c>
    </row>
    <row r="1235" spans="1:27" s="320" customFormat="1" x14ac:dyDescent="0.25">
      <c r="A1235" s="220" t="s">
        <v>836</v>
      </c>
      <c r="B1235" s="221" t="s">
        <v>2497</v>
      </c>
      <c r="C1235" s="223" t="s">
        <v>1572</v>
      </c>
      <c r="D1235" s="220" t="s">
        <v>837</v>
      </c>
      <c r="E1235" s="222">
        <v>1</v>
      </c>
      <c r="F1235" s="192">
        <v>5701</v>
      </c>
      <c r="G1235" s="24">
        <v>0.2</v>
      </c>
      <c r="H1235" s="24">
        <v>0.05</v>
      </c>
      <c r="I1235" s="24">
        <v>0.05</v>
      </c>
      <c r="J1235" s="24">
        <v>0</v>
      </c>
      <c r="K1235" s="224">
        <f t="shared" si="157"/>
        <v>0.27800000000000002</v>
      </c>
      <c r="L1235" s="225">
        <f t="shared" si="158"/>
        <v>7896.1218836565104</v>
      </c>
      <c r="M1235" s="225">
        <f t="shared" si="159"/>
        <v>7896.1218836565104</v>
      </c>
      <c r="N1235" s="226">
        <f t="shared" si="161"/>
        <v>9396.3850415512461</v>
      </c>
      <c r="O1235" s="34">
        <v>0.3</v>
      </c>
      <c r="P1235" s="226">
        <f t="shared" si="160"/>
        <v>12215.30055401662</v>
      </c>
      <c r="Q1235" s="107" t="s">
        <v>1486</v>
      </c>
      <c r="R1235" s="34">
        <v>0.25448458360382537</v>
      </c>
      <c r="S1235" s="226">
        <f t="shared" si="154"/>
        <v>9099.9996120734959</v>
      </c>
      <c r="T1235" s="156" t="s">
        <v>1486</v>
      </c>
      <c r="U1235" s="2"/>
      <c r="V1235" s="2" t="s">
        <v>795</v>
      </c>
      <c r="W1235" s="2" t="s">
        <v>3399</v>
      </c>
      <c r="X1235" s="2"/>
      <c r="Y1235" s="488" t="s">
        <v>1486</v>
      </c>
      <c r="Z1235" s="293">
        <f t="shared" si="155"/>
        <v>2195.1218836565104</v>
      </c>
      <c r="AA1235" s="293">
        <f t="shared" si="156"/>
        <v>1946.0584975407528</v>
      </c>
    </row>
    <row r="1236" spans="1:27" s="320" customFormat="1" x14ac:dyDescent="0.25">
      <c r="A1236" s="220" t="s">
        <v>838</v>
      </c>
      <c r="B1236" s="221" t="s">
        <v>2062</v>
      </c>
      <c r="C1236" s="223" t="s">
        <v>1572</v>
      </c>
      <c r="D1236" s="220" t="s">
        <v>840</v>
      </c>
      <c r="E1236" s="222">
        <v>1</v>
      </c>
      <c r="F1236" s="192">
        <v>12429</v>
      </c>
      <c r="G1236" s="24">
        <v>0.2</v>
      </c>
      <c r="H1236" s="24">
        <v>0.05</v>
      </c>
      <c r="I1236" s="24">
        <v>0.05</v>
      </c>
      <c r="J1236" s="24">
        <v>0</v>
      </c>
      <c r="K1236" s="224">
        <f t="shared" si="157"/>
        <v>0.27800000000000014</v>
      </c>
      <c r="L1236" s="225">
        <f t="shared" si="158"/>
        <v>17214.681440443215</v>
      </c>
      <c r="M1236" s="225">
        <f t="shared" si="159"/>
        <v>17214.681440443215</v>
      </c>
      <c r="N1236" s="226">
        <f t="shared" si="161"/>
        <v>20485.470914127425</v>
      </c>
      <c r="O1236" s="34">
        <v>0.3</v>
      </c>
      <c r="P1236" s="226">
        <f t="shared" si="160"/>
        <v>26631.112188365652</v>
      </c>
      <c r="Q1236" s="107" t="s">
        <v>1486</v>
      </c>
      <c r="R1236" s="34">
        <v>0.24921269445236274</v>
      </c>
      <c r="S1236" s="226">
        <f t="shared" si="154"/>
        <v>19700.000107502547</v>
      </c>
      <c r="T1236" s="156" t="s">
        <v>1486</v>
      </c>
      <c r="U1236" s="2"/>
      <c r="V1236" s="2" t="s">
        <v>795</v>
      </c>
      <c r="W1236" s="2" t="s">
        <v>3399</v>
      </c>
      <c r="X1236" s="2"/>
      <c r="Y1236" s="488" t="s">
        <v>1486</v>
      </c>
      <c r="Z1236" s="293">
        <f t="shared" si="155"/>
        <v>4785.6814404432153</v>
      </c>
      <c r="AA1236" s="293">
        <f t="shared" si="156"/>
        <v>4125.6219390777696</v>
      </c>
    </row>
    <row r="1237" spans="1:27" s="320" customFormat="1" x14ac:dyDescent="0.25">
      <c r="A1237" s="220" t="s">
        <v>839</v>
      </c>
      <c r="B1237" s="221" t="s">
        <v>2063</v>
      </c>
      <c r="C1237" s="223" t="s">
        <v>1572</v>
      </c>
      <c r="D1237" s="220" t="s">
        <v>840</v>
      </c>
      <c r="E1237" s="222">
        <v>1</v>
      </c>
      <c r="F1237" s="192">
        <v>11808</v>
      </c>
      <c r="G1237" s="24">
        <v>0.2</v>
      </c>
      <c r="H1237" s="24">
        <v>0.05</v>
      </c>
      <c r="I1237" s="24">
        <v>0.05</v>
      </c>
      <c r="J1237" s="24">
        <v>0</v>
      </c>
      <c r="K1237" s="224">
        <f t="shared" si="157"/>
        <v>0.27800000000000014</v>
      </c>
      <c r="L1237" s="225">
        <f t="shared" si="158"/>
        <v>16354.570637119115</v>
      </c>
      <c r="M1237" s="225">
        <f t="shared" si="159"/>
        <v>16354.570637119115</v>
      </c>
      <c r="N1237" s="226">
        <f t="shared" si="161"/>
        <v>19461.939058171745</v>
      </c>
      <c r="O1237" s="34">
        <v>0.3</v>
      </c>
      <c r="P1237" s="226">
        <f t="shared" si="160"/>
        <v>25300.52077562327</v>
      </c>
      <c r="Q1237" s="107" t="s">
        <v>1486</v>
      </c>
      <c r="R1237" s="34">
        <v>0.24858181615142014</v>
      </c>
      <c r="S1237" s="226">
        <f t="shared" si="154"/>
        <v>18699.999949470955</v>
      </c>
      <c r="T1237" s="156" t="s">
        <v>1486</v>
      </c>
      <c r="U1237" s="2"/>
      <c r="V1237" s="2" t="s">
        <v>795</v>
      </c>
      <c r="W1237" s="2" t="s">
        <v>3399</v>
      </c>
      <c r="X1237" s="2"/>
      <c r="Y1237" s="488" t="s">
        <v>1486</v>
      </c>
      <c r="Z1237" s="293">
        <f t="shared" si="155"/>
        <v>4546.5706371191154</v>
      </c>
      <c r="AA1237" s="293">
        <f t="shared" si="156"/>
        <v>3906.2856718243329</v>
      </c>
    </row>
    <row r="1238" spans="1:27" s="320" customFormat="1" x14ac:dyDescent="0.25">
      <c r="A1238" s="220" t="s">
        <v>841</v>
      </c>
      <c r="B1238" s="221" t="s">
        <v>2061</v>
      </c>
      <c r="C1238" s="223" t="s">
        <v>1572</v>
      </c>
      <c r="D1238" s="220" t="s">
        <v>840</v>
      </c>
      <c r="E1238" s="222">
        <v>1</v>
      </c>
      <c r="F1238" s="192">
        <v>5444</v>
      </c>
      <c r="G1238" s="24">
        <v>0.2</v>
      </c>
      <c r="H1238" s="24">
        <v>0.05</v>
      </c>
      <c r="I1238" s="24">
        <v>0.05</v>
      </c>
      <c r="J1238" s="24">
        <v>0</v>
      </c>
      <c r="K1238" s="224">
        <f t="shared" si="157"/>
        <v>0.27800000000000014</v>
      </c>
      <c r="L1238" s="225">
        <f t="shared" si="158"/>
        <v>7540.1662049861507</v>
      </c>
      <c r="M1238" s="225">
        <f t="shared" si="159"/>
        <v>7540.1662049861507</v>
      </c>
      <c r="N1238" s="226">
        <f t="shared" si="161"/>
        <v>8972.7977839335181</v>
      </c>
      <c r="O1238" s="34">
        <v>0.3</v>
      </c>
      <c r="P1238" s="226">
        <f t="shared" si="160"/>
        <v>11664.637119113573</v>
      </c>
      <c r="Q1238" s="107" t="s">
        <v>1486</v>
      </c>
      <c r="R1238" s="34">
        <v>0.26382272632842507</v>
      </c>
      <c r="S1238" s="226">
        <f t="shared" si="154"/>
        <v>8799.9999887121485</v>
      </c>
      <c r="T1238" s="156" t="s">
        <v>1486</v>
      </c>
      <c r="U1238" s="2"/>
      <c r="V1238" s="2" t="s">
        <v>795</v>
      </c>
      <c r="W1238" s="2" t="s">
        <v>3399</v>
      </c>
      <c r="X1238" s="2"/>
      <c r="Y1238" s="488" t="s">
        <v>1486</v>
      </c>
      <c r="Z1238" s="293">
        <f t="shared" si="155"/>
        <v>2096.1662049861507</v>
      </c>
      <c r="AA1238" s="293">
        <f t="shared" si="156"/>
        <v>1950.9579737076883</v>
      </c>
    </row>
    <row r="1239" spans="1:27" s="320" customFormat="1" x14ac:dyDescent="0.25">
      <c r="A1239" s="220" t="s">
        <v>842</v>
      </c>
      <c r="B1239" s="221" t="s">
        <v>2060</v>
      </c>
      <c r="C1239" s="223" t="s">
        <v>1572</v>
      </c>
      <c r="D1239" s="220" t="s">
        <v>840</v>
      </c>
      <c r="E1239" s="222">
        <v>8</v>
      </c>
      <c r="F1239" s="192">
        <v>1503</v>
      </c>
      <c r="G1239" s="24">
        <v>0.2</v>
      </c>
      <c r="H1239" s="24">
        <v>0.05</v>
      </c>
      <c r="I1239" s="24">
        <v>0.05</v>
      </c>
      <c r="J1239" s="24">
        <v>0</v>
      </c>
      <c r="K1239" s="224">
        <f t="shared" si="157"/>
        <v>0.27800000000000014</v>
      </c>
      <c r="L1239" s="225">
        <f t="shared" si="158"/>
        <v>16653.739612188368</v>
      </c>
      <c r="M1239" s="225">
        <f t="shared" si="159"/>
        <v>2081.7174515235461</v>
      </c>
      <c r="N1239" s="226">
        <f t="shared" si="161"/>
        <v>2477.2437673130198</v>
      </c>
      <c r="O1239" s="34">
        <v>0.3</v>
      </c>
      <c r="P1239" s="226">
        <f t="shared" si="160"/>
        <v>3220.416897506926</v>
      </c>
      <c r="Q1239" s="107" t="s">
        <v>1486</v>
      </c>
      <c r="R1239" s="34">
        <v>0.32</v>
      </c>
      <c r="S1239" s="226">
        <f t="shared" si="154"/>
        <v>2630.25</v>
      </c>
      <c r="T1239" s="156" t="s">
        <v>1486</v>
      </c>
      <c r="U1239" s="2"/>
      <c r="V1239" s="2" t="s">
        <v>795</v>
      </c>
      <c r="W1239" s="2" t="s">
        <v>3399</v>
      </c>
      <c r="X1239" s="2" t="s">
        <v>1467</v>
      </c>
      <c r="Y1239" s="488" t="s">
        <v>1486</v>
      </c>
      <c r="Z1239" s="293">
        <f t="shared" si="155"/>
        <v>578.71745152354606</v>
      </c>
      <c r="AA1239" s="293">
        <f t="shared" si="156"/>
        <v>707.29411764705901</v>
      </c>
    </row>
    <row r="1240" spans="1:27" s="320" customFormat="1" x14ac:dyDescent="0.25">
      <c r="A1240" s="220" t="s">
        <v>843</v>
      </c>
      <c r="B1240" s="221" t="s">
        <v>2058</v>
      </c>
      <c r="C1240" s="223" t="s">
        <v>1572</v>
      </c>
      <c r="D1240" s="220" t="s">
        <v>840</v>
      </c>
      <c r="E1240" s="222">
        <v>1</v>
      </c>
      <c r="F1240" s="192">
        <v>11888</v>
      </c>
      <c r="G1240" s="24">
        <v>0.2</v>
      </c>
      <c r="H1240" s="24">
        <v>0.05</v>
      </c>
      <c r="I1240" s="24">
        <v>0.05</v>
      </c>
      <c r="J1240" s="24">
        <v>0</v>
      </c>
      <c r="K1240" s="224">
        <f t="shared" si="157"/>
        <v>0.27800000000000002</v>
      </c>
      <c r="L1240" s="225">
        <f t="shared" si="158"/>
        <v>16465.373961218836</v>
      </c>
      <c r="M1240" s="225">
        <f t="shared" si="159"/>
        <v>16465.373961218836</v>
      </c>
      <c r="N1240" s="226">
        <f t="shared" si="161"/>
        <v>19593.795013850413</v>
      </c>
      <c r="O1240" s="34">
        <v>0.3</v>
      </c>
      <c r="P1240" s="226">
        <f t="shared" si="160"/>
        <v>25471.933518005539</v>
      </c>
      <c r="Q1240" s="107" t="s">
        <v>1486</v>
      </c>
      <c r="R1240" s="34">
        <v>0.28910954341885509</v>
      </c>
      <c r="S1240" s="226">
        <f t="shared" si="154"/>
        <v>19899.999879074498</v>
      </c>
      <c r="T1240" s="156" t="s">
        <v>1486</v>
      </c>
      <c r="U1240" s="2"/>
      <c r="V1240" s="2" t="s">
        <v>795</v>
      </c>
      <c r="W1240" s="2" t="s">
        <v>3399</v>
      </c>
      <c r="X1240" s="2" t="s">
        <v>1467</v>
      </c>
      <c r="Y1240" s="488" t="s">
        <v>1486</v>
      </c>
      <c r="Z1240" s="293">
        <f t="shared" si="155"/>
        <v>4577.3739612188365</v>
      </c>
      <c r="AA1240" s="293">
        <f t="shared" si="156"/>
        <v>4834.6889740121842</v>
      </c>
    </row>
    <row r="1241" spans="1:27" s="320" customFormat="1" x14ac:dyDescent="0.25">
      <c r="A1241" s="220" t="s">
        <v>844</v>
      </c>
      <c r="B1241" s="221" t="s">
        <v>2059</v>
      </c>
      <c r="C1241" s="223" t="s">
        <v>1572</v>
      </c>
      <c r="D1241" s="220" t="s">
        <v>840</v>
      </c>
      <c r="E1241" s="222">
        <v>1</v>
      </c>
      <c r="F1241" s="192">
        <v>6520</v>
      </c>
      <c r="G1241" s="24">
        <v>0.2</v>
      </c>
      <c r="H1241" s="24">
        <v>0.05</v>
      </c>
      <c r="I1241" s="24">
        <v>0.05</v>
      </c>
      <c r="J1241" s="24">
        <v>0</v>
      </c>
      <c r="K1241" s="224">
        <f t="shared" si="157"/>
        <v>0.27800000000000014</v>
      </c>
      <c r="L1241" s="225">
        <f t="shared" si="158"/>
        <v>9030.4709141274252</v>
      </c>
      <c r="M1241" s="225">
        <f t="shared" si="159"/>
        <v>9030.4709141274252</v>
      </c>
      <c r="N1241" s="226">
        <f t="shared" si="161"/>
        <v>10746.260387811635</v>
      </c>
      <c r="O1241" s="34">
        <v>0.3</v>
      </c>
      <c r="P1241" s="226">
        <f t="shared" si="160"/>
        <v>13970.138504155126</v>
      </c>
      <c r="Q1241" s="107" t="s">
        <v>1486</v>
      </c>
      <c r="R1241" s="34">
        <v>0.26106666640841197</v>
      </c>
      <c r="S1241" s="226">
        <f t="shared" si="154"/>
        <v>10499.999996330287</v>
      </c>
      <c r="T1241" s="156" t="s">
        <v>1486</v>
      </c>
      <c r="U1241" s="2"/>
      <c r="V1241" s="2" t="s">
        <v>795</v>
      </c>
      <c r="W1241" s="2" t="s">
        <v>3399</v>
      </c>
      <c r="X1241" s="2"/>
      <c r="Y1241" s="488" t="s">
        <v>1486</v>
      </c>
      <c r="Z1241" s="293">
        <f t="shared" si="155"/>
        <v>2510.4709141274252</v>
      </c>
      <c r="AA1241" s="293">
        <f t="shared" si="156"/>
        <v>2303.5294086809135</v>
      </c>
    </row>
    <row r="1242" spans="1:27" s="320" customFormat="1" x14ac:dyDescent="0.25">
      <c r="A1242" s="220" t="s">
        <v>845</v>
      </c>
      <c r="B1242" s="221" t="s">
        <v>2199</v>
      </c>
      <c r="C1242" s="223" t="s">
        <v>1572</v>
      </c>
      <c r="D1242" s="220" t="s">
        <v>2198</v>
      </c>
      <c r="E1242" s="222">
        <v>1</v>
      </c>
      <c r="F1242" s="192">
        <v>14853</v>
      </c>
      <c r="G1242" s="24">
        <v>0.2</v>
      </c>
      <c r="H1242" s="24">
        <v>0.05</v>
      </c>
      <c r="I1242" s="24">
        <v>0.05</v>
      </c>
      <c r="J1242" s="24">
        <v>0</v>
      </c>
      <c r="K1242" s="224">
        <f t="shared" si="157"/>
        <v>0.27800000000000014</v>
      </c>
      <c r="L1242" s="225">
        <f t="shared" si="158"/>
        <v>20572.022160664823</v>
      </c>
      <c r="M1242" s="225">
        <f t="shared" si="159"/>
        <v>20572.022160664823</v>
      </c>
      <c r="N1242" s="226">
        <f t="shared" si="161"/>
        <v>24480.70637119114</v>
      </c>
      <c r="O1242" s="34">
        <v>0.3</v>
      </c>
      <c r="P1242" s="226">
        <f t="shared" si="160"/>
        <v>31824.918282548482</v>
      </c>
      <c r="Q1242" s="107" t="s">
        <v>1486</v>
      </c>
      <c r="R1242" s="34">
        <v>0.24786936685187377</v>
      </c>
      <c r="S1242" s="226">
        <f t="shared" si="154"/>
        <v>23500.000160901614</v>
      </c>
      <c r="T1242" s="156" t="s">
        <v>1486</v>
      </c>
      <c r="U1242" s="2"/>
      <c r="V1242" s="2" t="s">
        <v>795</v>
      </c>
      <c r="W1242" s="2" t="s">
        <v>3399</v>
      </c>
      <c r="X1242" s="2" t="s">
        <v>3479</v>
      </c>
      <c r="Y1242" s="488" t="s">
        <v>1486</v>
      </c>
      <c r="Z1242" s="293">
        <f t="shared" si="155"/>
        <v>5719.0221606648229</v>
      </c>
      <c r="AA1242" s="293">
        <f t="shared" si="156"/>
        <v>4894.8992948753075</v>
      </c>
    </row>
    <row r="1243" spans="1:27" s="320" customFormat="1" x14ac:dyDescent="0.25">
      <c r="A1243" s="220" t="s">
        <v>846</v>
      </c>
      <c r="B1243" s="221" t="s">
        <v>2200</v>
      </c>
      <c r="C1243" s="223" t="s">
        <v>1572</v>
      </c>
      <c r="D1243" s="220" t="s">
        <v>2198</v>
      </c>
      <c r="E1243" s="222">
        <v>1</v>
      </c>
      <c r="F1243" s="192">
        <v>0</v>
      </c>
      <c r="G1243" s="24">
        <v>0.2</v>
      </c>
      <c r="H1243" s="24">
        <v>0.05</v>
      </c>
      <c r="I1243" s="24">
        <v>0.05</v>
      </c>
      <c r="J1243" s="24">
        <v>0</v>
      </c>
      <c r="K1243" s="224">
        <f t="shared" si="157"/>
        <v>0</v>
      </c>
      <c r="L1243" s="225">
        <f t="shared" si="158"/>
        <v>0</v>
      </c>
      <c r="M1243" s="225">
        <f t="shared" si="159"/>
        <v>0</v>
      </c>
      <c r="N1243" s="226">
        <f t="shared" si="161"/>
        <v>0</v>
      </c>
      <c r="O1243" s="34">
        <v>0.3</v>
      </c>
      <c r="P1243" s="226">
        <f t="shared" si="160"/>
        <v>0</v>
      </c>
      <c r="Q1243" s="107" t="s">
        <v>1486</v>
      </c>
      <c r="R1243" s="34">
        <v>0.3</v>
      </c>
      <c r="S1243" s="226">
        <f t="shared" si="154"/>
        <v>0</v>
      </c>
      <c r="T1243" s="156" t="s">
        <v>1486</v>
      </c>
      <c r="U1243" s="2"/>
      <c r="V1243" s="2" t="s">
        <v>795</v>
      </c>
      <c r="W1243" s="2" t="s">
        <v>3399</v>
      </c>
      <c r="X1243" s="2"/>
      <c r="Y1243" s="488" t="s">
        <v>1486</v>
      </c>
      <c r="Z1243" s="293">
        <f t="shared" si="155"/>
        <v>0</v>
      </c>
      <c r="AA1243" s="293">
        <f t="shared" si="156"/>
        <v>0</v>
      </c>
    </row>
    <row r="1244" spans="1:27" s="320" customFormat="1" x14ac:dyDescent="0.25">
      <c r="A1244" s="220" t="s">
        <v>847</v>
      </c>
      <c r="B1244" s="221" t="s">
        <v>2201</v>
      </c>
      <c r="C1244" s="223" t="s">
        <v>1572</v>
      </c>
      <c r="D1244" s="220" t="s">
        <v>2198</v>
      </c>
      <c r="E1244" s="222">
        <v>1</v>
      </c>
      <c r="F1244" s="192">
        <v>6436</v>
      </c>
      <c r="G1244" s="24">
        <v>0.2</v>
      </c>
      <c r="H1244" s="24">
        <v>0.05</v>
      </c>
      <c r="I1244" s="24">
        <v>0.05</v>
      </c>
      <c r="J1244" s="24">
        <v>0</v>
      </c>
      <c r="K1244" s="224">
        <f t="shared" si="157"/>
        <v>0.27800000000000014</v>
      </c>
      <c r="L1244" s="225">
        <f t="shared" si="158"/>
        <v>8914.1274238227161</v>
      </c>
      <c r="M1244" s="225">
        <f t="shared" si="159"/>
        <v>8914.1274238227161</v>
      </c>
      <c r="N1244" s="226">
        <f t="shared" si="161"/>
        <v>10607.811634349031</v>
      </c>
      <c r="O1244" s="34">
        <v>0.3</v>
      </c>
      <c r="P1244" s="226">
        <f t="shared" si="160"/>
        <v>13790.15512465374</v>
      </c>
      <c r="Q1244" s="107" t="s">
        <v>1486</v>
      </c>
      <c r="R1244" s="34">
        <v>0.24913338228428245</v>
      </c>
      <c r="S1244" s="226">
        <f t="shared" si="154"/>
        <v>10200.000664964549</v>
      </c>
      <c r="T1244" s="156" t="s">
        <v>1486</v>
      </c>
      <c r="U1244" s="2"/>
      <c r="V1244" s="2" t="s">
        <v>795</v>
      </c>
      <c r="W1244" s="2" t="s">
        <v>3399</v>
      </c>
      <c r="X1244" s="2"/>
      <c r="Y1244" s="488" t="s">
        <v>1486</v>
      </c>
      <c r="Z1244" s="293">
        <f t="shared" si="155"/>
        <v>2478.1274238227161</v>
      </c>
      <c r="AA1244" s="293">
        <f t="shared" si="156"/>
        <v>2135.4291302223101</v>
      </c>
    </row>
    <row r="1245" spans="1:27" s="320" customFormat="1" x14ac:dyDescent="0.25">
      <c r="A1245" s="220" t="s">
        <v>848</v>
      </c>
      <c r="B1245" s="221" t="s">
        <v>5642</v>
      </c>
      <c r="C1245" s="223" t="s">
        <v>1572</v>
      </c>
      <c r="D1245" s="220" t="s">
        <v>4881</v>
      </c>
      <c r="E1245" s="222">
        <v>6</v>
      </c>
      <c r="F1245" s="192">
        <v>6436</v>
      </c>
      <c r="G1245" s="24">
        <v>0.2</v>
      </c>
      <c r="H1245" s="24">
        <v>0.05</v>
      </c>
      <c r="I1245" s="24">
        <v>0.05</v>
      </c>
      <c r="J1245" s="24">
        <v>0</v>
      </c>
      <c r="K1245" s="224">
        <f t="shared" si="157"/>
        <v>0.27800000000000014</v>
      </c>
      <c r="L1245" s="225">
        <v>0</v>
      </c>
      <c r="M1245" s="225">
        <f t="shared" si="159"/>
        <v>8914.1274238227161</v>
      </c>
      <c r="N1245" s="226">
        <f t="shared" si="161"/>
        <v>10607.811634349031</v>
      </c>
      <c r="O1245" s="34">
        <v>0.3</v>
      </c>
      <c r="P1245" s="226">
        <f t="shared" si="160"/>
        <v>13790.15512465374</v>
      </c>
      <c r="Q1245" s="107" t="s">
        <v>1486</v>
      </c>
      <c r="R1245" s="34">
        <v>0.27058672298675601</v>
      </c>
      <c r="S1245" s="226">
        <f t="shared" ref="S1245:S1308" si="162">+(F1245/(1-R1245))*1.19</f>
        <v>10500.000810735088</v>
      </c>
      <c r="T1245" s="156" t="s">
        <v>1486</v>
      </c>
      <c r="U1245" s="2"/>
      <c r="V1245" s="2" t="s">
        <v>795</v>
      </c>
      <c r="W1245" s="2" t="s">
        <v>3399</v>
      </c>
      <c r="X1245" s="2" t="s">
        <v>1467</v>
      </c>
      <c r="Y1245" s="488" t="s">
        <v>1486</v>
      </c>
      <c r="Z1245" s="293">
        <f t="shared" si="155"/>
        <v>2478.1274238227161</v>
      </c>
      <c r="AA1245" s="293">
        <f t="shared" si="156"/>
        <v>2387.5300930546964</v>
      </c>
    </row>
    <row r="1246" spans="1:27" s="320" customFormat="1" x14ac:dyDescent="0.25">
      <c r="A1246" s="220" t="s">
        <v>849</v>
      </c>
      <c r="B1246" s="221" t="s">
        <v>2492</v>
      </c>
      <c r="C1246" s="223" t="s">
        <v>1572</v>
      </c>
      <c r="D1246" s="220" t="s">
        <v>851</v>
      </c>
      <c r="E1246" s="222">
        <v>1</v>
      </c>
      <c r="F1246" s="192">
        <v>9641</v>
      </c>
      <c r="G1246" s="24">
        <v>0.2</v>
      </c>
      <c r="H1246" s="24">
        <v>0.05</v>
      </c>
      <c r="I1246" s="24">
        <v>0.05</v>
      </c>
      <c r="J1246" s="24">
        <v>0</v>
      </c>
      <c r="K1246" s="224">
        <f t="shared" si="157"/>
        <v>0.27800000000000014</v>
      </c>
      <c r="L1246" s="225">
        <f t="shared" ref="L1246:L1277" si="163">+M1246*E1246</f>
        <v>13353.185595567869</v>
      </c>
      <c r="M1246" s="225">
        <f t="shared" si="159"/>
        <v>13353.185595567869</v>
      </c>
      <c r="N1246" s="226">
        <f t="shared" si="161"/>
        <v>15890.290858725764</v>
      </c>
      <c r="O1246" s="34">
        <v>0.3</v>
      </c>
      <c r="P1246" s="226">
        <f t="shared" si="160"/>
        <v>20657.378116343494</v>
      </c>
      <c r="Q1246" s="107" t="s">
        <v>1486</v>
      </c>
      <c r="R1246" s="34">
        <v>0.25982001213979328</v>
      </c>
      <c r="S1246" s="226">
        <f t="shared" si="162"/>
        <v>15500.000254217623</v>
      </c>
      <c r="T1246" s="156" t="s">
        <v>1486</v>
      </c>
      <c r="U1246" s="2"/>
      <c r="V1246" s="2" t="s">
        <v>795</v>
      </c>
      <c r="W1246" s="2" t="s">
        <v>3399</v>
      </c>
      <c r="X1246" s="2"/>
      <c r="Y1246" s="488" t="s">
        <v>1486</v>
      </c>
      <c r="Z1246" s="293">
        <f t="shared" si="155"/>
        <v>3712.1855955678693</v>
      </c>
      <c r="AA1246" s="293">
        <f t="shared" si="156"/>
        <v>3384.210297661868</v>
      </c>
    </row>
    <row r="1247" spans="1:27" s="320" customFormat="1" x14ac:dyDescent="0.25">
      <c r="A1247" s="220" t="s">
        <v>850</v>
      </c>
      <c r="B1247" s="221" t="s">
        <v>2493</v>
      </c>
      <c r="C1247" s="223" t="s">
        <v>1572</v>
      </c>
      <c r="D1247" s="220" t="s">
        <v>851</v>
      </c>
      <c r="E1247" s="222">
        <v>1</v>
      </c>
      <c r="F1247" s="192">
        <v>0</v>
      </c>
      <c r="G1247" s="24">
        <v>0.2</v>
      </c>
      <c r="H1247" s="24">
        <v>0.05</v>
      </c>
      <c r="I1247" s="24">
        <v>0.05</v>
      </c>
      <c r="J1247" s="24">
        <v>0</v>
      </c>
      <c r="K1247" s="224">
        <f t="shared" si="157"/>
        <v>0</v>
      </c>
      <c r="L1247" s="225">
        <f t="shared" si="163"/>
        <v>0</v>
      </c>
      <c r="M1247" s="225">
        <f t="shared" si="159"/>
        <v>0</v>
      </c>
      <c r="N1247" s="226">
        <f t="shared" si="161"/>
        <v>0</v>
      </c>
      <c r="O1247" s="34">
        <v>0.3</v>
      </c>
      <c r="P1247" s="226">
        <f t="shared" si="160"/>
        <v>0</v>
      </c>
      <c r="Q1247" s="107" t="s">
        <v>1486</v>
      </c>
      <c r="R1247" s="34">
        <v>0.25444693937024743</v>
      </c>
      <c r="S1247" s="226">
        <f t="shared" si="162"/>
        <v>0</v>
      </c>
      <c r="T1247" s="156" t="s">
        <v>1486</v>
      </c>
      <c r="U1247" s="2"/>
      <c r="V1247" s="2" t="s">
        <v>795</v>
      </c>
      <c r="W1247" s="2" t="s">
        <v>3399</v>
      </c>
      <c r="X1247" s="2"/>
      <c r="Y1247" s="488" t="s">
        <v>1486</v>
      </c>
      <c r="Z1247" s="293">
        <f t="shared" si="155"/>
        <v>0</v>
      </c>
      <c r="AA1247" s="293">
        <f t="shared" si="156"/>
        <v>0</v>
      </c>
    </row>
    <row r="1248" spans="1:27" s="320" customFormat="1" x14ac:dyDescent="0.25">
      <c r="A1248" s="220" t="s">
        <v>853</v>
      </c>
      <c r="B1248" s="221" t="s">
        <v>2494</v>
      </c>
      <c r="C1248" s="223" t="s">
        <v>1572</v>
      </c>
      <c r="D1248" s="220" t="s">
        <v>851</v>
      </c>
      <c r="E1248" s="222">
        <v>1</v>
      </c>
      <c r="F1248" s="192">
        <v>4135</v>
      </c>
      <c r="G1248" s="24">
        <v>0.2</v>
      </c>
      <c r="H1248" s="24">
        <v>0.05</v>
      </c>
      <c r="I1248" s="24">
        <v>0.05</v>
      </c>
      <c r="J1248" s="24">
        <v>0</v>
      </c>
      <c r="K1248" s="224">
        <f t="shared" si="157"/>
        <v>0.27800000000000014</v>
      </c>
      <c r="L1248" s="225">
        <f t="shared" si="163"/>
        <v>5727.1468144044329</v>
      </c>
      <c r="M1248" s="225">
        <f t="shared" si="159"/>
        <v>5727.1468144044329</v>
      </c>
      <c r="N1248" s="226">
        <f t="shared" si="161"/>
        <v>6815.3047091412745</v>
      </c>
      <c r="O1248" s="34">
        <v>0.3</v>
      </c>
      <c r="P1248" s="226">
        <f t="shared" si="160"/>
        <v>8859.8961218836575</v>
      </c>
      <c r="Q1248" s="107" t="s">
        <v>1486</v>
      </c>
      <c r="R1248" s="34">
        <v>0.25444698128988213</v>
      </c>
      <c r="S1248" s="226">
        <f t="shared" si="162"/>
        <v>6600.0001026261316</v>
      </c>
      <c r="T1248" s="156" t="s">
        <v>1486</v>
      </c>
      <c r="U1248" s="2"/>
      <c r="V1248" s="2" t="s">
        <v>795</v>
      </c>
      <c r="W1248" s="2" t="s">
        <v>3399</v>
      </c>
      <c r="X1248" s="2" t="s">
        <v>1467</v>
      </c>
      <c r="Y1248" s="488" t="s">
        <v>1486</v>
      </c>
      <c r="Z1248" s="293">
        <f t="shared" si="155"/>
        <v>1592.1468144044329</v>
      </c>
      <c r="AA1248" s="293">
        <f t="shared" si="156"/>
        <v>1411.2185736354049</v>
      </c>
    </row>
    <row r="1249" spans="1:27" s="320" customFormat="1" x14ac:dyDescent="0.25">
      <c r="A1249" s="220" t="s">
        <v>854</v>
      </c>
      <c r="B1249" s="221" t="s">
        <v>2498</v>
      </c>
      <c r="C1249" s="223" t="s">
        <v>1551</v>
      </c>
      <c r="D1249" s="220" t="s">
        <v>857</v>
      </c>
      <c r="E1249" s="222">
        <v>1</v>
      </c>
      <c r="F1249" s="192">
        <v>0</v>
      </c>
      <c r="G1249" s="24">
        <v>0.2</v>
      </c>
      <c r="H1249" s="24">
        <v>0.05</v>
      </c>
      <c r="I1249" s="24">
        <v>0.05</v>
      </c>
      <c r="J1249" s="24">
        <v>0</v>
      </c>
      <c r="K1249" s="224">
        <f t="shared" si="157"/>
        <v>0</v>
      </c>
      <c r="L1249" s="225">
        <f t="shared" si="163"/>
        <v>0</v>
      </c>
      <c r="M1249" s="225">
        <f t="shared" si="159"/>
        <v>0</v>
      </c>
      <c r="N1249" s="226">
        <f t="shared" si="161"/>
        <v>0</v>
      </c>
      <c r="O1249" s="34">
        <v>0.3</v>
      </c>
      <c r="P1249" s="226">
        <f t="shared" si="160"/>
        <v>0</v>
      </c>
      <c r="Q1249" s="107" t="s">
        <v>1486</v>
      </c>
      <c r="R1249" s="34">
        <v>0.3</v>
      </c>
      <c r="S1249" s="226">
        <f t="shared" si="162"/>
        <v>0</v>
      </c>
      <c r="T1249" s="156" t="s">
        <v>1486</v>
      </c>
      <c r="U1249" s="2" t="s">
        <v>109</v>
      </c>
      <c r="V1249" s="2" t="s">
        <v>795</v>
      </c>
      <c r="W1249" s="2" t="s">
        <v>3399</v>
      </c>
      <c r="X1249" s="2"/>
      <c r="Y1249" s="488" t="s">
        <v>1486</v>
      </c>
      <c r="Z1249" s="293">
        <f t="shared" si="155"/>
        <v>0</v>
      </c>
      <c r="AA1249" s="293">
        <f t="shared" si="156"/>
        <v>0</v>
      </c>
    </row>
    <row r="1250" spans="1:27" s="320" customFormat="1" x14ac:dyDescent="0.25">
      <c r="A1250" s="220" t="s">
        <v>855</v>
      </c>
      <c r="B1250" s="221" t="s">
        <v>2499</v>
      </c>
      <c r="C1250" s="223" t="s">
        <v>1551</v>
      </c>
      <c r="D1250" s="220" t="s">
        <v>857</v>
      </c>
      <c r="E1250" s="222">
        <v>1</v>
      </c>
      <c r="F1250" s="192">
        <v>9975</v>
      </c>
      <c r="G1250" s="24">
        <v>0.2</v>
      </c>
      <c r="H1250" s="24">
        <v>0.05</v>
      </c>
      <c r="I1250" s="24">
        <v>0.05</v>
      </c>
      <c r="J1250" s="24">
        <v>0</v>
      </c>
      <c r="K1250" s="224">
        <f t="shared" si="157"/>
        <v>0.27800000000000002</v>
      </c>
      <c r="L1250" s="225">
        <f t="shared" si="163"/>
        <v>13815.789473684212</v>
      </c>
      <c r="M1250" s="225">
        <f t="shared" si="159"/>
        <v>13815.789473684212</v>
      </c>
      <c r="N1250" s="226">
        <f t="shared" si="161"/>
        <v>16440.78947368421</v>
      </c>
      <c r="O1250" s="34">
        <v>0.3</v>
      </c>
      <c r="P1250" s="226">
        <f t="shared" si="160"/>
        <v>21373.026315789473</v>
      </c>
      <c r="Q1250" s="107" t="s">
        <v>1486</v>
      </c>
      <c r="R1250" s="34">
        <v>0.24871835322544056</v>
      </c>
      <c r="S1250" s="226">
        <f t="shared" si="162"/>
        <v>15799.999974659251</v>
      </c>
      <c r="T1250" s="156" t="s">
        <v>1486</v>
      </c>
      <c r="U1250" s="2" t="s">
        <v>50</v>
      </c>
      <c r="V1250" s="2" t="s">
        <v>795</v>
      </c>
      <c r="W1250" s="2" t="s">
        <v>3399</v>
      </c>
      <c r="X1250" s="2" t="s">
        <v>3479</v>
      </c>
      <c r="Y1250" s="488" t="s">
        <v>1486</v>
      </c>
      <c r="Z1250" s="293">
        <f t="shared" ref="Z1250:Z1313" si="164">+M1250-F1250</f>
        <v>3840.7894736842118</v>
      </c>
      <c r="AA1250" s="293">
        <f t="shared" ref="AA1250:AA1313" si="165">+(S1250/1.19)-F1250</f>
        <v>3302.310903075002</v>
      </c>
    </row>
    <row r="1251" spans="1:27" s="320" customFormat="1" x14ac:dyDescent="0.25">
      <c r="A1251" s="220" t="s">
        <v>856</v>
      </c>
      <c r="B1251" s="221" t="s">
        <v>2500</v>
      </c>
      <c r="C1251" s="223" t="s">
        <v>1572</v>
      </c>
      <c r="D1251" s="220" t="s">
        <v>857</v>
      </c>
      <c r="E1251" s="222">
        <v>1</v>
      </c>
      <c r="F1251" s="192">
        <v>4000</v>
      </c>
      <c r="G1251" s="24">
        <v>0.2</v>
      </c>
      <c r="H1251" s="24">
        <v>0.05</v>
      </c>
      <c r="I1251" s="24">
        <v>0.05</v>
      </c>
      <c r="J1251" s="24">
        <v>0</v>
      </c>
      <c r="K1251" s="224">
        <f t="shared" si="157"/>
        <v>0.27800000000000014</v>
      </c>
      <c r="L1251" s="225">
        <f t="shared" si="163"/>
        <v>5540.1662049861507</v>
      </c>
      <c r="M1251" s="225">
        <f t="shared" si="159"/>
        <v>5540.1662049861507</v>
      </c>
      <c r="N1251" s="226">
        <f t="shared" si="161"/>
        <v>6592.797783933519</v>
      </c>
      <c r="O1251" s="34">
        <v>0.3</v>
      </c>
      <c r="P1251" s="226">
        <f t="shared" si="160"/>
        <v>8570.637119113575</v>
      </c>
      <c r="Q1251" s="107" t="s">
        <v>1486</v>
      </c>
      <c r="R1251" s="34">
        <v>0.26769230808599348</v>
      </c>
      <c r="S1251" s="226">
        <f t="shared" si="162"/>
        <v>6500.0000034943741</v>
      </c>
      <c r="T1251" s="156" t="s">
        <v>1486</v>
      </c>
      <c r="U1251" s="2"/>
      <c r="V1251" s="2" t="s">
        <v>795</v>
      </c>
      <c r="W1251" s="2" t="s">
        <v>3399</v>
      </c>
      <c r="X1251" s="2"/>
      <c r="Y1251" s="488" t="s">
        <v>1486</v>
      </c>
      <c r="Z1251" s="293">
        <f t="shared" si="164"/>
        <v>1540.1662049861507</v>
      </c>
      <c r="AA1251" s="293">
        <f t="shared" si="165"/>
        <v>1462.1848768860291</v>
      </c>
    </row>
    <row r="1252" spans="1:27" s="320" customFormat="1" x14ac:dyDescent="0.25">
      <c r="A1252" s="220" t="s">
        <v>858</v>
      </c>
      <c r="B1252" s="221" t="s">
        <v>2501</v>
      </c>
      <c r="C1252" s="223" t="s">
        <v>1572</v>
      </c>
      <c r="D1252" s="220" t="s">
        <v>861</v>
      </c>
      <c r="E1252" s="222">
        <v>1</v>
      </c>
      <c r="F1252" s="192">
        <v>0</v>
      </c>
      <c r="G1252" s="24">
        <v>0.2</v>
      </c>
      <c r="H1252" s="24">
        <v>0.05</v>
      </c>
      <c r="I1252" s="24">
        <v>0.05</v>
      </c>
      <c r="J1252" s="24">
        <v>0</v>
      </c>
      <c r="K1252" s="224">
        <f t="shared" si="157"/>
        <v>0</v>
      </c>
      <c r="L1252" s="225">
        <f t="shared" si="163"/>
        <v>0</v>
      </c>
      <c r="M1252" s="225">
        <f t="shared" si="159"/>
        <v>0</v>
      </c>
      <c r="N1252" s="226">
        <f t="shared" si="161"/>
        <v>0</v>
      </c>
      <c r="O1252" s="34">
        <v>0.3</v>
      </c>
      <c r="P1252" s="226">
        <f t="shared" si="160"/>
        <v>0</v>
      </c>
      <c r="Q1252" s="107" t="s">
        <v>1486</v>
      </c>
      <c r="R1252" s="34">
        <v>0.30127461909361236</v>
      </c>
      <c r="S1252" s="226">
        <f t="shared" si="162"/>
        <v>0</v>
      </c>
      <c r="T1252" s="156" t="s">
        <v>1486</v>
      </c>
      <c r="U1252" s="2"/>
      <c r="V1252" s="2" t="s">
        <v>795</v>
      </c>
      <c r="W1252" s="2" t="s">
        <v>3399</v>
      </c>
      <c r="X1252" s="2"/>
      <c r="Y1252" s="488" t="s">
        <v>1486</v>
      </c>
      <c r="Z1252" s="293">
        <f t="shared" si="164"/>
        <v>0</v>
      </c>
      <c r="AA1252" s="293">
        <f t="shared" si="165"/>
        <v>0</v>
      </c>
    </row>
    <row r="1253" spans="1:27" s="320" customFormat="1" x14ac:dyDescent="0.25">
      <c r="A1253" s="220" t="s">
        <v>859</v>
      </c>
      <c r="B1253" s="221" t="s">
        <v>863</v>
      </c>
      <c r="C1253" s="223" t="s">
        <v>1666</v>
      </c>
      <c r="D1253" s="220" t="s">
        <v>864</v>
      </c>
      <c r="E1253" s="222">
        <v>1</v>
      </c>
      <c r="F1253" s="192">
        <v>0</v>
      </c>
      <c r="G1253" s="24">
        <v>0.2</v>
      </c>
      <c r="H1253" s="24">
        <v>0.05</v>
      </c>
      <c r="I1253" s="24">
        <v>0.05</v>
      </c>
      <c r="J1253" s="24">
        <v>0</v>
      </c>
      <c r="K1253" s="224">
        <f t="shared" si="157"/>
        <v>0</v>
      </c>
      <c r="L1253" s="225">
        <f t="shared" si="163"/>
        <v>0</v>
      </c>
      <c r="M1253" s="225">
        <f t="shared" si="159"/>
        <v>0</v>
      </c>
      <c r="N1253" s="226">
        <f t="shared" si="161"/>
        <v>0</v>
      </c>
      <c r="O1253" s="34">
        <v>0.3</v>
      </c>
      <c r="P1253" s="226">
        <f t="shared" si="160"/>
        <v>0</v>
      </c>
      <c r="Q1253" s="107" t="s">
        <v>1486</v>
      </c>
      <c r="R1253" s="34">
        <v>0.25</v>
      </c>
      <c r="S1253" s="226">
        <f t="shared" si="162"/>
        <v>0</v>
      </c>
      <c r="T1253" s="156" t="s">
        <v>1486</v>
      </c>
      <c r="U1253" s="2"/>
      <c r="V1253" s="2" t="s">
        <v>795</v>
      </c>
      <c r="W1253" s="2" t="s">
        <v>3399</v>
      </c>
      <c r="X1253" s="2" t="s">
        <v>3242</v>
      </c>
      <c r="Y1253" s="488" t="s">
        <v>1486</v>
      </c>
      <c r="Z1253" s="293">
        <f t="shared" si="164"/>
        <v>0</v>
      </c>
      <c r="AA1253" s="293">
        <f t="shared" si="165"/>
        <v>0</v>
      </c>
    </row>
    <row r="1254" spans="1:27" s="320" customFormat="1" x14ac:dyDescent="0.25">
      <c r="A1254" s="220" t="s">
        <v>860</v>
      </c>
      <c r="B1254" s="221" t="s">
        <v>863</v>
      </c>
      <c r="C1254" s="223" t="s">
        <v>1666</v>
      </c>
      <c r="D1254" s="220" t="s">
        <v>864</v>
      </c>
      <c r="E1254" s="222">
        <v>1</v>
      </c>
      <c r="F1254" s="192">
        <v>0</v>
      </c>
      <c r="G1254" s="24">
        <v>0.2</v>
      </c>
      <c r="H1254" s="24">
        <v>0.05</v>
      </c>
      <c r="I1254" s="24">
        <v>0.05</v>
      </c>
      <c r="J1254" s="24">
        <v>0</v>
      </c>
      <c r="K1254" s="224">
        <f t="shared" si="157"/>
        <v>0</v>
      </c>
      <c r="L1254" s="225">
        <f t="shared" si="163"/>
        <v>0</v>
      </c>
      <c r="M1254" s="225">
        <f t="shared" si="159"/>
        <v>0</v>
      </c>
      <c r="N1254" s="226">
        <f t="shared" si="161"/>
        <v>0</v>
      </c>
      <c r="O1254" s="34">
        <v>0.3</v>
      </c>
      <c r="P1254" s="226">
        <f t="shared" si="160"/>
        <v>0</v>
      </c>
      <c r="Q1254" s="107" t="s">
        <v>1486</v>
      </c>
      <c r="R1254" s="34">
        <v>0.25</v>
      </c>
      <c r="S1254" s="226">
        <f t="shared" si="162"/>
        <v>0</v>
      </c>
      <c r="T1254" s="156" t="s">
        <v>1486</v>
      </c>
      <c r="U1254" s="2"/>
      <c r="V1254" s="2" t="s">
        <v>795</v>
      </c>
      <c r="W1254" s="2" t="s">
        <v>3399</v>
      </c>
      <c r="X1254" s="2" t="s">
        <v>3242</v>
      </c>
      <c r="Y1254" s="488" t="s">
        <v>1486</v>
      </c>
      <c r="Z1254" s="293">
        <f t="shared" si="164"/>
        <v>0</v>
      </c>
      <c r="AA1254" s="293">
        <f t="shared" si="165"/>
        <v>0</v>
      </c>
    </row>
    <row r="1255" spans="1:27" s="320" customFormat="1" x14ac:dyDescent="0.25">
      <c r="A1255" s="220" t="s">
        <v>862</v>
      </c>
      <c r="B1255" s="221" t="s">
        <v>2603</v>
      </c>
      <c r="C1255" s="223" t="s">
        <v>1666</v>
      </c>
      <c r="D1255" s="220" t="s">
        <v>2309</v>
      </c>
      <c r="E1255" s="222">
        <v>1</v>
      </c>
      <c r="F1255" s="192">
        <v>0</v>
      </c>
      <c r="G1255" s="24">
        <v>0.2</v>
      </c>
      <c r="H1255" s="24">
        <v>0.05</v>
      </c>
      <c r="I1255" s="24">
        <v>0.05</v>
      </c>
      <c r="J1255" s="24">
        <v>0</v>
      </c>
      <c r="K1255" s="224">
        <f t="shared" si="157"/>
        <v>0</v>
      </c>
      <c r="L1255" s="225">
        <f t="shared" si="163"/>
        <v>0</v>
      </c>
      <c r="M1255" s="225">
        <f t="shared" si="159"/>
        <v>0</v>
      </c>
      <c r="N1255" s="226">
        <f t="shared" si="161"/>
        <v>0</v>
      </c>
      <c r="O1255" s="34">
        <v>0.3</v>
      </c>
      <c r="P1255" s="226">
        <f t="shared" si="160"/>
        <v>0</v>
      </c>
      <c r="Q1255" s="107" t="s">
        <v>1486</v>
      </c>
      <c r="R1255" s="34">
        <v>0.25</v>
      </c>
      <c r="S1255" s="226">
        <f t="shared" si="162"/>
        <v>0</v>
      </c>
      <c r="T1255" s="156" t="s">
        <v>1486</v>
      </c>
      <c r="U1255" s="2"/>
      <c r="V1255" s="2" t="s">
        <v>795</v>
      </c>
      <c r="W1255" s="2" t="s">
        <v>3399</v>
      </c>
      <c r="X1255" s="2" t="s">
        <v>3242</v>
      </c>
      <c r="Y1255" s="488" t="s">
        <v>1486</v>
      </c>
      <c r="Z1255" s="293">
        <f t="shared" si="164"/>
        <v>0</v>
      </c>
      <c r="AA1255" s="293">
        <f t="shared" si="165"/>
        <v>0</v>
      </c>
    </row>
    <row r="1256" spans="1:27" s="320" customFormat="1" x14ac:dyDescent="0.25">
      <c r="A1256" s="220" t="s">
        <v>866</v>
      </c>
      <c r="B1256" s="221" t="s">
        <v>4107</v>
      </c>
      <c r="C1256" s="223" t="s">
        <v>1666</v>
      </c>
      <c r="D1256" s="220" t="s">
        <v>864</v>
      </c>
      <c r="E1256" s="222">
        <v>1</v>
      </c>
      <c r="F1256" s="192">
        <v>0</v>
      </c>
      <c r="G1256" s="24">
        <v>0.2</v>
      </c>
      <c r="H1256" s="24">
        <v>0.05</v>
      </c>
      <c r="I1256" s="24">
        <v>0.05</v>
      </c>
      <c r="J1256" s="24">
        <v>0</v>
      </c>
      <c r="K1256" s="224">
        <f t="shared" si="157"/>
        <v>0</v>
      </c>
      <c r="L1256" s="225">
        <f t="shared" si="163"/>
        <v>0</v>
      </c>
      <c r="M1256" s="225">
        <f t="shared" si="159"/>
        <v>0</v>
      </c>
      <c r="N1256" s="226">
        <f t="shared" si="161"/>
        <v>0</v>
      </c>
      <c r="O1256" s="34">
        <v>0.3</v>
      </c>
      <c r="P1256" s="226">
        <f t="shared" si="160"/>
        <v>0</v>
      </c>
      <c r="Q1256" s="107" t="s">
        <v>1486</v>
      </c>
      <c r="R1256" s="34">
        <v>0.25</v>
      </c>
      <c r="S1256" s="226">
        <f t="shared" si="162"/>
        <v>0</v>
      </c>
      <c r="T1256" s="156" t="s">
        <v>1486</v>
      </c>
      <c r="U1256" s="2"/>
      <c r="V1256" s="2" t="s">
        <v>795</v>
      </c>
      <c r="W1256" s="2" t="s">
        <v>3399</v>
      </c>
      <c r="X1256" s="2" t="s">
        <v>3242</v>
      </c>
      <c r="Y1256" s="488" t="s">
        <v>1486</v>
      </c>
      <c r="Z1256" s="293">
        <f t="shared" si="164"/>
        <v>0</v>
      </c>
      <c r="AA1256" s="293">
        <f t="shared" si="165"/>
        <v>0</v>
      </c>
    </row>
    <row r="1257" spans="1:27" s="320" customFormat="1" x14ac:dyDescent="0.25">
      <c r="A1257" s="220" t="s">
        <v>867</v>
      </c>
      <c r="B1257" s="221" t="s">
        <v>870</v>
      </c>
      <c r="C1257" s="223" t="s">
        <v>1666</v>
      </c>
      <c r="D1257" s="220" t="s">
        <v>864</v>
      </c>
      <c r="E1257" s="222">
        <v>1</v>
      </c>
      <c r="F1257" s="192">
        <v>0</v>
      </c>
      <c r="G1257" s="24">
        <v>0.2</v>
      </c>
      <c r="H1257" s="24">
        <v>0.05</v>
      </c>
      <c r="I1257" s="24">
        <v>0.05</v>
      </c>
      <c r="J1257" s="24">
        <v>0</v>
      </c>
      <c r="K1257" s="224">
        <f t="shared" si="157"/>
        <v>0</v>
      </c>
      <c r="L1257" s="225">
        <f t="shared" si="163"/>
        <v>0</v>
      </c>
      <c r="M1257" s="225">
        <f t="shared" si="159"/>
        <v>0</v>
      </c>
      <c r="N1257" s="226">
        <f t="shared" si="161"/>
        <v>0</v>
      </c>
      <c r="O1257" s="34">
        <v>0.3</v>
      </c>
      <c r="P1257" s="226">
        <f t="shared" si="160"/>
        <v>0</v>
      </c>
      <c r="Q1257" s="107" t="s">
        <v>1486</v>
      </c>
      <c r="R1257" s="34">
        <v>0.25</v>
      </c>
      <c r="S1257" s="226">
        <f t="shared" si="162"/>
        <v>0</v>
      </c>
      <c r="T1257" s="156" t="s">
        <v>1486</v>
      </c>
      <c r="U1257" s="2"/>
      <c r="V1257" s="2" t="s">
        <v>795</v>
      </c>
      <c r="W1257" s="2" t="s">
        <v>3399</v>
      </c>
      <c r="X1257" s="2" t="s">
        <v>3242</v>
      </c>
      <c r="Y1257" s="488" t="s">
        <v>1486</v>
      </c>
      <c r="Z1257" s="293">
        <f t="shared" si="164"/>
        <v>0</v>
      </c>
      <c r="AA1257" s="293">
        <f t="shared" si="165"/>
        <v>0</v>
      </c>
    </row>
    <row r="1258" spans="1:27" s="320" customFormat="1" x14ac:dyDescent="0.25">
      <c r="A1258" s="220" t="s">
        <v>868</v>
      </c>
      <c r="B1258" s="221" t="s">
        <v>2602</v>
      </c>
      <c r="C1258" s="223" t="s">
        <v>1666</v>
      </c>
      <c r="D1258" s="220" t="s">
        <v>2309</v>
      </c>
      <c r="E1258" s="222">
        <v>1</v>
      </c>
      <c r="F1258" s="192">
        <v>0</v>
      </c>
      <c r="G1258" s="24">
        <v>0.2</v>
      </c>
      <c r="H1258" s="24">
        <v>0.05</v>
      </c>
      <c r="I1258" s="24">
        <v>0.05</v>
      </c>
      <c r="J1258" s="24">
        <v>0</v>
      </c>
      <c r="K1258" s="224">
        <f t="shared" si="157"/>
        <v>0</v>
      </c>
      <c r="L1258" s="225">
        <f t="shared" si="163"/>
        <v>0</v>
      </c>
      <c r="M1258" s="225">
        <f t="shared" si="159"/>
        <v>0</v>
      </c>
      <c r="N1258" s="226">
        <f t="shared" si="161"/>
        <v>0</v>
      </c>
      <c r="O1258" s="34">
        <v>0.3</v>
      </c>
      <c r="P1258" s="226">
        <f t="shared" si="160"/>
        <v>0</v>
      </c>
      <c r="Q1258" s="107" t="s">
        <v>1486</v>
      </c>
      <c r="R1258" s="34">
        <v>0.25</v>
      </c>
      <c r="S1258" s="226">
        <f t="shared" si="162"/>
        <v>0</v>
      </c>
      <c r="T1258" s="156" t="s">
        <v>1486</v>
      </c>
      <c r="U1258" s="2"/>
      <c r="V1258" s="2" t="s">
        <v>795</v>
      </c>
      <c r="W1258" s="2" t="s">
        <v>3399</v>
      </c>
      <c r="X1258" s="2" t="s">
        <v>3242</v>
      </c>
      <c r="Y1258" s="488" t="s">
        <v>1486</v>
      </c>
      <c r="Z1258" s="293">
        <f t="shared" si="164"/>
        <v>0</v>
      </c>
      <c r="AA1258" s="293">
        <f t="shared" si="165"/>
        <v>0</v>
      </c>
    </row>
    <row r="1259" spans="1:27" s="320" customFormat="1" x14ac:dyDescent="0.25">
      <c r="A1259" s="220" t="s">
        <v>869</v>
      </c>
      <c r="B1259" s="221" t="s">
        <v>2601</v>
      </c>
      <c r="C1259" s="223" t="s">
        <v>1666</v>
      </c>
      <c r="D1259" s="220" t="s">
        <v>2309</v>
      </c>
      <c r="E1259" s="222">
        <v>1</v>
      </c>
      <c r="F1259" s="192">
        <v>0</v>
      </c>
      <c r="G1259" s="24">
        <v>0.2</v>
      </c>
      <c r="H1259" s="24">
        <v>0.05</v>
      </c>
      <c r="I1259" s="24">
        <v>0.05</v>
      </c>
      <c r="J1259" s="24">
        <v>0</v>
      </c>
      <c r="K1259" s="224">
        <f t="shared" si="157"/>
        <v>0</v>
      </c>
      <c r="L1259" s="225">
        <f t="shared" si="163"/>
        <v>0</v>
      </c>
      <c r="M1259" s="225">
        <f t="shared" si="159"/>
        <v>0</v>
      </c>
      <c r="N1259" s="226">
        <f t="shared" si="161"/>
        <v>0</v>
      </c>
      <c r="O1259" s="34">
        <v>0.3</v>
      </c>
      <c r="P1259" s="226">
        <f t="shared" si="160"/>
        <v>0</v>
      </c>
      <c r="Q1259" s="107" t="s">
        <v>1486</v>
      </c>
      <c r="R1259" s="34">
        <v>0.25</v>
      </c>
      <c r="S1259" s="226">
        <f t="shared" si="162"/>
        <v>0</v>
      </c>
      <c r="T1259" s="156" t="s">
        <v>1486</v>
      </c>
      <c r="U1259" s="2"/>
      <c r="V1259" s="2" t="s">
        <v>795</v>
      </c>
      <c r="W1259" s="2" t="s">
        <v>3399</v>
      </c>
      <c r="X1259" s="2" t="s">
        <v>3242</v>
      </c>
      <c r="Y1259" s="488" t="s">
        <v>1486</v>
      </c>
      <c r="Z1259" s="293">
        <f t="shared" si="164"/>
        <v>0</v>
      </c>
      <c r="AA1259" s="293">
        <f t="shared" si="165"/>
        <v>0</v>
      </c>
    </row>
    <row r="1260" spans="1:27" s="320" customFormat="1" x14ac:dyDescent="0.25">
      <c r="A1260" s="220" t="s">
        <v>871</v>
      </c>
      <c r="B1260" s="221" t="s">
        <v>873</v>
      </c>
      <c r="C1260" s="223" t="s">
        <v>1666</v>
      </c>
      <c r="D1260" s="220" t="s">
        <v>864</v>
      </c>
      <c r="E1260" s="222">
        <v>1</v>
      </c>
      <c r="F1260" s="192">
        <v>0</v>
      </c>
      <c r="G1260" s="24">
        <v>0.2</v>
      </c>
      <c r="H1260" s="24">
        <v>0.05</v>
      </c>
      <c r="I1260" s="24">
        <v>0.05</v>
      </c>
      <c r="J1260" s="24">
        <v>0</v>
      </c>
      <c r="K1260" s="224">
        <f t="shared" si="157"/>
        <v>0</v>
      </c>
      <c r="L1260" s="225">
        <f t="shared" si="163"/>
        <v>0</v>
      </c>
      <c r="M1260" s="225">
        <f t="shared" si="159"/>
        <v>0</v>
      </c>
      <c r="N1260" s="226">
        <f t="shared" si="161"/>
        <v>0</v>
      </c>
      <c r="O1260" s="34">
        <v>0.3</v>
      </c>
      <c r="P1260" s="226">
        <f t="shared" si="160"/>
        <v>0</v>
      </c>
      <c r="Q1260" s="107" t="s">
        <v>1486</v>
      </c>
      <c r="R1260" s="34">
        <v>0.25</v>
      </c>
      <c r="S1260" s="226">
        <f t="shared" si="162"/>
        <v>0</v>
      </c>
      <c r="T1260" s="156" t="s">
        <v>1486</v>
      </c>
      <c r="U1260" s="2"/>
      <c r="V1260" s="2" t="s">
        <v>795</v>
      </c>
      <c r="W1260" s="2" t="s">
        <v>3399</v>
      </c>
      <c r="X1260" s="2" t="s">
        <v>3242</v>
      </c>
      <c r="Y1260" s="488" t="s">
        <v>1486</v>
      </c>
      <c r="Z1260" s="293">
        <f t="shared" si="164"/>
        <v>0</v>
      </c>
      <c r="AA1260" s="293">
        <f t="shared" si="165"/>
        <v>0</v>
      </c>
    </row>
    <row r="1261" spans="1:27" s="320" customFormat="1" x14ac:dyDescent="0.25">
      <c r="A1261" s="220" t="s">
        <v>872</v>
      </c>
      <c r="B1261" s="221" t="s">
        <v>876</v>
      </c>
      <c r="C1261" s="223" t="s">
        <v>1666</v>
      </c>
      <c r="D1261" s="220" t="s">
        <v>864</v>
      </c>
      <c r="E1261" s="222">
        <v>1</v>
      </c>
      <c r="F1261" s="192">
        <v>0</v>
      </c>
      <c r="G1261" s="24">
        <v>0.2</v>
      </c>
      <c r="H1261" s="24">
        <v>0.05</v>
      </c>
      <c r="I1261" s="24">
        <v>0.05</v>
      </c>
      <c r="J1261" s="24">
        <v>0</v>
      </c>
      <c r="K1261" s="224">
        <f t="shared" si="157"/>
        <v>0</v>
      </c>
      <c r="L1261" s="225">
        <f t="shared" si="163"/>
        <v>0</v>
      </c>
      <c r="M1261" s="225">
        <f t="shared" si="159"/>
        <v>0</v>
      </c>
      <c r="N1261" s="226">
        <f t="shared" si="161"/>
        <v>0</v>
      </c>
      <c r="O1261" s="34">
        <v>0.3</v>
      </c>
      <c r="P1261" s="226">
        <f t="shared" si="160"/>
        <v>0</v>
      </c>
      <c r="Q1261" s="107" t="s">
        <v>1486</v>
      </c>
      <c r="R1261" s="34">
        <v>0.25</v>
      </c>
      <c r="S1261" s="226">
        <f t="shared" si="162"/>
        <v>0</v>
      </c>
      <c r="T1261" s="156" t="s">
        <v>1486</v>
      </c>
      <c r="U1261" s="2"/>
      <c r="V1261" s="2" t="s">
        <v>795</v>
      </c>
      <c r="W1261" s="2" t="s">
        <v>3399</v>
      </c>
      <c r="X1261" s="2" t="s">
        <v>3242</v>
      </c>
      <c r="Y1261" s="488" t="s">
        <v>1486</v>
      </c>
      <c r="Z1261" s="293">
        <f t="shared" si="164"/>
        <v>0</v>
      </c>
      <c r="AA1261" s="293">
        <f t="shared" si="165"/>
        <v>0</v>
      </c>
    </row>
    <row r="1262" spans="1:27" s="320" customFormat="1" x14ac:dyDescent="0.25">
      <c r="A1262" s="220" t="s">
        <v>874</v>
      </c>
      <c r="B1262" s="221" t="s">
        <v>878</v>
      </c>
      <c r="C1262" s="223" t="s">
        <v>1666</v>
      </c>
      <c r="D1262" s="220" t="s">
        <v>864</v>
      </c>
      <c r="E1262" s="222">
        <v>1</v>
      </c>
      <c r="F1262" s="192">
        <v>0</v>
      </c>
      <c r="G1262" s="24">
        <v>0.2</v>
      </c>
      <c r="H1262" s="24">
        <v>0.05</v>
      </c>
      <c r="I1262" s="24">
        <v>0.05</v>
      </c>
      <c r="J1262" s="24">
        <v>0</v>
      </c>
      <c r="K1262" s="224">
        <f t="shared" si="157"/>
        <v>0</v>
      </c>
      <c r="L1262" s="225">
        <f t="shared" si="163"/>
        <v>0</v>
      </c>
      <c r="M1262" s="225">
        <f t="shared" si="159"/>
        <v>0</v>
      </c>
      <c r="N1262" s="226">
        <f t="shared" si="161"/>
        <v>0</v>
      </c>
      <c r="O1262" s="34">
        <v>0.3</v>
      </c>
      <c r="P1262" s="226">
        <f t="shared" si="160"/>
        <v>0</v>
      </c>
      <c r="Q1262" s="107" t="s">
        <v>1486</v>
      </c>
      <c r="R1262" s="34">
        <v>0.25</v>
      </c>
      <c r="S1262" s="226">
        <f t="shared" si="162"/>
        <v>0</v>
      </c>
      <c r="T1262" s="156" t="s">
        <v>1486</v>
      </c>
      <c r="U1262" s="2"/>
      <c r="V1262" s="2" t="s">
        <v>795</v>
      </c>
      <c r="W1262" s="2" t="s">
        <v>3399</v>
      </c>
      <c r="X1262" s="2" t="s">
        <v>3242</v>
      </c>
      <c r="Y1262" s="488" t="s">
        <v>1486</v>
      </c>
      <c r="Z1262" s="293">
        <f t="shared" si="164"/>
        <v>0</v>
      </c>
      <c r="AA1262" s="293">
        <f t="shared" si="165"/>
        <v>0</v>
      </c>
    </row>
    <row r="1263" spans="1:27" s="320" customFormat="1" x14ac:dyDescent="0.25">
      <c r="A1263" s="220" t="s">
        <v>875</v>
      </c>
      <c r="B1263" s="221" t="s">
        <v>880</v>
      </c>
      <c r="C1263" s="223" t="s">
        <v>1666</v>
      </c>
      <c r="D1263" s="220" t="s">
        <v>864</v>
      </c>
      <c r="E1263" s="222">
        <v>1</v>
      </c>
      <c r="F1263" s="192">
        <v>0</v>
      </c>
      <c r="G1263" s="24">
        <v>0.2</v>
      </c>
      <c r="H1263" s="24">
        <v>0.05</v>
      </c>
      <c r="I1263" s="24">
        <v>0.05</v>
      </c>
      <c r="J1263" s="24">
        <v>0</v>
      </c>
      <c r="K1263" s="224">
        <f t="shared" si="157"/>
        <v>0</v>
      </c>
      <c r="L1263" s="225">
        <f t="shared" si="163"/>
        <v>0</v>
      </c>
      <c r="M1263" s="225">
        <f t="shared" si="159"/>
        <v>0</v>
      </c>
      <c r="N1263" s="226">
        <f t="shared" si="161"/>
        <v>0</v>
      </c>
      <c r="O1263" s="34">
        <v>0.3</v>
      </c>
      <c r="P1263" s="226">
        <f t="shared" si="160"/>
        <v>0</v>
      </c>
      <c r="Q1263" s="107" t="s">
        <v>1486</v>
      </c>
      <c r="R1263" s="34">
        <v>0.25</v>
      </c>
      <c r="S1263" s="226">
        <f t="shared" si="162"/>
        <v>0</v>
      </c>
      <c r="T1263" s="156" t="s">
        <v>1486</v>
      </c>
      <c r="U1263" s="2"/>
      <c r="V1263" s="2" t="s">
        <v>795</v>
      </c>
      <c r="W1263" s="2" t="s">
        <v>3399</v>
      </c>
      <c r="X1263" s="2" t="s">
        <v>3242</v>
      </c>
      <c r="Y1263" s="488" t="s">
        <v>1486</v>
      </c>
      <c r="Z1263" s="293">
        <f t="shared" si="164"/>
        <v>0</v>
      </c>
      <c r="AA1263" s="293">
        <f t="shared" si="165"/>
        <v>0</v>
      </c>
    </row>
    <row r="1264" spans="1:27" s="320" customFormat="1" x14ac:dyDescent="0.25">
      <c r="A1264" s="220" t="s">
        <v>877</v>
      </c>
      <c r="B1264" s="221" t="s">
        <v>882</v>
      </c>
      <c r="C1264" s="223" t="s">
        <v>1666</v>
      </c>
      <c r="D1264" s="220" t="s">
        <v>864</v>
      </c>
      <c r="E1264" s="222">
        <v>1</v>
      </c>
      <c r="F1264" s="192">
        <v>0</v>
      </c>
      <c r="G1264" s="24">
        <v>0.2</v>
      </c>
      <c r="H1264" s="24">
        <v>0.05</v>
      </c>
      <c r="I1264" s="24">
        <v>0.05</v>
      </c>
      <c r="J1264" s="24">
        <v>0</v>
      </c>
      <c r="K1264" s="224">
        <f t="shared" si="157"/>
        <v>0</v>
      </c>
      <c r="L1264" s="225">
        <f t="shared" si="163"/>
        <v>0</v>
      </c>
      <c r="M1264" s="225">
        <f t="shared" si="159"/>
        <v>0</v>
      </c>
      <c r="N1264" s="226">
        <f t="shared" si="161"/>
        <v>0</v>
      </c>
      <c r="O1264" s="34">
        <v>0.3</v>
      </c>
      <c r="P1264" s="226">
        <f t="shared" si="160"/>
        <v>0</v>
      </c>
      <c r="Q1264" s="107" t="s">
        <v>1486</v>
      </c>
      <c r="R1264" s="34">
        <v>0.25</v>
      </c>
      <c r="S1264" s="226">
        <f t="shared" si="162"/>
        <v>0</v>
      </c>
      <c r="T1264" s="156" t="s">
        <v>1486</v>
      </c>
      <c r="U1264" s="2"/>
      <c r="V1264" s="2" t="s">
        <v>795</v>
      </c>
      <c r="W1264" s="2" t="s">
        <v>3399</v>
      </c>
      <c r="X1264" s="2" t="s">
        <v>3242</v>
      </c>
      <c r="Y1264" s="488" t="s">
        <v>1486</v>
      </c>
      <c r="Z1264" s="293">
        <f t="shared" si="164"/>
        <v>0</v>
      </c>
      <c r="AA1264" s="293">
        <f t="shared" si="165"/>
        <v>0</v>
      </c>
    </row>
    <row r="1265" spans="1:27" s="320" customFormat="1" x14ac:dyDescent="0.25">
      <c r="A1265" s="220" t="s">
        <v>879</v>
      </c>
      <c r="B1265" s="221" t="s">
        <v>884</v>
      </c>
      <c r="C1265" s="223" t="s">
        <v>1666</v>
      </c>
      <c r="D1265" s="220" t="s">
        <v>864</v>
      </c>
      <c r="E1265" s="222">
        <v>1</v>
      </c>
      <c r="F1265" s="192">
        <v>0</v>
      </c>
      <c r="G1265" s="24">
        <v>0.2</v>
      </c>
      <c r="H1265" s="24">
        <v>0.05</v>
      </c>
      <c r="I1265" s="24">
        <v>0.05</v>
      </c>
      <c r="J1265" s="24">
        <v>0</v>
      </c>
      <c r="K1265" s="224">
        <f t="shared" si="157"/>
        <v>0</v>
      </c>
      <c r="L1265" s="225">
        <f t="shared" si="163"/>
        <v>0</v>
      </c>
      <c r="M1265" s="225">
        <f t="shared" si="159"/>
        <v>0</v>
      </c>
      <c r="N1265" s="226">
        <f t="shared" si="161"/>
        <v>0</v>
      </c>
      <c r="O1265" s="34">
        <v>0.3</v>
      </c>
      <c r="P1265" s="226">
        <f t="shared" si="160"/>
        <v>0</v>
      </c>
      <c r="Q1265" s="107" t="s">
        <v>1486</v>
      </c>
      <c r="R1265" s="34">
        <v>0.25</v>
      </c>
      <c r="S1265" s="226">
        <f t="shared" si="162"/>
        <v>0</v>
      </c>
      <c r="T1265" s="156" t="s">
        <v>1486</v>
      </c>
      <c r="U1265" s="2"/>
      <c r="V1265" s="2" t="s">
        <v>795</v>
      </c>
      <c r="W1265" s="2" t="s">
        <v>3399</v>
      </c>
      <c r="X1265" s="2" t="s">
        <v>3242</v>
      </c>
      <c r="Y1265" s="488" t="s">
        <v>1486</v>
      </c>
      <c r="Z1265" s="293">
        <f t="shared" si="164"/>
        <v>0</v>
      </c>
      <c r="AA1265" s="293">
        <f t="shared" si="165"/>
        <v>0</v>
      </c>
    </row>
    <row r="1266" spans="1:27" s="320" customFormat="1" x14ac:dyDescent="0.25">
      <c r="A1266" s="220" t="s">
        <v>881</v>
      </c>
      <c r="B1266" s="221" t="s">
        <v>886</v>
      </c>
      <c r="C1266" s="223" t="s">
        <v>1666</v>
      </c>
      <c r="D1266" s="220" t="s">
        <v>864</v>
      </c>
      <c r="E1266" s="222">
        <v>1</v>
      </c>
      <c r="F1266" s="192">
        <v>0</v>
      </c>
      <c r="G1266" s="24">
        <v>0.2</v>
      </c>
      <c r="H1266" s="24">
        <v>0.05</v>
      </c>
      <c r="I1266" s="24">
        <v>0.05</v>
      </c>
      <c r="J1266" s="24">
        <v>0</v>
      </c>
      <c r="K1266" s="224">
        <f t="shared" si="157"/>
        <v>0</v>
      </c>
      <c r="L1266" s="225">
        <f t="shared" si="163"/>
        <v>0</v>
      </c>
      <c r="M1266" s="225">
        <f t="shared" si="159"/>
        <v>0</v>
      </c>
      <c r="N1266" s="226">
        <f t="shared" si="161"/>
        <v>0</v>
      </c>
      <c r="O1266" s="34">
        <v>0.3</v>
      </c>
      <c r="P1266" s="226">
        <f t="shared" si="160"/>
        <v>0</v>
      </c>
      <c r="Q1266" s="107" t="s">
        <v>1486</v>
      </c>
      <c r="R1266" s="34">
        <v>0.25</v>
      </c>
      <c r="S1266" s="226">
        <f t="shared" si="162"/>
        <v>0</v>
      </c>
      <c r="T1266" s="156" t="s">
        <v>1486</v>
      </c>
      <c r="U1266" s="2"/>
      <c r="V1266" s="2" t="s">
        <v>795</v>
      </c>
      <c r="W1266" s="2" t="s">
        <v>3399</v>
      </c>
      <c r="X1266" s="2" t="s">
        <v>3242</v>
      </c>
      <c r="Y1266" s="488" t="s">
        <v>1486</v>
      </c>
      <c r="Z1266" s="293">
        <f t="shared" si="164"/>
        <v>0</v>
      </c>
      <c r="AA1266" s="293">
        <f t="shared" si="165"/>
        <v>0</v>
      </c>
    </row>
    <row r="1267" spans="1:27" s="320" customFormat="1" x14ac:dyDescent="0.25">
      <c r="A1267" s="220" t="s">
        <v>883</v>
      </c>
      <c r="B1267" s="221" t="s">
        <v>886</v>
      </c>
      <c r="C1267" s="223" t="s">
        <v>1666</v>
      </c>
      <c r="D1267" s="220" t="s">
        <v>864</v>
      </c>
      <c r="E1267" s="222">
        <v>1</v>
      </c>
      <c r="F1267" s="192">
        <v>0</v>
      </c>
      <c r="G1267" s="24">
        <v>0.2</v>
      </c>
      <c r="H1267" s="24">
        <v>0.05</v>
      </c>
      <c r="I1267" s="24">
        <v>0.05</v>
      </c>
      <c r="J1267" s="24">
        <v>0</v>
      </c>
      <c r="K1267" s="224">
        <f t="shared" si="157"/>
        <v>0</v>
      </c>
      <c r="L1267" s="225">
        <f t="shared" si="163"/>
        <v>0</v>
      </c>
      <c r="M1267" s="225">
        <f t="shared" si="159"/>
        <v>0</v>
      </c>
      <c r="N1267" s="226">
        <f t="shared" si="161"/>
        <v>0</v>
      </c>
      <c r="O1267" s="34">
        <v>0.3</v>
      </c>
      <c r="P1267" s="226">
        <f t="shared" si="160"/>
        <v>0</v>
      </c>
      <c r="Q1267" s="107" t="s">
        <v>1486</v>
      </c>
      <c r="R1267" s="34">
        <v>0.25</v>
      </c>
      <c r="S1267" s="226">
        <f t="shared" si="162"/>
        <v>0</v>
      </c>
      <c r="T1267" s="156" t="s">
        <v>1486</v>
      </c>
      <c r="U1267" s="2"/>
      <c r="V1267" s="2" t="s">
        <v>795</v>
      </c>
      <c r="W1267" s="2" t="s">
        <v>3399</v>
      </c>
      <c r="X1267" s="2" t="s">
        <v>3242</v>
      </c>
      <c r="Y1267" s="488" t="s">
        <v>1486</v>
      </c>
      <c r="Z1267" s="293">
        <f t="shared" si="164"/>
        <v>0</v>
      </c>
      <c r="AA1267" s="293">
        <f t="shared" si="165"/>
        <v>0</v>
      </c>
    </row>
    <row r="1268" spans="1:27" s="320" customFormat="1" x14ac:dyDescent="0.25">
      <c r="A1268" s="220" t="s">
        <v>885</v>
      </c>
      <c r="B1268" s="221" t="s">
        <v>886</v>
      </c>
      <c r="C1268" s="223" t="s">
        <v>1666</v>
      </c>
      <c r="D1268" s="220" t="s">
        <v>864</v>
      </c>
      <c r="E1268" s="222">
        <v>1</v>
      </c>
      <c r="F1268" s="192">
        <v>0</v>
      </c>
      <c r="G1268" s="24">
        <v>0.2</v>
      </c>
      <c r="H1268" s="24">
        <v>0.05</v>
      </c>
      <c r="I1268" s="24">
        <v>0.05</v>
      </c>
      <c r="J1268" s="24">
        <v>0</v>
      </c>
      <c r="K1268" s="224">
        <f t="shared" si="157"/>
        <v>0</v>
      </c>
      <c r="L1268" s="225">
        <f t="shared" si="163"/>
        <v>0</v>
      </c>
      <c r="M1268" s="225">
        <f t="shared" si="159"/>
        <v>0</v>
      </c>
      <c r="N1268" s="226">
        <f t="shared" si="161"/>
        <v>0</v>
      </c>
      <c r="O1268" s="34">
        <v>0.3</v>
      </c>
      <c r="P1268" s="226">
        <f t="shared" si="160"/>
        <v>0</v>
      </c>
      <c r="Q1268" s="107" t="s">
        <v>1486</v>
      </c>
      <c r="R1268" s="34">
        <v>0.25</v>
      </c>
      <c r="S1268" s="226">
        <f t="shared" si="162"/>
        <v>0</v>
      </c>
      <c r="T1268" s="156" t="s">
        <v>1486</v>
      </c>
      <c r="U1268" s="2"/>
      <c r="V1268" s="2" t="s">
        <v>795</v>
      </c>
      <c r="W1268" s="2" t="s">
        <v>3399</v>
      </c>
      <c r="X1268" s="2" t="s">
        <v>3242</v>
      </c>
      <c r="Y1268" s="488" t="s">
        <v>1486</v>
      </c>
      <c r="Z1268" s="293">
        <f t="shared" si="164"/>
        <v>0</v>
      </c>
      <c r="AA1268" s="293">
        <f t="shared" si="165"/>
        <v>0</v>
      </c>
    </row>
    <row r="1269" spans="1:27" s="320" customFormat="1" x14ac:dyDescent="0.25">
      <c r="A1269" s="220" t="s">
        <v>887</v>
      </c>
      <c r="B1269" s="221" t="s">
        <v>890</v>
      </c>
      <c r="C1269" s="223" t="s">
        <v>1666</v>
      </c>
      <c r="D1269" s="220" t="s">
        <v>864</v>
      </c>
      <c r="E1269" s="222">
        <v>1</v>
      </c>
      <c r="F1269" s="192">
        <v>0</v>
      </c>
      <c r="G1269" s="24">
        <v>0.2</v>
      </c>
      <c r="H1269" s="24">
        <v>0.05</v>
      </c>
      <c r="I1269" s="24">
        <v>0.05</v>
      </c>
      <c r="J1269" s="24">
        <v>0</v>
      </c>
      <c r="K1269" s="224">
        <f t="shared" si="157"/>
        <v>0</v>
      </c>
      <c r="L1269" s="225">
        <f t="shared" si="163"/>
        <v>0</v>
      </c>
      <c r="M1269" s="225">
        <f t="shared" si="159"/>
        <v>0</v>
      </c>
      <c r="N1269" s="226">
        <f t="shared" si="161"/>
        <v>0</v>
      </c>
      <c r="O1269" s="34">
        <v>0.3</v>
      </c>
      <c r="P1269" s="226">
        <f t="shared" si="160"/>
        <v>0</v>
      </c>
      <c r="Q1269" s="107" t="s">
        <v>1486</v>
      </c>
      <c r="R1269" s="34">
        <v>0.25</v>
      </c>
      <c r="S1269" s="226">
        <f t="shared" si="162"/>
        <v>0</v>
      </c>
      <c r="T1269" s="156" t="s">
        <v>1486</v>
      </c>
      <c r="U1269" s="2"/>
      <c r="V1269" s="2" t="s">
        <v>795</v>
      </c>
      <c r="W1269" s="2" t="s">
        <v>3399</v>
      </c>
      <c r="X1269" s="2" t="s">
        <v>3242</v>
      </c>
      <c r="Y1269" s="488" t="s">
        <v>1486</v>
      </c>
      <c r="Z1269" s="293">
        <f t="shared" si="164"/>
        <v>0</v>
      </c>
      <c r="AA1269" s="293">
        <f t="shared" si="165"/>
        <v>0</v>
      </c>
    </row>
    <row r="1270" spans="1:27" s="320" customFormat="1" x14ac:dyDescent="0.25">
      <c r="A1270" s="220" t="s">
        <v>888</v>
      </c>
      <c r="B1270" s="221" t="s">
        <v>892</v>
      </c>
      <c r="C1270" s="223" t="s">
        <v>1666</v>
      </c>
      <c r="D1270" s="220" t="s">
        <v>864</v>
      </c>
      <c r="E1270" s="222">
        <v>1</v>
      </c>
      <c r="F1270" s="192">
        <v>0</v>
      </c>
      <c r="G1270" s="24">
        <v>0.2</v>
      </c>
      <c r="H1270" s="24">
        <v>0.05</v>
      </c>
      <c r="I1270" s="24">
        <v>0.05</v>
      </c>
      <c r="J1270" s="24">
        <v>0</v>
      </c>
      <c r="K1270" s="224">
        <f t="shared" si="157"/>
        <v>0</v>
      </c>
      <c r="L1270" s="225">
        <f t="shared" si="163"/>
        <v>0</v>
      </c>
      <c r="M1270" s="225">
        <f t="shared" si="159"/>
        <v>0</v>
      </c>
      <c r="N1270" s="226">
        <f t="shared" si="161"/>
        <v>0</v>
      </c>
      <c r="O1270" s="34">
        <v>0.3</v>
      </c>
      <c r="P1270" s="226">
        <f t="shared" si="160"/>
        <v>0</v>
      </c>
      <c r="Q1270" s="107" t="s">
        <v>1486</v>
      </c>
      <c r="R1270" s="34">
        <v>0.25</v>
      </c>
      <c r="S1270" s="226">
        <f t="shared" si="162"/>
        <v>0</v>
      </c>
      <c r="T1270" s="156" t="s">
        <v>1486</v>
      </c>
      <c r="U1270" s="2"/>
      <c r="V1270" s="2" t="s">
        <v>795</v>
      </c>
      <c r="W1270" s="2" t="s">
        <v>3399</v>
      </c>
      <c r="X1270" s="2" t="s">
        <v>3242</v>
      </c>
      <c r="Y1270" s="488" t="s">
        <v>1486</v>
      </c>
      <c r="Z1270" s="293">
        <f t="shared" si="164"/>
        <v>0</v>
      </c>
      <c r="AA1270" s="293">
        <f t="shared" si="165"/>
        <v>0</v>
      </c>
    </row>
    <row r="1271" spans="1:27" s="320" customFormat="1" x14ac:dyDescent="0.25">
      <c r="A1271" s="220" t="s">
        <v>889</v>
      </c>
      <c r="B1271" s="221" t="s">
        <v>2315</v>
      </c>
      <c r="C1271" s="223" t="s">
        <v>1666</v>
      </c>
      <c r="D1271" s="220" t="s">
        <v>2311</v>
      </c>
      <c r="E1271" s="222">
        <v>1</v>
      </c>
      <c r="F1271" s="192">
        <v>19367</v>
      </c>
      <c r="G1271" s="24">
        <v>0.2</v>
      </c>
      <c r="H1271" s="24">
        <v>0.05</v>
      </c>
      <c r="I1271" s="24">
        <v>0.05</v>
      </c>
      <c r="J1271" s="24">
        <v>0</v>
      </c>
      <c r="K1271" s="224">
        <f t="shared" si="157"/>
        <v>0.27800000000000014</v>
      </c>
      <c r="L1271" s="225">
        <f t="shared" si="163"/>
        <v>26824.099722991694</v>
      </c>
      <c r="M1271" s="225">
        <f t="shared" si="159"/>
        <v>26824.099722991694</v>
      </c>
      <c r="N1271" s="226">
        <f t="shared" si="161"/>
        <v>31920.678670360114</v>
      </c>
      <c r="O1271" s="34">
        <v>0.2</v>
      </c>
      <c r="P1271" s="226">
        <f t="shared" si="160"/>
        <v>38304.814404432138</v>
      </c>
      <c r="Q1271" s="107" t="s">
        <v>1486</v>
      </c>
      <c r="R1271" s="34">
        <v>0.2443695081997046</v>
      </c>
      <c r="S1271" s="226">
        <f t="shared" si="162"/>
        <v>30500.000000120413</v>
      </c>
      <c r="T1271" s="156" t="s">
        <v>1486</v>
      </c>
      <c r="U1271" s="2"/>
      <c r="V1271" s="2" t="s">
        <v>795</v>
      </c>
      <c r="W1271" s="2" t="s">
        <v>3399</v>
      </c>
      <c r="X1271" s="2" t="s">
        <v>3242</v>
      </c>
      <c r="Y1271" s="488" t="s">
        <v>1486</v>
      </c>
      <c r="Z1271" s="293">
        <f t="shared" si="164"/>
        <v>7457.0997229916939</v>
      </c>
      <c r="AA1271" s="293">
        <f t="shared" si="165"/>
        <v>6263.252100941525</v>
      </c>
    </row>
    <row r="1272" spans="1:27" s="320" customFormat="1" x14ac:dyDescent="0.25">
      <c r="A1272" s="220" t="s">
        <v>891</v>
      </c>
      <c r="B1272" s="221" t="s">
        <v>2600</v>
      </c>
      <c r="C1272" s="223" t="s">
        <v>1666</v>
      </c>
      <c r="D1272" s="220" t="s">
        <v>2309</v>
      </c>
      <c r="E1272" s="222">
        <v>1</v>
      </c>
      <c r="F1272" s="192">
        <v>0</v>
      </c>
      <c r="G1272" s="24">
        <v>0.2</v>
      </c>
      <c r="H1272" s="24">
        <v>0.05</v>
      </c>
      <c r="I1272" s="24">
        <v>0.05</v>
      </c>
      <c r="J1272" s="24">
        <v>0</v>
      </c>
      <c r="K1272" s="224">
        <f t="shared" si="157"/>
        <v>0</v>
      </c>
      <c r="L1272" s="225">
        <f t="shared" si="163"/>
        <v>0</v>
      </c>
      <c r="M1272" s="225">
        <f t="shared" si="159"/>
        <v>0</v>
      </c>
      <c r="N1272" s="226">
        <f t="shared" si="161"/>
        <v>0</v>
      </c>
      <c r="O1272" s="34">
        <v>0.3</v>
      </c>
      <c r="P1272" s="226">
        <f t="shared" si="160"/>
        <v>0</v>
      </c>
      <c r="Q1272" s="107" t="s">
        <v>1486</v>
      </c>
      <c r="R1272" s="34">
        <v>0.25</v>
      </c>
      <c r="S1272" s="226">
        <f t="shared" si="162"/>
        <v>0</v>
      </c>
      <c r="T1272" s="156" t="s">
        <v>1486</v>
      </c>
      <c r="U1272" s="2"/>
      <c r="V1272" s="2" t="s">
        <v>795</v>
      </c>
      <c r="W1272" s="2" t="s">
        <v>3399</v>
      </c>
      <c r="X1272" s="2" t="s">
        <v>3242</v>
      </c>
      <c r="Y1272" s="488" t="s">
        <v>1486</v>
      </c>
      <c r="Z1272" s="293">
        <f t="shared" si="164"/>
        <v>0</v>
      </c>
      <c r="AA1272" s="293">
        <f t="shared" si="165"/>
        <v>0</v>
      </c>
    </row>
    <row r="1273" spans="1:27" s="320" customFormat="1" x14ac:dyDescent="0.25">
      <c r="A1273" s="220" t="s">
        <v>893</v>
      </c>
      <c r="B1273" s="221" t="s">
        <v>2312</v>
      </c>
      <c r="C1273" s="223" t="s">
        <v>1666</v>
      </c>
      <c r="D1273" s="220" t="s">
        <v>2309</v>
      </c>
      <c r="E1273" s="222">
        <v>1</v>
      </c>
      <c r="F1273" s="192">
        <v>0</v>
      </c>
      <c r="G1273" s="24">
        <v>0.2</v>
      </c>
      <c r="H1273" s="24">
        <v>0.05</v>
      </c>
      <c r="I1273" s="24">
        <v>0.05</v>
      </c>
      <c r="J1273" s="24">
        <v>0</v>
      </c>
      <c r="K1273" s="224">
        <f t="shared" si="157"/>
        <v>0</v>
      </c>
      <c r="L1273" s="225">
        <f t="shared" si="163"/>
        <v>0</v>
      </c>
      <c r="M1273" s="225">
        <f t="shared" si="159"/>
        <v>0</v>
      </c>
      <c r="N1273" s="226">
        <f t="shared" si="161"/>
        <v>0</v>
      </c>
      <c r="O1273" s="34">
        <v>0.3</v>
      </c>
      <c r="P1273" s="226">
        <f t="shared" si="160"/>
        <v>0</v>
      </c>
      <c r="Q1273" s="107" t="s">
        <v>1486</v>
      </c>
      <c r="R1273" s="34">
        <v>0.25</v>
      </c>
      <c r="S1273" s="226">
        <f t="shared" si="162"/>
        <v>0</v>
      </c>
      <c r="T1273" s="156" t="s">
        <v>1486</v>
      </c>
      <c r="U1273" s="2"/>
      <c r="V1273" s="2" t="s">
        <v>795</v>
      </c>
      <c r="W1273" s="2" t="s">
        <v>3399</v>
      </c>
      <c r="X1273" s="2" t="s">
        <v>3242</v>
      </c>
      <c r="Y1273" s="488" t="s">
        <v>1486</v>
      </c>
      <c r="Z1273" s="293">
        <f t="shared" si="164"/>
        <v>0</v>
      </c>
      <c r="AA1273" s="293">
        <f t="shared" si="165"/>
        <v>0</v>
      </c>
    </row>
    <row r="1274" spans="1:27" s="320" customFormat="1" x14ac:dyDescent="0.25">
      <c r="A1274" s="220" t="s">
        <v>895</v>
      </c>
      <c r="B1274" s="221" t="s">
        <v>898</v>
      </c>
      <c r="C1274" s="223" t="s">
        <v>1666</v>
      </c>
      <c r="D1274" s="220" t="s">
        <v>864</v>
      </c>
      <c r="E1274" s="222">
        <v>1</v>
      </c>
      <c r="F1274" s="192">
        <v>0</v>
      </c>
      <c r="G1274" s="24">
        <v>0.2</v>
      </c>
      <c r="H1274" s="24">
        <v>0.05</v>
      </c>
      <c r="I1274" s="24">
        <v>0.05</v>
      </c>
      <c r="J1274" s="24">
        <v>0</v>
      </c>
      <c r="K1274" s="224">
        <f t="shared" si="157"/>
        <v>0</v>
      </c>
      <c r="L1274" s="225">
        <f t="shared" si="163"/>
        <v>0</v>
      </c>
      <c r="M1274" s="225">
        <f t="shared" si="159"/>
        <v>0</v>
      </c>
      <c r="N1274" s="226">
        <f t="shared" si="161"/>
        <v>0</v>
      </c>
      <c r="O1274" s="34">
        <v>0.3</v>
      </c>
      <c r="P1274" s="226">
        <f t="shared" si="160"/>
        <v>0</v>
      </c>
      <c r="Q1274" s="107" t="s">
        <v>1486</v>
      </c>
      <c r="R1274" s="34">
        <v>0.25</v>
      </c>
      <c r="S1274" s="226">
        <f t="shared" si="162"/>
        <v>0</v>
      </c>
      <c r="T1274" s="156" t="s">
        <v>1486</v>
      </c>
      <c r="U1274" s="2"/>
      <c r="V1274" s="2" t="s">
        <v>795</v>
      </c>
      <c r="W1274" s="2" t="s">
        <v>3399</v>
      </c>
      <c r="X1274" s="2" t="s">
        <v>3242</v>
      </c>
      <c r="Y1274" s="488" t="s">
        <v>1486</v>
      </c>
      <c r="Z1274" s="293">
        <f t="shared" si="164"/>
        <v>0</v>
      </c>
      <c r="AA1274" s="293">
        <f t="shared" si="165"/>
        <v>0</v>
      </c>
    </row>
    <row r="1275" spans="1:27" s="320" customFormat="1" x14ac:dyDescent="0.25">
      <c r="A1275" s="220" t="s">
        <v>896</v>
      </c>
      <c r="B1275" s="221" t="s">
        <v>2313</v>
      </c>
      <c r="C1275" s="223" t="s">
        <v>1666</v>
      </c>
      <c r="D1275" s="220" t="s">
        <v>2309</v>
      </c>
      <c r="E1275" s="222">
        <v>1</v>
      </c>
      <c r="F1275" s="192">
        <v>0</v>
      </c>
      <c r="G1275" s="24">
        <v>0.2</v>
      </c>
      <c r="H1275" s="24">
        <v>0.05</v>
      </c>
      <c r="I1275" s="24">
        <v>0.05</v>
      </c>
      <c r="J1275" s="24">
        <v>0</v>
      </c>
      <c r="K1275" s="224">
        <f t="shared" si="157"/>
        <v>0</v>
      </c>
      <c r="L1275" s="225">
        <f t="shared" si="163"/>
        <v>0</v>
      </c>
      <c r="M1275" s="225">
        <f t="shared" si="159"/>
        <v>0</v>
      </c>
      <c r="N1275" s="226">
        <f t="shared" si="161"/>
        <v>0</v>
      </c>
      <c r="O1275" s="34">
        <v>0.3</v>
      </c>
      <c r="P1275" s="226">
        <f t="shared" si="160"/>
        <v>0</v>
      </c>
      <c r="Q1275" s="107" t="s">
        <v>1486</v>
      </c>
      <c r="R1275" s="34">
        <v>0.25</v>
      </c>
      <c r="S1275" s="226">
        <f t="shared" si="162"/>
        <v>0</v>
      </c>
      <c r="T1275" s="156" t="s">
        <v>1486</v>
      </c>
      <c r="U1275" s="2"/>
      <c r="V1275" s="2" t="s">
        <v>795</v>
      </c>
      <c r="W1275" s="2" t="s">
        <v>3399</v>
      </c>
      <c r="X1275" s="2" t="s">
        <v>3242</v>
      </c>
      <c r="Y1275" s="488" t="s">
        <v>1486</v>
      </c>
      <c r="Z1275" s="293">
        <f t="shared" si="164"/>
        <v>0</v>
      </c>
      <c r="AA1275" s="293">
        <f t="shared" si="165"/>
        <v>0</v>
      </c>
    </row>
    <row r="1276" spans="1:27" s="320" customFormat="1" x14ac:dyDescent="0.25">
      <c r="A1276" s="220" t="s">
        <v>897</v>
      </c>
      <c r="B1276" s="221" t="s">
        <v>2557</v>
      </c>
      <c r="C1276" s="223" t="s">
        <v>1666</v>
      </c>
      <c r="D1276" s="220" t="s">
        <v>2309</v>
      </c>
      <c r="E1276" s="222">
        <v>1</v>
      </c>
      <c r="F1276" s="192">
        <v>0</v>
      </c>
      <c r="G1276" s="24">
        <v>0.2</v>
      </c>
      <c r="H1276" s="24">
        <v>0.05</v>
      </c>
      <c r="I1276" s="24">
        <v>0.05</v>
      </c>
      <c r="J1276" s="24">
        <v>0</v>
      </c>
      <c r="K1276" s="224">
        <f t="shared" si="157"/>
        <v>0</v>
      </c>
      <c r="L1276" s="225">
        <f t="shared" si="163"/>
        <v>0</v>
      </c>
      <c r="M1276" s="225">
        <f t="shared" si="159"/>
        <v>0</v>
      </c>
      <c r="N1276" s="226">
        <f t="shared" si="161"/>
        <v>0</v>
      </c>
      <c r="O1276" s="34">
        <v>0.3</v>
      </c>
      <c r="P1276" s="226">
        <f t="shared" si="160"/>
        <v>0</v>
      </c>
      <c r="Q1276" s="107" t="s">
        <v>1486</v>
      </c>
      <c r="R1276" s="34">
        <v>0.25</v>
      </c>
      <c r="S1276" s="226">
        <f t="shared" si="162"/>
        <v>0</v>
      </c>
      <c r="T1276" s="156" t="s">
        <v>1486</v>
      </c>
      <c r="U1276" s="2"/>
      <c r="V1276" s="2" t="s">
        <v>795</v>
      </c>
      <c r="W1276" s="2" t="s">
        <v>3399</v>
      </c>
      <c r="X1276" s="2" t="s">
        <v>3242</v>
      </c>
      <c r="Y1276" s="488" t="s">
        <v>1486</v>
      </c>
      <c r="Z1276" s="293">
        <f t="shared" si="164"/>
        <v>0</v>
      </c>
      <c r="AA1276" s="293">
        <f t="shared" si="165"/>
        <v>0</v>
      </c>
    </row>
    <row r="1277" spans="1:27" s="320" customFormat="1" x14ac:dyDescent="0.25">
      <c r="A1277" s="220" t="s">
        <v>899</v>
      </c>
      <c r="B1277" s="221" t="s">
        <v>3727</v>
      </c>
      <c r="C1277" s="223" t="s">
        <v>1666</v>
      </c>
      <c r="D1277" s="220" t="s">
        <v>2580</v>
      </c>
      <c r="E1277" s="222">
        <v>6</v>
      </c>
      <c r="F1277" s="192">
        <v>0</v>
      </c>
      <c r="G1277" s="24">
        <v>0.2</v>
      </c>
      <c r="H1277" s="24">
        <v>0.05</v>
      </c>
      <c r="I1277" s="24">
        <v>0.05</v>
      </c>
      <c r="J1277" s="24">
        <v>0</v>
      </c>
      <c r="K1277" s="224">
        <f t="shared" si="157"/>
        <v>0</v>
      </c>
      <c r="L1277" s="225">
        <f t="shared" si="163"/>
        <v>0</v>
      </c>
      <c r="M1277" s="225">
        <f t="shared" si="159"/>
        <v>0</v>
      </c>
      <c r="N1277" s="226">
        <f t="shared" si="161"/>
        <v>0</v>
      </c>
      <c r="O1277" s="34">
        <v>0.3</v>
      </c>
      <c r="P1277" s="226">
        <f t="shared" si="160"/>
        <v>0</v>
      </c>
      <c r="Q1277" s="107" t="s">
        <v>1486</v>
      </c>
      <c r="R1277" s="34">
        <v>0.25</v>
      </c>
      <c r="S1277" s="226">
        <f t="shared" si="162"/>
        <v>0</v>
      </c>
      <c r="T1277" s="156" t="s">
        <v>1486</v>
      </c>
      <c r="U1277" s="2"/>
      <c r="V1277" s="2" t="s">
        <v>795</v>
      </c>
      <c r="W1277" s="2" t="s">
        <v>3399</v>
      </c>
      <c r="X1277" s="2" t="s">
        <v>3242</v>
      </c>
      <c r="Y1277" s="488" t="s">
        <v>1486</v>
      </c>
      <c r="Z1277" s="293">
        <f t="shared" si="164"/>
        <v>0</v>
      </c>
      <c r="AA1277" s="293">
        <f t="shared" si="165"/>
        <v>0</v>
      </c>
    </row>
    <row r="1278" spans="1:27" s="320" customFormat="1" x14ac:dyDescent="0.25">
      <c r="A1278" s="220" t="s">
        <v>900</v>
      </c>
      <c r="B1278" s="221" t="s">
        <v>902</v>
      </c>
      <c r="C1278" s="223" t="s">
        <v>1666</v>
      </c>
      <c r="D1278" s="220" t="s">
        <v>903</v>
      </c>
      <c r="E1278" s="222">
        <v>1</v>
      </c>
      <c r="F1278" s="192">
        <v>0</v>
      </c>
      <c r="G1278" s="24">
        <v>0.2</v>
      </c>
      <c r="H1278" s="24">
        <v>0.05</v>
      </c>
      <c r="I1278" s="24">
        <v>0.05</v>
      </c>
      <c r="J1278" s="24">
        <v>0</v>
      </c>
      <c r="K1278" s="224">
        <f t="shared" si="157"/>
        <v>0</v>
      </c>
      <c r="L1278" s="225">
        <f t="shared" ref="L1278:L1309" si="166">+M1278*E1278</f>
        <v>0</v>
      </c>
      <c r="M1278" s="225">
        <f t="shared" si="159"/>
        <v>0</v>
      </c>
      <c r="N1278" s="226">
        <f t="shared" si="161"/>
        <v>0</v>
      </c>
      <c r="O1278" s="34">
        <v>0.3</v>
      </c>
      <c r="P1278" s="226">
        <f t="shared" si="160"/>
        <v>0</v>
      </c>
      <c r="Q1278" s="107" t="s">
        <v>1486</v>
      </c>
      <c r="R1278" s="34">
        <v>0.25</v>
      </c>
      <c r="S1278" s="226">
        <f t="shared" si="162"/>
        <v>0</v>
      </c>
      <c r="T1278" s="156" t="s">
        <v>1486</v>
      </c>
      <c r="U1278" s="2"/>
      <c r="V1278" s="2" t="s">
        <v>795</v>
      </c>
      <c r="W1278" s="2" t="s">
        <v>3399</v>
      </c>
      <c r="X1278" s="2" t="s">
        <v>3242</v>
      </c>
      <c r="Y1278" s="488" t="s">
        <v>1486</v>
      </c>
      <c r="Z1278" s="293">
        <f t="shared" si="164"/>
        <v>0</v>
      </c>
      <c r="AA1278" s="293">
        <f t="shared" si="165"/>
        <v>0</v>
      </c>
    </row>
    <row r="1279" spans="1:27" s="320" customFormat="1" x14ac:dyDescent="0.25">
      <c r="A1279" s="220" t="s">
        <v>901</v>
      </c>
      <c r="B1279" s="221" t="s">
        <v>2607</v>
      </c>
      <c r="C1279" s="223" t="s">
        <v>1666</v>
      </c>
      <c r="D1279" s="220" t="s">
        <v>2580</v>
      </c>
      <c r="E1279" s="222">
        <v>1</v>
      </c>
      <c r="F1279" s="192">
        <v>0</v>
      </c>
      <c r="G1279" s="24">
        <v>0.2</v>
      </c>
      <c r="H1279" s="24">
        <v>0.05</v>
      </c>
      <c r="I1279" s="24">
        <v>0.05</v>
      </c>
      <c r="J1279" s="24">
        <v>0</v>
      </c>
      <c r="K1279" s="224">
        <f t="shared" si="157"/>
        <v>0</v>
      </c>
      <c r="L1279" s="225">
        <f t="shared" si="166"/>
        <v>0</v>
      </c>
      <c r="M1279" s="225">
        <f t="shared" si="159"/>
        <v>0</v>
      </c>
      <c r="N1279" s="226">
        <f t="shared" si="161"/>
        <v>0</v>
      </c>
      <c r="O1279" s="34">
        <v>0.3</v>
      </c>
      <c r="P1279" s="226">
        <f t="shared" si="160"/>
        <v>0</v>
      </c>
      <c r="Q1279" s="107" t="s">
        <v>1486</v>
      </c>
      <c r="R1279" s="34">
        <v>0.25</v>
      </c>
      <c r="S1279" s="226">
        <f t="shared" si="162"/>
        <v>0</v>
      </c>
      <c r="T1279" s="156" t="s">
        <v>1486</v>
      </c>
      <c r="U1279" s="2"/>
      <c r="V1279" s="2" t="s">
        <v>795</v>
      </c>
      <c r="W1279" s="2" t="s">
        <v>3399</v>
      </c>
      <c r="X1279" s="2" t="s">
        <v>3242</v>
      </c>
      <c r="Y1279" s="488" t="s">
        <v>1486</v>
      </c>
      <c r="Z1279" s="293">
        <f t="shared" si="164"/>
        <v>0</v>
      </c>
      <c r="AA1279" s="293">
        <f t="shared" si="165"/>
        <v>0</v>
      </c>
    </row>
    <row r="1280" spans="1:27" s="320" customFormat="1" x14ac:dyDescent="0.25">
      <c r="A1280" s="220" t="s">
        <v>904</v>
      </c>
      <c r="B1280" s="221" t="s">
        <v>3728</v>
      </c>
      <c r="C1280" s="223" t="s">
        <v>1666</v>
      </c>
      <c r="D1280" s="220" t="s">
        <v>2580</v>
      </c>
      <c r="E1280" s="222">
        <v>6</v>
      </c>
      <c r="F1280" s="192">
        <v>0</v>
      </c>
      <c r="G1280" s="24">
        <v>0.2</v>
      </c>
      <c r="H1280" s="24">
        <v>0.05</v>
      </c>
      <c r="I1280" s="24">
        <v>0.05</v>
      </c>
      <c r="J1280" s="24">
        <v>0</v>
      </c>
      <c r="K1280" s="224">
        <f t="shared" si="157"/>
        <v>0</v>
      </c>
      <c r="L1280" s="225">
        <f t="shared" si="166"/>
        <v>0</v>
      </c>
      <c r="M1280" s="225">
        <f t="shared" si="159"/>
        <v>0</v>
      </c>
      <c r="N1280" s="226">
        <f t="shared" si="161"/>
        <v>0</v>
      </c>
      <c r="O1280" s="34">
        <v>0.3</v>
      </c>
      <c r="P1280" s="226">
        <f t="shared" si="160"/>
        <v>0</v>
      </c>
      <c r="Q1280" s="107" t="s">
        <v>1486</v>
      </c>
      <c r="R1280" s="34">
        <v>0.25</v>
      </c>
      <c r="S1280" s="226">
        <f t="shared" si="162"/>
        <v>0</v>
      </c>
      <c r="T1280" s="156" t="s">
        <v>1486</v>
      </c>
      <c r="U1280" s="2"/>
      <c r="V1280" s="2" t="s">
        <v>795</v>
      </c>
      <c r="W1280" s="2" t="s">
        <v>3399</v>
      </c>
      <c r="X1280" s="2" t="s">
        <v>3242</v>
      </c>
      <c r="Y1280" s="488" t="s">
        <v>1486</v>
      </c>
      <c r="Z1280" s="293">
        <f t="shared" si="164"/>
        <v>0</v>
      </c>
      <c r="AA1280" s="293">
        <f t="shared" si="165"/>
        <v>0</v>
      </c>
    </row>
    <row r="1281" spans="1:27" s="320" customFormat="1" x14ac:dyDescent="0.25">
      <c r="A1281" s="220" t="s">
        <v>905</v>
      </c>
      <c r="B1281" s="221" t="s">
        <v>908</v>
      </c>
      <c r="C1281" s="223" t="s">
        <v>1666</v>
      </c>
      <c r="D1281" s="220" t="s">
        <v>903</v>
      </c>
      <c r="E1281" s="222">
        <v>1</v>
      </c>
      <c r="F1281" s="192">
        <v>0</v>
      </c>
      <c r="G1281" s="24">
        <v>0.2</v>
      </c>
      <c r="H1281" s="24">
        <v>0.05</v>
      </c>
      <c r="I1281" s="24">
        <v>0.05</v>
      </c>
      <c r="J1281" s="24">
        <v>0</v>
      </c>
      <c r="K1281" s="224">
        <f t="shared" si="157"/>
        <v>0</v>
      </c>
      <c r="L1281" s="225">
        <f t="shared" si="166"/>
        <v>0</v>
      </c>
      <c r="M1281" s="225">
        <f t="shared" si="159"/>
        <v>0</v>
      </c>
      <c r="N1281" s="226">
        <f t="shared" si="161"/>
        <v>0</v>
      </c>
      <c r="O1281" s="34">
        <v>0.3</v>
      </c>
      <c r="P1281" s="226">
        <f t="shared" si="160"/>
        <v>0</v>
      </c>
      <c r="Q1281" s="107" t="s">
        <v>1486</v>
      </c>
      <c r="R1281" s="34">
        <v>0.25</v>
      </c>
      <c r="S1281" s="226">
        <f t="shared" si="162"/>
        <v>0</v>
      </c>
      <c r="T1281" s="156" t="s">
        <v>1486</v>
      </c>
      <c r="U1281" s="2"/>
      <c r="V1281" s="2" t="s">
        <v>795</v>
      </c>
      <c r="W1281" s="2" t="s">
        <v>3399</v>
      </c>
      <c r="X1281" s="2" t="s">
        <v>3242</v>
      </c>
      <c r="Y1281" s="488" t="s">
        <v>1486</v>
      </c>
      <c r="Z1281" s="293">
        <f t="shared" si="164"/>
        <v>0</v>
      </c>
      <c r="AA1281" s="293">
        <f t="shared" si="165"/>
        <v>0</v>
      </c>
    </row>
    <row r="1282" spans="1:27" s="320" customFormat="1" x14ac:dyDescent="0.25">
      <c r="A1282" s="220" t="s">
        <v>906</v>
      </c>
      <c r="B1282" s="221" t="s">
        <v>2573</v>
      </c>
      <c r="C1282" s="223" t="s">
        <v>1666</v>
      </c>
      <c r="D1282" s="220" t="s">
        <v>2580</v>
      </c>
      <c r="E1282" s="222">
        <v>6</v>
      </c>
      <c r="F1282" s="192">
        <v>0</v>
      </c>
      <c r="G1282" s="24">
        <v>0.2</v>
      </c>
      <c r="H1282" s="24">
        <v>0.05</v>
      </c>
      <c r="I1282" s="24">
        <v>0.05</v>
      </c>
      <c r="J1282" s="24">
        <v>0</v>
      </c>
      <c r="K1282" s="224">
        <f t="shared" si="157"/>
        <v>0</v>
      </c>
      <c r="L1282" s="225">
        <f t="shared" si="166"/>
        <v>0</v>
      </c>
      <c r="M1282" s="225">
        <f t="shared" si="159"/>
        <v>0</v>
      </c>
      <c r="N1282" s="226">
        <f t="shared" si="161"/>
        <v>0</v>
      </c>
      <c r="O1282" s="34">
        <v>0.3</v>
      </c>
      <c r="P1282" s="226">
        <f t="shared" si="160"/>
        <v>0</v>
      </c>
      <c r="Q1282" s="107" t="s">
        <v>1486</v>
      </c>
      <c r="R1282" s="34">
        <v>0.25</v>
      </c>
      <c r="S1282" s="226">
        <f t="shared" si="162"/>
        <v>0</v>
      </c>
      <c r="T1282" s="156" t="s">
        <v>1486</v>
      </c>
      <c r="U1282" s="2"/>
      <c r="V1282" s="2" t="s">
        <v>795</v>
      </c>
      <c r="W1282" s="2" t="s">
        <v>3399</v>
      </c>
      <c r="X1282" s="2" t="s">
        <v>3242</v>
      </c>
      <c r="Y1282" s="488" t="s">
        <v>1486</v>
      </c>
      <c r="Z1282" s="293">
        <f t="shared" si="164"/>
        <v>0</v>
      </c>
      <c r="AA1282" s="293">
        <f t="shared" si="165"/>
        <v>0</v>
      </c>
    </row>
    <row r="1283" spans="1:27" s="320" customFormat="1" x14ac:dyDescent="0.25">
      <c r="A1283" s="220" t="s">
        <v>907</v>
      </c>
      <c r="B1283" s="221" t="s">
        <v>911</v>
      </c>
      <c r="C1283" s="223" t="s">
        <v>1666</v>
      </c>
      <c r="D1283" s="220" t="s">
        <v>903</v>
      </c>
      <c r="E1283" s="222">
        <v>1</v>
      </c>
      <c r="F1283" s="192">
        <v>0</v>
      </c>
      <c r="G1283" s="24">
        <v>0.2</v>
      </c>
      <c r="H1283" s="24">
        <v>0.05</v>
      </c>
      <c r="I1283" s="24">
        <v>0.05</v>
      </c>
      <c r="J1283" s="24">
        <v>0</v>
      </c>
      <c r="K1283" s="224">
        <f t="shared" ref="K1283:K1346" si="167">IF(F1283=0,0,1-(F1283/M1283))</f>
        <v>0</v>
      </c>
      <c r="L1283" s="225">
        <f t="shared" si="166"/>
        <v>0</v>
      </c>
      <c r="M1283" s="225">
        <f t="shared" ref="M1283:M1346" si="168">+F1283/(1-G1283)/(1-H1283)/(1-I1283)/(1-J1283)</f>
        <v>0</v>
      </c>
      <c r="N1283" s="226">
        <f t="shared" si="161"/>
        <v>0</v>
      </c>
      <c r="O1283" s="34">
        <v>0.3</v>
      </c>
      <c r="P1283" s="226">
        <f t="shared" ref="P1283:P1346" si="169">+N1283*(1+O1283)</f>
        <v>0</v>
      </c>
      <c r="Q1283" s="107" t="s">
        <v>1486</v>
      </c>
      <c r="R1283" s="34">
        <v>0.25</v>
      </c>
      <c r="S1283" s="226">
        <f t="shared" si="162"/>
        <v>0</v>
      </c>
      <c r="T1283" s="156" t="s">
        <v>1486</v>
      </c>
      <c r="U1283" s="2"/>
      <c r="V1283" s="2" t="s">
        <v>795</v>
      </c>
      <c r="W1283" s="2" t="s">
        <v>3399</v>
      </c>
      <c r="X1283" s="2" t="s">
        <v>3242</v>
      </c>
      <c r="Y1283" s="488" t="s">
        <v>1486</v>
      </c>
      <c r="Z1283" s="293">
        <f t="shared" si="164"/>
        <v>0</v>
      </c>
      <c r="AA1283" s="293">
        <f t="shared" si="165"/>
        <v>0</v>
      </c>
    </row>
    <row r="1284" spans="1:27" s="320" customFormat="1" x14ac:dyDescent="0.25">
      <c r="A1284" s="220" t="s">
        <v>909</v>
      </c>
      <c r="B1284" s="221" t="s">
        <v>913</v>
      </c>
      <c r="C1284" s="223" t="s">
        <v>1666</v>
      </c>
      <c r="D1284" s="220" t="s">
        <v>903</v>
      </c>
      <c r="E1284" s="222">
        <v>1</v>
      </c>
      <c r="F1284" s="192">
        <v>0</v>
      </c>
      <c r="G1284" s="24">
        <v>0.2</v>
      </c>
      <c r="H1284" s="24">
        <v>0.05</v>
      </c>
      <c r="I1284" s="24">
        <v>0.05</v>
      </c>
      <c r="J1284" s="24">
        <v>0</v>
      </c>
      <c r="K1284" s="224">
        <f t="shared" si="167"/>
        <v>0</v>
      </c>
      <c r="L1284" s="225">
        <f t="shared" si="166"/>
        <v>0</v>
      </c>
      <c r="M1284" s="225">
        <f t="shared" si="168"/>
        <v>0</v>
      </c>
      <c r="N1284" s="226">
        <f t="shared" si="161"/>
        <v>0</v>
      </c>
      <c r="O1284" s="34">
        <v>0.3</v>
      </c>
      <c r="P1284" s="226">
        <f t="shared" si="169"/>
        <v>0</v>
      </c>
      <c r="Q1284" s="107" t="s">
        <v>1486</v>
      </c>
      <c r="R1284" s="34">
        <v>0.25</v>
      </c>
      <c r="S1284" s="226">
        <f t="shared" si="162"/>
        <v>0</v>
      </c>
      <c r="T1284" s="156" t="s">
        <v>1486</v>
      </c>
      <c r="U1284" s="2"/>
      <c r="V1284" s="2" t="s">
        <v>795</v>
      </c>
      <c r="W1284" s="2" t="s">
        <v>3399</v>
      </c>
      <c r="X1284" s="2" t="s">
        <v>3242</v>
      </c>
      <c r="Y1284" s="488" t="s">
        <v>1486</v>
      </c>
      <c r="Z1284" s="293">
        <f t="shared" si="164"/>
        <v>0</v>
      </c>
      <c r="AA1284" s="293">
        <f t="shared" si="165"/>
        <v>0</v>
      </c>
    </row>
    <row r="1285" spans="1:27" s="320" customFormat="1" x14ac:dyDescent="0.25">
      <c r="A1285" s="220" t="s">
        <v>910</v>
      </c>
      <c r="B1285" s="221" t="s">
        <v>894</v>
      </c>
      <c r="C1285" s="223" t="s">
        <v>1666</v>
      </c>
      <c r="D1285" s="220" t="s">
        <v>903</v>
      </c>
      <c r="E1285" s="222">
        <v>1</v>
      </c>
      <c r="F1285" s="192">
        <v>0</v>
      </c>
      <c r="G1285" s="24">
        <v>0.2</v>
      </c>
      <c r="H1285" s="24">
        <v>0.05</v>
      </c>
      <c r="I1285" s="24">
        <v>0.05</v>
      </c>
      <c r="J1285" s="24">
        <v>0</v>
      </c>
      <c r="K1285" s="224">
        <f t="shared" si="167"/>
        <v>0</v>
      </c>
      <c r="L1285" s="225">
        <f t="shared" si="166"/>
        <v>0</v>
      </c>
      <c r="M1285" s="225">
        <f t="shared" si="168"/>
        <v>0</v>
      </c>
      <c r="N1285" s="226">
        <f t="shared" si="161"/>
        <v>0</v>
      </c>
      <c r="O1285" s="34">
        <v>0.3</v>
      </c>
      <c r="P1285" s="226">
        <f t="shared" si="169"/>
        <v>0</v>
      </c>
      <c r="Q1285" s="107" t="s">
        <v>1486</v>
      </c>
      <c r="R1285" s="34">
        <v>0.25</v>
      </c>
      <c r="S1285" s="226">
        <f t="shared" si="162"/>
        <v>0</v>
      </c>
      <c r="T1285" s="156" t="s">
        <v>1486</v>
      </c>
      <c r="U1285" s="2"/>
      <c r="V1285" s="2" t="s">
        <v>795</v>
      </c>
      <c r="W1285" s="2" t="s">
        <v>3399</v>
      </c>
      <c r="X1285" s="2" t="s">
        <v>3242</v>
      </c>
      <c r="Y1285" s="488" t="s">
        <v>1486</v>
      </c>
      <c r="Z1285" s="293">
        <f t="shared" si="164"/>
        <v>0</v>
      </c>
      <c r="AA1285" s="293">
        <f t="shared" si="165"/>
        <v>0</v>
      </c>
    </row>
    <row r="1286" spans="1:27" s="320" customFormat="1" x14ac:dyDescent="0.25">
      <c r="A1286" s="220" t="s">
        <v>912</v>
      </c>
      <c r="B1286" s="221" t="s">
        <v>3729</v>
      </c>
      <c r="C1286" s="223" t="s">
        <v>1666</v>
      </c>
      <c r="D1286" s="220" t="s">
        <v>2580</v>
      </c>
      <c r="E1286" s="222">
        <v>6</v>
      </c>
      <c r="F1286" s="192">
        <v>0</v>
      </c>
      <c r="G1286" s="24">
        <v>0.2</v>
      </c>
      <c r="H1286" s="24">
        <v>0.05</v>
      </c>
      <c r="I1286" s="24">
        <v>0.05</v>
      </c>
      <c r="J1286" s="24">
        <v>0</v>
      </c>
      <c r="K1286" s="224">
        <f t="shared" si="167"/>
        <v>0</v>
      </c>
      <c r="L1286" s="225">
        <f t="shared" si="166"/>
        <v>0</v>
      </c>
      <c r="M1286" s="225">
        <f t="shared" si="168"/>
        <v>0</v>
      </c>
      <c r="N1286" s="226">
        <f t="shared" si="161"/>
        <v>0</v>
      </c>
      <c r="O1286" s="34">
        <v>0.3</v>
      </c>
      <c r="P1286" s="226">
        <f t="shared" si="169"/>
        <v>0</v>
      </c>
      <c r="Q1286" s="107" t="s">
        <v>1486</v>
      </c>
      <c r="R1286" s="34">
        <v>0.25</v>
      </c>
      <c r="S1286" s="226">
        <f t="shared" si="162"/>
        <v>0</v>
      </c>
      <c r="T1286" s="156" t="s">
        <v>1486</v>
      </c>
      <c r="U1286" s="2"/>
      <c r="V1286" s="2" t="s">
        <v>795</v>
      </c>
      <c r="W1286" s="2" t="s">
        <v>3399</v>
      </c>
      <c r="X1286" s="2" t="s">
        <v>3242</v>
      </c>
      <c r="Y1286" s="488" t="s">
        <v>1486</v>
      </c>
      <c r="Z1286" s="293">
        <f t="shared" si="164"/>
        <v>0</v>
      </c>
      <c r="AA1286" s="293">
        <f t="shared" si="165"/>
        <v>0</v>
      </c>
    </row>
    <row r="1287" spans="1:27" s="320" customFormat="1" x14ac:dyDescent="0.25">
      <c r="A1287" s="220" t="s">
        <v>914</v>
      </c>
      <c r="B1287" s="221" t="s">
        <v>2608</v>
      </c>
      <c r="C1287" s="223" t="s">
        <v>1666</v>
      </c>
      <c r="D1287" s="220" t="s">
        <v>2580</v>
      </c>
      <c r="E1287" s="222">
        <v>6</v>
      </c>
      <c r="F1287" s="192">
        <v>0</v>
      </c>
      <c r="G1287" s="24">
        <v>0.2</v>
      </c>
      <c r="H1287" s="24">
        <v>0.05</v>
      </c>
      <c r="I1287" s="24">
        <v>0.05</v>
      </c>
      <c r="J1287" s="24">
        <v>0</v>
      </c>
      <c r="K1287" s="224">
        <f t="shared" si="167"/>
        <v>0</v>
      </c>
      <c r="L1287" s="225">
        <f t="shared" si="166"/>
        <v>0</v>
      </c>
      <c r="M1287" s="225">
        <f t="shared" si="168"/>
        <v>0</v>
      </c>
      <c r="N1287" s="226">
        <f t="shared" si="161"/>
        <v>0</v>
      </c>
      <c r="O1287" s="34">
        <v>0.3</v>
      </c>
      <c r="P1287" s="226">
        <f t="shared" si="169"/>
        <v>0</v>
      </c>
      <c r="Q1287" s="107" t="s">
        <v>1486</v>
      </c>
      <c r="R1287" s="34">
        <v>0.25</v>
      </c>
      <c r="S1287" s="226">
        <f t="shared" si="162"/>
        <v>0</v>
      </c>
      <c r="T1287" s="156" t="s">
        <v>1486</v>
      </c>
      <c r="U1287" s="2"/>
      <c r="V1287" s="2" t="s">
        <v>795</v>
      </c>
      <c r="W1287" s="2" t="s">
        <v>3399</v>
      </c>
      <c r="X1287" s="2" t="s">
        <v>3242</v>
      </c>
      <c r="Y1287" s="488" t="s">
        <v>1486</v>
      </c>
      <c r="Z1287" s="293">
        <f t="shared" si="164"/>
        <v>0</v>
      </c>
      <c r="AA1287" s="293">
        <f t="shared" si="165"/>
        <v>0</v>
      </c>
    </row>
    <row r="1288" spans="1:27" s="320" customFormat="1" x14ac:dyDescent="0.25">
      <c r="A1288" s="220" t="s">
        <v>915</v>
      </c>
      <c r="B1288" s="221" t="s">
        <v>2502</v>
      </c>
      <c r="C1288" s="223" t="s">
        <v>1666</v>
      </c>
      <c r="D1288" s="220" t="s">
        <v>2580</v>
      </c>
      <c r="E1288" s="222">
        <v>6</v>
      </c>
      <c r="F1288" s="192">
        <v>0</v>
      </c>
      <c r="G1288" s="24">
        <v>0.2</v>
      </c>
      <c r="H1288" s="24">
        <v>0.05</v>
      </c>
      <c r="I1288" s="24">
        <v>0.05</v>
      </c>
      <c r="J1288" s="24">
        <v>0</v>
      </c>
      <c r="K1288" s="224">
        <f t="shared" si="167"/>
        <v>0</v>
      </c>
      <c r="L1288" s="225">
        <f t="shared" si="166"/>
        <v>0</v>
      </c>
      <c r="M1288" s="225">
        <f t="shared" si="168"/>
        <v>0</v>
      </c>
      <c r="N1288" s="226">
        <f t="shared" si="161"/>
        <v>0</v>
      </c>
      <c r="O1288" s="34">
        <v>0.3</v>
      </c>
      <c r="P1288" s="226">
        <f t="shared" si="169"/>
        <v>0</v>
      </c>
      <c r="Q1288" s="107" t="s">
        <v>1486</v>
      </c>
      <c r="R1288" s="34">
        <v>0.25</v>
      </c>
      <c r="S1288" s="226">
        <f t="shared" si="162"/>
        <v>0</v>
      </c>
      <c r="T1288" s="156" t="s">
        <v>1486</v>
      </c>
      <c r="U1288" s="2"/>
      <c r="V1288" s="2" t="s">
        <v>795</v>
      </c>
      <c r="W1288" s="2" t="s">
        <v>3399</v>
      </c>
      <c r="X1288" s="2" t="s">
        <v>3242</v>
      </c>
      <c r="Y1288" s="488" t="s">
        <v>1486</v>
      </c>
      <c r="Z1288" s="293">
        <f t="shared" si="164"/>
        <v>0</v>
      </c>
      <c r="AA1288" s="293">
        <f t="shared" si="165"/>
        <v>0</v>
      </c>
    </row>
    <row r="1289" spans="1:27" s="320" customFormat="1" x14ac:dyDescent="0.25">
      <c r="A1289" s="220" t="s">
        <v>916</v>
      </c>
      <c r="B1289" s="221" t="s">
        <v>4342</v>
      </c>
      <c r="C1289" s="223" t="s">
        <v>1666</v>
      </c>
      <c r="D1289" s="220" t="s">
        <v>2311</v>
      </c>
      <c r="E1289" s="222">
        <v>1</v>
      </c>
      <c r="F1289" s="192">
        <v>0</v>
      </c>
      <c r="G1289" s="24">
        <v>0.2</v>
      </c>
      <c r="H1289" s="24">
        <v>0.05</v>
      </c>
      <c r="I1289" s="24">
        <v>0.05</v>
      </c>
      <c r="J1289" s="24">
        <v>0</v>
      </c>
      <c r="K1289" s="224">
        <f t="shared" si="167"/>
        <v>0</v>
      </c>
      <c r="L1289" s="225">
        <f t="shared" si="166"/>
        <v>0</v>
      </c>
      <c r="M1289" s="225">
        <f t="shared" si="168"/>
        <v>0</v>
      </c>
      <c r="N1289" s="226">
        <f t="shared" si="161"/>
        <v>0</v>
      </c>
      <c r="O1289" s="34">
        <v>0.2</v>
      </c>
      <c r="P1289" s="226">
        <f t="shared" si="169"/>
        <v>0</v>
      </c>
      <c r="Q1289" s="107" t="s">
        <v>1486</v>
      </c>
      <c r="R1289" s="34">
        <v>0.21</v>
      </c>
      <c r="S1289" s="226">
        <f t="shared" si="162"/>
        <v>0</v>
      </c>
      <c r="T1289" s="156" t="s">
        <v>1486</v>
      </c>
      <c r="U1289" s="2"/>
      <c r="V1289" s="2" t="s">
        <v>795</v>
      </c>
      <c r="W1289" s="2" t="s">
        <v>3399</v>
      </c>
      <c r="X1289" s="2" t="s">
        <v>3242</v>
      </c>
      <c r="Y1289" s="488" t="s">
        <v>1486</v>
      </c>
      <c r="Z1289" s="293">
        <f t="shared" si="164"/>
        <v>0</v>
      </c>
      <c r="AA1289" s="293">
        <f t="shared" si="165"/>
        <v>0</v>
      </c>
    </row>
    <row r="1290" spans="1:27" s="320" customFormat="1" x14ac:dyDescent="0.25">
      <c r="A1290" s="220" t="s">
        <v>917</v>
      </c>
      <c r="B1290" s="221" t="s">
        <v>3589</v>
      </c>
      <c r="C1290" s="223" t="s">
        <v>1666</v>
      </c>
      <c r="D1290" s="220" t="s">
        <v>2311</v>
      </c>
      <c r="E1290" s="222">
        <v>1</v>
      </c>
      <c r="F1290" s="192">
        <v>26471</v>
      </c>
      <c r="G1290" s="24">
        <v>0.2</v>
      </c>
      <c r="H1290" s="24">
        <v>0.05</v>
      </c>
      <c r="I1290" s="24">
        <v>0.05</v>
      </c>
      <c r="J1290" s="24">
        <v>0</v>
      </c>
      <c r="K1290" s="224">
        <f t="shared" si="167"/>
        <v>0.27800000000000014</v>
      </c>
      <c r="L1290" s="225">
        <f t="shared" si="166"/>
        <v>36663.434903047098</v>
      </c>
      <c r="M1290" s="225">
        <f t="shared" si="168"/>
        <v>36663.434903047098</v>
      </c>
      <c r="N1290" s="226">
        <f t="shared" si="161"/>
        <v>43629.487534626045</v>
      </c>
      <c r="O1290" s="34">
        <v>0.2</v>
      </c>
      <c r="P1290" s="226">
        <f t="shared" si="169"/>
        <v>52355.38504155125</v>
      </c>
      <c r="Q1290" s="107" t="s">
        <v>1486</v>
      </c>
      <c r="R1290" s="34">
        <v>0.24998833346175187</v>
      </c>
      <c r="S1290" s="226">
        <f t="shared" si="162"/>
        <v>42000.000007191324</v>
      </c>
      <c r="T1290" s="156" t="s">
        <v>1486</v>
      </c>
      <c r="U1290" s="2"/>
      <c r="V1290" s="2" t="s">
        <v>795</v>
      </c>
      <c r="W1290" s="2" t="s">
        <v>3399</v>
      </c>
      <c r="X1290" s="2" t="s">
        <v>3242</v>
      </c>
      <c r="Y1290" s="488" t="s">
        <v>1486</v>
      </c>
      <c r="Z1290" s="293">
        <f t="shared" si="164"/>
        <v>10192.434903047098</v>
      </c>
      <c r="AA1290" s="293">
        <f t="shared" si="165"/>
        <v>8823.1176531019519</v>
      </c>
    </row>
    <row r="1291" spans="1:27" s="320" customFormat="1" x14ac:dyDescent="0.25">
      <c r="A1291" s="220" t="s">
        <v>918</v>
      </c>
      <c r="B1291" s="221" t="s">
        <v>2314</v>
      </c>
      <c r="C1291" s="223" t="s">
        <v>1666</v>
      </c>
      <c r="D1291" s="220" t="s">
        <v>2311</v>
      </c>
      <c r="E1291" s="222">
        <v>1</v>
      </c>
      <c r="F1291" s="192">
        <v>0</v>
      </c>
      <c r="G1291" s="24">
        <v>0.2</v>
      </c>
      <c r="H1291" s="24">
        <v>0.05</v>
      </c>
      <c r="I1291" s="24">
        <v>0.05</v>
      </c>
      <c r="J1291" s="24">
        <v>0</v>
      </c>
      <c r="K1291" s="224">
        <f t="shared" si="167"/>
        <v>0</v>
      </c>
      <c r="L1291" s="225">
        <f t="shared" si="166"/>
        <v>0</v>
      </c>
      <c r="M1291" s="225">
        <f t="shared" si="168"/>
        <v>0</v>
      </c>
      <c r="N1291" s="226">
        <f t="shared" si="161"/>
        <v>0</v>
      </c>
      <c r="O1291" s="34">
        <v>0.2</v>
      </c>
      <c r="P1291" s="226">
        <f t="shared" si="169"/>
        <v>0</v>
      </c>
      <c r="Q1291" s="107" t="s">
        <v>1486</v>
      </c>
      <c r="R1291" s="34">
        <v>0.25</v>
      </c>
      <c r="S1291" s="226">
        <f t="shared" si="162"/>
        <v>0</v>
      </c>
      <c r="T1291" s="156" t="s">
        <v>1486</v>
      </c>
      <c r="U1291" s="2"/>
      <c r="V1291" s="2" t="s">
        <v>795</v>
      </c>
      <c r="W1291" s="2" t="s">
        <v>3399</v>
      </c>
      <c r="X1291" s="2" t="s">
        <v>3242</v>
      </c>
      <c r="Y1291" s="488" t="s">
        <v>1486</v>
      </c>
      <c r="Z1291" s="293">
        <f t="shared" si="164"/>
        <v>0</v>
      </c>
      <c r="AA1291" s="293">
        <f t="shared" si="165"/>
        <v>0</v>
      </c>
    </row>
    <row r="1292" spans="1:27" s="320" customFormat="1" x14ac:dyDescent="0.25">
      <c r="A1292" s="220" t="s">
        <v>919</v>
      </c>
      <c r="B1292" s="221" t="s">
        <v>3241</v>
      </c>
      <c r="C1292" s="223" t="s">
        <v>1666</v>
      </c>
      <c r="D1292" s="220" t="s">
        <v>2311</v>
      </c>
      <c r="E1292" s="222">
        <v>1</v>
      </c>
      <c r="F1292" s="192">
        <v>23647</v>
      </c>
      <c r="G1292" s="24">
        <v>0.2</v>
      </c>
      <c r="H1292" s="24">
        <v>0.05</v>
      </c>
      <c r="I1292" s="24">
        <v>0.05</v>
      </c>
      <c r="J1292" s="24">
        <v>0</v>
      </c>
      <c r="K1292" s="224">
        <f t="shared" si="167"/>
        <v>0.27800000000000002</v>
      </c>
      <c r="L1292" s="225">
        <f t="shared" si="166"/>
        <v>32752.077562326871</v>
      </c>
      <c r="M1292" s="225">
        <f t="shared" si="168"/>
        <v>32752.077562326871</v>
      </c>
      <c r="N1292" s="226">
        <f t="shared" ref="N1292:N1355" si="170">+M1292*1.19</f>
        <v>38974.972299168978</v>
      </c>
      <c r="O1292" s="34">
        <v>0.2</v>
      </c>
      <c r="P1292" s="226">
        <f t="shared" si="169"/>
        <v>46769.966759002775</v>
      </c>
      <c r="Q1292" s="107" t="s">
        <v>1486</v>
      </c>
      <c r="R1292" s="34">
        <v>0.24960186979026644</v>
      </c>
      <c r="S1292" s="226">
        <f t="shared" si="162"/>
        <v>37500.000156097129</v>
      </c>
      <c r="T1292" s="156" t="s">
        <v>1486</v>
      </c>
      <c r="U1292" s="2"/>
      <c r="V1292" s="2" t="s">
        <v>795</v>
      </c>
      <c r="W1292" s="2" t="s">
        <v>3399</v>
      </c>
      <c r="X1292" s="2" t="s">
        <v>3242</v>
      </c>
      <c r="Y1292" s="488" t="s">
        <v>1486</v>
      </c>
      <c r="Z1292" s="293">
        <f t="shared" si="164"/>
        <v>9105.077562326871</v>
      </c>
      <c r="AA1292" s="293">
        <f t="shared" si="165"/>
        <v>7865.6051731908665</v>
      </c>
    </row>
    <row r="1293" spans="1:27" s="320" customFormat="1" x14ac:dyDescent="0.25">
      <c r="A1293" s="220" t="s">
        <v>920</v>
      </c>
      <c r="B1293" s="221" t="s">
        <v>4628</v>
      </c>
      <c r="C1293" s="223" t="s">
        <v>1666</v>
      </c>
      <c r="D1293" s="220" t="s">
        <v>2311</v>
      </c>
      <c r="E1293" s="222">
        <v>1</v>
      </c>
      <c r="F1293" s="192">
        <v>27706</v>
      </c>
      <c r="G1293" s="24">
        <v>0.2</v>
      </c>
      <c r="H1293" s="24">
        <v>0.05</v>
      </c>
      <c r="I1293" s="24">
        <v>0.05</v>
      </c>
      <c r="J1293" s="24">
        <v>0</v>
      </c>
      <c r="K1293" s="224">
        <f t="shared" si="167"/>
        <v>0.27800000000000014</v>
      </c>
      <c r="L1293" s="225">
        <f t="shared" si="166"/>
        <v>38373.961218836572</v>
      </c>
      <c r="M1293" s="225">
        <f t="shared" si="168"/>
        <v>38373.961218836572</v>
      </c>
      <c r="N1293" s="226">
        <f t="shared" si="170"/>
        <v>45665.013850415518</v>
      </c>
      <c r="O1293" s="34">
        <v>0.2</v>
      </c>
      <c r="P1293" s="226">
        <f t="shared" si="169"/>
        <v>54798.016620498624</v>
      </c>
      <c r="Q1293" s="107" t="s">
        <v>1486</v>
      </c>
      <c r="R1293" s="34">
        <v>0.24897175793503987</v>
      </c>
      <c r="S1293" s="226">
        <f t="shared" si="162"/>
        <v>43900.000230814556</v>
      </c>
      <c r="T1293" s="156" t="s">
        <v>1486</v>
      </c>
      <c r="U1293" s="2"/>
      <c r="V1293" s="2" t="s">
        <v>795</v>
      </c>
      <c r="W1293" s="2" t="s">
        <v>3399</v>
      </c>
      <c r="X1293" s="2" t="s">
        <v>3242</v>
      </c>
      <c r="Y1293" s="488" t="s">
        <v>1486</v>
      </c>
      <c r="Z1293" s="293">
        <f t="shared" si="164"/>
        <v>10667.961218836572</v>
      </c>
      <c r="AA1293" s="293">
        <f t="shared" si="165"/>
        <v>9184.7564964828198</v>
      </c>
    </row>
    <row r="1294" spans="1:27" s="320" customFormat="1" x14ac:dyDescent="0.25">
      <c r="A1294" s="220" t="s">
        <v>921</v>
      </c>
      <c r="B1294" s="221" t="s">
        <v>2310</v>
      </c>
      <c r="C1294" s="223" t="s">
        <v>1666</v>
      </c>
      <c r="D1294" s="220" t="s">
        <v>2309</v>
      </c>
      <c r="E1294" s="222">
        <v>1</v>
      </c>
      <c r="F1294" s="192">
        <v>0</v>
      </c>
      <c r="G1294" s="24">
        <v>0.2</v>
      </c>
      <c r="H1294" s="24">
        <v>0.05</v>
      </c>
      <c r="I1294" s="24">
        <v>0.05</v>
      </c>
      <c r="J1294" s="24">
        <v>0</v>
      </c>
      <c r="K1294" s="224">
        <f t="shared" si="167"/>
        <v>0</v>
      </c>
      <c r="L1294" s="225">
        <f t="shared" si="166"/>
        <v>0</v>
      </c>
      <c r="M1294" s="225">
        <f t="shared" si="168"/>
        <v>0</v>
      </c>
      <c r="N1294" s="226">
        <f t="shared" si="170"/>
        <v>0</v>
      </c>
      <c r="O1294" s="34">
        <v>0.3</v>
      </c>
      <c r="P1294" s="226">
        <f t="shared" si="169"/>
        <v>0</v>
      </c>
      <c r="Q1294" s="107" t="s">
        <v>1486</v>
      </c>
      <c r="R1294" s="34">
        <v>0.25</v>
      </c>
      <c r="S1294" s="226">
        <f t="shared" si="162"/>
        <v>0</v>
      </c>
      <c r="T1294" s="156" t="s">
        <v>1486</v>
      </c>
      <c r="U1294" s="2"/>
      <c r="V1294" s="2" t="s">
        <v>795</v>
      </c>
      <c r="W1294" s="2" t="s">
        <v>3399</v>
      </c>
      <c r="X1294" s="2" t="s">
        <v>3242</v>
      </c>
      <c r="Y1294" s="488" t="s">
        <v>1486</v>
      </c>
      <c r="Z1294" s="293">
        <f t="shared" si="164"/>
        <v>0</v>
      </c>
      <c r="AA1294" s="293">
        <f t="shared" si="165"/>
        <v>0</v>
      </c>
    </row>
    <row r="1295" spans="1:27" s="320" customFormat="1" x14ac:dyDescent="0.25">
      <c r="A1295" s="220" t="s">
        <v>922</v>
      </c>
      <c r="B1295" s="221" t="s">
        <v>1654</v>
      </c>
      <c r="C1295" s="223" t="s">
        <v>1570</v>
      </c>
      <c r="D1295" s="220" t="s">
        <v>1469</v>
      </c>
      <c r="E1295" s="222">
        <v>12</v>
      </c>
      <c r="F1295" s="192">
        <v>1600</v>
      </c>
      <c r="G1295" s="24">
        <v>0.2</v>
      </c>
      <c r="H1295" s="24">
        <v>0.05</v>
      </c>
      <c r="I1295" s="24">
        <v>0.05</v>
      </c>
      <c r="J1295" s="24">
        <v>0</v>
      </c>
      <c r="K1295" s="224">
        <f t="shared" si="167"/>
        <v>0.27800000000000002</v>
      </c>
      <c r="L1295" s="225">
        <f t="shared" si="166"/>
        <v>26592.797783933522</v>
      </c>
      <c r="M1295" s="225">
        <f t="shared" si="168"/>
        <v>2216.06648199446</v>
      </c>
      <c r="N1295" s="226">
        <f t="shared" si="170"/>
        <v>2637.119113573407</v>
      </c>
      <c r="O1295" s="34">
        <v>0.3</v>
      </c>
      <c r="P1295" s="226">
        <f t="shared" si="169"/>
        <v>3428.2548476454294</v>
      </c>
      <c r="Q1295" s="107" t="s">
        <v>1486</v>
      </c>
      <c r="R1295" s="34">
        <v>0.29875000778467281</v>
      </c>
      <c r="S1295" s="226">
        <f t="shared" si="162"/>
        <v>2715.1515452927861</v>
      </c>
      <c r="T1295" s="156" t="s">
        <v>1486</v>
      </c>
      <c r="U1295" s="2" t="s">
        <v>50</v>
      </c>
      <c r="V1295" s="2" t="s">
        <v>795</v>
      </c>
      <c r="W1295" s="2" t="s">
        <v>3399</v>
      </c>
      <c r="X1295" s="2" t="s">
        <v>1467</v>
      </c>
      <c r="Y1295" s="488" t="s">
        <v>1486</v>
      </c>
      <c r="Z1295" s="293">
        <f t="shared" si="164"/>
        <v>616.06648199445999</v>
      </c>
      <c r="AA1295" s="293">
        <f t="shared" si="165"/>
        <v>681.63995402755154</v>
      </c>
    </row>
    <row r="1296" spans="1:27" s="320" customFormat="1" x14ac:dyDescent="0.25">
      <c r="A1296" s="220" t="s">
        <v>923</v>
      </c>
      <c r="B1296" s="221" t="s">
        <v>2203</v>
      </c>
      <c r="C1296" s="223" t="s">
        <v>1572</v>
      </c>
      <c r="D1296" s="220" t="s">
        <v>2197</v>
      </c>
      <c r="E1296" s="222">
        <v>1</v>
      </c>
      <c r="F1296" s="192">
        <v>3269</v>
      </c>
      <c r="G1296" s="24">
        <v>0.2</v>
      </c>
      <c r="H1296" s="24">
        <v>0.05</v>
      </c>
      <c r="I1296" s="24">
        <v>0.05</v>
      </c>
      <c r="J1296" s="24">
        <v>0</v>
      </c>
      <c r="K1296" s="224">
        <f t="shared" si="167"/>
        <v>0.27800000000000002</v>
      </c>
      <c r="L1296" s="225">
        <f t="shared" si="166"/>
        <v>4527.7008310249312</v>
      </c>
      <c r="M1296" s="225">
        <f t="shared" si="168"/>
        <v>4527.7008310249312</v>
      </c>
      <c r="N1296" s="226">
        <f t="shared" si="170"/>
        <v>5387.9639889196678</v>
      </c>
      <c r="O1296" s="34">
        <v>0.3</v>
      </c>
      <c r="P1296" s="226">
        <f t="shared" si="169"/>
        <v>7004.353185595568</v>
      </c>
      <c r="Q1296" s="107" t="s">
        <v>1486</v>
      </c>
      <c r="R1296" s="34">
        <v>0.29270728331742835</v>
      </c>
      <c r="S1296" s="226">
        <f t="shared" si="162"/>
        <v>5500.0000823504242</v>
      </c>
      <c r="T1296" s="156" t="s">
        <v>1486</v>
      </c>
      <c r="U1296" s="2"/>
      <c r="V1296" s="2" t="s">
        <v>795</v>
      </c>
      <c r="W1296" s="2" t="s">
        <v>3399</v>
      </c>
      <c r="X1296" s="2" t="s">
        <v>1467</v>
      </c>
      <c r="Y1296" s="488" t="s">
        <v>1486</v>
      </c>
      <c r="Z1296" s="293">
        <f t="shared" si="164"/>
        <v>1258.7008310249312</v>
      </c>
      <c r="AA1296" s="293">
        <f t="shared" si="165"/>
        <v>1352.8488086978359</v>
      </c>
    </row>
    <row r="1297" spans="1:27" s="320" customFormat="1" x14ac:dyDescent="0.25">
      <c r="A1297" s="220" t="s">
        <v>1468</v>
      </c>
      <c r="B1297" s="221" t="s">
        <v>2204</v>
      </c>
      <c r="C1297" s="223" t="s">
        <v>1572</v>
      </c>
      <c r="D1297" s="220" t="s">
        <v>2197</v>
      </c>
      <c r="E1297" s="222">
        <v>1</v>
      </c>
      <c r="F1297" s="192">
        <v>3269</v>
      </c>
      <c r="G1297" s="24">
        <v>0.2</v>
      </c>
      <c r="H1297" s="24">
        <v>0.05</v>
      </c>
      <c r="I1297" s="24">
        <v>0.05</v>
      </c>
      <c r="J1297" s="24">
        <v>0</v>
      </c>
      <c r="K1297" s="224">
        <f t="shared" si="167"/>
        <v>0.27800000000000002</v>
      </c>
      <c r="L1297" s="225">
        <f t="shared" si="166"/>
        <v>4527.7008310249312</v>
      </c>
      <c r="M1297" s="225">
        <f t="shared" si="168"/>
        <v>4527.7008310249312</v>
      </c>
      <c r="N1297" s="226">
        <f t="shared" si="170"/>
        <v>5387.9639889196678</v>
      </c>
      <c r="O1297" s="34">
        <v>0.3</v>
      </c>
      <c r="P1297" s="226">
        <f t="shared" si="169"/>
        <v>7004.353185595568</v>
      </c>
      <c r="Q1297" s="107" t="s">
        <v>1486</v>
      </c>
      <c r="R1297" s="34">
        <v>0.29270727274408331</v>
      </c>
      <c r="S1297" s="226">
        <f t="shared" si="162"/>
        <v>5500.0000001307217</v>
      </c>
      <c r="T1297" s="156" t="s">
        <v>1486</v>
      </c>
      <c r="U1297" s="2"/>
      <c r="V1297" s="2" t="s">
        <v>795</v>
      </c>
      <c r="W1297" s="2" t="s">
        <v>3399</v>
      </c>
      <c r="X1297" s="2" t="s">
        <v>1467</v>
      </c>
      <c r="Y1297" s="488" t="s">
        <v>1486</v>
      </c>
      <c r="Z1297" s="293">
        <f t="shared" si="164"/>
        <v>1258.7008310249312</v>
      </c>
      <c r="AA1297" s="293">
        <f t="shared" si="165"/>
        <v>1352.8487396056489</v>
      </c>
    </row>
    <row r="1298" spans="1:27" s="320" customFormat="1" x14ac:dyDescent="0.25">
      <c r="A1298" s="220" t="s">
        <v>1471</v>
      </c>
      <c r="B1298" s="221" t="s">
        <v>1655</v>
      </c>
      <c r="C1298" s="223" t="s">
        <v>1570</v>
      </c>
      <c r="D1298" s="220" t="s">
        <v>1469</v>
      </c>
      <c r="E1298" s="222">
        <v>18</v>
      </c>
      <c r="F1298" s="192">
        <v>616</v>
      </c>
      <c r="G1298" s="24">
        <v>0.2</v>
      </c>
      <c r="H1298" s="24">
        <v>0.05</v>
      </c>
      <c r="I1298" s="24">
        <v>0.05</v>
      </c>
      <c r="J1298" s="24">
        <v>0</v>
      </c>
      <c r="K1298" s="224">
        <f t="shared" si="167"/>
        <v>0.27800000000000014</v>
      </c>
      <c r="L1298" s="225">
        <f t="shared" si="166"/>
        <v>15357.340720221609</v>
      </c>
      <c r="M1298" s="225">
        <f t="shared" si="168"/>
        <v>853.18559556786715</v>
      </c>
      <c r="N1298" s="226">
        <f t="shared" si="170"/>
        <v>1015.2908587257618</v>
      </c>
      <c r="O1298" s="34">
        <v>0.3</v>
      </c>
      <c r="P1298" s="226">
        <f t="shared" si="169"/>
        <v>1319.8781163434903</v>
      </c>
      <c r="Q1298" s="107" t="s">
        <v>1486</v>
      </c>
      <c r="R1298" s="34">
        <v>0.31</v>
      </c>
      <c r="S1298" s="226">
        <f t="shared" si="162"/>
        <v>1062.376811594203</v>
      </c>
      <c r="T1298" s="156" t="s">
        <v>1486</v>
      </c>
      <c r="U1298" s="2" t="s">
        <v>50</v>
      </c>
      <c r="V1298" s="2" t="s">
        <v>795</v>
      </c>
      <c r="W1298" s="2" t="s">
        <v>3399</v>
      </c>
      <c r="X1298" s="2" t="s">
        <v>1467</v>
      </c>
      <c r="Y1298" s="488" t="s">
        <v>1486</v>
      </c>
      <c r="Z1298" s="293">
        <f t="shared" si="164"/>
        <v>237.18559556786715</v>
      </c>
      <c r="AA1298" s="293">
        <f t="shared" si="165"/>
        <v>276.75362318840587</v>
      </c>
    </row>
    <row r="1299" spans="1:27" s="320" customFormat="1" x14ac:dyDescent="0.25">
      <c r="A1299" s="220" t="s">
        <v>1472</v>
      </c>
      <c r="B1299" s="221" t="s">
        <v>1656</v>
      </c>
      <c r="C1299" s="223" t="s">
        <v>1570</v>
      </c>
      <c r="D1299" s="220" t="s">
        <v>1469</v>
      </c>
      <c r="E1299" s="222">
        <v>16</v>
      </c>
      <c r="F1299" s="192">
        <v>1210</v>
      </c>
      <c r="G1299" s="24">
        <v>0.2</v>
      </c>
      <c r="H1299" s="24">
        <v>0.05</v>
      </c>
      <c r="I1299" s="24">
        <v>0.05</v>
      </c>
      <c r="J1299" s="24">
        <v>0</v>
      </c>
      <c r="K1299" s="224">
        <f t="shared" si="167"/>
        <v>0.27800000000000014</v>
      </c>
      <c r="L1299" s="225">
        <f t="shared" si="166"/>
        <v>26814.404432132967</v>
      </c>
      <c r="M1299" s="225">
        <f t="shared" si="168"/>
        <v>1675.9002770083105</v>
      </c>
      <c r="N1299" s="226">
        <f t="shared" si="170"/>
        <v>1994.3213296398894</v>
      </c>
      <c r="O1299" s="34">
        <v>0.3</v>
      </c>
      <c r="P1299" s="226">
        <f t="shared" si="169"/>
        <v>2592.6177285318563</v>
      </c>
      <c r="Q1299" s="107" t="s">
        <v>1486</v>
      </c>
      <c r="R1299" s="34">
        <v>0.31</v>
      </c>
      <c r="S1299" s="226">
        <f t="shared" si="162"/>
        <v>2086.8115942028985</v>
      </c>
      <c r="T1299" s="156" t="s">
        <v>1486</v>
      </c>
      <c r="U1299" s="2" t="s">
        <v>50</v>
      </c>
      <c r="V1299" s="2" t="s">
        <v>795</v>
      </c>
      <c r="W1299" s="2" t="s">
        <v>3399</v>
      </c>
      <c r="X1299" s="2" t="s">
        <v>1467</v>
      </c>
      <c r="Y1299" s="488" t="s">
        <v>1486</v>
      </c>
      <c r="Z1299" s="293">
        <f t="shared" si="164"/>
        <v>465.90027700831047</v>
      </c>
      <c r="AA1299" s="293">
        <f t="shared" si="165"/>
        <v>543.62318840579724</v>
      </c>
    </row>
    <row r="1300" spans="1:27" s="320" customFormat="1" x14ac:dyDescent="0.25">
      <c r="A1300" s="220" t="s">
        <v>1473</v>
      </c>
      <c r="B1300" s="221" t="s">
        <v>1657</v>
      </c>
      <c r="C1300" s="223" t="s">
        <v>1570</v>
      </c>
      <c r="D1300" s="220" t="s">
        <v>1469</v>
      </c>
      <c r="E1300" s="222">
        <v>1</v>
      </c>
      <c r="F1300" s="192">
        <v>9850</v>
      </c>
      <c r="G1300" s="24">
        <v>0.2</v>
      </c>
      <c r="H1300" s="24">
        <v>0.05</v>
      </c>
      <c r="I1300" s="24">
        <v>0.05</v>
      </c>
      <c r="J1300" s="24">
        <v>0</v>
      </c>
      <c r="K1300" s="224">
        <f t="shared" si="167"/>
        <v>0.27800000000000014</v>
      </c>
      <c r="L1300" s="225">
        <f t="shared" si="166"/>
        <v>13642.659279778396</v>
      </c>
      <c r="M1300" s="225">
        <f t="shared" si="168"/>
        <v>13642.659279778396</v>
      </c>
      <c r="N1300" s="226">
        <f t="shared" si="170"/>
        <v>16234.764542936291</v>
      </c>
      <c r="O1300" s="34">
        <v>0.3</v>
      </c>
      <c r="P1300" s="226">
        <f t="shared" si="169"/>
        <v>21105.193905817177</v>
      </c>
      <c r="Q1300" s="107" t="s">
        <v>1486</v>
      </c>
      <c r="R1300" s="34">
        <v>0.24862179805425985</v>
      </c>
      <c r="S1300" s="226">
        <f t="shared" si="162"/>
        <v>15600.000066073853</v>
      </c>
      <c r="T1300" s="156" t="s">
        <v>1486</v>
      </c>
      <c r="U1300" s="2" t="s">
        <v>50</v>
      </c>
      <c r="V1300" s="2" t="s">
        <v>795</v>
      </c>
      <c r="W1300" s="2" t="s">
        <v>3399</v>
      </c>
      <c r="X1300" s="2" t="s">
        <v>1467</v>
      </c>
      <c r="Y1300" s="488" t="s">
        <v>1486</v>
      </c>
      <c r="Z1300" s="293">
        <f t="shared" si="164"/>
        <v>3792.659279778396</v>
      </c>
      <c r="AA1300" s="293">
        <f t="shared" si="165"/>
        <v>3259.2437530032385</v>
      </c>
    </row>
    <row r="1301" spans="1:27" s="320" customFormat="1" x14ac:dyDescent="0.25">
      <c r="A1301" s="220" t="s">
        <v>1474</v>
      </c>
      <c r="B1301" s="221" t="s">
        <v>1658</v>
      </c>
      <c r="C1301" s="223" t="s">
        <v>1570</v>
      </c>
      <c r="D1301" s="220" t="s">
        <v>1469</v>
      </c>
      <c r="E1301" s="222">
        <v>1</v>
      </c>
      <c r="F1301" s="192">
        <v>10890</v>
      </c>
      <c r="G1301" s="24">
        <v>0.2</v>
      </c>
      <c r="H1301" s="24">
        <v>0.05</v>
      </c>
      <c r="I1301" s="24">
        <v>0.05</v>
      </c>
      <c r="J1301" s="24">
        <v>0</v>
      </c>
      <c r="K1301" s="224">
        <f t="shared" si="167"/>
        <v>0.27800000000000002</v>
      </c>
      <c r="L1301" s="225">
        <f t="shared" si="166"/>
        <v>15083.102493074794</v>
      </c>
      <c r="M1301" s="225">
        <f t="shared" si="168"/>
        <v>15083.102493074794</v>
      </c>
      <c r="N1301" s="226">
        <f t="shared" si="170"/>
        <v>17948.891966759005</v>
      </c>
      <c r="O1301" s="34">
        <v>0.3</v>
      </c>
      <c r="P1301" s="226">
        <f t="shared" si="169"/>
        <v>23333.559556786709</v>
      </c>
      <c r="Q1301" s="107" t="s">
        <v>1486</v>
      </c>
      <c r="R1301" s="34">
        <v>0.25091907183325973</v>
      </c>
      <c r="S1301" s="226">
        <f t="shared" si="162"/>
        <v>17299.999923526811</v>
      </c>
      <c r="T1301" s="156" t="s">
        <v>1486</v>
      </c>
      <c r="U1301" s="2" t="s">
        <v>50</v>
      </c>
      <c r="V1301" s="2" t="s">
        <v>795</v>
      </c>
      <c r="W1301" s="2" t="s">
        <v>3399</v>
      </c>
      <c r="X1301" s="2" t="s">
        <v>1467</v>
      </c>
      <c r="Y1301" s="488" t="s">
        <v>1486</v>
      </c>
      <c r="Z1301" s="293">
        <f t="shared" si="164"/>
        <v>4193.1024930747935</v>
      </c>
      <c r="AA1301" s="293">
        <f t="shared" si="165"/>
        <v>3647.8150617872379</v>
      </c>
    </row>
    <row r="1302" spans="1:27" s="320" customFormat="1" x14ac:dyDescent="0.25">
      <c r="A1302" s="220" t="s">
        <v>1475</v>
      </c>
      <c r="B1302" s="221" t="s">
        <v>1659</v>
      </c>
      <c r="C1302" s="223" t="s">
        <v>1570</v>
      </c>
      <c r="D1302" s="220" t="s">
        <v>1469</v>
      </c>
      <c r="E1302" s="222">
        <v>1</v>
      </c>
      <c r="F1302" s="192">
        <v>10890</v>
      </c>
      <c r="G1302" s="24">
        <v>0.2</v>
      </c>
      <c r="H1302" s="24">
        <v>0.05</v>
      </c>
      <c r="I1302" s="24">
        <v>0.05</v>
      </c>
      <c r="J1302" s="24">
        <v>0</v>
      </c>
      <c r="K1302" s="224">
        <f t="shared" si="167"/>
        <v>0.27800000000000002</v>
      </c>
      <c r="L1302" s="225">
        <f t="shared" si="166"/>
        <v>15083.102493074794</v>
      </c>
      <c r="M1302" s="225">
        <f t="shared" si="168"/>
        <v>15083.102493074794</v>
      </c>
      <c r="N1302" s="226">
        <f t="shared" si="170"/>
        <v>17948.891966759005</v>
      </c>
      <c r="O1302" s="34">
        <v>0.3</v>
      </c>
      <c r="P1302" s="226">
        <f t="shared" si="169"/>
        <v>23333.559556786709</v>
      </c>
      <c r="Q1302" s="107" t="s">
        <v>1486</v>
      </c>
      <c r="R1302" s="34">
        <v>0.25091907183325973</v>
      </c>
      <c r="S1302" s="226">
        <f t="shared" si="162"/>
        <v>17299.999923526811</v>
      </c>
      <c r="T1302" s="156" t="s">
        <v>1486</v>
      </c>
      <c r="U1302" s="2" t="s">
        <v>50</v>
      </c>
      <c r="V1302" s="2" t="s">
        <v>795</v>
      </c>
      <c r="W1302" s="2" t="s">
        <v>3399</v>
      </c>
      <c r="X1302" s="2" t="s">
        <v>1467</v>
      </c>
      <c r="Y1302" s="488" t="s">
        <v>1486</v>
      </c>
      <c r="Z1302" s="293">
        <f t="shared" si="164"/>
        <v>4193.1024930747935</v>
      </c>
      <c r="AA1302" s="293">
        <f t="shared" si="165"/>
        <v>3647.8150617872379</v>
      </c>
    </row>
    <row r="1303" spans="1:27" s="320" customFormat="1" x14ac:dyDescent="0.25">
      <c r="A1303" s="220" t="s">
        <v>1662</v>
      </c>
      <c r="B1303" s="221" t="s">
        <v>1660</v>
      </c>
      <c r="C1303" s="223" t="s">
        <v>1570</v>
      </c>
      <c r="D1303" s="220" t="s">
        <v>1469</v>
      </c>
      <c r="E1303" s="222">
        <v>12</v>
      </c>
      <c r="F1303" s="192">
        <v>1252</v>
      </c>
      <c r="G1303" s="24">
        <v>0.2</v>
      </c>
      <c r="H1303" s="24">
        <v>0.05</v>
      </c>
      <c r="I1303" s="24">
        <v>0.05</v>
      </c>
      <c r="J1303" s="24">
        <v>0</v>
      </c>
      <c r="K1303" s="224">
        <f t="shared" si="167"/>
        <v>0.27800000000000014</v>
      </c>
      <c r="L1303" s="225">
        <f t="shared" si="166"/>
        <v>20808.864265927979</v>
      </c>
      <c r="M1303" s="225">
        <f t="shared" si="168"/>
        <v>1734.072022160665</v>
      </c>
      <c r="N1303" s="226">
        <f t="shared" si="170"/>
        <v>2063.5457063711915</v>
      </c>
      <c r="O1303" s="34">
        <v>0.3</v>
      </c>
      <c r="P1303" s="226">
        <f t="shared" si="169"/>
        <v>2682.6094182825491</v>
      </c>
      <c r="Q1303" s="107" t="s">
        <v>1486</v>
      </c>
      <c r="R1303" s="34">
        <v>0.30384999813086461</v>
      </c>
      <c r="S1303" s="226">
        <f t="shared" si="162"/>
        <v>2140.1709344246651</v>
      </c>
      <c r="T1303" s="156" t="s">
        <v>1486</v>
      </c>
      <c r="U1303" s="2" t="s">
        <v>50</v>
      </c>
      <c r="V1303" s="2" t="s">
        <v>795</v>
      </c>
      <c r="W1303" s="2" t="s">
        <v>3399</v>
      </c>
      <c r="X1303" s="2" t="s">
        <v>1467</v>
      </c>
      <c r="Y1303" s="488" t="s">
        <v>1486</v>
      </c>
      <c r="Z1303" s="293">
        <f t="shared" si="164"/>
        <v>482.07202216066503</v>
      </c>
      <c r="AA1303" s="293">
        <f t="shared" si="165"/>
        <v>546.46297010476064</v>
      </c>
    </row>
    <row r="1304" spans="1:27" s="320" customFormat="1" x14ac:dyDescent="0.25">
      <c r="A1304" s="220" t="s">
        <v>1663</v>
      </c>
      <c r="B1304" s="221" t="s">
        <v>1661</v>
      </c>
      <c r="C1304" s="223" t="s">
        <v>1570</v>
      </c>
      <c r="D1304" s="220" t="s">
        <v>1469</v>
      </c>
      <c r="E1304" s="222">
        <v>6</v>
      </c>
      <c r="F1304" s="192">
        <v>2402</v>
      </c>
      <c r="G1304" s="24">
        <v>0.2</v>
      </c>
      <c r="H1304" s="24">
        <v>0.05</v>
      </c>
      <c r="I1304" s="24">
        <v>0.05</v>
      </c>
      <c r="J1304" s="24">
        <v>0</v>
      </c>
      <c r="K1304" s="224">
        <f t="shared" si="167"/>
        <v>0.27800000000000002</v>
      </c>
      <c r="L1304" s="225">
        <f t="shared" si="166"/>
        <v>19961.218836565098</v>
      </c>
      <c r="M1304" s="225">
        <f t="shared" si="168"/>
        <v>3326.8698060941829</v>
      </c>
      <c r="N1304" s="226">
        <f t="shared" si="170"/>
        <v>3958.9750692520774</v>
      </c>
      <c r="O1304" s="34">
        <v>0.3</v>
      </c>
      <c r="P1304" s="226">
        <f t="shared" si="169"/>
        <v>5146.6675900277005</v>
      </c>
      <c r="Q1304" s="107" t="s">
        <v>1486</v>
      </c>
      <c r="R1304" s="34">
        <v>0.29874999890125237</v>
      </c>
      <c r="S1304" s="226">
        <f t="shared" si="162"/>
        <v>4076.1212057345756</v>
      </c>
      <c r="T1304" s="156" t="s">
        <v>1486</v>
      </c>
      <c r="U1304" s="2" t="s">
        <v>50</v>
      </c>
      <c r="V1304" s="2" t="s">
        <v>795</v>
      </c>
      <c r="W1304" s="2" t="s">
        <v>3399</v>
      </c>
      <c r="X1304" s="2" t="s">
        <v>1467</v>
      </c>
      <c r="Y1304" s="488" t="s">
        <v>1486</v>
      </c>
      <c r="Z1304" s="293">
        <f t="shared" si="164"/>
        <v>924.86980609418288</v>
      </c>
      <c r="AA1304" s="293">
        <f t="shared" si="165"/>
        <v>1023.3119375920805</v>
      </c>
    </row>
    <row r="1305" spans="1:27" s="320" customFormat="1" x14ac:dyDescent="0.25">
      <c r="A1305" s="220" t="s">
        <v>1664</v>
      </c>
      <c r="B1305" s="221" t="s">
        <v>1713</v>
      </c>
      <c r="C1305" s="223" t="s">
        <v>1570</v>
      </c>
      <c r="D1305" s="220" t="s">
        <v>1469</v>
      </c>
      <c r="E1305" s="222">
        <v>1</v>
      </c>
      <c r="F1305" s="192">
        <v>13350</v>
      </c>
      <c r="G1305" s="24">
        <v>0.2</v>
      </c>
      <c r="H1305" s="24">
        <v>0.05</v>
      </c>
      <c r="I1305" s="24">
        <v>0.05</v>
      </c>
      <c r="J1305" s="24">
        <v>0</v>
      </c>
      <c r="K1305" s="224">
        <f t="shared" si="167"/>
        <v>0.27800000000000002</v>
      </c>
      <c r="L1305" s="225">
        <f t="shared" si="166"/>
        <v>18490.304709141274</v>
      </c>
      <c r="M1305" s="225">
        <f t="shared" si="168"/>
        <v>18490.304709141274</v>
      </c>
      <c r="N1305" s="226">
        <f t="shared" si="170"/>
        <v>22003.462603878113</v>
      </c>
      <c r="O1305" s="34">
        <v>0.3</v>
      </c>
      <c r="P1305" s="226">
        <f t="shared" si="169"/>
        <v>28604.501385041549</v>
      </c>
      <c r="Q1305" s="107" t="s">
        <v>1486</v>
      </c>
      <c r="R1305" s="34">
        <v>0.25063679449059317</v>
      </c>
      <c r="S1305" s="226">
        <f t="shared" si="162"/>
        <v>21200.000057649715</v>
      </c>
      <c r="T1305" s="156" t="s">
        <v>1486</v>
      </c>
      <c r="U1305" s="2" t="s">
        <v>50</v>
      </c>
      <c r="V1305" s="2" t="s">
        <v>795</v>
      </c>
      <c r="W1305" s="2" t="s">
        <v>3399</v>
      </c>
      <c r="X1305" s="2" t="s">
        <v>1467</v>
      </c>
      <c r="Y1305" s="488" t="s">
        <v>1486</v>
      </c>
      <c r="Z1305" s="293">
        <f t="shared" si="164"/>
        <v>5140.3047091412736</v>
      </c>
      <c r="AA1305" s="293">
        <f t="shared" si="165"/>
        <v>4465.1260988653084</v>
      </c>
    </row>
    <row r="1306" spans="1:27" s="320" customFormat="1" x14ac:dyDescent="0.25">
      <c r="A1306" s="220" t="s">
        <v>1665</v>
      </c>
      <c r="B1306" s="221" t="s">
        <v>1914</v>
      </c>
      <c r="C1306" s="223" t="s">
        <v>1570</v>
      </c>
      <c r="D1306" s="220" t="s">
        <v>1469</v>
      </c>
      <c r="E1306" s="222">
        <v>1</v>
      </c>
      <c r="F1306" s="192">
        <v>9850</v>
      </c>
      <c r="G1306" s="24">
        <v>0.2</v>
      </c>
      <c r="H1306" s="24">
        <v>0.05</v>
      </c>
      <c r="I1306" s="24">
        <v>0.05</v>
      </c>
      <c r="J1306" s="24">
        <v>0</v>
      </c>
      <c r="K1306" s="224">
        <f t="shared" si="167"/>
        <v>0.27800000000000014</v>
      </c>
      <c r="L1306" s="225">
        <f t="shared" si="166"/>
        <v>13642.659279778396</v>
      </c>
      <c r="M1306" s="225">
        <f t="shared" si="168"/>
        <v>13642.659279778396</v>
      </c>
      <c r="N1306" s="226">
        <f t="shared" si="170"/>
        <v>16234.764542936291</v>
      </c>
      <c r="O1306" s="34">
        <v>0.3</v>
      </c>
      <c r="P1306" s="226">
        <f t="shared" si="169"/>
        <v>21105.193905817177</v>
      </c>
      <c r="Q1306" s="107" t="s">
        <v>1486</v>
      </c>
      <c r="R1306" s="34">
        <v>0.24862179805425985</v>
      </c>
      <c r="S1306" s="226">
        <f t="shared" si="162"/>
        <v>15600.000066073853</v>
      </c>
      <c r="T1306" s="156" t="s">
        <v>1486</v>
      </c>
      <c r="U1306" s="2" t="s">
        <v>50</v>
      </c>
      <c r="V1306" s="2" t="s">
        <v>795</v>
      </c>
      <c r="W1306" s="2" t="s">
        <v>3399</v>
      </c>
      <c r="X1306" s="2" t="s">
        <v>1467</v>
      </c>
      <c r="Y1306" s="488" t="s">
        <v>1486</v>
      </c>
      <c r="Z1306" s="293">
        <f t="shared" si="164"/>
        <v>3792.659279778396</v>
      </c>
      <c r="AA1306" s="293">
        <f t="shared" si="165"/>
        <v>3259.2437530032385</v>
      </c>
    </row>
    <row r="1307" spans="1:27" s="320" customFormat="1" x14ac:dyDescent="0.25">
      <c r="A1307" s="220" t="s">
        <v>1714</v>
      </c>
      <c r="B1307" s="221" t="s">
        <v>1884</v>
      </c>
      <c r="C1307" s="223" t="s">
        <v>1876</v>
      </c>
      <c r="D1307" s="220" t="s">
        <v>1885</v>
      </c>
      <c r="E1307" s="222">
        <v>10</v>
      </c>
      <c r="F1307" s="192">
        <v>8190</v>
      </c>
      <c r="G1307" s="24">
        <v>0.2</v>
      </c>
      <c r="H1307" s="24">
        <v>0.05</v>
      </c>
      <c r="I1307" s="24">
        <v>0.05</v>
      </c>
      <c r="J1307" s="24">
        <v>0</v>
      </c>
      <c r="K1307" s="224">
        <f t="shared" si="167"/>
        <v>0.27800000000000014</v>
      </c>
      <c r="L1307" s="225">
        <f t="shared" si="166"/>
        <v>113434.90304709143</v>
      </c>
      <c r="M1307" s="225">
        <f t="shared" si="168"/>
        <v>11343.490304709143</v>
      </c>
      <c r="N1307" s="226">
        <f t="shared" si="170"/>
        <v>13498.75346260388</v>
      </c>
      <c r="O1307" s="34">
        <v>0.3</v>
      </c>
      <c r="P1307" s="226">
        <f t="shared" si="169"/>
        <v>17548.379501385043</v>
      </c>
      <c r="Q1307" s="107" t="s">
        <v>1486</v>
      </c>
      <c r="R1307" s="34">
        <v>0.22031200196712716</v>
      </c>
      <c r="S1307" s="226">
        <f t="shared" si="162"/>
        <v>12500.000031537089</v>
      </c>
      <c r="T1307" s="156" t="s">
        <v>1486</v>
      </c>
      <c r="U1307" s="2"/>
      <c r="V1307" s="2" t="s">
        <v>795</v>
      </c>
      <c r="W1307" s="2" t="s">
        <v>2748</v>
      </c>
      <c r="X1307" s="2" t="s">
        <v>1486</v>
      </c>
      <c r="Y1307" s="488" t="s">
        <v>1486</v>
      </c>
      <c r="Z1307" s="293">
        <f t="shared" si="164"/>
        <v>3153.4903047091429</v>
      </c>
      <c r="AA1307" s="293">
        <f t="shared" si="165"/>
        <v>2314.2017071740247</v>
      </c>
    </row>
    <row r="1308" spans="1:27" s="320" customFormat="1" x14ac:dyDescent="0.25">
      <c r="A1308" s="220" t="s">
        <v>1913</v>
      </c>
      <c r="B1308" s="221" t="s">
        <v>1963</v>
      </c>
      <c r="C1308" s="223" t="s">
        <v>1876</v>
      </c>
      <c r="D1308" s="220" t="s">
        <v>1885</v>
      </c>
      <c r="E1308" s="222">
        <v>10</v>
      </c>
      <c r="F1308" s="192">
        <v>6700</v>
      </c>
      <c r="G1308" s="24">
        <v>0.2</v>
      </c>
      <c r="H1308" s="24">
        <v>0.05</v>
      </c>
      <c r="I1308" s="24">
        <v>0.05</v>
      </c>
      <c r="J1308" s="24">
        <v>0</v>
      </c>
      <c r="K1308" s="224">
        <f t="shared" si="167"/>
        <v>0.27800000000000014</v>
      </c>
      <c r="L1308" s="225">
        <f t="shared" si="166"/>
        <v>92797.783933518018</v>
      </c>
      <c r="M1308" s="225">
        <f t="shared" si="168"/>
        <v>9279.7783933518022</v>
      </c>
      <c r="N1308" s="226">
        <f t="shared" si="170"/>
        <v>11042.936288088644</v>
      </c>
      <c r="O1308" s="34">
        <v>0.3</v>
      </c>
      <c r="P1308" s="226">
        <f t="shared" si="169"/>
        <v>14355.817174515238</v>
      </c>
      <c r="Q1308" s="107" t="s">
        <v>1486</v>
      </c>
      <c r="R1308" s="34">
        <v>0.19464646465292393</v>
      </c>
      <c r="S1308" s="226">
        <f t="shared" si="162"/>
        <v>9900.0000000794007</v>
      </c>
      <c r="T1308" s="156" t="s">
        <v>1486</v>
      </c>
      <c r="U1308" s="2"/>
      <c r="V1308" s="2" t="s">
        <v>795</v>
      </c>
      <c r="W1308" s="2" t="s">
        <v>2748</v>
      </c>
      <c r="X1308" s="2" t="s">
        <v>1486</v>
      </c>
      <c r="Y1308" s="488" t="s">
        <v>1486</v>
      </c>
      <c r="Z1308" s="293">
        <f t="shared" si="164"/>
        <v>2579.7783933518022</v>
      </c>
      <c r="AA1308" s="293">
        <f t="shared" si="165"/>
        <v>1619.327731159161</v>
      </c>
    </row>
    <row r="1309" spans="1:27" s="320" customFormat="1" x14ac:dyDescent="0.25">
      <c r="A1309" s="220" t="s">
        <v>2303</v>
      </c>
      <c r="B1309" s="221" t="s">
        <v>2205</v>
      </c>
      <c r="C1309" s="223" t="s">
        <v>1572</v>
      </c>
      <c r="D1309" s="220" t="s">
        <v>2197</v>
      </c>
      <c r="E1309" s="222">
        <v>1</v>
      </c>
      <c r="F1309" s="192">
        <v>3152</v>
      </c>
      <c r="G1309" s="24">
        <v>0.2</v>
      </c>
      <c r="H1309" s="24">
        <v>0.05</v>
      </c>
      <c r="I1309" s="24">
        <v>0.05</v>
      </c>
      <c r="J1309" s="24">
        <v>0</v>
      </c>
      <c r="K1309" s="224">
        <f t="shared" si="167"/>
        <v>0.27800000000000002</v>
      </c>
      <c r="L1309" s="225">
        <f t="shared" si="166"/>
        <v>4365.6509695290861</v>
      </c>
      <c r="M1309" s="225">
        <f t="shared" si="168"/>
        <v>4365.6509695290861</v>
      </c>
      <c r="N1309" s="226">
        <f t="shared" si="170"/>
        <v>5195.1246537396119</v>
      </c>
      <c r="O1309" s="34">
        <v>0.3</v>
      </c>
      <c r="P1309" s="226">
        <f t="shared" si="169"/>
        <v>6753.6620498614957</v>
      </c>
      <c r="Q1309" s="107" t="s">
        <v>1486</v>
      </c>
      <c r="R1309" s="34">
        <v>0.3180217849414535</v>
      </c>
      <c r="S1309" s="226">
        <f t="shared" ref="S1309:S1372" si="171">+(F1309/(1-R1309))*1.19</f>
        <v>5499.9997319239792</v>
      </c>
      <c r="T1309" s="156" t="s">
        <v>1486</v>
      </c>
      <c r="U1309" s="2"/>
      <c r="V1309" s="2" t="s">
        <v>795</v>
      </c>
      <c r="W1309" s="2" t="s">
        <v>3399</v>
      </c>
      <c r="X1309" s="2"/>
      <c r="Y1309" s="488" t="s">
        <v>1486</v>
      </c>
      <c r="Z1309" s="293">
        <f t="shared" si="164"/>
        <v>1213.6509695290861</v>
      </c>
      <c r="AA1309" s="293">
        <f t="shared" si="165"/>
        <v>1469.8485142218315</v>
      </c>
    </row>
    <row r="1310" spans="1:27" s="320" customFormat="1" x14ac:dyDescent="0.25">
      <c r="A1310" s="220" t="s">
        <v>1964</v>
      </c>
      <c r="B1310" s="221" t="s">
        <v>2202</v>
      </c>
      <c r="C1310" s="223" t="s">
        <v>1572</v>
      </c>
      <c r="D1310" s="220" t="s">
        <v>2198</v>
      </c>
      <c r="E1310" s="222">
        <v>20</v>
      </c>
      <c r="F1310" s="192">
        <v>778</v>
      </c>
      <c r="G1310" s="24">
        <v>0.2</v>
      </c>
      <c r="H1310" s="24">
        <v>0.05</v>
      </c>
      <c r="I1310" s="24">
        <v>0.05</v>
      </c>
      <c r="J1310" s="24">
        <v>0</v>
      </c>
      <c r="K1310" s="224">
        <f t="shared" si="167"/>
        <v>0.27800000000000002</v>
      </c>
      <c r="L1310" s="225">
        <f t="shared" ref="L1310:L1341" si="172">+M1310*E1310</f>
        <v>21551.246537396124</v>
      </c>
      <c r="M1310" s="225">
        <f t="shared" si="168"/>
        <v>1077.5623268698062</v>
      </c>
      <c r="N1310" s="226">
        <f t="shared" si="170"/>
        <v>1282.2991689750693</v>
      </c>
      <c r="O1310" s="34">
        <v>0.3</v>
      </c>
      <c r="P1310" s="226">
        <f t="shared" si="169"/>
        <v>1666.9889196675902</v>
      </c>
      <c r="Q1310" s="107" t="s">
        <v>1486</v>
      </c>
      <c r="R1310" s="34">
        <v>0.38278677695402841</v>
      </c>
      <c r="S1310" s="226">
        <f t="shared" si="171"/>
        <v>1500.0002680289995</v>
      </c>
      <c r="T1310" s="156" t="s">
        <v>1486</v>
      </c>
      <c r="U1310" s="2"/>
      <c r="V1310" s="2" t="s">
        <v>795</v>
      </c>
      <c r="W1310" s="2" t="s">
        <v>3399</v>
      </c>
      <c r="X1310" s="2"/>
      <c r="Y1310" s="488" t="s">
        <v>1486</v>
      </c>
      <c r="Z1310" s="293">
        <f t="shared" si="164"/>
        <v>299.56232686980616</v>
      </c>
      <c r="AA1310" s="293">
        <f t="shared" si="165"/>
        <v>482.50442691512558</v>
      </c>
    </row>
    <row r="1311" spans="1:27" s="320" customFormat="1" x14ac:dyDescent="0.25">
      <c r="A1311" s="220" t="s">
        <v>2034</v>
      </c>
      <c r="B1311" s="221" t="s">
        <v>2064</v>
      </c>
      <c r="C1311" s="223" t="s">
        <v>1572</v>
      </c>
      <c r="D1311" s="220" t="s">
        <v>840</v>
      </c>
      <c r="E1311" s="222">
        <v>14</v>
      </c>
      <c r="F1311" s="192">
        <v>1094</v>
      </c>
      <c r="G1311" s="24">
        <v>0.2</v>
      </c>
      <c r="H1311" s="24">
        <v>0.05</v>
      </c>
      <c r="I1311" s="24">
        <v>0.05</v>
      </c>
      <c r="J1311" s="24">
        <v>0</v>
      </c>
      <c r="K1311" s="224">
        <f t="shared" si="167"/>
        <v>0.27800000000000014</v>
      </c>
      <c r="L1311" s="225">
        <f t="shared" si="172"/>
        <v>21213.296398891969</v>
      </c>
      <c r="M1311" s="225">
        <f t="shared" si="168"/>
        <v>1515.2354570637121</v>
      </c>
      <c r="N1311" s="226">
        <f t="shared" si="170"/>
        <v>1803.1301939058174</v>
      </c>
      <c r="O1311" s="34">
        <v>0.3</v>
      </c>
      <c r="P1311" s="226">
        <f t="shared" si="169"/>
        <v>2344.0692520775629</v>
      </c>
      <c r="Q1311" s="107" t="s">
        <v>1486</v>
      </c>
      <c r="R1311" s="34">
        <v>0.49448800036352131</v>
      </c>
      <c r="S1311" s="226">
        <f t="shared" si="171"/>
        <v>2575.3295687069485</v>
      </c>
      <c r="T1311" s="156" t="s">
        <v>1486</v>
      </c>
      <c r="U1311" s="2"/>
      <c r="V1311" s="2" t="s">
        <v>795</v>
      </c>
      <c r="W1311" s="2" t="s">
        <v>3399</v>
      </c>
      <c r="X1311" s="2"/>
      <c r="Y1311" s="488" t="s">
        <v>1486</v>
      </c>
      <c r="Z1311" s="293">
        <f t="shared" si="164"/>
        <v>421.23545706371215</v>
      </c>
      <c r="AA1311" s="293">
        <f t="shared" si="165"/>
        <v>1070.1424947117216</v>
      </c>
    </row>
    <row r="1312" spans="1:27" s="320" customFormat="1" x14ac:dyDescent="0.25">
      <c r="A1312" s="220" t="s">
        <v>2035</v>
      </c>
      <c r="B1312" s="221" t="s">
        <v>2206</v>
      </c>
      <c r="C1312" s="223" t="s">
        <v>1572</v>
      </c>
      <c r="D1312" s="220" t="s">
        <v>2197</v>
      </c>
      <c r="E1312" s="222">
        <v>1</v>
      </c>
      <c r="F1312" s="192">
        <v>7409</v>
      </c>
      <c r="G1312" s="24">
        <v>0.2</v>
      </c>
      <c r="H1312" s="24">
        <v>0.05</v>
      </c>
      <c r="I1312" s="24">
        <v>0.05</v>
      </c>
      <c r="J1312" s="24">
        <v>0</v>
      </c>
      <c r="K1312" s="224">
        <f t="shared" si="167"/>
        <v>0.27800000000000014</v>
      </c>
      <c r="L1312" s="225">
        <f t="shared" si="172"/>
        <v>10261.772853185597</v>
      </c>
      <c r="M1312" s="225">
        <f t="shared" si="168"/>
        <v>10261.772853185597</v>
      </c>
      <c r="N1312" s="226">
        <f t="shared" si="170"/>
        <v>12211.509695290861</v>
      </c>
      <c r="O1312" s="34">
        <v>0.3</v>
      </c>
      <c r="P1312" s="226">
        <f t="shared" si="169"/>
        <v>15874.962603878119</v>
      </c>
      <c r="Q1312" s="107" t="s">
        <v>1486</v>
      </c>
      <c r="R1312" s="34">
        <v>0.29466319845285932</v>
      </c>
      <c r="S1312" s="226">
        <f t="shared" si="171"/>
        <v>12499.999972581527</v>
      </c>
      <c r="T1312" s="156" t="s">
        <v>1486</v>
      </c>
      <c r="U1312" s="2"/>
      <c r="V1312" s="2" t="s">
        <v>795</v>
      </c>
      <c r="W1312" s="2" t="s">
        <v>3399</v>
      </c>
      <c r="X1312" s="2" t="s">
        <v>3479</v>
      </c>
      <c r="Y1312" s="488" t="s">
        <v>1486</v>
      </c>
      <c r="Z1312" s="293">
        <f t="shared" si="164"/>
        <v>2852.7728531855973</v>
      </c>
      <c r="AA1312" s="293">
        <f t="shared" si="165"/>
        <v>3095.2016576315364</v>
      </c>
    </row>
    <row r="1313" spans="1:27" s="320" customFormat="1" x14ac:dyDescent="0.25">
      <c r="A1313" s="220" t="s">
        <v>2036</v>
      </c>
      <c r="B1313" s="221" t="s">
        <v>2967</v>
      </c>
      <c r="C1313" s="223" t="s">
        <v>2092</v>
      </c>
      <c r="D1313" s="220" t="s">
        <v>2083</v>
      </c>
      <c r="E1313" s="222">
        <v>1</v>
      </c>
      <c r="F1313" s="192">
        <v>7409</v>
      </c>
      <c r="G1313" s="24">
        <v>0.2</v>
      </c>
      <c r="H1313" s="24">
        <v>0.05</v>
      </c>
      <c r="I1313" s="24">
        <v>0.05</v>
      </c>
      <c r="J1313" s="24">
        <v>0</v>
      </c>
      <c r="K1313" s="224">
        <f t="shared" si="167"/>
        <v>0.27800000000000014</v>
      </c>
      <c r="L1313" s="225">
        <f t="shared" si="172"/>
        <v>10261.772853185597</v>
      </c>
      <c r="M1313" s="225">
        <f t="shared" si="168"/>
        <v>10261.772853185597</v>
      </c>
      <c r="N1313" s="226">
        <f t="shared" si="170"/>
        <v>12211.509695290861</v>
      </c>
      <c r="O1313" s="34">
        <v>0.3</v>
      </c>
      <c r="P1313" s="226">
        <f t="shared" si="169"/>
        <v>15874.962603878119</v>
      </c>
      <c r="Q1313" s="107" t="s">
        <v>1486</v>
      </c>
      <c r="R1313" s="34">
        <v>0.20228746636961159</v>
      </c>
      <c r="S1313" s="226">
        <f t="shared" si="171"/>
        <v>11052.490249683264</v>
      </c>
      <c r="T1313" s="156" t="s">
        <v>1486</v>
      </c>
      <c r="U1313" s="2"/>
      <c r="V1313" s="2" t="s">
        <v>795</v>
      </c>
      <c r="W1313" s="2" t="s">
        <v>3399</v>
      </c>
      <c r="X1313" s="2" t="s">
        <v>3242</v>
      </c>
      <c r="Y1313" s="488" t="s">
        <v>1486</v>
      </c>
      <c r="Z1313" s="293">
        <f t="shared" si="164"/>
        <v>2852.7728531855973</v>
      </c>
      <c r="AA1313" s="293">
        <f t="shared" si="165"/>
        <v>1878.8069325069446</v>
      </c>
    </row>
    <row r="1314" spans="1:27" s="320" customFormat="1" x14ac:dyDescent="0.25">
      <c r="A1314" s="220" t="s">
        <v>2038</v>
      </c>
      <c r="B1314" s="221" t="s">
        <v>5884</v>
      </c>
      <c r="C1314" s="223" t="s">
        <v>1551</v>
      </c>
      <c r="D1314" s="220" t="s">
        <v>794</v>
      </c>
      <c r="E1314" s="222">
        <v>1</v>
      </c>
      <c r="F1314" s="192">
        <v>7956</v>
      </c>
      <c r="G1314" s="24">
        <v>0.2</v>
      </c>
      <c r="H1314" s="24">
        <v>0.05</v>
      </c>
      <c r="I1314" s="24">
        <v>0.05</v>
      </c>
      <c r="J1314" s="24">
        <v>0</v>
      </c>
      <c r="K1314" s="224">
        <f t="shared" si="167"/>
        <v>0.27800000000000002</v>
      </c>
      <c r="L1314" s="225">
        <f t="shared" si="172"/>
        <v>11019.390581717453</v>
      </c>
      <c r="M1314" s="225">
        <f t="shared" si="168"/>
        <v>11019.390581717453</v>
      </c>
      <c r="N1314" s="226">
        <f t="shared" si="170"/>
        <v>13113.074792243768</v>
      </c>
      <c r="O1314" s="34">
        <v>0.3</v>
      </c>
      <c r="P1314" s="226">
        <f t="shared" si="169"/>
        <v>17046.997229916899</v>
      </c>
      <c r="Q1314" s="107" t="s">
        <v>1486</v>
      </c>
      <c r="R1314" s="34">
        <v>0.24</v>
      </c>
      <c r="S1314" s="226">
        <f t="shared" si="171"/>
        <v>12457.421052631578</v>
      </c>
      <c r="T1314" s="156" t="s">
        <v>1486</v>
      </c>
      <c r="U1314" s="2" t="s">
        <v>50</v>
      </c>
      <c r="V1314" s="2" t="s">
        <v>795</v>
      </c>
      <c r="W1314" s="2" t="s">
        <v>3399</v>
      </c>
      <c r="X1314" s="2" t="s">
        <v>1467</v>
      </c>
      <c r="Y1314" s="488" t="s">
        <v>1486</v>
      </c>
      <c r="Z1314" s="293">
        <f t="shared" ref="Z1314:Z1333" si="173">+M1314-F1314</f>
        <v>3063.3905817174527</v>
      </c>
      <c r="AA1314" s="293">
        <f t="shared" ref="AA1314:AA1333" si="174">+(S1314/1.19)-F1314</f>
        <v>2512.4210526315783</v>
      </c>
    </row>
    <row r="1315" spans="1:27" s="320" customFormat="1" x14ac:dyDescent="0.25">
      <c r="A1315" s="220" t="s">
        <v>2082</v>
      </c>
      <c r="B1315" s="221" t="s">
        <v>5612</v>
      </c>
      <c r="C1315" s="223" t="s">
        <v>1551</v>
      </c>
      <c r="D1315" s="220" t="s">
        <v>802</v>
      </c>
      <c r="E1315" s="222">
        <v>1</v>
      </c>
      <c r="F1315" s="192">
        <v>7113</v>
      </c>
      <c r="G1315" s="24">
        <v>0.2</v>
      </c>
      <c r="H1315" s="24">
        <v>0.05</v>
      </c>
      <c r="I1315" s="24">
        <v>0.05</v>
      </c>
      <c r="J1315" s="24">
        <v>0</v>
      </c>
      <c r="K1315" s="224">
        <f t="shared" si="167"/>
        <v>0.27800000000000002</v>
      </c>
      <c r="L1315" s="225">
        <f t="shared" si="172"/>
        <v>9851.8005540166214</v>
      </c>
      <c r="M1315" s="225">
        <f t="shared" si="168"/>
        <v>9851.8005540166214</v>
      </c>
      <c r="N1315" s="226">
        <f t="shared" si="170"/>
        <v>11723.64265927978</v>
      </c>
      <c r="O1315" s="34">
        <v>0.3</v>
      </c>
      <c r="P1315" s="226">
        <f t="shared" si="169"/>
        <v>15240.735457063714</v>
      </c>
      <c r="Q1315" s="107" t="s">
        <v>1486</v>
      </c>
      <c r="R1315" s="34">
        <v>0.25093185830833459</v>
      </c>
      <c r="S1315" s="226">
        <f t="shared" si="171"/>
        <v>11299.99999851039</v>
      </c>
      <c r="T1315" s="156" t="s">
        <v>1486</v>
      </c>
      <c r="U1315" s="2" t="s">
        <v>50</v>
      </c>
      <c r="V1315" s="2" t="s">
        <v>795</v>
      </c>
      <c r="W1315" s="2" t="s">
        <v>3399</v>
      </c>
      <c r="X1315" s="2"/>
      <c r="Y1315" s="488" t="s">
        <v>1486</v>
      </c>
      <c r="Z1315" s="293">
        <f t="shared" si="173"/>
        <v>2738.8005540166214</v>
      </c>
      <c r="AA1315" s="293">
        <f t="shared" si="174"/>
        <v>2382.7983180759584</v>
      </c>
    </row>
    <row r="1316" spans="1:27" s="320" customFormat="1" x14ac:dyDescent="0.25">
      <c r="A1316" s="220" t="s">
        <v>2096</v>
      </c>
      <c r="B1316" s="221" t="s">
        <v>2196</v>
      </c>
      <c r="C1316" s="223" t="s">
        <v>1572</v>
      </c>
      <c r="D1316" s="220" t="s">
        <v>2197</v>
      </c>
      <c r="E1316" s="222">
        <v>1</v>
      </c>
      <c r="F1316" s="192">
        <v>7670</v>
      </c>
      <c r="G1316" s="24">
        <v>0.2</v>
      </c>
      <c r="H1316" s="24">
        <v>0.05</v>
      </c>
      <c r="I1316" s="24">
        <v>0.05</v>
      </c>
      <c r="J1316" s="24">
        <v>0</v>
      </c>
      <c r="K1316" s="224">
        <f t="shared" si="167"/>
        <v>0.27800000000000014</v>
      </c>
      <c r="L1316" s="225">
        <f t="shared" si="172"/>
        <v>10623.268698060943</v>
      </c>
      <c r="M1316" s="225">
        <f t="shared" si="168"/>
        <v>10623.268698060943</v>
      </c>
      <c r="N1316" s="226">
        <f t="shared" si="170"/>
        <v>12641.689750692522</v>
      </c>
      <c r="O1316" s="34">
        <v>0.3</v>
      </c>
      <c r="P1316" s="226">
        <f t="shared" si="169"/>
        <v>16434.196675900279</v>
      </c>
      <c r="Q1316" s="107" t="s">
        <v>1486</v>
      </c>
      <c r="R1316" s="34">
        <v>0.26981599414429563</v>
      </c>
      <c r="S1316" s="226">
        <f t="shared" si="171"/>
        <v>12499.999899756358</v>
      </c>
      <c r="T1316" s="156" t="s">
        <v>1486</v>
      </c>
      <c r="U1316" s="2"/>
      <c r="V1316" s="2" t="s">
        <v>795</v>
      </c>
      <c r="W1316" s="2" t="s">
        <v>3399</v>
      </c>
      <c r="X1316" s="2" t="s">
        <v>3479</v>
      </c>
      <c r="Y1316" s="488" t="s">
        <v>1486</v>
      </c>
      <c r="Z1316" s="293">
        <f t="shared" si="173"/>
        <v>2953.2686980609433</v>
      </c>
      <c r="AA1316" s="293">
        <f t="shared" si="174"/>
        <v>2834.2015964339153</v>
      </c>
    </row>
    <row r="1317" spans="1:27" s="320" customFormat="1" x14ac:dyDescent="0.25">
      <c r="A1317" s="220" t="s">
        <v>2098</v>
      </c>
      <c r="B1317" s="221" t="s">
        <v>2288</v>
      </c>
      <c r="C1317" s="223" t="s">
        <v>1570</v>
      </c>
      <c r="D1317" s="220" t="s">
        <v>1469</v>
      </c>
      <c r="E1317" s="222">
        <v>1</v>
      </c>
      <c r="F1317" s="192">
        <v>14700</v>
      </c>
      <c r="G1317" s="24">
        <v>0.2</v>
      </c>
      <c r="H1317" s="24">
        <v>0.05</v>
      </c>
      <c r="I1317" s="24">
        <v>0.05</v>
      </c>
      <c r="J1317" s="24">
        <v>0</v>
      </c>
      <c r="K1317" s="224">
        <f t="shared" si="167"/>
        <v>0.27800000000000014</v>
      </c>
      <c r="L1317" s="225">
        <f t="shared" si="172"/>
        <v>20360.110803324103</v>
      </c>
      <c r="M1317" s="225">
        <f t="shared" si="168"/>
        <v>20360.110803324103</v>
      </c>
      <c r="N1317" s="226">
        <f t="shared" si="170"/>
        <v>24228.531855955684</v>
      </c>
      <c r="O1317" s="34">
        <v>0.3</v>
      </c>
      <c r="P1317" s="226">
        <f t="shared" si="169"/>
        <v>31497.091412742389</v>
      </c>
      <c r="Q1317" s="107" t="s">
        <v>1486</v>
      </c>
      <c r="R1317" s="34">
        <v>0.24599138317750188</v>
      </c>
      <c r="S1317" s="226">
        <f t="shared" si="171"/>
        <v>23200.00011898809</v>
      </c>
      <c r="T1317" s="156" t="s">
        <v>1486</v>
      </c>
      <c r="U1317" s="2" t="s">
        <v>50</v>
      </c>
      <c r="V1317" s="2" t="s">
        <v>795</v>
      </c>
      <c r="W1317" s="2" t="s">
        <v>3399</v>
      </c>
      <c r="X1317" s="2" t="s">
        <v>1467</v>
      </c>
      <c r="Y1317" s="488" t="s">
        <v>1486</v>
      </c>
      <c r="Z1317" s="293">
        <f t="shared" si="173"/>
        <v>5660.1108033241035</v>
      </c>
      <c r="AA1317" s="293">
        <f t="shared" si="174"/>
        <v>4795.7984193177217</v>
      </c>
    </row>
    <row r="1318" spans="1:27" s="320" customFormat="1" x14ac:dyDescent="0.25">
      <c r="A1318" s="220" t="s">
        <v>2195</v>
      </c>
      <c r="B1318" s="221" t="s">
        <v>2307</v>
      </c>
      <c r="C1318" s="223" t="s">
        <v>1666</v>
      </c>
      <c r="D1318" s="220" t="s">
        <v>2311</v>
      </c>
      <c r="E1318" s="222">
        <v>1</v>
      </c>
      <c r="F1318" s="192">
        <v>0</v>
      </c>
      <c r="G1318" s="24">
        <v>0.2</v>
      </c>
      <c r="H1318" s="24">
        <v>0.05</v>
      </c>
      <c r="I1318" s="24">
        <v>0.05</v>
      </c>
      <c r="J1318" s="24">
        <v>0</v>
      </c>
      <c r="K1318" s="224">
        <f t="shared" si="167"/>
        <v>0</v>
      </c>
      <c r="L1318" s="225">
        <f t="shared" si="172"/>
        <v>0</v>
      </c>
      <c r="M1318" s="225">
        <f t="shared" si="168"/>
        <v>0</v>
      </c>
      <c r="N1318" s="226">
        <f t="shared" si="170"/>
        <v>0</v>
      </c>
      <c r="O1318" s="34">
        <v>0.2</v>
      </c>
      <c r="P1318" s="226">
        <f t="shared" si="169"/>
        <v>0</v>
      </c>
      <c r="Q1318" s="107" t="s">
        <v>1486</v>
      </c>
      <c r="R1318" s="34">
        <v>0.3</v>
      </c>
      <c r="S1318" s="226">
        <f t="shared" si="171"/>
        <v>0</v>
      </c>
      <c r="T1318" s="156" t="s">
        <v>1486</v>
      </c>
      <c r="U1318" s="2"/>
      <c r="V1318" s="2" t="s">
        <v>795</v>
      </c>
      <c r="W1318" s="2" t="s">
        <v>3399</v>
      </c>
      <c r="X1318" s="2" t="s">
        <v>3242</v>
      </c>
      <c r="Y1318" s="488" t="s">
        <v>1486</v>
      </c>
      <c r="Z1318" s="293">
        <f t="shared" si="173"/>
        <v>0</v>
      </c>
      <c r="AA1318" s="293">
        <f t="shared" si="174"/>
        <v>0</v>
      </c>
    </row>
    <row r="1319" spans="1:27" s="320" customFormat="1" x14ac:dyDescent="0.25">
      <c r="A1319" s="220" t="s">
        <v>2287</v>
      </c>
      <c r="B1319" s="221" t="s">
        <v>5174</v>
      </c>
      <c r="C1319" s="223" t="s">
        <v>2092</v>
      </c>
      <c r="D1319" s="220" t="s">
        <v>2083</v>
      </c>
      <c r="E1319" s="222">
        <v>1</v>
      </c>
      <c r="F1319" s="192">
        <v>16021</v>
      </c>
      <c r="G1319" s="24">
        <v>0.2</v>
      </c>
      <c r="H1319" s="24">
        <v>0.05</v>
      </c>
      <c r="I1319" s="24">
        <v>0.05</v>
      </c>
      <c r="J1319" s="24">
        <v>0</v>
      </c>
      <c r="K1319" s="224">
        <f t="shared" si="167"/>
        <v>0.27800000000000014</v>
      </c>
      <c r="L1319" s="225">
        <f t="shared" si="172"/>
        <v>22189.750692520778</v>
      </c>
      <c r="M1319" s="225">
        <f t="shared" si="168"/>
        <v>22189.750692520778</v>
      </c>
      <c r="N1319" s="226">
        <f t="shared" si="170"/>
        <v>26405.803324099725</v>
      </c>
      <c r="O1319" s="34">
        <v>0.3</v>
      </c>
      <c r="P1319" s="226">
        <f t="shared" si="169"/>
        <v>34327.544321329646</v>
      </c>
      <c r="Q1319" s="107" t="s">
        <v>1486</v>
      </c>
      <c r="R1319" s="34">
        <v>0.20562541666287987</v>
      </c>
      <c r="S1319" s="226">
        <f t="shared" si="171"/>
        <v>23999.999999885593</v>
      </c>
      <c r="T1319" s="156" t="s">
        <v>1486</v>
      </c>
      <c r="U1319" s="2"/>
      <c r="V1319" s="2" t="s">
        <v>795</v>
      </c>
      <c r="W1319" s="2" t="s">
        <v>3399</v>
      </c>
      <c r="X1319" s="2" t="s">
        <v>3242</v>
      </c>
      <c r="Y1319" s="488" t="s">
        <v>1486</v>
      </c>
      <c r="Z1319" s="293">
        <f t="shared" si="173"/>
        <v>6168.7506925207781</v>
      </c>
      <c r="AA1319" s="293">
        <f t="shared" si="174"/>
        <v>4147.0672267946175</v>
      </c>
    </row>
    <row r="1320" spans="1:27" s="320" customFormat="1" x14ac:dyDescent="0.25">
      <c r="A1320" s="220" t="s">
        <v>2306</v>
      </c>
      <c r="B1320" s="221" t="s">
        <v>2335</v>
      </c>
      <c r="C1320" s="223" t="s">
        <v>1876</v>
      </c>
      <c r="D1320" s="220" t="s">
        <v>2336</v>
      </c>
      <c r="E1320" s="222">
        <v>1</v>
      </c>
      <c r="F1320" s="192">
        <v>5390</v>
      </c>
      <c r="G1320" s="24">
        <v>0.2</v>
      </c>
      <c r="H1320" s="24">
        <v>0.05</v>
      </c>
      <c r="I1320" s="24">
        <v>0.05</v>
      </c>
      <c r="J1320" s="24">
        <v>0</v>
      </c>
      <c r="K1320" s="224">
        <f t="shared" si="167"/>
        <v>0.27800000000000002</v>
      </c>
      <c r="L1320" s="225">
        <f t="shared" si="172"/>
        <v>7465.3739612188374</v>
      </c>
      <c r="M1320" s="225">
        <f t="shared" si="168"/>
        <v>7465.3739612188374</v>
      </c>
      <c r="N1320" s="226">
        <f t="shared" si="170"/>
        <v>8883.7950138504166</v>
      </c>
      <c r="O1320" s="34">
        <v>0.3</v>
      </c>
      <c r="P1320" s="226">
        <f t="shared" si="169"/>
        <v>11548.933518005542</v>
      </c>
      <c r="Q1320" s="107" t="s">
        <v>1486</v>
      </c>
      <c r="R1320" s="34">
        <v>0.29515387940022186</v>
      </c>
      <c r="S1320" s="226">
        <f t="shared" si="171"/>
        <v>9100.0004292313024</v>
      </c>
      <c r="T1320" s="156" t="s">
        <v>1486</v>
      </c>
      <c r="U1320" s="2"/>
      <c r="V1320" s="2" t="s">
        <v>795</v>
      </c>
      <c r="W1320" s="2" t="s">
        <v>2748</v>
      </c>
      <c r="X1320" s="2"/>
      <c r="Y1320" s="488" t="s">
        <v>1486</v>
      </c>
      <c r="Z1320" s="293">
        <f t="shared" si="173"/>
        <v>2075.3739612188374</v>
      </c>
      <c r="AA1320" s="293">
        <f t="shared" si="174"/>
        <v>2257.0591842279855</v>
      </c>
    </row>
    <row r="1321" spans="1:27" s="320" customFormat="1" x14ac:dyDescent="0.25">
      <c r="A1321" s="220" t="s">
        <v>2308</v>
      </c>
      <c r="B1321" s="221" t="s">
        <v>2338</v>
      </c>
      <c r="C1321" s="223" t="s">
        <v>1876</v>
      </c>
      <c r="D1321" s="220" t="s">
        <v>2336</v>
      </c>
      <c r="E1321" s="222">
        <v>1</v>
      </c>
      <c r="F1321" s="192">
        <v>23465</v>
      </c>
      <c r="G1321" s="24">
        <v>0.2</v>
      </c>
      <c r="H1321" s="24">
        <v>0.05</v>
      </c>
      <c r="I1321" s="24">
        <v>0.05</v>
      </c>
      <c r="J1321" s="24">
        <v>0</v>
      </c>
      <c r="K1321" s="224">
        <f t="shared" si="167"/>
        <v>0.27800000000000002</v>
      </c>
      <c r="L1321" s="225">
        <f t="shared" si="172"/>
        <v>32500</v>
      </c>
      <c r="M1321" s="225">
        <f t="shared" si="168"/>
        <v>32500</v>
      </c>
      <c r="N1321" s="226">
        <f t="shared" si="170"/>
        <v>38675</v>
      </c>
      <c r="O1321" s="34">
        <v>0.3</v>
      </c>
      <c r="P1321" s="226">
        <f t="shared" si="169"/>
        <v>50277.5</v>
      </c>
      <c r="Q1321" s="107" t="s">
        <v>1486</v>
      </c>
      <c r="R1321" s="34">
        <v>0.29261111112954385</v>
      </c>
      <c r="S1321" s="226">
        <f t="shared" si="171"/>
        <v>39473.831776729523</v>
      </c>
      <c r="T1321" s="156" t="s">
        <v>1486</v>
      </c>
      <c r="U1321" s="2"/>
      <c r="V1321" s="2" t="s">
        <v>795</v>
      </c>
      <c r="W1321" s="2" t="s">
        <v>2748</v>
      </c>
      <c r="X1321" s="2"/>
      <c r="Y1321" s="488" t="s">
        <v>1486</v>
      </c>
      <c r="Z1321" s="293">
        <f t="shared" si="173"/>
        <v>9035</v>
      </c>
      <c r="AA1321" s="293">
        <f t="shared" si="174"/>
        <v>9706.2872073357357</v>
      </c>
    </row>
    <row r="1322" spans="1:27" s="320" customFormat="1" x14ac:dyDescent="0.25">
      <c r="A1322" s="220" t="s">
        <v>2334</v>
      </c>
      <c r="B1322" s="221" t="s">
        <v>2340</v>
      </c>
      <c r="C1322" s="223" t="s">
        <v>1876</v>
      </c>
      <c r="D1322" s="220" t="s">
        <v>2336</v>
      </c>
      <c r="E1322" s="222">
        <v>1</v>
      </c>
      <c r="F1322" s="192">
        <v>2830</v>
      </c>
      <c r="G1322" s="24">
        <v>0.2</v>
      </c>
      <c r="H1322" s="24">
        <v>0.05</v>
      </c>
      <c r="I1322" s="24">
        <v>0.05</v>
      </c>
      <c r="J1322" s="24">
        <v>0</v>
      </c>
      <c r="K1322" s="224">
        <f t="shared" si="167"/>
        <v>0.27800000000000002</v>
      </c>
      <c r="L1322" s="225">
        <f t="shared" si="172"/>
        <v>3919.667590027701</v>
      </c>
      <c r="M1322" s="225">
        <f t="shared" si="168"/>
        <v>3919.667590027701</v>
      </c>
      <c r="N1322" s="226">
        <f t="shared" si="170"/>
        <v>4664.4044321329638</v>
      </c>
      <c r="O1322" s="34">
        <v>0.3</v>
      </c>
      <c r="P1322" s="226">
        <f t="shared" si="169"/>
        <v>6063.7257617728528</v>
      </c>
      <c r="Q1322" s="107" t="s">
        <v>1486</v>
      </c>
      <c r="R1322" s="34">
        <v>0.28346808767548859</v>
      </c>
      <c r="S1322" s="226">
        <f t="shared" si="171"/>
        <v>4700.0000168517208</v>
      </c>
      <c r="T1322" s="156" t="s">
        <v>1486</v>
      </c>
      <c r="U1322" s="2"/>
      <c r="V1322" s="2" t="s">
        <v>795</v>
      </c>
      <c r="W1322" s="2" t="s">
        <v>2748</v>
      </c>
      <c r="X1322" s="2"/>
      <c r="Y1322" s="488" t="s">
        <v>1486</v>
      </c>
      <c r="Z1322" s="293">
        <f t="shared" si="173"/>
        <v>1089.667590027701</v>
      </c>
      <c r="AA1322" s="293">
        <f t="shared" si="174"/>
        <v>1119.5798460938831</v>
      </c>
    </row>
    <row r="1323" spans="1:27" s="320" customFormat="1" x14ac:dyDescent="0.25">
      <c r="A1323" s="220" t="s">
        <v>2337</v>
      </c>
      <c r="B1323" s="221" t="s">
        <v>2356</v>
      </c>
      <c r="C1323" s="223" t="s">
        <v>1551</v>
      </c>
      <c r="D1323" s="220" t="s">
        <v>802</v>
      </c>
      <c r="E1323" s="222">
        <v>24</v>
      </c>
      <c r="F1323" s="192">
        <v>0</v>
      </c>
      <c r="G1323" s="24">
        <v>0.2</v>
      </c>
      <c r="H1323" s="24">
        <v>0.05</v>
      </c>
      <c r="I1323" s="24">
        <v>0.05</v>
      </c>
      <c r="J1323" s="24">
        <v>0</v>
      </c>
      <c r="K1323" s="224">
        <f t="shared" si="167"/>
        <v>0</v>
      </c>
      <c r="L1323" s="225">
        <f t="shared" si="172"/>
        <v>0</v>
      </c>
      <c r="M1323" s="225">
        <f t="shared" si="168"/>
        <v>0</v>
      </c>
      <c r="N1323" s="226">
        <f t="shared" si="170"/>
        <v>0</v>
      </c>
      <c r="O1323" s="34">
        <v>0.3</v>
      </c>
      <c r="P1323" s="226">
        <f t="shared" si="169"/>
        <v>0</v>
      </c>
      <c r="Q1323" s="107" t="s">
        <v>1486</v>
      </c>
      <c r="R1323" s="34">
        <v>0.33002991160506584</v>
      </c>
      <c r="S1323" s="226">
        <f t="shared" si="171"/>
        <v>0</v>
      </c>
      <c r="T1323" s="156" t="s">
        <v>1486</v>
      </c>
      <c r="U1323" s="2" t="s">
        <v>109</v>
      </c>
      <c r="V1323" s="2" t="s">
        <v>795</v>
      </c>
      <c r="W1323" s="2" t="s">
        <v>3399</v>
      </c>
      <c r="X1323" s="2"/>
      <c r="Y1323" s="488" t="s">
        <v>1486</v>
      </c>
      <c r="Z1323" s="293">
        <f t="shared" si="173"/>
        <v>0</v>
      </c>
      <c r="AA1323" s="293">
        <f t="shared" si="174"/>
        <v>0</v>
      </c>
    </row>
    <row r="1324" spans="1:27" s="320" customFormat="1" x14ac:dyDescent="0.25">
      <c r="A1324" s="220" t="s">
        <v>2339</v>
      </c>
      <c r="B1324" s="221" t="s">
        <v>2358</v>
      </c>
      <c r="C1324" s="223" t="s">
        <v>1551</v>
      </c>
      <c r="D1324" s="220" t="s">
        <v>802</v>
      </c>
      <c r="E1324" s="222">
        <v>24</v>
      </c>
      <c r="F1324" s="192">
        <v>0</v>
      </c>
      <c r="G1324" s="24">
        <v>0.2</v>
      </c>
      <c r="H1324" s="24">
        <v>0.05</v>
      </c>
      <c r="I1324" s="24">
        <v>0.05</v>
      </c>
      <c r="J1324" s="24">
        <v>0</v>
      </c>
      <c r="K1324" s="224">
        <f t="shared" si="167"/>
        <v>0</v>
      </c>
      <c r="L1324" s="225">
        <f t="shared" si="172"/>
        <v>0</v>
      </c>
      <c r="M1324" s="225">
        <f t="shared" si="168"/>
        <v>0</v>
      </c>
      <c r="N1324" s="226">
        <f t="shared" si="170"/>
        <v>0</v>
      </c>
      <c r="O1324" s="34">
        <v>0.3</v>
      </c>
      <c r="P1324" s="226">
        <f t="shared" si="169"/>
        <v>0</v>
      </c>
      <c r="Q1324" s="107" t="s">
        <v>1486</v>
      </c>
      <c r="R1324" s="34">
        <v>0.33002991160506584</v>
      </c>
      <c r="S1324" s="226">
        <f t="shared" si="171"/>
        <v>0</v>
      </c>
      <c r="T1324" s="156" t="s">
        <v>1486</v>
      </c>
      <c r="U1324" s="2" t="s">
        <v>109</v>
      </c>
      <c r="V1324" s="2" t="s">
        <v>795</v>
      </c>
      <c r="W1324" s="2" t="s">
        <v>3399</v>
      </c>
      <c r="X1324" s="2"/>
      <c r="Y1324" s="488" t="s">
        <v>1486</v>
      </c>
      <c r="Z1324" s="293">
        <f t="shared" si="173"/>
        <v>0</v>
      </c>
      <c r="AA1324" s="293">
        <f t="shared" si="174"/>
        <v>0</v>
      </c>
    </row>
    <row r="1325" spans="1:27" x14ac:dyDescent="0.25">
      <c r="A1325" s="220" t="s">
        <v>2355</v>
      </c>
      <c r="B1325" s="221" t="s">
        <v>4349</v>
      </c>
      <c r="C1325" s="223" t="s">
        <v>2092</v>
      </c>
      <c r="D1325" s="220" t="s">
        <v>2083</v>
      </c>
      <c r="E1325" s="222">
        <v>1</v>
      </c>
      <c r="F1325" s="192">
        <v>22746</v>
      </c>
      <c r="G1325" s="24">
        <v>0.2</v>
      </c>
      <c r="H1325" s="24">
        <v>0.05</v>
      </c>
      <c r="I1325" s="24">
        <v>0.05</v>
      </c>
      <c r="J1325" s="24">
        <v>0</v>
      </c>
      <c r="K1325" s="224">
        <f t="shared" si="167"/>
        <v>0.27800000000000002</v>
      </c>
      <c r="L1325" s="225">
        <f t="shared" si="172"/>
        <v>31504.155124653742</v>
      </c>
      <c r="M1325" s="225">
        <f t="shared" si="168"/>
        <v>31504.155124653742</v>
      </c>
      <c r="N1325" s="226">
        <f t="shared" si="170"/>
        <v>37489.944598337948</v>
      </c>
      <c r="O1325" s="34">
        <v>0.3</v>
      </c>
      <c r="P1325" s="226">
        <f t="shared" si="169"/>
        <v>48736.927977839332</v>
      </c>
      <c r="Q1325" s="107" t="s">
        <v>1486</v>
      </c>
      <c r="R1325" s="34">
        <v>0.21342675986070417</v>
      </c>
      <c r="S1325" s="226">
        <f t="shared" si="171"/>
        <v>34412.230951572317</v>
      </c>
      <c r="T1325" s="156" t="s">
        <v>1486</v>
      </c>
      <c r="U1325" s="2"/>
      <c r="V1325" s="2" t="s">
        <v>795</v>
      </c>
      <c r="W1325" s="2" t="s">
        <v>3399</v>
      </c>
      <c r="X1325" s="2" t="s">
        <v>3242</v>
      </c>
      <c r="Y1325" s="488" t="s">
        <v>1486</v>
      </c>
      <c r="Z1325" s="293">
        <f t="shared" si="173"/>
        <v>8758.155124653742</v>
      </c>
      <c r="AA1325" s="293">
        <f t="shared" si="174"/>
        <v>6171.8411357750592</v>
      </c>
    </row>
    <row r="1326" spans="1:27" x14ac:dyDescent="0.25">
      <c r="A1326" s="220" t="s">
        <v>2357</v>
      </c>
      <c r="B1326" s="221" t="s">
        <v>2606</v>
      </c>
      <c r="C1326" s="223" t="s">
        <v>2092</v>
      </c>
      <c r="D1326" s="220" t="s">
        <v>2083</v>
      </c>
      <c r="E1326" s="222">
        <v>1</v>
      </c>
      <c r="F1326" s="192">
        <v>16392</v>
      </c>
      <c r="G1326" s="24">
        <v>0.2</v>
      </c>
      <c r="H1326" s="24">
        <v>0.05</v>
      </c>
      <c r="I1326" s="24">
        <v>0.05</v>
      </c>
      <c r="J1326" s="24">
        <v>0</v>
      </c>
      <c r="K1326" s="224">
        <f t="shared" si="167"/>
        <v>0.27800000000000002</v>
      </c>
      <c r="L1326" s="225">
        <f t="shared" si="172"/>
        <v>22703.601108033243</v>
      </c>
      <c r="M1326" s="225">
        <f t="shared" si="168"/>
        <v>22703.601108033243</v>
      </c>
      <c r="N1326" s="226">
        <f t="shared" si="170"/>
        <v>27017.285318559556</v>
      </c>
      <c r="O1326" s="34">
        <v>0.3</v>
      </c>
      <c r="P1326" s="226">
        <f t="shared" si="169"/>
        <v>35122.470914127422</v>
      </c>
      <c r="Q1326" s="107" t="s">
        <v>1486</v>
      </c>
      <c r="R1326" s="34">
        <v>0.2197407941292511</v>
      </c>
      <c r="S1326" s="226">
        <f t="shared" si="171"/>
        <v>24999.99981189748</v>
      </c>
      <c r="T1326" s="156" t="s">
        <v>1486</v>
      </c>
      <c r="U1326" s="2"/>
      <c r="V1326" s="2" t="s">
        <v>795</v>
      </c>
      <c r="W1326" s="2" t="s">
        <v>3399</v>
      </c>
      <c r="X1326" s="2" t="s">
        <v>3242</v>
      </c>
      <c r="Y1326" s="488" t="s">
        <v>1486</v>
      </c>
      <c r="Z1326" s="293">
        <f t="shared" si="173"/>
        <v>6311.6011080332428</v>
      </c>
      <c r="AA1326" s="293">
        <f t="shared" si="174"/>
        <v>4616.4032032751929</v>
      </c>
    </row>
    <row r="1327" spans="1:27" x14ac:dyDescent="0.25">
      <c r="A1327" s="220" t="s">
        <v>2604</v>
      </c>
      <c r="B1327" s="221" t="s">
        <v>2610</v>
      </c>
      <c r="C1327" s="223" t="s">
        <v>2092</v>
      </c>
      <c r="D1327" s="220" t="s">
        <v>2083</v>
      </c>
      <c r="E1327" s="222">
        <v>1</v>
      </c>
      <c r="F1327" s="192">
        <v>23465</v>
      </c>
      <c r="G1327" s="24">
        <v>0.2</v>
      </c>
      <c r="H1327" s="24">
        <v>0.05</v>
      </c>
      <c r="I1327" s="24">
        <v>0.05</v>
      </c>
      <c r="J1327" s="24">
        <v>0</v>
      </c>
      <c r="K1327" s="224">
        <f t="shared" si="167"/>
        <v>0.27800000000000002</v>
      </c>
      <c r="L1327" s="225">
        <f t="shared" si="172"/>
        <v>32500</v>
      </c>
      <c r="M1327" s="225">
        <f t="shared" si="168"/>
        <v>32500</v>
      </c>
      <c r="N1327" s="226">
        <f t="shared" si="170"/>
        <v>38675</v>
      </c>
      <c r="O1327" s="34">
        <v>0.3</v>
      </c>
      <c r="P1327" s="226">
        <f t="shared" si="169"/>
        <v>50277.5</v>
      </c>
      <c r="Q1327" s="107" t="s">
        <v>1486</v>
      </c>
      <c r="R1327" s="34">
        <v>0.24613500000508784</v>
      </c>
      <c r="S1327" s="226">
        <f t="shared" si="171"/>
        <v>37040.252565364426</v>
      </c>
      <c r="T1327" s="156" t="s">
        <v>1486</v>
      </c>
      <c r="U1327" s="2"/>
      <c r="V1327" s="2" t="s">
        <v>795</v>
      </c>
      <c r="W1327" s="2" t="s">
        <v>3399</v>
      </c>
      <c r="X1327" s="2" t="s">
        <v>3242</v>
      </c>
      <c r="Y1327" s="488" t="s">
        <v>1486</v>
      </c>
      <c r="Z1327" s="293">
        <f t="shared" si="173"/>
        <v>9035</v>
      </c>
      <c r="AA1327" s="293">
        <f t="shared" si="174"/>
        <v>7661.2626599701071</v>
      </c>
    </row>
    <row r="1328" spans="1:27" x14ac:dyDescent="0.25">
      <c r="A1328" s="220" t="s">
        <v>2605</v>
      </c>
      <c r="B1328" s="221" t="s">
        <v>2612</v>
      </c>
      <c r="C1328" s="223" t="s">
        <v>2092</v>
      </c>
      <c r="D1328" s="220" t="s">
        <v>2083</v>
      </c>
      <c r="E1328" s="222">
        <v>1</v>
      </c>
      <c r="F1328" s="192">
        <v>7479</v>
      </c>
      <c r="G1328" s="24">
        <v>0.2</v>
      </c>
      <c r="H1328" s="24">
        <v>0.05</v>
      </c>
      <c r="I1328" s="24">
        <v>0.05</v>
      </c>
      <c r="J1328" s="24">
        <v>0</v>
      </c>
      <c r="K1328" s="224">
        <f t="shared" si="167"/>
        <v>0.27800000000000014</v>
      </c>
      <c r="L1328" s="225">
        <f t="shared" si="172"/>
        <v>10358.725761772856</v>
      </c>
      <c r="M1328" s="225">
        <f t="shared" si="168"/>
        <v>10358.725761772856</v>
      </c>
      <c r="N1328" s="226">
        <f t="shared" si="170"/>
        <v>12326.883656509697</v>
      </c>
      <c r="O1328" s="34">
        <v>0.3</v>
      </c>
      <c r="P1328" s="226">
        <f t="shared" si="169"/>
        <v>16024.948753462608</v>
      </c>
      <c r="Q1328" s="107" t="s">
        <v>1486</v>
      </c>
      <c r="R1328" s="34">
        <v>0.28799920003681739</v>
      </c>
      <c r="S1328" s="226">
        <f t="shared" si="171"/>
        <v>12500.000000646372</v>
      </c>
      <c r="T1328" s="156" t="s">
        <v>1486</v>
      </c>
      <c r="U1328" s="2"/>
      <c r="V1328" s="2" t="s">
        <v>795</v>
      </c>
      <c r="W1328" s="2" t="s">
        <v>3399</v>
      </c>
      <c r="X1328" s="2" t="s">
        <v>3242</v>
      </c>
      <c r="Y1328" s="488" t="s">
        <v>1486</v>
      </c>
      <c r="Z1328" s="293">
        <f t="shared" si="173"/>
        <v>2879.7257617728555</v>
      </c>
      <c r="AA1328" s="293">
        <f t="shared" si="174"/>
        <v>3025.2016812154397</v>
      </c>
    </row>
    <row r="1329" spans="1:27" x14ac:dyDescent="0.25">
      <c r="A1329" s="220" t="s">
        <v>2609</v>
      </c>
      <c r="B1329" s="221" t="s">
        <v>2617</v>
      </c>
      <c r="C1329" s="223" t="s">
        <v>2092</v>
      </c>
      <c r="D1329" s="220" t="s">
        <v>2083</v>
      </c>
      <c r="E1329" s="222">
        <v>1</v>
      </c>
      <c r="F1329" s="192">
        <v>17431</v>
      </c>
      <c r="G1329" s="24">
        <v>0.2</v>
      </c>
      <c r="H1329" s="24">
        <v>0.05</v>
      </c>
      <c r="I1329" s="24">
        <v>0.05</v>
      </c>
      <c r="J1329" s="24">
        <v>0</v>
      </c>
      <c r="K1329" s="224">
        <f t="shared" si="167"/>
        <v>0.27800000000000002</v>
      </c>
      <c r="L1329" s="225">
        <f t="shared" si="172"/>
        <v>24142.659279778392</v>
      </c>
      <c r="M1329" s="225">
        <f t="shared" si="168"/>
        <v>24142.659279778392</v>
      </c>
      <c r="N1329" s="226">
        <f t="shared" si="170"/>
        <v>28729.764542936286</v>
      </c>
      <c r="O1329" s="34">
        <v>0.3</v>
      </c>
      <c r="P1329" s="226">
        <f t="shared" si="169"/>
        <v>37348.69390581717</v>
      </c>
      <c r="Q1329" s="107" t="s">
        <v>1486</v>
      </c>
      <c r="R1329" s="34">
        <v>0.2457130909135993</v>
      </c>
      <c r="S1329" s="226">
        <f t="shared" si="171"/>
        <v>27500.000000164368</v>
      </c>
      <c r="T1329" s="156" t="s">
        <v>1486</v>
      </c>
      <c r="U1329" s="2"/>
      <c r="V1329" s="2" t="s">
        <v>795</v>
      </c>
      <c r="W1329" s="2" t="s">
        <v>3399</v>
      </c>
      <c r="X1329" s="2" t="s">
        <v>3242</v>
      </c>
      <c r="Y1329" s="488" t="s">
        <v>1486</v>
      </c>
      <c r="Z1329" s="293">
        <f t="shared" si="173"/>
        <v>6711.6592797783924</v>
      </c>
      <c r="AA1329" s="293">
        <f t="shared" si="174"/>
        <v>5678.2436976171157</v>
      </c>
    </row>
    <row r="1330" spans="1:27" x14ac:dyDescent="0.25">
      <c r="A1330" s="220" t="s">
        <v>2611</v>
      </c>
      <c r="B1330" s="221" t="s">
        <v>2618</v>
      </c>
      <c r="C1330" s="223" t="s">
        <v>2092</v>
      </c>
      <c r="D1330" s="220" t="s">
        <v>2083</v>
      </c>
      <c r="E1330" s="222">
        <v>1</v>
      </c>
      <c r="F1330" s="192">
        <v>3573</v>
      </c>
      <c r="G1330" s="24">
        <v>0.2</v>
      </c>
      <c r="H1330" s="24">
        <v>0.05</v>
      </c>
      <c r="I1330" s="24">
        <v>0.05</v>
      </c>
      <c r="J1330" s="24">
        <v>0</v>
      </c>
      <c r="K1330" s="224">
        <f t="shared" si="167"/>
        <v>0.27800000000000014</v>
      </c>
      <c r="L1330" s="225">
        <f t="shared" si="172"/>
        <v>4948.7534626038787</v>
      </c>
      <c r="M1330" s="225">
        <f t="shared" si="168"/>
        <v>4948.7534626038787</v>
      </c>
      <c r="N1330" s="226">
        <f t="shared" si="170"/>
        <v>5889.0166204986153</v>
      </c>
      <c r="O1330" s="34">
        <v>0.3</v>
      </c>
      <c r="P1330" s="226">
        <f t="shared" si="169"/>
        <v>7655.7216066482006</v>
      </c>
      <c r="Q1330" s="107" t="s">
        <v>1486</v>
      </c>
      <c r="R1330" s="34">
        <v>0.26691896468572102</v>
      </c>
      <c r="S1330" s="226">
        <f t="shared" si="171"/>
        <v>5799.9999934211664</v>
      </c>
      <c r="T1330" s="156" t="s">
        <v>1486</v>
      </c>
      <c r="U1330" s="2"/>
      <c r="V1330" s="2" t="s">
        <v>795</v>
      </c>
      <c r="W1330" s="2" t="s">
        <v>3399</v>
      </c>
      <c r="X1330" s="2" t="s">
        <v>3242</v>
      </c>
      <c r="Y1330" s="488" t="s">
        <v>1486</v>
      </c>
      <c r="Z1330" s="293">
        <f t="shared" si="173"/>
        <v>1375.7534626038787</v>
      </c>
      <c r="AA1330" s="293">
        <f t="shared" si="174"/>
        <v>1300.9495743035013</v>
      </c>
    </row>
    <row r="1331" spans="1:27" x14ac:dyDescent="0.25">
      <c r="A1331" s="220" t="s">
        <v>2613</v>
      </c>
      <c r="B1331" s="221" t="s">
        <v>2616</v>
      </c>
      <c r="C1331" s="223" t="s">
        <v>2092</v>
      </c>
      <c r="D1331" s="220" t="s">
        <v>2083</v>
      </c>
      <c r="E1331" s="222">
        <v>1</v>
      </c>
      <c r="F1331" s="192">
        <v>3445</v>
      </c>
      <c r="G1331" s="24">
        <v>0.2</v>
      </c>
      <c r="H1331" s="24">
        <v>0.05</v>
      </c>
      <c r="I1331" s="24">
        <v>0.05</v>
      </c>
      <c r="J1331" s="24">
        <v>0</v>
      </c>
      <c r="K1331" s="224">
        <f t="shared" si="167"/>
        <v>0.27800000000000014</v>
      </c>
      <c r="L1331" s="225">
        <f t="shared" si="172"/>
        <v>4771.4681440443219</v>
      </c>
      <c r="M1331" s="225">
        <f t="shared" si="168"/>
        <v>4771.4681440443219</v>
      </c>
      <c r="N1331" s="226">
        <f t="shared" si="170"/>
        <v>5678.0470914127427</v>
      </c>
      <c r="O1331" s="34">
        <v>0.3</v>
      </c>
      <c r="P1331" s="226">
        <f t="shared" si="169"/>
        <v>7381.4612188365654</v>
      </c>
      <c r="Q1331" s="107" t="s">
        <v>1486</v>
      </c>
      <c r="R1331" s="34">
        <v>0.25462727329894985</v>
      </c>
      <c r="S1331" s="226">
        <f t="shared" si="171"/>
        <v>5500.0000042183246</v>
      </c>
      <c r="T1331" s="156" t="s">
        <v>1486</v>
      </c>
      <c r="U1331" s="2"/>
      <c r="V1331" s="2" t="s">
        <v>795</v>
      </c>
      <c r="W1331" s="2" t="s">
        <v>3399</v>
      </c>
      <c r="X1331" s="2" t="s">
        <v>3242</v>
      </c>
      <c r="Y1331" s="488" t="s">
        <v>1486</v>
      </c>
      <c r="Z1331" s="293">
        <f t="shared" si="173"/>
        <v>1326.4681440443219</v>
      </c>
      <c r="AA1331" s="293">
        <f t="shared" si="174"/>
        <v>1176.8487430406094</v>
      </c>
    </row>
    <row r="1332" spans="1:27" x14ac:dyDescent="0.25">
      <c r="A1332" s="220" t="s">
        <v>2614</v>
      </c>
      <c r="B1332" s="221" t="s">
        <v>2644</v>
      </c>
      <c r="C1332" s="223" t="s">
        <v>1570</v>
      </c>
      <c r="D1332" s="220" t="s">
        <v>1469</v>
      </c>
      <c r="E1332" s="222">
        <v>1</v>
      </c>
      <c r="F1332" s="192">
        <v>14040</v>
      </c>
      <c r="G1332" s="24">
        <v>0.2</v>
      </c>
      <c r="H1332" s="24">
        <v>0.05</v>
      </c>
      <c r="I1332" s="24">
        <v>0.05</v>
      </c>
      <c r="J1332" s="24">
        <v>0</v>
      </c>
      <c r="K1332" s="224">
        <f t="shared" si="167"/>
        <v>0.27800000000000014</v>
      </c>
      <c r="L1332" s="225">
        <f t="shared" si="172"/>
        <v>19445.983379501387</v>
      </c>
      <c r="M1332" s="225">
        <f t="shared" si="168"/>
        <v>19445.983379501387</v>
      </c>
      <c r="N1332" s="226">
        <f t="shared" si="170"/>
        <v>23140.720221606651</v>
      </c>
      <c r="O1332" s="34">
        <v>0.3</v>
      </c>
      <c r="P1332" s="226">
        <f t="shared" si="169"/>
        <v>30082.936288088647</v>
      </c>
      <c r="Q1332" s="107" t="s">
        <v>1486</v>
      </c>
      <c r="R1332" s="34">
        <v>0.25078026786472724</v>
      </c>
      <c r="S1332" s="226">
        <f t="shared" si="171"/>
        <v>22299.999964474264</v>
      </c>
      <c r="T1332" s="156" t="s">
        <v>1486</v>
      </c>
      <c r="U1332" s="2" t="s">
        <v>50</v>
      </c>
      <c r="V1332" s="2" t="s">
        <v>795</v>
      </c>
      <c r="W1332" s="2" t="s">
        <v>3399</v>
      </c>
      <c r="X1332" s="2" t="s">
        <v>1467</v>
      </c>
      <c r="Y1332" s="488" t="s">
        <v>1486</v>
      </c>
      <c r="Z1332" s="293">
        <f t="shared" si="173"/>
        <v>5405.9833795013874</v>
      </c>
      <c r="AA1332" s="293">
        <f t="shared" si="174"/>
        <v>4699.4957684657675</v>
      </c>
    </row>
    <row r="1333" spans="1:27" x14ac:dyDescent="0.25">
      <c r="A1333" s="220" t="s">
        <v>2615</v>
      </c>
      <c r="B1333" s="221" t="s">
        <v>3598</v>
      </c>
      <c r="C1333" s="223" t="s">
        <v>1548</v>
      </c>
      <c r="D1333" s="220" t="s">
        <v>3599</v>
      </c>
      <c r="E1333" s="222">
        <v>1</v>
      </c>
      <c r="F1333" s="192">
        <v>4104</v>
      </c>
      <c r="G1333" s="24">
        <v>0.2</v>
      </c>
      <c r="H1333" s="24">
        <v>0.05</v>
      </c>
      <c r="I1333" s="24">
        <v>0.05</v>
      </c>
      <c r="J1333" s="24">
        <v>0</v>
      </c>
      <c r="K1333" s="224">
        <f t="shared" si="167"/>
        <v>0.27800000000000002</v>
      </c>
      <c r="L1333" s="225">
        <f t="shared" si="172"/>
        <v>5684.21052631579</v>
      </c>
      <c r="M1333" s="225">
        <f t="shared" si="168"/>
        <v>5684.21052631579</v>
      </c>
      <c r="N1333" s="226">
        <f t="shared" si="170"/>
        <v>6764.21052631579</v>
      </c>
      <c r="O1333" s="34">
        <v>0.3</v>
      </c>
      <c r="P1333" s="226">
        <f t="shared" si="169"/>
        <v>8793.4736842105267</v>
      </c>
      <c r="Q1333" s="107" t="s">
        <v>1486</v>
      </c>
      <c r="R1333" s="34">
        <v>0.42544000077128902</v>
      </c>
      <c r="S1333" s="226">
        <f t="shared" si="171"/>
        <v>8500.000011410395</v>
      </c>
      <c r="T1333" s="156" t="s">
        <v>1486</v>
      </c>
      <c r="U1333" s="2"/>
      <c r="V1333" s="2" t="s">
        <v>795</v>
      </c>
      <c r="W1333" s="2" t="s">
        <v>3399</v>
      </c>
      <c r="X1333" s="2" t="s">
        <v>3242</v>
      </c>
      <c r="Y1333" s="488" t="s">
        <v>1486</v>
      </c>
      <c r="Z1333" s="293">
        <f t="shared" si="173"/>
        <v>1580.21052631579</v>
      </c>
      <c r="AA1333" s="293">
        <f t="shared" si="174"/>
        <v>3038.8571524457102</v>
      </c>
    </row>
    <row r="1334" spans="1:27" x14ac:dyDescent="0.25">
      <c r="A1334" s="220" t="s">
        <v>2643</v>
      </c>
      <c r="B1334" s="221" t="s">
        <v>3600</v>
      </c>
      <c r="C1334" s="223" t="s">
        <v>1548</v>
      </c>
      <c r="D1334" s="220" t="s">
        <v>3601</v>
      </c>
      <c r="E1334" s="222">
        <v>1</v>
      </c>
      <c r="F1334" s="192">
        <v>100</v>
      </c>
      <c r="G1334" s="24">
        <v>0.2</v>
      </c>
      <c r="H1334" s="24">
        <v>0.05</v>
      </c>
      <c r="I1334" s="24">
        <v>0.05</v>
      </c>
      <c r="J1334" s="24">
        <v>0.05</v>
      </c>
      <c r="K1334" s="224">
        <f t="shared" si="167"/>
        <v>0.31410000000000016</v>
      </c>
      <c r="L1334" s="225">
        <f t="shared" si="172"/>
        <v>145.79384749963555</v>
      </c>
      <c r="M1334" s="225">
        <f t="shared" si="168"/>
        <v>145.79384749963555</v>
      </c>
      <c r="N1334" s="226">
        <f t="shared" si="170"/>
        <v>173.4946785245663</v>
      </c>
      <c r="O1334" s="34">
        <v>0.3</v>
      </c>
      <c r="P1334" s="226">
        <f t="shared" si="169"/>
        <v>225.54308208193621</v>
      </c>
      <c r="Q1334" s="107" t="s">
        <v>1486</v>
      </c>
      <c r="R1334" s="34">
        <v>0.45</v>
      </c>
      <c r="S1334" s="226">
        <f t="shared" si="171"/>
        <v>216.36363636363635</v>
      </c>
      <c r="T1334" s="156" t="s">
        <v>1486</v>
      </c>
      <c r="U1334" s="2"/>
      <c r="V1334" s="2" t="s">
        <v>795</v>
      </c>
      <c r="W1334" s="2" t="s">
        <v>3399</v>
      </c>
      <c r="X1334" s="2" t="s">
        <v>1467</v>
      </c>
      <c r="Y1334" s="488" t="s">
        <v>1486</v>
      </c>
      <c r="Z1334" s="293"/>
      <c r="AA1334" s="293"/>
    </row>
    <row r="1335" spans="1:27" x14ac:dyDescent="0.25">
      <c r="A1335" s="220" t="s">
        <v>3062</v>
      </c>
      <c r="B1335" s="221" t="s">
        <v>3042</v>
      </c>
      <c r="C1335" s="223" t="s">
        <v>3024</v>
      </c>
      <c r="D1335" s="220" t="s">
        <v>3041</v>
      </c>
      <c r="E1335" s="222">
        <v>4</v>
      </c>
      <c r="F1335" s="192">
        <v>0</v>
      </c>
      <c r="G1335" s="24">
        <v>0.2</v>
      </c>
      <c r="H1335" s="24">
        <v>0.05</v>
      </c>
      <c r="I1335" s="24">
        <v>0.05</v>
      </c>
      <c r="J1335" s="24">
        <v>0</v>
      </c>
      <c r="K1335" s="224">
        <f t="shared" si="167"/>
        <v>0</v>
      </c>
      <c r="L1335" s="225">
        <f t="shared" si="172"/>
        <v>0</v>
      </c>
      <c r="M1335" s="225">
        <f t="shared" si="168"/>
        <v>0</v>
      </c>
      <c r="N1335" s="226">
        <f t="shared" si="170"/>
        <v>0</v>
      </c>
      <c r="O1335" s="34">
        <v>0.3</v>
      </c>
      <c r="P1335" s="226">
        <f t="shared" si="169"/>
        <v>0</v>
      </c>
      <c r="Q1335" s="107" t="s">
        <v>1486</v>
      </c>
      <c r="R1335" s="34">
        <v>0.3</v>
      </c>
      <c r="S1335" s="226">
        <f t="shared" si="171"/>
        <v>0</v>
      </c>
      <c r="T1335" s="156" t="s">
        <v>1486</v>
      </c>
      <c r="U1335" s="2"/>
      <c r="V1335" s="2" t="s">
        <v>795</v>
      </c>
      <c r="W1335" s="2" t="s">
        <v>3399</v>
      </c>
      <c r="X1335" s="2" t="s">
        <v>3242</v>
      </c>
      <c r="Y1335" s="488" t="s">
        <v>1486</v>
      </c>
      <c r="Z1335" s="293">
        <f t="shared" ref="Z1335:Z1366" si="175">+M1335-F1335</f>
        <v>0</v>
      </c>
      <c r="AA1335" s="293">
        <f t="shared" ref="AA1335:AA1366" si="176">+(S1335/1.19)-F1335</f>
        <v>0</v>
      </c>
    </row>
    <row r="1336" spans="1:27" x14ac:dyDescent="0.25">
      <c r="A1336" s="220" t="s">
        <v>3063</v>
      </c>
      <c r="B1336" s="221" t="s">
        <v>3043</v>
      </c>
      <c r="C1336" s="223" t="s">
        <v>3024</v>
      </c>
      <c r="D1336" s="220" t="s">
        <v>3041</v>
      </c>
      <c r="E1336" s="222">
        <v>4</v>
      </c>
      <c r="F1336" s="192">
        <v>0</v>
      </c>
      <c r="G1336" s="24">
        <v>0.2</v>
      </c>
      <c r="H1336" s="24">
        <v>0.05</v>
      </c>
      <c r="I1336" s="24">
        <v>0.05</v>
      </c>
      <c r="J1336" s="24">
        <v>0</v>
      </c>
      <c r="K1336" s="224">
        <f t="shared" si="167"/>
        <v>0</v>
      </c>
      <c r="L1336" s="225">
        <f t="shared" si="172"/>
        <v>0</v>
      </c>
      <c r="M1336" s="225">
        <f t="shared" si="168"/>
        <v>0</v>
      </c>
      <c r="N1336" s="226">
        <f t="shared" si="170"/>
        <v>0</v>
      </c>
      <c r="O1336" s="34">
        <v>0.3</v>
      </c>
      <c r="P1336" s="226">
        <f t="shared" si="169"/>
        <v>0</v>
      </c>
      <c r="Q1336" s="107" t="s">
        <v>1486</v>
      </c>
      <c r="R1336" s="34">
        <v>0.3</v>
      </c>
      <c r="S1336" s="226">
        <f t="shared" si="171"/>
        <v>0</v>
      </c>
      <c r="T1336" s="156" t="s">
        <v>1486</v>
      </c>
      <c r="U1336" s="2"/>
      <c r="V1336" s="2" t="s">
        <v>795</v>
      </c>
      <c r="W1336" s="2" t="s">
        <v>3399</v>
      </c>
      <c r="X1336" s="2" t="s">
        <v>3242</v>
      </c>
      <c r="Y1336" s="488" t="s">
        <v>1486</v>
      </c>
      <c r="Z1336" s="293">
        <f t="shared" si="175"/>
        <v>0</v>
      </c>
      <c r="AA1336" s="293">
        <f t="shared" si="176"/>
        <v>0</v>
      </c>
    </row>
    <row r="1337" spans="1:27" x14ac:dyDescent="0.25">
      <c r="A1337" s="220" t="s">
        <v>3064</v>
      </c>
      <c r="B1337" s="221" t="s">
        <v>3044</v>
      </c>
      <c r="C1337" s="223" t="s">
        <v>3024</v>
      </c>
      <c r="D1337" s="220" t="s">
        <v>3041</v>
      </c>
      <c r="E1337" s="222">
        <v>1</v>
      </c>
      <c r="F1337" s="192">
        <v>0</v>
      </c>
      <c r="G1337" s="24">
        <v>0.2</v>
      </c>
      <c r="H1337" s="24">
        <v>0.05</v>
      </c>
      <c r="I1337" s="24">
        <v>0.05</v>
      </c>
      <c r="J1337" s="24">
        <v>0</v>
      </c>
      <c r="K1337" s="224">
        <f t="shared" si="167"/>
        <v>0</v>
      </c>
      <c r="L1337" s="225">
        <f t="shared" si="172"/>
        <v>0</v>
      </c>
      <c r="M1337" s="225">
        <f t="shared" si="168"/>
        <v>0</v>
      </c>
      <c r="N1337" s="226">
        <f t="shared" si="170"/>
        <v>0</v>
      </c>
      <c r="O1337" s="34">
        <v>0.3</v>
      </c>
      <c r="P1337" s="226">
        <f t="shared" si="169"/>
        <v>0</v>
      </c>
      <c r="Q1337" s="107" t="s">
        <v>1486</v>
      </c>
      <c r="R1337" s="34">
        <v>0.3</v>
      </c>
      <c r="S1337" s="226">
        <f t="shared" si="171"/>
        <v>0</v>
      </c>
      <c r="T1337" s="156" t="s">
        <v>1486</v>
      </c>
      <c r="U1337" s="2"/>
      <c r="V1337" s="2" t="s">
        <v>795</v>
      </c>
      <c r="W1337" s="2" t="s">
        <v>3399</v>
      </c>
      <c r="X1337" s="2" t="s">
        <v>3242</v>
      </c>
      <c r="Y1337" s="488" t="s">
        <v>1486</v>
      </c>
      <c r="Z1337" s="293">
        <f t="shared" si="175"/>
        <v>0</v>
      </c>
      <c r="AA1337" s="293">
        <f t="shared" si="176"/>
        <v>0</v>
      </c>
    </row>
    <row r="1338" spans="1:27" x14ac:dyDescent="0.25">
      <c r="A1338" s="220" t="s">
        <v>3065</v>
      </c>
      <c r="B1338" s="221" t="s">
        <v>3045</v>
      </c>
      <c r="C1338" s="223" t="s">
        <v>3024</v>
      </c>
      <c r="D1338" s="220" t="s">
        <v>3041</v>
      </c>
      <c r="E1338" s="222">
        <v>1</v>
      </c>
      <c r="F1338" s="192">
        <v>0</v>
      </c>
      <c r="G1338" s="24">
        <v>0.2</v>
      </c>
      <c r="H1338" s="24">
        <v>0.05</v>
      </c>
      <c r="I1338" s="24">
        <v>0.05</v>
      </c>
      <c r="J1338" s="24">
        <v>0</v>
      </c>
      <c r="K1338" s="224">
        <f t="shared" si="167"/>
        <v>0</v>
      </c>
      <c r="L1338" s="225">
        <f t="shared" si="172"/>
        <v>0</v>
      </c>
      <c r="M1338" s="225">
        <f t="shared" si="168"/>
        <v>0</v>
      </c>
      <c r="N1338" s="226">
        <f t="shared" si="170"/>
        <v>0</v>
      </c>
      <c r="O1338" s="34">
        <v>0.3</v>
      </c>
      <c r="P1338" s="226">
        <f t="shared" si="169"/>
        <v>0</v>
      </c>
      <c r="Q1338" s="107" t="s">
        <v>1486</v>
      </c>
      <c r="R1338" s="34">
        <v>0.3</v>
      </c>
      <c r="S1338" s="226">
        <f t="shared" si="171"/>
        <v>0</v>
      </c>
      <c r="T1338" s="156" t="s">
        <v>1486</v>
      </c>
      <c r="U1338" s="2"/>
      <c r="V1338" s="2" t="s">
        <v>795</v>
      </c>
      <c r="W1338" s="2" t="s">
        <v>3399</v>
      </c>
      <c r="X1338" s="2" t="s">
        <v>3242</v>
      </c>
      <c r="Y1338" s="488" t="s">
        <v>1486</v>
      </c>
      <c r="Z1338" s="293">
        <f t="shared" si="175"/>
        <v>0</v>
      </c>
      <c r="AA1338" s="293">
        <f t="shared" si="176"/>
        <v>0</v>
      </c>
    </row>
    <row r="1339" spans="1:27" x14ac:dyDescent="0.25">
      <c r="A1339" s="220" t="s">
        <v>3066</v>
      </c>
      <c r="B1339" s="221" t="s">
        <v>3046</v>
      </c>
      <c r="C1339" s="223" t="s">
        <v>3024</v>
      </c>
      <c r="D1339" s="220" t="s">
        <v>3041</v>
      </c>
      <c r="E1339" s="222">
        <v>1</v>
      </c>
      <c r="F1339" s="192">
        <v>0</v>
      </c>
      <c r="G1339" s="24">
        <v>0.2</v>
      </c>
      <c r="H1339" s="24">
        <v>0.05</v>
      </c>
      <c r="I1339" s="24">
        <v>0.05</v>
      </c>
      <c r="J1339" s="24">
        <v>0</v>
      </c>
      <c r="K1339" s="224">
        <f t="shared" si="167"/>
        <v>0</v>
      </c>
      <c r="L1339" s="225">
        <f t="shared" si="172"/>
        <v>0</v>
      </c>
      <c r="M1339" s="225">
        <f t="shared" si="168"/>
        <v>0</v>
      </c>
      <c r="N1339" s="226">
        <f t="shared" si="170"/>
        <v>0</v>
      </c>
      <c r="O1339" s="34">
        <v>0.3</v>
      </c>
      <c r="P1339" s="226">
        <f t="shared" si="169"/>
        <v>0</v>
      </c>
      <c r="Q1339" s="107" t="s">
        <v>1486</v>
      </c>
      <c r="R1339" s="34">
        <v>0.3</v>
      </c>
      <c r="S1339" s="226">
        <f t="shared" si="171"/>
        <v>0</v>
      </c>
      <c r="T1339" s="156" t="s">
        <v>1486</v>
      </c>
      <c r="U1339" s="2"/>
      <c r="V1339" s="2" t="s">
        <v>795</v>
      </c>
      <c r="W1339" s="2" t="s">
        <v>3399</v>
      </c>
      <c r="X1339" s="2" t="s">
        <v>3242</v>
      </c>
      <c r="Y1339" s="488" t="s">
        <v>1486</v>
      </c>
      <c r="Z1339" s="293">
        <f t="shared" si="175"/>
        <v>0</v>
      </c>
      <c r="AA1339" s="293">
        <f t="shared" si="176"/>
        <v>0</v>
      </c>
    </row>
    <row r="1340" spans="1:27" x14ac:dyDescent="0.25">
      <c r="A1340" s="220" t="s">
        <v>3067</v>
      </c>
      <c r="B1340" s="221" t="s">
        <v>3047</v>
      </c>
      <c r="C1340" s="223" t="s">
        <v>3024</v>
      </c>
      <c r="D1340" s="220" t="s">
        <v>3041</v>
      </c>
      <c r="E1340" s="222">
        <v>1</v>
      </c>
      <c r="F1340" s="192">
        <v>0</v>
      </c>
      <c r="G1340" s="24">
        <v>0.2</v>
      </c>
      <c r="H1340" s="24">
        <v>0.05</v>
      </c>
      <c r="I1340" s="24">
        <v>0.05</v>
      </c>
      <c r="J1340" s="24">
        <v>0</v>
      </c>
      <c r="K1340" s="224">
        <f t="shared" si="167"/>
        <v>0</v>
      </c>
      <c r="L1340" s="225">
        <f t="shared" si="172"/>
        <v>0</v>
      </c>
      <c r="M1340" s="225">
        <f t="shared" si="168"/>
        <v>0</v>
      </c>
      <c r="N1340" s="226">
        <f t="shared" si="170"/>
        <v>0</v>
      </c>
      <c r="O1340" s="34">
        <v>0.3</v>
      </c>
      <c r="P1340" s="226">
        <f t="shared" si="169"/>
        <v>0</v>
      </c>
      <c r="Q1340" s="107" t="s">
        <v>1486</v>
      </c>
      <c r="R1340" s="34">
        <v>0.3</v>
      </c>
      <c r="S1340" s="226">
        <f t="shared" si="171"/>
        <v>0</v>
      </c>
      <c r="T1340" s="156" t="s">
        <v>1486</v>
      </c>
      <c r="U1340" s="2"/>
      <c r="V1340" s="2" t="s">
        <v>795</v>
      </c>
      <c r="W1340" s="2" t="s">
        <v>3399</v>
      </c>
      <c r="X1340" s="2" t="s">
        <v>3242</v>
      </c>
      <c r="Y1340" s="488" t="s">
        <v>1486</v>
      </c>
      <c r="Z1340" s="293">
        <f t="shared" si="175"/>
        <v>0</v>
      </c>
      <c r="AA1340" s="293">
        <f t="shared" si="176"/>
        <v>0</v>
      </c>
    </row>
    <row r="1341" spans="1:27" x14ac:dyDescent="0.25">
      <c r="A1341" s="220" t="s">
        <v>3068</v>
      </c>
      <c r="B1341" s="221" t="s">
        <v>3048</v>
      </c>
      <c r="C1341" s="223" t="s">
        <v>3024</v>
      </c>
      <c r="D1341" s="220" t="s">
        <v>3041</v>
      </c>
      <c r="E1341" s="222">
        <v>4</v>
      </c>
      <c r="F1341" s="192">
        <v>0</v>
      </c>
      <c r="G1341" s="24">
        <v>0.2</v>
      </c>
      <c r="H1341" s="24">
        <v>0.05</v>
      </c>
      <c r="I1341" s="24">
        <v>0.05</v>
      </c>
      <c r="J1341" s="24">
        <v>0</v>
      </c>
      <c r="K1341" s="224">
        <f t="shared" si="167"/>
        <v>0</v>
      </c>
      <c r="L1341" s="225">
        <f t="shared" si="172"/>
        <v>0</v>
      </c>
      <c r="M1341" s="225">
        <f t="shared" si="168"/>
        <v>0</v>
      </c>
      <c r="N1341" s="226">
        <f t="shared" si="170"/>
        <v>0</v>
      </c>
      <c r="O1341" s="34">
        <v>0.3</v>
      </c>
      <c r="P1341" s="226">
        <f t="shared" si="169"/>
        <v>0</v>
      </c>
      <c r="Q1341" s="107" t="s">
        <v>1486</v>
      </c>
      <c r="R1341" s="34">
        <v>0.3</v>
      </c>
      <c r="S1341" s="226">
        <f t="shared" si="171"/>
        <v>0</v>
      </c>
      <c r="T1341" s="156" t="s">
        <v>1486</v>
      </c>
      <c r="U1341" s="2"/>
      <c r="V1341" s="2" t="s">
        <v>795</v>
      </c>
      <c r="W1341" s="2" t="s">
        <v>3399</v>
      </c>
      <c r="X1341" s="2" t="s">
        <v>3242</v>
      </c>
      <c r="Y1341" s="488" t="s">
        <v>1486</v>
      </c>
      <c r="Z1341" s="293">
        <f t="shared" si="175"/>
        <v>0</v>
      </c>
      <c r="AA1341" s="293">
        <f t="shared" si="176"/>
        <v>0</v>
      </c>
    </row>
    <row r="1342" spans="1:27" x14ac:dyDescent="0.25">
      <c r="A1342" s="220" t="s">
        <v>3069</v>
      </c>
      <c r="B1342" s="221" t="s">
        <v>3049</v>
      </c>
      <c r="C1342" s="223" t="s">
        <v>3024</v>
      </c>
      <c r="D1342" s="220" t="s">
        <v>3041</v>
      </c>
      <c r="E1342" s="222">
        <v>4</v>
      </c>
      <c r="F1342" s="192">
        <v>0</v>
      </c>
      <c r="G1342" s="24">
        <v>0.2</v>
      </c>
      <c r="H1342" s="24">
        <v>0.05</v>
      </c>
      <c r="I1342" s="24">
        <v>0.05</v>
      </c>
      <c r="J1342" s="24">
        <v>0</v>
      </c>
      <c r="K1342" s="224">
        <f t="shared" si="167"/>
        <v>0</v>
      </c>
      <c r="L1342" s="225">
        <f t="shared" ref="L1342:L1373" si="177">+M1342*E1342</f>
        <v>0</v>
      </c>
      <c r="M1342" s="225">
        <f t="shared" si="168"/>
        <v>0</v>
      </c>
      <c r="N1342" s="226">
        <f t="shared" si="170"/>
        <v>0</v>
      </c>
      <c r="O1342" s="34">
        <v>0.3</v>
      </c>
      <c r="P1342" s="226">
        <f t="shared" si="169"/>
        <v>0</v>
      </c>
      <c r="Q1342" s="107" t="s">
        <v>1486</v>
      </c>
      <c r="R1342" s="34">
        <v>0.3</v>
      </c>
      <c r="S1342" s="226">
        <f t="shared" si="171"/>
        <v>0</v>
      </c>
      <c r="T1342" s="156" t="s">
        <v>1486</v>
      </c>
      <c r="U1342" s="2"/>
      <c r="V1342" s="2" t="s">
        <v>795</v>
      </c>
      <c r="W1342" s="2" t="s">
        <v>3399</v>
      </c>
      <c r="X1342" s="2" t="s">
        <v>3242</v>
      </c>
      <c r="Y1342" s="488" t="s">
        <v>1486</v>
      </c>
      <c r="Z1342" s="293">
        <f t="shared" si="175"/>
        <v>0</v>
      </c>
      <c r="AA1342" s="293">
        <f t="shared" si="176"/>
        <v>0</v>
      </c>
    </row>
    <row r="1343" spans="1:27" x14ac:dyDescent="0.25">
      <c r="A1343" s="220" t="s">
        <v>3070</v>
      </c>
      <c r="B1343" s="221" t="s">
        <v>3050</v>
      </c>
      <c r="C1343" s="223" t="s">
        <v>3024</v>
      </c>
      <c r="D1343" s="220" t="s">
        <v>3041</v>
      </c>
      <c r="E1343" s="222">
        <v>1</v>
      </c>
      <c r="F1343" s="192">
        <v>0</v>
      </c>
      <c r="G1343" s="24">
        <v>0.2</v>
      </c>
      <c r="H1343" s="24">
        <v>0.05</v>
      </c>
      <c r="I1343" s="24">
        <v>0.05</v>
      </c>
      <c r="J1343" s="24">
        <v>0</v>
      </c>
      <c r="K1343" s="224">
        <f t="shared" si="167"/>
        <v>0</v>
      </c>
      <c r="L1343" s="225">
        <f t="shared" si="177"/>
        <v>0</v>
      </c>
      <c r="M1343" s="225">
        <f t="shared" si="168"/>
        <v>0</v>
      </c>
      <c r="N1343" s="226">
        <f t="shared" si="170"/>
        <v>0</v>
      </c>
      <c r="O1343" s="34">
        <v>0.3</v>
      </c>
      <c r="P1343" s="226">
        <f t="shared" si="169"/>
        <v>0</v>
      </c>
      <c r="Q1343" s="107" t="s">
        <v>1486</v>
      </c>
      <c r="R1343" s="34">
        <v>0.3</v>
      </c>
      <c r="S1343" s="226">
        <f t="shared" si="171"/>
        <v>0</v>
      </c>
      <c r="T1343" s="156" t="s">
        <v>1486</v>
      </c>
      <c r="U1343" s="2"/>
      <c r="V1343" s="2" t="s">
        <v>795</v>
      </c>
      <c r="W1343" s="2" t="s">
        <v>3399</v>
      </c>
      <c r="X1343" s="2" t="s">
        <v>3242</v>
      </c>
      <c r="Y1343" s="488" t="s">
        <v>1486</v>
      </c>
      <c r="Z1343" s="293">
        <f t="shared" si="175"/>
        <v>0</v>
      </c>
      <c r="AA1343" s="293">
        <f t="shared" si="176"/>
        <v>0</v>
      </c>
    </row>
    <row r="1344" spans="1:27" x14ac:dyDescent="0.25">
      <c r="A1344" s="220" t="s">
        <v>3071</v>
      </c>
      <c r="B1344" s="221" t="s">
        <v>3051</v>
      </c>
      <c r="C1344" s="223" t="s">
        <v>3024</v>
      </c>
      <c r="D1344" s="220" t="s">
        <v>3041</v>
      </c>
      <c r="E1344" s="222">
        <v>1</v>
      </c>
      <c r="F1344" s="192">
        <v>0</v>
      </c>
      <c r="G1344" s="24">
        <v>0.2</v>
      </c>
      <c r="H1344" s="24">
        <v>0.05</v>
      </c>
      <c r="I1344" s="24">
        <v>0.05</v>
      </c>
      <c r="J1344" s="24">
        <v>0</v>
      </c>
      <c r="K1344" s="224">
        <f t="shared" si="167"/>
        <v>0</v>
      </c>
      <c r="L1344" s="225">
        <f t="shared" si="177"/>
        <v>0</v>
      </c>
      <c r="M1344" s="225">
        <f t="shared" si="168"/>
        <v>0</v>
      </c>
      <c r="N1344" s="226">
        <f t="shared" si="170"/>
        <v>0</v>
      </c>
      <c r="O1344" s="34">
        <v>0.3</v>
      </c>
      <c r="P1344" s="226">
        <f t="shared" si="169"/>
        <v>0</v>
      </c>
      <c r="Q1344" s="107" t="s">
        <v>1486</v>
      </c>
      <c r="R1344" s="34">
        <v>0.3</v>
      </c>
      <c r="S1344" s="226">
        <f t="shared" si="171"/>
        <v>0</v>
      </c>
      <c r="T1344" s="156" t="s">
        <v>1486</v>
      </c>
      <c r="U1344" s="2"/>
      <c r="V1344" s="2" t="s">
        <v>795</v>
      </c>
      <c r="W1344" s="2" t="s">
        <v>3399</v>
      </c>
      <c r="X1344" s="2" t="s">
        <v>3242</v>
      </c>
      <c r="Y1344" s="488" t="s">
        <v>1486</v>
      </c>
      <c r="Z1344" s="293">
        <f t="shared" si="175"/>
        <v>0</v>
      </c>
      <c r="AA1344" s="293">
        <f t="shared" si="176"/>
        <v>0</v>
      </c>
    </row>
    <row r="1345" spans="1:27" x14ac:dyDescent="0.25">
      <c r="A1345" s="220" t="s">
        <v>3072</v>
      </c>
      <c r="B1345" s="221" t="s">
        <v>3052</v>
      </c>
      <c r="C1345" s="223" t="s">
        <v>3024</v>
      </c>
      <c r="D1345" s="220" t="s">
        <v>3041</v>
      </c>
      <c r="E1345" s="222">
        <v>1</v>
      </c>
      <c r="F1345" s="192">
        <v>0</v>
      </c>
      <c r="G1345" s="24">
        <v>0.2</v>
      </c>
      <c r="H1345" s="24">
        <v>0.05</v>
      </c>
      <c r="I1345" s="24">
        <v>0.05</v>
      </c>
      <c r="J1345" s="24">
        <v>0</v>
      </c>
      <c r="K1345" s="224">
        <f t="shared" si="167"/>
        <v>0</v>
      </c>
      <c r="L1345" s="225">
        <f t="shared" si="177"/>
        <v>0</v>
      </c>
      <c r="M1345" s="225">
        <f t="shared" si="168"/>
        <v>0</v>
      </c>
      <c r="N1345" s="226">
        <f t="shared" si="170"/>
        <v>0</v>
      </c>
      <c r="O1345" s="34">
        <v>0.3</v>
      </c>
      <c r="P1345" s="226">
        <f t="shared" si="169"/>
        <v>0</v>
      </c>
      <c r="Q1345" s="107" t="s">
        <v>1486</v>
      </c>
      <c r="R1345" s="34">
        <v>0.3</v>
      </c>
      <c r="S1345" s="226">
        <f t="shared" si="171"/>
        <v>0</v>
      </c>
      <c r="T1345" s="156" t="s">
        <v>1486</v>
      </c>
      <c r="U1345" s="2"/>
      <c r="V1345" s="2" t="s">
        <v>795</v>
      </c>
      <c r="W1345" s="2" t="s">
        <v>3399</v>
      </c>
      <c r="X1345" s="2" t="s">
        <v>3242</v>
      </c>
      <c r="Y1345" s="488" t="s">
        <v>1486</v>
      </c>
      <c r="Z1345" s="293">
        <f t="shared" si="175"/>
        <v>0</v>
      </c>
      <c r="AA1345" s="293">
        <f t="shared" si="176"/>
        <v>0</v>
      </c>
    </row>
    <row r="1346" spans="1:27" x14ac:dyDescent="0.25">
      <c r="A1346" s="220" t="s">
        <v>3073</v>
      </c>
      <c r="B1346" s="221" t="s">
        <v>3053</v>
      </c>
      <c r="C1346" s="223" t="s">
        <v>3024</v>
      </c>
      <c r="D1346" s="220" t="s">
        <v>3041</v>
      </c>
      <c r="E1346" s="222">
        <v>1</v>
      </c>
      <c r="F1346" s="192">
        <v>0</v>
      </c>
      <c r="G1346" s="24">
        <v>0.2</v>
      </c>
      <c r="H1346" s="24">
        <v>0.05</v>
      </c>
      <c r="I1346" s="24">
        <v>0.05</v>
      </c>
      <c r="J1346" s="24">
        <v>0</v>
      </c>
      <c r="K1346" s="224">
        <f t="shared" si="167"/>
        <v>0</v>
      </c>
      <c r="L1346" s="225">
        <f t="shared" si="177"/>
        <v>0</v>
      </c>
      <c r="M1346" s="225">
        <f t="shared" si="168"/>
        <v>0</v>
      </c>
      <c r="N1346" s="226">
        <f t="shared" si="170"/>
        <v>0</v>
      </c>
      <c r="O1346" s="34">
        <v>0.3</v>
      </c>
      <c r="P1346" s="226">
        <f t="shared" si="169"/>
        <v>0</v>
      </c>
      <c r="Q1346" s="107" t="s">
        <v>1486</v>
      </c>
      <c r="R1346" s="34">
        <v>0.3</v>
      </c>
      <c r="S1346" s="226">
        <f t="shared" si="171"/>
        <v>0</v>
      </c>
      <c r="T1346" s="156" t="s">
        <v>1486</v>
      </c>
      <c r="U1346" s="2"/>
      <c r="V1346" s="2" t="s">
        <v>795</v>
      </c>
      <c r="W1346" s="2" t="s">
        <v>3399</v>
      </c>
      <c r="X1346" s="2" t="s">
        <v>3242</v>
      </c>
      <c r="Y1346" s="488" t="s">
        <v>1486</v>
      </c>
      <c r="Z1346" s="293">
        <f t="shared" si="175"/>
        <v>0</v>
      </c>
      <c r="AA1346" s="293">
        <f t="shared" si="176"/>
        <v>0</v>
      </c>
    </row>
    <row r="1347" spans="1:27" x14ac:dyDescent="0.25">
      <c r="A1347" s="220" t="s">
        <v>3074</v>
      </c>
      <c r="B1347" s="221" t="s">
        <v>3054</v>
      </c>
      <c r="C1347" s="223" t="s">
        <v>3024</v>
      </c>
      <c r="D1347" s="220" t="s">
        <v>3041</v>
      </c>
      <c r="E1347" s="222">
        <v>4</v>
      </c>
      <c r="F1347" s="192">
        <v>0</v>
      </c>
      <c r="G1347" s="24">
        <v>0.2</v>
      </c>
      <c r="H1347" s="24">
        <v>0.05</v>
      </c>
      <c r="I1347" s="24">
        <v>0.05</v>
      </c>
      <c r="J1347" s="24">
        <v>0</v>
      </c>
      <c r="K1347" s="224">
        <f t="shared" ref="K1347:K1410" si="178">IF(F1347=0,0,1-(F1347/M1347))</f>
        <v>0</v>
      </c>
      <c r="L1347" s="225">
        <f t="shared" si="177"/>
        <v>0</v>
      </c>
      <c r="M1347" s="225">
        <f t="shared" ref="M1347:M1410" si="179">+F1347/(1-G1347)/(1-H1347)/(1-I1347)/(1-J1347)</f>
        <v>0</v>
      </c>
      <c r="N1347" s="226">
        <f t="shared" si="170"/>
        <v>0</v>
      </c>
      <c r="O1347" s="34">
        <v>0.3</v>
      </c>
      <c r="P1347" s="226">
        <f t="shared" ref="P1347:P1410" si="180">+N1347*(1+O1347)</f>
        <v>0</v>
      </c>
      <c r="Q1347" s="107" t="s">
        <v>1486</v>
      </c>
      <c r="R1347" s="34">
        <v>0.3</v>
      </c>
      <c r="S1347" s="226">
        <f t="shared" si="171"/>
        <v>0</v>
      </c>
      <c r="T1347" s="156" t="s">
        <v>1486</v>
      </c>
      <c r="U1347" s="2"/>
      <c r="V1347" s="2" t="s">
        <v>795</v>
      </c>
      <c r="W1347" s="2" t="s">
        <v>3399</v>
      </c>
      <c r="X1347" s="2" t="s">
        <v>3242</v>
      </c>
      <c r="Y1347" s="488" t="s">
        <v>1486</v>
      </c>
      <c r="Z1347" s="293">
        <f t="shared" si="175"/>
        <v>0</v>
      </c>
      <c r="AA1347" s="293">
        <f t="shared" si="176"/>
        <v>0</v>
      </c>
    </row>
    <row r="1348" spans="1:27" x14ac:dyDescent="0.25">
      <c r="A1348" s="220" t="s">
        <v>3075</v>
      </c>
      <c r="B1348" s="221" t="s">
        <v>3055</v>
      </c>
      <c r="C1348" s="223" t="s">
        <v>3024</v>
      </c>
      <c r="D1348" s="220" t="s">
        <v>3041</v>
      </c>
      <c r="E1348" s="222">
        <v>1</v>
      </c>
      <c r="F1348" s="192">
        <v>0</v>
      </c>
      <c r="G1348" s="24">
        <v>0.2</v>
      </c>
      <c r="H1348" s="24">
        <v>0.05</v>
      </c>
      <c r="I1348" s="24">
        <v>0.05</v>
      </c>
      <c r="J1348" s="24">
        <v>0</v>
      </c>
      <c r="K1348" s="224">
        <f t="shared" si="178"/>
        <v>0</v>
      </c>
      <c r="L1348" s="225">
        <f t="shared" si="177"/>
        <v>0</v>
      </c>
      <c r="M1348" s="225">
        <f t="shared" si="179"/>
        <v>0</v>
      </c>
      <c r="N1348" s="226">
        <f t="shared" si="170"/>
        <v>0</v>
      </c>
      <c r="O1348" s="34">
        <v>0.3</v>
      </c>
      <c r="P1348" s="226">
        <f t="shared" si="180"/>
        <v>0</v>
      </c>
      <c r="Q1348" s="107" t="s">
        <v>1486</v>
      </c>
      <c r="R1348" s="34">
        <v>0.3</v>
      </c>
      <c r="S1348" s="226">
        <f t="shared" si="171"/>
        <v>0</v>
      </c>
      <c r="T1348" s="156" t="s">
        <v>1486</v>
      </c>
      <c r="U1348" s="2"/>
      <c r="V1348" s="2" t="s">
        <v>795</v>
      </c>
      <c r="W1348" s="2" t="s">
        <v>3399</v>
      </c>
      <c r="X1348" s="2" t="s">
        <v>3242</v>
      </c>
      <c r="Y1348" s="488" t="s">
        <v>1486</v>
      </c>
      <c r="Z1348" s="293">
        <f t="shared" si="175"/>
        <v>0</v>
      </c>
      <c r="AA1348" s="293">
        <f t="shared" si="176"/>
        <v>0</v>
      </c>
    </row>
    <row r="1349" spans="1:27" x14ac:dyDescent="0.25">
      <c r="A1349" s="220" t="s">
        <v>3076</v>
      </c>
      <c r="B1349" s="221" t="s">
        <v>3056</v>
      </c>
      <c r="C1349" s="223" t="s">
        <v>3024</v>
      </c>
      <c r="D1349" s="220" t="s">
        <v>3041</v>
      </c>
      <c r="E1349" s="222">
        <v>1</v>
      </c>
      <c r="F1349" s="192">
        <v>0</v>
      </c>
      <c r="G1349" s="24">
        <v>0.2</v>
      </c>
      <c r="H1349" s="24">
        <v>0.05</v>
      </c>
      <c r="I1349" s="24">
        <v>0.05</v>
      </c>
      <c r="J1349" s="24">
        <v>0</v>
      </c>
      <c r="K1349" s="224">
        <f t="shared" si="178"/>
        <v>0</v>
      </c>
      <c r="L1349" s="225">
        <f t="shared" si="177"/>
        <v>0</v>
      </c>
      <c r="M1349" s="225">
        <f t="shared" si="179"/>
        <v>0</v>
      </c>
      <c r="N1349" s="226">
        <f t="shared" si="170"/>
        <v>0</v>
      </c>
      <c r="O1349" s="34">
        <v>0.3</v>
      </c>
      <c r="P1349" s="226">
        <f t="shared" si="180"/>
        <v>0</v>
      </c>
      <c r="Q1349" s="107" t="s">
        <v>1486</v>
      </c>
      <c r="R1349" s="34">
        <v>0.3</v>
      </c>
      <c r="S1349" s="226">
        <f t="shared" si="171"/>
        <v>0</v>
      </c>
      <c r="T1349" s="156" t="s">
        <v>1486</v>
      </c>
      <c r="U1349" s="2"/>
      <c r="V1349" s="2" t="s">
        <v>795</v>
      </c>
      <c r="W1349" s="2" t="s">
        <v>3399</v>
      </c>
      <c r="X1349" s="2" t="s">
        <v>3242</v>
      </c>
      <c r="Y1349" s="488" t="s">
        <v>1486</v>
      </c>
      <c r="Z1349" s="293">
        <f t="shared" si="175"/>
        <v>0</v>
      </c>
      <c r="AA1349" s="293">
        <f t="shared" si="176"/>
        <v>0</v>
      </c>
    </row>
    <row r="1350" spans="1:27" x14ac:dyDescent="0.25">
      <c r="A1350" s="220" t="s">
        <v>3077</v>
      </c>
      <c r="B1350" s="221" t="s">
        <v>3057</v>
      </c>
      <c r="C1350" s="223" t="s">
        <v>3024</v>
      </c>
      <c r="D1350" s="220" t="s">
        <v>3041</v>
      </c>
      <c r="E1350" s="222">
        <v>4</v>
      </c>
      <c r="F1350" s="192">
        <v>0</v>
      </c>
      <c r="G1350" s="24">
        <v>0.2</v>
      </c>
      <c r="H1350" s="24">
        <v>0.05</v>
      </c>
      <c r="I1350" s="24">
        <v>0.05</v>
      </c>
      <c r="J1350" s="24">
        <v>0</v>
      </c>
      <c r="K1350" s="224">
        <f t="shared" si="178"/>
        <v>0</v>
      </c>
      <c r="L1350" s="225">
        <f t="shared" si="177"/>
        <v>0</v>
      </c>
      <c r="M1350" s="225">
        <f t="shared" si="179"/>
        <v>0</v>
      </c>
      <c r="N1350" s="226">
        <f t="shared" si="170"/>
        <v>0</v>
      </c>
      <c r="O1350" s="34">
        <v>0.3</v>
      </c>
      <c r="P1350" s="226">
        <f t="shared" si="180"/>
        <v>0</v>
      </c>
      <c r="Q1350" s="107" t="s">
        <v>1486</v>
      </c>
      <c r="R1350" s="34">
        <v>0.3</v>
      </c>
      <c r="S1350" s="226">
        <f t="shared" si="171"/>
        <v>0</v>
      </c>
      <c r="T1350" s="156" t="s">
        <v>1486</v>
      </c>
      <c r="U1350" s="2"/>
      <c r="V1350" s="2" t="s">
        <v>795</v>
      </c>
      <c r="W1350" s="2" t="s">
        <v>3399</v>
      </c>
      <c r="X1350" s="2" t="s">
        <v>3242</v>
      </c>
      <c r="Y1350" s="488" t="s">
        <v>1486</v>
      </c>
      <c r="Z1350" s="293">
        <f t="shared" si="175"/>
        <v>0</v>
      </c>
      <c r="AA1350" s="293">
        <f t="shared" si="176"/>
        <v>0</v>
      </c>
    </row>
    <row r="1351" spans="1:27" x14ac:dyDescent="0.25">
      <c r="A1351" s="220" t="s">
        <v>3078</v>
      </c>
      <c r="B1351" s="221" t="s">
        <v>3058</v>
      </c>
      <c r="C1351" s="223" t="s">
        <v>3024</v>
      </c>
      <c r="D1351" s="220" t="s">
        <v>3041</v>
      </c>
      <c r="E1351" s="222">
        <v>1</v>
      </c>
      <c r="F1351" s="192">
        <v>0</v>
      </c>
      <c r="G1351" s="24">
        <v>0.2</v>
      </c>
      <c r="H1351" s="24">
        <v>0.05</v>
      </c>
      <c r="I1351" s="24">
        <v>0.05</v>
      </c>
      <c r="J1351" s="24">
        <v>0</v>
      </c>
      <c r="K1351" s="224">
        <f t="shared" si="178"/>
        <v>0</v>
      </c>
      <c r="L1351" s="225">
        <f t="shared" si="177"/>
        <v>0</v>
      </c>
      <c r="M1351" s="225">
        <f t="shared" si="179"/>
        <v>0</v>
      </c>
      <c r="N1351" s="226">
        <f t="shared" si="170"/>
        <v>0</v>
      </c>
      <c r="O1351" s="34">
        <v>0.3</v>
      </c>
      <c r="P1351" s="226">
        <f t="shared" si="180"/>
        <v>0</v>
      </c>
      <c r="Q1351" s="107" t="s">
        <v>1486</v>
      </c>
      <c r="R1351" s="34">
        <v>0.3</v>
      </c>
      <c r="S1351" s="226">
        <f t="shared" si="171"/>
        <v>0</v>
      </c>
      <c r="T1351" s="156" t="s">
        <v>1486</v>
      </c>
      <c r="U1351" s="2"/>
      <c r="V1351" s="2" t="s">
        <v>795</v>
      </c>
      <c r="W1351" s="2" t="s">
        <v>3399</v>
      </c>
      <c r="X1351" s="2" t="s">
        <v>3242</v>
      </c>
      <c r="Y1351" s="488" t="s">
        <v>1486</v>
      </c>
      <c r="Z1351" s="293">
        <f t="shared" si="175"/>
        <v>0</v>
      </c>
      <c r="AA1351" s="293">
        <f t="shared" si="176"/>
        <v>0</v>
      </c>
    </row>
    <row r="1352" spans="1:27" x14ac:dyDescent="0.25">
      <c r="A1352" s="220" t="s">
        <v>3079</v>
      </c>
      <c r="B1352" s="221" t="s">
        <v>3059</v>
      </c>
      <c r="C1352" s="223" t="s">
        <v>3024</v>
      </c>
      <c r="D1352" s="220" t="s">
        <v>3041</v>
      </c>
      <c r="E1352" s="222">
        <v>4</v>
      </c>
      <c r="F1352" s="192">
        <v>0</v>
      </c>
      <c r="G1352" s="24">
        <v>0.2</v>
      </c>
      <c r="H1352" s="24">
        <v>0.05</v>
      </c>
      <c r="I1352" s="24">
        <v>0.05</v>
      </c>
      <c r="J1352" s="24">
        <v>0</v>
      </c>
      <c r="K1352" s="224">
        <f t="shared" si="178"/>
        <v>0</v>
      </c>
      <c r="L1352" s="225">
        <f t="shared" si="177"/>
        <v>0</v>
      </c>
      <c r="M1352" s="225">
        <f t="shared" si="179"/>
        <v>0</v>
      </c>
      <c r="N1352" s="226">
        <f t="shared" si="170"/>
        <v>0</v>
      </c>
      <c r="O1352" s="34">
        <v>0.3</v>
      </c>
      <c r="P1352" s="226">
        <f t="shared" si="180"/>
        <v>0</v>
      </c>
      <c r="Q1352" s="107" t="s">
        <v>1486</v>
      </c>
      <c r="R1352" s="34">
        <v>0.3</v>
      </c>
      <c r="S1352" s="226">
        <f t="shared" si="171"/>
        <v>0</v>
      </c>
      <c r="T1352" s="156" t="s">
        <v>1486</v>
      </c>
      <c r="U1352" s="2"/>
      <c r="V1352" s="2" t="s">
        <v>795</v>
      </c>
      <c r="W1352" s="2" t="s">
        <v>3399</v>
      </c>
      <c r="X1352" s="2" t="s">
        <v>3242</v>
      </c>
      <c r="Y1352" s="488" t="s">
        <v>1486</v>
      </c>
      <c r="Z1352" s="293">
        <f t="shared" si="175"/>
        <v>0</v>
      </c>
      <c r="AA1352" s="293">
        <f t="shared" si="176"/>
        <v>0</v>
      </c>
    </row>
    <row r="1353" spans="1:27" x14ac:dyDescent="0.25">
      <c r="A1353" s="220" t="s">
        <v>3080</v>
      </c>
      <c r="B1353" s="221" t="s">
        <v>3060</v>
      </c>
      <c r="C1353" s="223" t="s">
        <v>3024</v>
      </c>
      <c r="D1353" s="220" t="s">
        <v>3041</v>
      </c>
      <c r="E1353" s="222">
        <v>12</v>
      </c>
      <c r="F1353" s="192">
        <v>0</v>
      </c>
      <c r="G1353" s="24">
        <v>0.2</v>
      </c>
      <c r="H1353" s="24">
        <v>0.05</v>
      </c>
      <c r="I1353" s="24">
        <v>0.05</v>
      </c>
      <c r="J1353" s="24">
        <v>0</v>
      </c>
      <c r="K1353" s="224">
        <f t="shared" si="178"/>
        <v>0</v>
      </c>
      <c r="L1353" s="225">
        <f t="shared" si="177"/>
        <v>0</v>
      </c>
      <c r="M1353" s="225">
        <f t="shared" si="179"/>
        <v>0</v>
      </c>
      <c r="N1353" s="226">
        <f t="shared" si="170"/>
        <v>0</v>
      </c>
      <c r="O1353" s="34">
        <v>0.3</v>
      </c>
      <c r="P1353" s="226">
        <f t="shared" si="180"/>
        <v>0</v>
      </c>
      <c r="Q1353" s="107" t="s">
        <v>1486</v>
      </c>
      <c r="R1353" s="34">
        <v>0.3</v>
      </c>
      <c r="S1353" s="226">
        <f t="shared" si="171"/>
        <v>0</v>
      </c>
      <c r="T1353" s="156" t="s">
        <v>1486</v>
      </c>
      <c r="U1353" s="2"/>
      <c r="V1353" s="2" t="s">
        <v>795</v>
      </c>
      <c r="W1353" s="2" t="s">
        <v>3399</v>
      </c>
      <c r="X1353" s="2" t="s">
        <v>3242</v>
      </c>
      <c r="Y1353" s="488" t="s">
        <v>1486</v>
      </c>
      <c r="Z1353" s="293">
        <f t="shared" si="175"/>
        <v>0</v>
      </c>
      <c r="AA1353" s="293">
        <f t="shared" si="176"/>
        <v>0</v>
      </c>
    </row>
    <row r="1354" spans="1:27" x14ac:dyDescent="0.25">
      <c r="A1354" s="220" t="s">
        <v>3081</v>
      </c>
      <c r="B1354" s="221" t="s">
        <v>3061</v>
      </c>
      <c r="C1354" s="223" t="s">
        <v>3024</v>
      </c>
      <c r="D1354" s="220" t="s">
        <v>3041</v>
      </c>
      <c r="E1354" s="222">
        <v>10</v>
      </c>
      <c r="F1354" s="192">
        <v>0</v>
      </c>
      <c r="G1354" s="24">
        <v>0.2</v>
      </c>
      <c r="H1354" s="24">
        <v>0.05</v>
      </c>
      <c r="I1354" s="24">
        <v>0.05</v>
      </c>
      <c r="J1354" s="24">
        <v>0</v>
      </c>
      <c r="K1354" s="224">
        <f t="shared" si="178"/>
        <v>0</v>
      </c>
      <c r="L1354" s="225">
        <f t="shared" si="177"/>
        <v>0</v>
      </c>
      <c r="M1354" s="225">
        <f t="shared" si="179"/>
        <v>0</v>
      </c>
      <c r="N1354" s="226">
        <f t="shared" si="170"/>
        <v>0</v>
      </c>
      <c r="O1354" s="34">
        <v>0.3</v>
      </c>
      <c r="P1354" s="226">
        <f t="shared" si="180"/>
        <v>0</v>
      </c>
      <c r="Q1354" s="107" t="s">
        <v>1486</v>
      </c>
      <c r="R1354" s="34">
        <v>0.3</v>
      </c>
      <c r="S1354" s="226">
        <f t="shared" si="171"/>
        <v>0</v>
      </c>
      <c r="T1354" s="156" t="s">
        <v>1486</v>
      </c>
      <c r="U1354" s="2"/>
      <c r="V1354" s="2" t="s">
        <v>795</v>
      </c>
      <c r="W1354" s="2" t="s">
        <v>3399</v>
      </c>
      <c r="X1354" s="2" t="s">
        <v>3242</v>
      </c>
      <c r="Y1354" s="488" t="s">
        <v>1486</v>
      </c>
      <c r="Z1354" s="293">
        <f t="shared" si="175"/>
        <v>0</v>
      </c>
      <c r="AA1354" s="293">
        <f t="shared" si="176"/>
        <v>0</v>
      </c>
    </row>
    <row r="1355" spans="1:27" x14ac:dyDescent="0.25">
      <c r="A1355" s="220" t="s">
        <v>3082</v>
      </c>
      <c r="B1355" s="221" t="s">
        <v>4498</v>
      </c>
      <c r="C1355" s="223" t="s">
        <v>1551</v>
      </c>
      <c r="D1355" s="220" t="s">
        <v>3202</v>
      </c>
      <c r="E1355" s="222">
        <v>10</v>
      </c>
      <c r="F1355" s="192">
        <v>1163</v>
      </c>
      <c r="G1355" s="24">
        <v>0.2</v>
      </c>
      <c r="H1355" s="24">
        <v>0.05</v>
      </c>
      <c r="I1355" s="24">
        <v>0.05</v>
      </c>
      <c r="J1355" s="24">
        <v>0</v>
      </c>
      <c r="K1355" s="224">
        <f t="shared" si="178"/>
        <v>0.27800000000000002</v>
      </c>
      <c r="L1355" s="225">
        <f t="shared" si="177"/>
        <v>16108.033240997231</v>
      </c>
      <c r="M1355" s="225">
        <f t="shared" si="179"/>
        <v>1610.8033240997231</v>
      </c>
      <c r="N1355" s="226">
        <f t="shared" si="170"/>
        <v>1916.8559556786704</v>
      </c>
      <c r="O1355" s="34">
        <v>0.3</v>
      </c>
      <c r="P1355" s="226">
        <f t="shared" si="180"/>
        <v>2491.9127423822715</v>
      </c>
      <c r="Q1355" s="107" t="s">
        <v>1486</v>
      </c>
      <c r="R1355" s="34">
        <v>0.30801517948995849</v>
      </c>
      <c r="S1355" s="226">
        <f t="shared" si="171"/>
        <v>2000.0005187684849</v>
      </c>
      <c r="T1355" s="156" t="s">
        <v>1486</v>
      </c>
      <c r="U1355" s="2" t="s">
        <v>50</v>
      </c>
      <c r="V1355" s="2" t="s">
        <v>795</v>
      </c>
      <c r="W1355" s="2" t="s">
        <v>5885</v>
      </c>
      <c r="X1355" s="2" t="s">
        <v>1467</v>
      </c>
      <c r="Y1355" s="488" t="s">
        <v>1486</v>
      </c>
      <c r="Z1355" s="293">
        <f t="shared" si="175"/>
        <v>447.80332409972311</v>
      </c>
      <c r="AA1355" s="293">
        <f t="shared" si="176"/>
        <v>517.67270484746632</v>
      </c>
    </row>
    <row r="1356" spans="1:27" x14ac:dyDescent="0.25">
      <c r="A1356" s="220" t="s">
        <v>3083</v>
      </c>
      <c r="B1356" s="221" t="s">
        <v>3238</v>
      </c>
      <c r="C1356" s="223" t="s">
        <v>1551</v>
      </c>
      <c r="D1356" s="220" t="s">
        <v>3239</v>
      </c>
      <c r="E1356" s="222">
        <v>1</v>
      </c>
      <c r="F1356" s="192">
        <v>22142</v>
      </c>
      <c r="G1356" s="24">
        <v>0.2</v>
      </c>
      <c r="H1356" s="24">
        <v>0.05</v>
      </c>
      <c r="I1356" s="24">
        <v>0.05</v>
      </c>
      <c r="J1356" s="24">
        <v>0</v>
      </c>
      <c r="K1356" s="224">
        <f t="shared" si="178"/>
        <v>0.27800000000000002</v>
      </c>
      <c r="L1356" s="225">
        <f t="shared" si="177"/>
        <v>30667.590027700833</v>
      </c>
      <c r="M1356" s="225">
        <f t="shared" si="179"/>
        <v>30667.590027700833</v>
      </c>
      <c r="N1356" s="226">
        <f t="shared" ref="N1356:N1419" si="181">+M1356*1.19</f>
        <v>36494.432132963993</v>
      </c>
      <c r="O1356" s="34">
        <v>0.3</v>
      </c>
      <c r="P1356" s="226">
        <f t="shared" si="180"/>
        <v>47442.761772853191</v>
      </c>
      <c r="Q1356" s="107" t="s">
        <v>1486</v>
      </c>
      <c r="R1356" s="34">
        <v>0.24717200053682856</v>
      </c>
      <c r="S1356" s="226">
        <f t="shared" si="171"/>
        <v>35000.000024957888</v>
      </c>
      <c r="T1356" s="156" t="s">
        <v>1486</v>
      </c>
      <c r="U1356" s="2" t="s">
        <v>50</v>
      </c>
      <c r="V1356" s="2" t="s">
        <v>795</v>
      </c>
      <c r="W1356" s="2" t="s">
        <v>3399</v>
      </c>
      <c r="X1356" s="2" t="s">
        <v>3242</v>
      </c>
      <c r="Y1356" s="488" t="s">
        <v>1486</v>
      </c>
      <c r="Z1356" s="293">
        <f t="shared" si="175"/>
        <v>8525.5900277008332</v>
      </c>
      <c r="AA1356" s="293">
        <f t="shared" si="176"/>
        <v>7269.7647268553701</v>
      </c>
    </row>
    <row r="1357" spans="1:27" x14ac:dyDescent="0.25">
      <c r="A1357" s="220" t="s">
        <v>3203</v>
      </c>
      <c r="B1357" s="221" t="s">
        <v>3406</v>
      </c>
      <c r="C1357" s="223" t="s">
        <v>1551</v>
      </c>
      <c r="D1357" s="220" t="s">
        <v>1976</v>
      </c>
      <c r="E1357" s="222">
        <v>1</v>
      </c>
      <c r="F1357" s="192">
        <v>21094</v>
      </c>
      <c r="G1357" s="24">
        <v>0.2</v>
      </c>
      <c r="H1357" s="24">
        <v>0.05</v>
      </c>
      <c r="I1357" s="24">
        <v>0.05</v>
      </c>
      <c r="J1357" s="24">
        <v>0</v>
      </c>
      <c r="K1357" s="224">
        <f t="shared" si="178"/>
        <v>0.27800000000000002</v>
      </c>
      <c r="L1357" s="225">
        <f t="shared" si="177"/>
        <v>29216.066481994461</v>
      </c>
      <c r="M1357" s="225">
        <f t="shared" si="179"/>
        <v>29216.066481994461</v>
      </c>
      <c r="N1357" s="226">
        <f t="shared" si="181"/>
        <v>34767.119113573404</v>
      </c>
      <c r="O1357" s="34">
        <v>0.3</v>
      </c>
      <c r="P1357" s="226">
        <f t="shared" si="180"/>
        <v>45197.254847645425</v>
      </c>
      <c r="Q1357" s="107" t="s">
        <v>1486</v>
      </c>
      <c r="R1357" s="34">
        <v>0.25069075136104085</v>
      </c>
      <c r="S1357" s="226">
        <f t="shared" si="171"/>
        <v>33500.000227669501</v>
      </c>
      <c r="T1357" s="156" t="s">
        <v>1486</v>
      </c>
      <c r="U1357" s="2" t="s">
        <v>50</v>
      </c>
      <c r="V1357" s="2" t="s">
        <v>795</v>
      </c>
      <c r="W1357" s="2" t="s">
        <v>3399</v>
      </c>
      <c r="X1357" s="2" t="s">
        <v>3242</v>
      </c>
      <c r="Y1357" s="488" t="s">
        <v>1486</v>
      </c>
      <c r="Z1357" s="293">
        <f t="shared" si="175"/>
        <v>8122.0664819944614</v>
      </c>
      <c r="AA1357" s="293">
        <f t="shared" si="176"/>
        <v>7057.260695520592</v>
      </c>
    </row>
    <row r="1358" spans="1:27" x14ac:dyDescent="0.25">
      <c r="A1358" s="220" t="s">
        <v>3240</v>
      </c>
      <c r="B1358" s="221" t="s">
        <v>3476</v>
      </c>
      <c r="C1358" s="223" t="s">
        <v>834</v>
      </c>
      <c r="D1358" s="220" t="s">
        <v>3477</v>
      </c>
      <c r="E1358" s="222">
        <v>1</v>
      </c>
      <c r="F1358" s="192">
        <v>19679</v>
      </c>
      <c r="G1358" s="24">
        <v>0.2</v>
      </c>
      <c r="H1358" s="24">
        <v>0.05</v>
      </c>
      <c r="I1358" s="24">
        <v>0.05</v>
      </c>
      <c r="J1358" s="24">
        <v>0</v>
      </c>
      <c r="K1358" s="224">
        <f t="shared" si="178"/>
        <v>0.27800000000000014</v>
      </c>
      <c r="L1358" s="225">
        <f t="shared" si="177"/>
        <v>27256.232686980613</v>
      </c>
      <c r="M1358" s="225">
        <f t="shared" si="179"/>
        <v>27256.232686980613</v>
      </c>
      <c r="N1358" s="226">
        <f t="shared" si="181"/>
        <v>32434.91689750693</v>
      </c>
      <c r="O1358" s="34">
        <v>0.3</v>
      </c>
      <c r="P1358" s="226">
        <f t="shared" si="180"/>
        <v>42165.391966759009</v>
      </c>
      <c r="Q1358" s="107" t="s">
        <v>1486</v>
      </c>
      <c r="R1358" s="34">
        <v>0.30717376511837169</v>
      </c>
      <c r="S1358" s="226">
        <f t="shared" si="171"/>
        <v>33800.697521220522</v>
      </c>
      <c r="T1358" s="156" t="s">
        <v>1486</v>
      </c>
      <c r="U1358" s="2"/>
      <c r="V1358" s="2" t="s">
        <v>795</v>
      </c>
      <c r="W1358" s="2" t="s">
        <v>3399</v>
      </c>
      <c r="X1358" s="2" t="s">
        <v>3479</v>
      </c>
      <c r="Y1358" s="488" t="s">
        <v>1486</v>
      </c>
      <c r="Z1358" s="293">
        <f t="shared" si="175"/>
        <v>7577.2326869806129</v>
      </c>
      <c r="AA1358" s="293">
        <f t="shared" si="176"/>
        <v>8724.9474968239701</v>
      </c>
    </row>
    <row r="1359" spans="1:27" x14ac:dyDescent="0.25">
      <c r="A1359" s="220" t="s">
        <v>3405</v>
      </c>
      <c r="B1359" s="221" t="s">
        <v>3967</v>
      </c>
      <c r="C1359" s="223" t="s">
        <v>1570</v>
      </c>
      <c r="D1359" s="220" t="s">
        <v>1469</v>
      </c>
      <c r="E1359" s="222">
        <v>6</v>
      </c>
      <c r="F1359" s="192">
        <v>3360</v>
      </c>
      <c r="G1359" s="24">
        <v>0.2</v>
      </c>
      <c r="H1359" s="24">
        <v>0.05</v>
      </c>
      <c r="I1359" s="24">
        <v>0.05</v>
      </c>
      <c r="J1359" s="24">
        <v>0</v>
      </c>
      <c r="K1359" s="224">
        <f t="shared" si="178"/>
        <v>0.27800000000000002</v>
      </c>
      <c r="L1359" s="225">
        <f t="shared" si="177"/>
        <v>27922.437673130196</v>
      </c>
      <c r="M1359" s="225">
        <f t="shared" si="179"/>
        <v>4653.7396121883658</v>
      </c>
      <c r="N1359" s="226">
        <f t="shared" si="181"/>
        <v>5537.9501385041549</v>
      </c>
      <c r="O1359" s="34">
        <v>0.3</v>
      </c>
      <c r="P1359" s="226">
        <f t="shared" si="180"/>
        <v>7199.3351800554019</v>
      </c>
      <c r="Q1359" s="107" t="s">
        <v>1486</v>
      </c>
      <c r="R1359" s="34">
        <v>0.29852632365733567</v>
      </c>
      <c r="S1359" s="226">
        <f t="shared" si="171"/>
        <v>5700.0000639322825</v>
      </c>
      <c r="T1359" s="156" t="s">
        <v>1486</v>
      </c>
      <c r="U1359" s="2" t="s">
        <v>50</v>
      </c>
      <c r="V1359" s="2" t="s">
        <v>795</v>
      </c>
      <c r="W1359" s="2" t="s">
        <v>3399</v>
      </c>
      <c r="X1359" s="2" t="s">
        <v>1467</v>
      </c>
      <c r="Y1359" s="488" t="s">
        <v>1486</v>
      </c>
      <c r="Z1359" s="293">
        <f t="shared" si="175"/>
        <v>1293.7396121883658</v>
      </c>
      <c r="AA1359" s="293">
        <f t="shared" si="176"/>
        <v>1429.9160201111617</v>
      </c>
    </row>
    <row r="1360" spans="1:27" x14ac:dyDescent="0.25">
      <c r="A1360" s="220" t="s">
        <v>3478</v>
      </c>
      <c r="B1360" s="221" t="s">
        <v>3977</v>
      </c>
      <c r="C1360" s="223" t="s">
        <v>1876</v>
      </c>
      <c r="D1360" s="220" t="s">
        <v>1885</v>
      </c>
      <c r="E1360" s="222">
        <v>10</v>
      </c>
      <c r="F1360" s="192">
        <v>7350</v>
      </c>
      <c r="G1360" s="24">
        <v>0.2</v>
      </c>
      <c r="H1360" s="24">
        <v>0.05</v>
      </c>
      <c r="I1360" s="24">
        <v>0.05</v>
      </c>
      <c r="J1360" s="24">
        <v>0</v>
      </c>
      <c r="K1360" s="224">
        <f t="shared" si="178"/>
        <v>0.27800000000000014</v>
      </c>
      <c r="L1360" s="225">
        <f t="shared" si="177"/>
        <v>101800.55401662052</v>
      </c>
      <c r="M1360" s="225">
        <f t="shared" si="179"/>
        <v>10180.055401662052</v>
      </c>
      <c r="N1360" s="226">
        <f t="shared" si="181"/>
        <v>12114.265927977842</v>
      </c>
      <c r="O1360" s="34">
        <v>0.3</v>
      </c>
      <c r="P1360" s="226">
        <f t="shared" si="180"/>
        <v>15748.545706371195</v>
      </c>
      <c r="Q1360" s="107" t="s">
        <v>1486</v>
      </c>
      <c r="R1360" s="34">
        <v>0.23943478278370423</v>
      </c>
      <c r="S1360" s="226">
        <f t="shared" si="171"/>
        <v>11500.000002646188</v>
      </c>
      <c r="T1360" s="156" t="s">
        <v>1486</v>
      </c>
      <c r="U1360" s="2"/>
      <c r="V1360" s="2" t="s">
        <v>795</v>
      </c>
      <c r="W1360" s="2" t="s">
        <v>3978</v>
      </c>
      <c r="X1360" s="2" t="s">
        <v>3979</v>
      </c>
      <c r="Y1360" s="488" t="s">
        <v>1486</v>
      </c>
      <c r="Z1360" s="293">
        <f t="shared" si="175"/>
        <v>2830.0554016620517</v>
      </c>
      <c r="AA1360" s="293">
        <f t="shared" si="176"/>
        <v>2313.8655484421743</v>
      </c>
    </row>
    <row r="1361" spans="1:27" x14ac:dyDescent="0.25">
      <c r="A1361" s="220" t="s">
        <v>3968</v>
      </c>
      <c r="B1361" s="221" t="s">
        <v>4018</v>
      </c>
      <c r="C1361" s="223" t="s">
        <v>1551</v>
      </c>
      <c r="D1361" s="220" t="s">
        <v>4019</v>
      </c>
      <c r="E1361" s="222">
        <v>1</v>
      </c>
      <c r="F1361" s="192">
        <v>14122</v>
      </c>
      <c r="G1361" s="24">
        <v>0.2</v>
      </c>
      <c r="H1361" s="24">
        <v>0.05</v>
      </c>
      <c r="I1361" s="24">
        <v>0.05</v>
      </c>
      <c r="J1361" s="24">
        <v>0</v>
      </c>
      <c r="K1361" s="224">
        <f t="shared" si="178"/>
        <v>0.27800000000000014</v>
      </c>
      <c r="L1361" s="225">
        <f t="shared" si="177"/>
        <v>19559.556786703604</v>
      </c>
      <c r="M1361" s="225">
        <f t="shared" si="179"/>
        <v>19559.556786703604</v>
      </c>
      <c r="N1361" s="226">
        <f t="shared" si="181"/>
        <v>23275.872576177288</v>
      </c>
      <c r="O1361" s="34">
        <v>0.3</v>
      </c>
      <c r="P1361" s="226">
        <f t="shared" si="180"/>
        <v>30258.634349030475</v>
      </c>
      <c r="Q1361" s="107" t="s">
        <v>1486</v>
      </c>
      <c r="R1361" s="34">
        <v>0.25968370345036046</v>
      </c>
      <c r="S1361" s="226">
        <f t="shared" si="171"/>
        <v>22700.000092289181</v>
      </c>
      <c r="T1361" s="156" t="s">
        <v>1486</v>
      </c>
      <c r="U1361" s="2" t="s">
        <v>50</v>
      </c>
      <c r="V1361" s="2" t="s">
        <v>795</v>
      </c>
      <c r="W1361" s="2" t="s">
        <v>3399</v>
      </c>
      <c r="X1361" s="2" t="s">
        <v>3400</v>
      </c>
      <c r="Y1361" s="488" t="s">
        <v>1486</v>
      </c>
      <c r="Z1361" s="293">
        <f t="shared" si="175"/>
        <v>5437.5567867036043</v>
      </c>
      <c r="AA1361" s="293">
        <f t="shared" si="176"/>
        <v>4953.630329654774</v>
      </c>
    </row>
    <row r="1362" spans="1:27" x14ac:dyDescent="0.25">
      <c r="A1362" s="220" t="s">
        <v>3976</v>
      </c>
      <c r="B1362" s="221" t="s">
        <v>4021</v>
      </c>
      <c r="C1362" s="223" t="s">
        <v>1551</v>
      </c>
      <c r="D1362" s="220" t="s">
        <v>4019</v>
      </c>
      <c r="E1362" s="222">
        <v>1</v>
      </c>
      <c r="F1362" s="192">
        <v>14122</v>
      </c>
      <c r="G1362" s="24">
        <v>0.2</v>
      </c>
      <c r="H1362" s="24">
        <v>0.05</v>
      </c>
      <c r="I1362" s="24">
        <v>0.05</v>
      </c>
      <c r="J1362" s="24">
        <v>0</v>
      </c>
      <c r="K1362" s="224">
        <f t="shared" si="178"/>
        <v>0.27800000000000014</v>
      </c>
      <c r="L1362" s="225">
        <f t="shared" si="177"/>
        <v>19559.556786703604</v>
      </c>
      <c r="M1362" s="225">
        <f t="shared" si="179"/>
        <v>19559.556786703604</v>
      </c>
      <c r="N1362" s="226">
        <f t="shared" si="181"/>
        <v>23275.872576177288</v>
      </c>
      <c r="O1362" s="34">
        <v>0.3</v>
      </c>
      <c r="P1362" s="226">
        <f t="shared" si="180"/>
        <v>30258.634349030475</v>
      </c>
      <c r="Q1362" s="107" t="s">
        <v>1486</v>
      </c>
      <c r="R1362" s="34">
        <v>0.25968370345036046</v>
      </c>
      <c r="S1362" s="226">
        <f t="shared" si="171"/>
        <v>22700.000092289181</v>
      </c>
      <c r="T1362" s="156" t="s">
        <v>1486</v>
      </c>
      <c r="U1362" s="2" t="s">
        <v>50</v>
      </c>
      <c r="V1362" s="2" t="s">
        <v>795</v>
      </c>
      <c r="W1362" s="2" t="s">
        <v>3399</v>
      </c>
      <c r="X1362" s="2" t="s">
        <v>3400</v>
      </c>
      <c r="Y1362" s="488" t="s">
        <v>1486</v>
      </c>
      <c r="Z1362" s="293">
        <f t="shared" si="175"/>
        <v>5437.5567867036043</v>
      </c>
      <c r="AA1362" s="293">
        <f t="shared" si="176"/>
        <v>4953.630329654774</v>
      </c>
    </row>
    <row r="1363" spans="1:27" x14ac:dyDescent="0.25">
      <c r="A1363" s="220" t="s">
        <v>4017</v>
      </c>
      <c r="B1363" s="221" t="s">
        <v>4022</v>
      </c>
      <c r="C1363" s="223" t="s">
        <v>1551</v>
      </c>
      <c r="D1363" s="220" t="s">
        <v>794</v>
      </c>
      <c r="E1363" s="222">
        <v>6</v>
      </c>
      <c r="F1363" s="192">
        <v>2311</v>
      </c>
      <c r="G1363" s="24">
        <v>0.2</v>
      </c>
      <c r="H1363" s="24">
        <v>0.05</v>
      </c>
      <c r="I1363" s="24">
        <v>0.05</v>
      </c>
      <c r="J1363" s="24">
        <v>0</v>
      </c>
      <c r="K1363" s="224">
        <f t="shared" si="178"/>
        <v>0.27800000000000014</v>
      </c>
      <c r="L1363" s="225">
        <f t="shared" si="177"/>
        <v>19204.986149584489</v>
      </c>
      <c r="M1363" s="225">
        <f t="shared" si="179"/>
        <v>3200.8310249307483</v>
      </c>
      <c r="N1363" s="226">
        <f t="shared" si="181"/>
        <v>3808.9889196675904</v>
      </c>
      <c r="O1363" s="34">
        <v>0.3</v>
      </c>
      <c r="P1363" s="226">
        <f t="shared" si="180"/>
        <v>4951.6855955678675</v>
      </c>
      <c r="Q1363" s="107" t="s">
        <v>1486</v>
      </c>
      <c r="R1363" s="34">
        <v>0.31247749940681685</v>
      </c>
      <c r="S1363" s="226">
        <f t="shared" si="171"/>
        <v>3999.9999965488655</v>
      </c>
      <c r="T1363" s="156" t="s">
        <v>1486</v>
      </c>
      <c r="U1363" s="2" t="s">
        <v>50</v>
      </c>
      <c r="V1363" s="2" t="s">
        <v>795</v>
      </c>
      <c r="W1363" s="2" t="s">
        <v>3399</v>
      </c>
      <c r="X1363" s="2" t="s">
        <v>3400</v>
      </c>
      <c r="Y1363" s="488" t="s">
        <v>1486</v>
      </c>
      <c r="Z1363" s="293">
        <f t="shared" si="175"/>
        <v>889.8310249307483</v>
      </c>
      <c r="AA1363" s="293">
        <f t="shared" si="176"/>
        <v>1050.3445349150134</v>
      </c>
    </row>
    <row r="1364" spans="1:27" x14ac:dyDescent="0.25">
      <c r="A1364" s="220" t="s">
        <v>4020</v>
      </c>
      <c r="B1364" s="221" t="s">
        <v>4384</v>
      </c>
      <c r="C1364" s="223" t="s">
        <v>1551</v>
      </c>
      <c r="D1364" s="220" t="s">
        <v>4019</v>
      </c>
      <c r="E1364" s="222">
        <v>1</v>
      </c>
      <c r="F1364" s="192"/>
      <c r="G1364" s="24">
        <v>0.2</v>
      </c>
      <c r="H1364" s="24">
        <v>0.05</v>
      </c>
      <c r="I1364" s="24">
        <v>0.05</v>
      </c>
      <c r="J1364" s="24">
        <v>0</v>
      </c>
      <c r="K1364" s="224">
        <f t="shared" si="178"/>
        <v>0</v>
      </c>
      <c r="L1364" s="225">
        <f t="shared" si="177"/>
        <v>0</v>
      </c>
      <c r="M1364" s="225">
        <f t="shared" si="179"/>
        <v>0</v>
      </c>
      <c r="N1364" s="226">
        <f t="shared" si="181"/>
        <v>0</v>
      </c>
      <c r="O1364" s="34">
        <v>0.3</v>
      </c>
      <c r="P1364" s="226">
        <f t="shared" si="180"/>
        <v>0</v>
      </c>
      <c r="Q1364" s="107" t="s">
        <v>1486</v>
      </c>
      <c r="R1364" s="34">
        <v>0.25271923053519546</v>
      </c>
      <c r="S1364" s="226">
        <f t="shared" si="171"/>
        <v>0</v>
      </c>
      <c r="T1364" s="156" t="s">
        <v>1486</v>
      </c>
      <c r="U1364" s="2" t="s">
        <v>109</v>
      </c>
      <c r="V1364" s="2" t="s">
        <v>795</v>
      </c>
      <c r="W1364" s="2" t="s">
        <v>3399</v>
      </c>
      <c r="X1364" s="2" t="s">
        <v>3400</v>
      </c>
      <c r="Y1364" s="488" t="s">
        <v>1486</v>
      </c>
      <c r="Z1364" s="293">
        <f t="shared" si="175"/>
        <v>0</v>
      </c>
      <c r="AA1364" s="293">
        <f t="shared" si="176"/>
        <v>0</v>
      </c>
    </row>
    <row r="1365" spans="1:27" x14ac:dyDescent="0.25">
      <c r="A1365" s="220" t="s">
        <v>4352</v>
      </c>
      <c r="B1365" s="221" t="s">
        <v>4453</v>
      </c>
      <c r="C1365" s="223" t="s">
        <v>1551</v>
      </c>
      <c r="D1365" s="220" t="s">
        <v>4454</v>
      </c>
      <c r="E1365" s="222">
        <v>3</v>
      </c>
      <c r="F1365" s="192">
        <v>2695</v>
      </c>
      <c r="G1365" s="24">
        <v>0.2</v>
      </c>
      <c r="H1365" s="24">
        <v>0.05</v>
      </c>
      <c r="I1365" s="24">
        <v>0.05</v>
      </c>
      <c r="J1365" s="24">
        <v>0</v>
      </c>
      <c r="K1365" s="224">
        <f t="shared" si="178"/>
        <v>0.27800000000000002</v>
      </c>
      <c r="L1365" s="225">
        <f t="shared" si="177"/>
        <v>11198.060941828257</v>
      </c>
      <c r="M1365" s="225">
        <f t="shared" si="179"/>
        <v>3732.6869806094187</v>
      </c>
      <c r="N1365" s="226">
        <f t="shared" si="181"/>
        <v>4441.8975069252083</v>
      </c>
      <c r="O1365" s="34">
        <v>0.3</v>
      </c>
      <c r="P1365" s="226">
        <f t="shared" si="180"/>
        <v>5774.4667590027711</v>
      </c>
      <c r="Q1365" s="107" t="s">
        <v>1486</v>
      </c>
      <c r="R1365" s="34">
        <v>0.28732230908739365</v>
      </c>
      <c r="S1365" s="226">
        <f t="shared" si="171"/>
        <v>4500.0005484853482</v>
      </c>
      <c r="T1365" s="156" t="s">
        <v>1486</v>
      </c>
      <c r="U1365" s="2" t="s">
        <v>50</v>
      </c>
      <c r="V1365" s="2" t="s">
        <v>795</v>
      </c>
      <c r="W1365" s="2" t="s">
        <v>3399</v>
      </c>
      <c r="X1365" s="2" t="s">
        <v>1467</v>
      </c>
      <c r="Y1365" s="488" t="s">
        <v>1486</v>
      </c>
      <c r="Z1365" s="293">
        <f t="shared" si="175"/>
        <v>1037.6869806094187</v>
      </c>
      <c r="AA1365" s="293">
        <f t="shared" si="176"/>
        <v>1086.5130659540741</v>
      </c>
    </row>
    <row r="1366" spans="1:27" x14ac:dyDescent="0.25">
      <c r="A1366" s="220" t="s">
        <v>4437</v>
      </c>
      <c r="B1366" s="221" t="s">
        <v>4438</v>
      </c>
      <c r="C1366" s="223" t="s">
        <v>4524</v>
      </c>
      <c r="D1366" s="220" t="s">
        <v>1504</v>
      </c>
      <c r="E1366" s="222">
        <v>1</v>
      </c>
      <c r="F1366" s="192">
        <v>4622</v>
      </c>
      <c r="G1366" s="24">
        <v>0.2</v>
      </c>
      <c r="H1366" s="24">
        <v>0.05</v>
      </c>
      <c r="I1366" s="24">
        <v>0.05</v>
      </c>
      <c r="J1366" s="24">
        <v>0</v>
      </c>
      <c r="K1366" s="224">
        <f t="shared" si="178"/>
        <v>0.27800000000000014</v>
      </c>
      <c r="L1366" s="225">
        <f t="shared" si="177"/>
        <v>6401.6620498614966</v>
      </c>
      <c r="M1366" s="225">
        <f t="shared" si="179"/>
        <v>6401.6620498614966</v>
      </c>
      <c r="N1366" s="226">
        <f t="shared" si="181"/>
        <v>7617.9778393351808</v>
      </c>
      <c r="O1366" s="34">
        <v>0.3</v>
      </c>
      <c r="P1366" s="226">
        <f t="shared" si="180"/>
        <v>9903.371191135735</v>
      </c>
      <c r="Q1366" s="107" t="s">
        <v>1486</v>
      </c>
      <c r="R1366" s="34">
        <v>0.3529199773694906</v>
      </c>
      <c r="S1366" s="226">
        <f t="shared" si="171"/>
        <v>8499.9997027271384</v>
      </c>
      <c r="T1366" s="156" t="s">
        <v>1486</v>
      </c>
      <c r="U1366" s="2"/>
      <c r="V1366" s="2" t="s">
        <v>795</v>
      </c>
      <c r="W1366" s="2" t="s">
        <v>3399</v>
      </c>
      <c r="X1366" s="2" t="s">
        <v>1467</v>
      </c>
      <c r="Y1366" s="488" t="s">
        <v>1486</v>
      </c>
      <c r="Z1366" s="293">
        <f t="shared" si="175"/>
        <v>1779.6620498614966</v>
      </c>
      <c r="AA1366" s="293">
        <f t="shared" si="176"/>
        <v>2520.856893048016</v>
      </c>
    </row>
    <row r="1367" spans="1:27" x14ac:dyDescent="0.25">
      <c r="A1367" s="220" t="s">
        <v>4439</v>
      </c>
      <c r="B1367" s="221" t="s">
        <v>4440</v>
      </c>
      <c r="C1367" s="223" t="s">
        <v>4524</v>
      </c>
      <c r="D1367" s="220" t="s">
        <v>1504</v>
      </c>
      <c r="E1367" s="222">
        <v>1</v>
      </c>
      <c r="F1367" s="192">
        <v>4622</v>
      </c>
      <c r="G1367" s="24">
        <v>0.2</v>
      </c>
      <c r="H1367" s="24">
        <v>0.05</v>
      </c>
      <c r="I1367" s="24">
        <v>0.05</v>
      </c>
      <c r="J1367" s="24">
        <v>0</v>
      </c>
      <c r="K1367" s="224">
        <f t="shared" si="178"/>
        <v>0.27800000000000014</v>
      </c>
      <c r="L1367" s="225">
        <f t="shared" si="177"/>
        <v>6401.6620498614966</v>
      </c>
      <c r="M1367" s="225">
        <f t="shared" si="179"/>
        <v>6401.6620498614966</v>
      </c>
      <c r="N1367" s="226">
        <f t="shared" si="181"/>
        <v>7617.9778393351808</v>
      </c>
      <c r="O1367" s="34">
        <v>0.3</v>
      </c>
      <c r="P1367" s="226">
        <f t="shared" si="180"/>
        <v>9903.371191135735</v>
      </c>
      <c r="Q1367" s="107" t="s">
        <v>1486</v>
      </c>
      <c r="R1367" s="34">
        <v>0.3</v>
      </c>
      <c r="S1367" s="226">
        <f t="shared" si="171"/>
        <v>7857.4</v>
      </c>
      <c r="T1367" s="156" t="s">
        <v>1486</v>
      </c>
      <c r="U1367" s="2"/>
      <c r="V1367" s="2" t="s">
        <v>795</v>
      </c>
      <c r="W1367" s="2" t="s">
        <v>3399</v>
      </c>
      <c r="X1367" s="2" t="s">
        <v>1467</v>
      </c>
      <c r="Y1367" s="488" t="s">
        <v>1486</v>
      </c>
      <c r="Z1367" s="293">
        <f t="shared" ref="Z1367:Z1398" si="182">+M1367-F1367</f>
        <v>1779.6620498614966</v>
      </c>
      <c r="AA1367" s="293">
        <f t="shared" ref="AA1367:AA1398" si="183">+(S1367/1.19)-F1367</f>
        <v>1980.8571428571431</v>
      </c>
    </row>
    <row r="1368" spans="1:27" x14ac:dyDescent="0.25">
      <c r="A1368" s="220" t="s">
        <v>4514</v>
      </c>
      <c r="B1368" s="221" t="s">
        <v>4515</v>
      </c>
      <c r="C1368" s="223" t="s">
        <v>1572</v>
      </c>
      <c r="D1368" s="220" t="s">
        <v>4445</v>
      </c>
      <c r="E1368" s="222">
        <v>1</v>
      </c>
      <c r="F1368" s="192">
        <v>1565</v>
      </c>
      <c r="G1368" s="24">
        <v>0.2</v>
      </c>
      <c r="H1368" s="24">
        <v>0.05</v>
      </c>
      <c r="I1368" s="24">
        <v>0.05</v>
      </c>
      <c r="J1368" s="24">
        <v>0</v>
      </c>
      <c r="K1368" s="224">
        <f t="shared" si="178"/>
        <v>0.27800000000000014</v>
      </c>
      <c r="L1368" s="225">
        <f t="shared" si="177"/>
        <v>2167.5900277008313</v>
      </c>
      <c r="M1368" s="225">
        <f t="shared" si="179"/>
        <v>2167.5900277008313</v>
      </c>
      <c r="N1368" s="226">
        <f t="shared" si="181"/>
        <v>2579.4321329639893</v>
      </c>
      <c r="O1368" s="34">
        <v>0.3</v>
      </c>
      <c r="P1368" s="226">
        <f t="shared" si="180"/>
        <v>3353.2617728531864</v>
      </c>
      <c r="Q1368" s="107" t="s">
        <v>1486</v>
      </c>
      <c r="R1368" s="34">
        <v>0.3348750018363546</v>
      </c>
      <c r="S1368" s="226">
        <f t="shared" si="171"/>
        <v>2800.0000077305663</v>
      </c>
      <c r="T1368" s="156" t="s">
        <v>1486</v>
      </c>
      <c r="U1368" s="2"/>
      <c r="V1368" s="2" t="s">
        <v>795</v>
      </c>
      <c r="W1368" s="2" t="s">
        <v>3399</v>
      </c>
      <c r="X1368" s="2" t="s">
        <v>1467</v>
      </c>
      <c r="Y1368" s="488" t="s">
        <v>1486</v>
      </c>
      <c r="Z1368" s="293">
        <f t="shared" si="182"/>
        <v>602.59002770083134</v>
      </c>
      <c r="AA1368" s="293">
        <f t="shared" si="183"/>
        <v>787.94118296686247</v>
      </c>
    </row>
    <row r="1369" spans="1:27" x14ac:dyDescent="0.25">
      <c r="A1369" s="220" t="s">
        <v>4525</v>
      </c>
      <c r="B1369" s="221" t="s">
        <v>4526</v>
      </c>
      <c r="C1369" s="223" t="s">
        <v>1570</v>
      </c>
      <c r="D1369" s="220" t="s">
        <v>1469</v>
      </c>
      <c r="E1369" s="222">
        <v>12</v>
      </c>
      <c r="F1369" s="192">
        <v>1290</v>
      </c>
      <c r="G1369" s="24">
        <v>0.2</v>
      </c>
      <c r="H1369" s="24">
        <v>0.05</v>
      </c>
      <c r="I1369" s="24">
        <v>0.05</v>
      </c>
      <c r="J1369" s="24">
        <v>0</v>
      </c>
      <c r="K1369" s="224">
        <f t="shared" si="178"/>
        <v>0.27800000000000002</v>
      </c>
      <c r="L1369" s="225">
        <f t="shared" si="177"/>
        <v>21440.443213296399</v>
      </c>
      <c r="M1369" s="225">
        <f t="shared" si="179"/>
        <v>1786.7036011080334</v>
      </c>
      <c r="N1369" s="226">
        <f t="shared" si="181"/>
        <v>2126.1772853185594</v>
      </c>
      <c r="O1369" s="34">
        <v>0.3</v>
      </c>
      <c r="P1369" s="226">
        <f t="shared" si="180"/>
        <v>2764.0304709141274</v>
      </c>
      <c r="Q1369" s="107" t="s">
        <v>1486</v>
      </c>
      <c r="R1369" s="34">
        <v>0.30384999823323428</v>
      </c>
      <c r="S1369" s="226">
        <f t="shared" si="171"/>
        <v>2205.1281995317891</v>
      </c>
      <c r="T1369" s="156" t="s">
        <v>1486</v>
      </c>
      <c r="U1369" s="2" t="s">
        <v>50</v>
      </c>
      <c r="V1369" s="2" t="s">
        <v>795</v>
      </c>
      <c r="W1369" s="2" t="s">
        <v>3399</v>
      </c>
      <c r="X1369" s="2" t="s">
        <v>1467</v>
      </c>
      <c r="Y1369" s="488" t="s">
        <v>1486</v>
      </c>
      <c r="Z1369" s="293">
        <f t="shared" si="182"/>
        <v>496.70360110803335</v>
      </c>
      <c r="AA1369" s="293">
        <f t="shared" si="183"/>
        <v>563.04890716957061</v>
      </c>
    </row>
    <row r="1370" spans="1:27" x14ac:dyDescent="0.25">
      <c r="A1370" s="220" t="s">
        <v>4557</v>
      </c>
      <c r="B1370" s="221" t="s">
        <v>4558</v>
      </c>
      <c r="C1370" s="223" t="s">
        <v>4524</v>
      </c>
      <c r="D1370" s="220" t="s">
        <v>1504</v>
      </c>
      <c r="E1370" s="222">
        <v>1</v>
      </c>
      <c r="F1370" s="192">
        <v>5050</v>
      </c>
      <c r="G1370" s="24">
        <v>0.2</v>
      </c>
      <c r="H1370" s="24">
        <v>0.05</v>
      </c>
      <c r="I1370" s="24">
        <v>0.05</v>
      </c>
      <c r="J1370" s="24">
        <v>0</v>
      </c>
      <c r="K1370" s="224">
        <f t="shared" si="178"/>
        <v>0.27800000000000014</v>
      </c>
      <c r="L1370" s="225">
        <f t="shared" si="177"/>
        <v>6994.4598337950147</v>
      </c>
      <c r="M1370" s="225">
        <f t="shared" si="179"/>
        <v>6994.4598337950147</v>
      </c>
      <c r="N1370" s="226">
        <f t="shared" si="181"/>
        <v>8323.4072022160672</v>
      </c>
      <c r="O1370" s="34">
        <v>0.3</v>
      </c>
      <c r="P1370" s="226">
        <f t="shared" si="180"/>
        <v>10820.429362880888</v>
      </c>
      <c r="Q1370" s="107" t="s">
        <v>1486</v>
      </c>
      <c r="R1370" s="34">
        <v>0.3</v>
      </c>
      <c r="S1370" s="226">
        <f t="shared" si="171"/>
        <v>8585</v>
      </c>
      <c r="T1370" s="156" t="s">
        <v>1486</v>
      </c>
      <c r="U1370" s="2"/>
      <c r="V1370" s="2" t="s">
        <v>795</v>
      </c>
      <c r="W1370" s="2" t="s">
        <v>3399</v>
      </c>
      <c r="X1370" s="2" t="s">
        <v>1467</v>
      </c>
      <c r="Y1370" s="488" t="s">
        <v>1486</v>
      </c>
      <c r="Z1370" s="293">
        <f t="shared" si="182"/>
        <v>1944.4598337950147</v>
      </c>
      <c r="AA1370" s="293">
        <f t="shared" si="183"/>
        <v>2164.2857142857147</v>
      </c>
    </row>
    <row r="1371" spans="1:27" s="366" customFormat="1" x14ac:dyDescent="0.25">
      <c r="A1371" s="220" t="s">
        <v>4572</v>
      </c>
      <c r="B1371" s="221" t="s">
        <v>4573</v>
      </c>
      <c r="C1371" s="223" t="s">
        <v>4524</v>
      </c>
      <c r="D1371" s="220" t="s">
        <v>1504</v>
      </c>
      <c r="E1371" s="222">
        <v>1</v>
      </c>
      <c r="F1371" s="192">
        <v>5043</v>
      </c>
      <c r="G1371" s="24">
        <v>0.2</v>
      </c>
      <c r="H1371" s="24">
        <v>0.05</v>
      </c>
      <c r="I1371" s="24">
        <v>0.05</v>
      </c>
      <c r="J1371" s="24">
        <v>0</v>
      </c>
      <c r="K1371" s="224">
        <f t="shared" si="178"/>
        <v>0.27800000000000014</v>
      </c>
      <c r="L1371" s="225">
        <f t="shared" si="177"/>
        <v>6984.7645429362892</v>
      </c>
      <c r="M1371" s="225">
        <f t="shared" si="179"/>
        <v>6984.7645429362892</v>
      </c>
      <c r="N1371" s="226">
        <f t="shared" si="181"/>
        <v>8311.8698060941842</v>
      </c>
      <c r="O1371" s="34">
        <v>0.3</v>
      </c>
      <c r="P1371" s="226">
        <f t="shared" si="180"/>
        <v>10805.430747922441</v>
      </c>
      <c r="Q1371" s="107" t="s">
        <v>1486</v>
      </c>
      <c r="R1371" s="34">
        <v>0.35</v>
      </c>
      <c r="S1371" s="226">
        <f t="shared" si="171"/>
        <v>9232.5692307692298</v>
      </c>
      <c r="T1371" s="156" t="s">
        <v>1486</v>
      </c>
      <c r="U1371" s="2"/>
      <c r="V1371" s="2" t="s">
        <v>795</v>
      </c>
      <c r="W1371" s="2" t="s">
        <v>3399</v>
      </c>
      <c r="X1371" s="2" t="s">
        <v>1467</v>
      </c>
      <c r="Y1371" s="488" t="s">
        <v>1486</v>
      </c>
      <c r="Z1371" s="293">
        <f t="shared" si="182"/>
        <v>1941.7645429362892</v>
      </c>
      <c r="AA1371" s="293">
        <f t="shared" si="183"/>
        <v>2715.4615384615381</v>
      </c>
    </row>
    <row r="1372" spans="1:27" s="366" customFormat="1" x14ac:dyDescent="0.25">
      <c r="A1372" s="220" t="s">
        <v>4603</v>
      </c>
      <c r="B1372" s="221" t="s">
        <v>5653</v>
      </c>
      <c r="C1372" s="223" t="s">
        <v>4602</v>
      </c>
      <c r="D1372" s="220" t="s">
        <v>4604</v>
      </c>
      <c r="E1372" s="222">
        <v>1</v>
      </c>
      <c r="F1372" s="192">
        <v>8480</v>
      </c>
      <c r="G1372" s="24">
        <v>0.2</v>
      </c>
      <c r="H1372" s="24">
        <v>0.05</v>
      </c>
      <c r="I1372" s="24">
        <v>0.05</v>
      </c>
      <c r="J1372" s="24">
        <v>0</v>
      </c>
      <c r="K1372" s="224">
        <f t="shared" si="178"/>
        <v>0.27800000000000002</v>
      </c>
      <c r="L1372" s="225">
        <f t="shared" si="177"/>
        <v>11745.152354570637</v>
      </c>
      <c r="M1372" s="225">
        <f t="shared" si="179"/>
        <v>11745.152354570637</v>
      </c>
      <c r="N1372" s="226">
        <f t="shared" si="181"/>
        <v>13976.731301939057</v>
      </c>
      <c r="O1372" s="34">
        <v>0.3</v>
      </c>
      <c r="P1372" s="226">
        <f t="shared" si="180"/>
        <v>18169.750692520774</v>
      </c>
      <c r="Q1372" s="107" t="s">
        <v>1486</v>
      </c>
      <c r="R1372" s="34">
        <v>0.19911111282198485</v>
      </c>
      <c r="S1372" s="226">
        <f t="shared" si="171"/>
        <v>12600.000026916354</v>
      </c>
      <c r="T1372" s="156" t="s">
        <v>1486</v>
      </c>
      <c r="U1372" s="2"/>
      <c r="V1372" s="2" t="s">
        <v>795</v>
      </c>
      <c r="W1372" s="2" t="s">
        <v>3399</v>
      </c>
      <c r="X1372" s="2" t="s">
        <v>4610</v>
      </c>
      <c r="Y1372" s="488" t="s">
        <v>1486</v>
      </c>
      <c r="Z1372" s="293">
        <f t="shared" si="182"/>
        <v>3265.1523545706368</v>
      </c>
      <c r="AA1372" s="293">
        <f t="shared" si="183"/>
        <v>2108.2353167364327</v>
      </c>
    </row>
    <row r="1373" spans="1:27" s="366" customFormat="1" x14ac:dyDescent="0.25">
      <c r="A1373" s="220" t="s">
        <v>4605</v>
      </c>
      <c r="B1373" s="221" t="s">
        <v>5654</v>
      </c>
      <c r="C1373" s="223" t="s">
        <v>4602</v>
      </c>
      <c r="D1373" s="220" t="s">
        <v>5655</v>
      </c>
      <c r="E1373" s="222">
        <v>1</v>
      </c>
      <c r="F1373" s="192">
        <v>18726</v>
      </c>
      <c r="G1373" s="24">
        <v>0.2</v>
      </c>
      <c r="H1373" s="24">
        <v>0.05</v>
      </c>
      <c r="I1373" s="24">
        <v>0.05</v>
      </c>
      <c r="J1373" s="24">
        <v>0</v>
      </c>
      <c r="K1373" s="224">
        <f t="shared" si="178"/>
        <v>0.27800000000000002</v>
      </c>
      <c r="L1373" s="225">
        <f t="shared" si="177"/>
        <v>25936.288088642661</v>
      </c>
      <c r="M1373" s="225">
        <f t="shared" si="179"/>
        <v>25936.288088642661</v>
      </c>
      <c r="N1373" s="226">
        <f t="shared" si="181"/>
        <v>30864.182825484764</v>
      </c>
      <c r="O1373" s="34">
        <v>0.3</v>
      </c>
      <c r="P1373" s="226">
        <f t="shared" si="180"/>
        <v>40123.437673130196</v>
      </c>
      <c r="Q1373" s="107" t="s">
        <v>1486</v>
      </c>
      <c r="R1373" s="34">
        <v>0.19841942489317313</v>
      </c>
      <c r="S1373" s="226">
        <f t="shared" ref="S1373:S1419" si="184">+(F1373/(1-R1373))*1.19</f>
        <v>27800.000015008114</v>
      </c>
      <c r="T1373" s="156" t="s">
        <v>1486</v>
      </c>
      <c r="U1373" s="2"/>
      <c r="V1373" s="2" t="s">
        <v>795</v>
      </c>
      <c r="W1373" s="2" t="s">
        <v>3399</v>
      </c>
      <c r="X1373" s="2" t="s">
        <v>3242</v>
      </c>
      <c r="Y1373" s="488" t="s">
        <v>1486</v>
      </c>
      <c r="Z1373" s="293">
        <f t="shared" si="182"/>
        <v>7210.288088642661</v>
      </c>
      <c r="AA1373" s="293">
        <f t="shared" si="183"/>
        <v>4635.3445504269876</v>
      </c>
    </row>
    <row r="1374" spans="1:27" s="366" customFormat="1" x14ac:dyDescent="0.25">
      <c r="A1374" s="220" t="s">
        <v>4606</v>
      </c>
      <c r="B1374" s="221" t="s">
        <v>4607</v>
      </c>
      <c r="C1374" s="223" t="s">
        <v>4602</v>
      </c>
      <c r="D1374" s="220" t="s">
        <v>4604</v>
      </c>
      <c r="E1374" s="222">
        <v>1</v>
      </c>
      <c r="F1374" s="192">
        <v>32503</v>
      </c>
      <c r="G1374" s="24">
        <v>0.2</v>
      </c>
      <c r="H1374" s="24">
        <v>0.05</v>
      </c>
      <c r="I1374" s="24">
        <v>0.05</v>
      </c>
      <c r="J1374" s="24">
        <v>0</v>
      </c>
      <c r="K1374" s="224">
        <f t="shared" si="178"/>
        <v>0.27799999999999991</v>
      </c>
      <c r="L1374" s="225">
        <f t="shared" ref="L1374:L1393" si="185">+M1374*E1374</f>
        <v>45018.005540166203</v>
      </c>
      <c r="M1374" s="225">
        <f t="shared" si="179"/>
        <v>45018.005540166203</v>
      </c>
      <c r="N1374" s="226">
        <f t="shared" si="181"/>
        <v>53571.426592797776</v>
      </c>
      <c r="O1374" s="34">
        <v>0.3</v>
      </c>
      <c r="P1374" s="226">
        <f t="shared" si="180"/>
        <v>69642.854570637108</v>
      </c>
      <c r="Q1374" s="107" t="s">
        <v>1486</v>
      </c>
      <c r="R1374" s="34">
        <v>0.20250371199007028</v>
      </c>
      <c r="S1374" s="226">
        <f t="shared" si="184"/>
        <v>48500.000039521699</v>
      </c>
      <c r="T1374" s="156" t="s">
        <v>1486</v>
      </c>
      <c r="U1374" s="2"/>
      <c r="V1374" s="2" t="s">
        <v>795</v>
      </c>
      <c r="W1374" s="2" t="s">
        <v>3399</v>
      </c>
      <c r="X1374" s="2" t="s">
        <v>3242</v>
      </c>
      <c r="Y1374" s="488" t="s">
        <v>1486</v>
      </c>
      <c r="Z1374" s="293">
        <f t="shared" si="182"/>
        <v>12515.005540166203</v>
      </c>
      <c r="AA1374" s="293">
        <f t="shared" si="183"/>
        <v>8253.3025542199175</v>
      </c>
    </row>
    <row r="1375" spans="1:27" s="366" customFormat="1" x14ac:dyDescent="0.25">
      <c r="A1375" s="220" t="s">
        <v>4608</v>
      </c>
      <c r="B1375" s="221" t="s">
        <v>5648</v>
      </c>
      <c r="C1375" s="223" t="s">
        <v>4602</v>
      </c>
      <c r="D1375" s="220" t="s">
        <v>4604</v>
      </c>
      <c r="E1375" s="222">
        <v>1</v>
      </c>
      <c r="F1375" s="192">
        <v>33701</v>
      </c>
      <c r="G1375" s="24">
        <v>0.2</v>
      </c>
      <c r="H1375" s="24">
        <v>0.05</v>
      </c>
      <c r="I1375" s="24">
        <v>0.05</v>
      </c>
      <c r="J1375" s="24">
        <v>0</v>
      </c>
      <c r="K1375" s="224">
        <f t="shared" si="178"/>
        <v>0.27800000000000002</v>
      </c>
      <c r="L1375" s="225">
        <f t="shared" si="185"/>
        <v>46677.28531855956</v>
      </c>
      <c r="M1375" s="225">
        <f t="shared" si="179"/>
        <v>46677.28531855956</v>
      </c>
      <c r="N1375" s="226">
        <f t="shared" si="181"/>
        <v>55545.969529085873</v>
      </c>
      <c r="O1375" s="34">
        <v>0.3</v>
      </c>
      <c r="P1375" s="226">
        <f t="shared" si="180"/>
        <v>72209.760387811635</v>
      </c>
      <c r="Q1375" s="107" t="s">
        <v>1486</v>
      </c>
      <c r="R1375" s="34">
        <v>0.19951716740310596</v>
      </c>
      <c r="S1375" s="226">
        <f t="shared" si="184"/>
        <v>50100.000108553992</v>
      </c>
      <c r="T1375" s="156" t="s">
        <v>1486</v>
      </c>
      <c r="U1375" s="2"/>
      <c r="V1375" s="2" t="s">
        <v>795</v>
      </c>
      <c r="W1375" s="2" t="s">
        <v>3399</v>
      </c>
      <c r="X1375" s="2" t="s">
        <v>3242</v>
      </c>
      <c r="Y1375" s="488" t="s">
        <v>1486</v>
      </c>
      <c r="Z1375" s="293">
        <f t="shared" si="182"/>
        <v>12976.28531855956</v>
      </c>
      <c r="AA1375" s="293">
        <f t="shared" si="183"/>
        <v>8399.8404273562992</v>
      </c>
    </row>
    <row r="1376" spans="1:27" x14ac:dyDescent="0.25">
      <c r="A1376" s="220" t="s">
        <v>4609</v>
      </c>
      <c r="B1376" s="221" t="s">
        <v>5649</v>
      </c>
      <c r="C1376" s="223" t="s">
        <v>4602</v>
      </c>
      <c r="D1376" s="220" t="s">
        <v>4604</v>
      </c>
      <c r="E1376" s="222">
        <v>1</v>
      </c>
      <c r="F1376" s="192">
        <v>33701</v>
      </c>
      <c r="G1376" s="24">
        <v>0.2</v>
      </c>
      <c r="H1376" s="24">
        <v>0.05</v>
      </c>
      <c r="I1376" s="24">
        <v>0.05</v>
      </c>
      <c r="J1376" s="24">
        <v>0</v>
      </c>
      <c r="K1376" s="224">
        <f t="shared" si="178"/>
        <v>0.27800000000000002</v>
      </c>
      <c r="L1376" s="225">
        <f t="shared" si="185"/>
        <v>46677.28531855956</v>
      </c>
      <c r="M1376" s="225">
        <f t="shared" si="179"/>
        <v>46677.28531855956</v>
      </c>
      <c r="N1376" s="226">
        <f t="shared" si="181"/>
        <v>55545.969529085873</v>
      </c>
      <c r="O1376" s="34">
        <v>0.3</v>
      </c>
      <c r="P1376" s="226">
        <f t="shared" si="180"/>
        <v>72209.760387811635</v>
      </c>
      <c r="Q1376" s="107" t="s">
        <v>1486</v>
      </c>
      <c r="R1376" s="34">
        <v>0.19951716740310596</v>
      </c>
      <c r="S1376" s="226">
        <f t="shared" si="184"/>
        <v>50100.000108553992</v>
      </c>
      <c r="T1376" s="156" t="s">
        <v>1486</v>
      </c>
      <c r="U1376" s="2"/>
      <c r="V1376" s="2" t="s">
        <v>795</v>
      </c>
      <c r="W1376" s="2" t="s">
        <v>3399</v>
      </c>
      <c r="X1376" s="2" t="s">
        <v>4610</v>
      </c>
      <c r="Y1376" s="488" t="s">
        <v>1486</v>
      </c>
      <c r="Z1376" s="293">
        <f t="shared" si="182"/>
        <v>12976.28531855956</v>
      </c>
      <c r="AA1376" s="293">
        <f t="shared" si="183"/>
        <v>8399.8404273562992</v>
      </c>
    </row>
    <row r="1377" spans="1:27" x14ac:dyDescent="0.25">
      <c r="A1377" s="220" t="s">
        <v>4611</v>
      </c>
      <c r="B1377" s="221" t="s">
        <v>4612</v>
      </c>
      <c r="C1377" s="223" t="s">
        <v>4602</v>
      </c>
      <c r="D1377" s="220" t="s">
        <v>4604</v>
      </c>
      <c r="E1377" s="222">
        <v>1</v>
      </c>
      <c r="F1377" s="192">
        <v>8480</v>
      </c>
      <c r="G1377" s="24">
        <v>0.2</v>
      </c>
      <c r="H1377" s="24">
        <v>0.05</v>
      </c>
      <c r="I1377" s="24">
        <v>0.05</v>
      </c>
      <c r="J1377" s="24">
        <v>0</v>
      </c>
      <c r="K1377" s="224">
        <f t="shared" si="178"/>
        <v>0.27800000000000002</v>
      </c>
      <c r="L1377" s="225">
        <f t="shared" si="185"/>
        <v>11745.152354570637</v>
      </c>
      <c r="M1377" s="225">
        <f t="shared" si="179"/>
        <v>11745.152354570637</v>
      </c>
      <c r="N1377" s="226">
        <f t="shared" si="181"/>
        <v>13976.731301939057</v>
      </c>
      <c r="O1377" s="34">
        <v>0.3</v>
      </c>
      <c r="P1377" s="226">
        <f t="shared" si="180"/>
        <v>18169.750692520774</v>
      </c>
      <c r="Q1377" s="107" t="s">
        <v>1486</v>
      </c>
      <c r="R1377" s="34">
        <v>0.20541732474787391</v>
      </c>
      <c r="S1377" s="226">
        <f t="shared" si="184"/>
        <v>12700.000030579571</v>
      </c>
      <c r="T1377" s="156" t="s">
        <v>1486</v>
      </c>
      <c r="U1377" s="2"/>
      <c r="V1377" s="2" t="s">
        <v>795</v>
      </c>
      <c r="W1377" s="2" t="s">
        <v>3399</v>
      </c>
      <c r="X1377" s="2" t="s">
        <v>4610</v>
      </c>
      <c r="Y1377" s="488" t="s">
        <v>1486</v>
      </c>
      <c r="Z1377" s="293">
        <f t="shared" si="182"/>
        <v>3265.1523545706368</v>
      </c>
      <c r="AA1377" s="293">
        <f t="shared" si="183"/>
        <v>2192.268933260144</v>
      </c>
    </row>
    <row r="1378" spans="1:27" x14ac:dyDescent="0.25">
      <c r="A1378" s="220" t="s">
        <v>4613</v>
      </c>
      <c r="B1378" s="221" t="s">
        <v>4614</v>
      </c>
      <c r="C1378" s="223" t="s">
        <v>4602</v>
      </c>
      <c r="D1378" s="220" t="s">
        <v>4604</v>
      </c>
      <c r="E1378" s="222">
        <v>1</v>
      </c>
      <c r="F1378" s="192">
        <v>35688</v>
      </c>
      <c r="G1378" s="24">
        <v>0.2</v>
      </c>
      <c r="H1378" s="24">
        <v>0.05</v>
      </c>
      <c r="I1378" s="24">
        <v>0.05</v>
      </c>
      <c r="J1378" s="24">
        <v>0</v>
      </c>
      <c r="K1378" s="224">
        <f t="shared" si="178"/>
        <v>0.27800000000000002</v>
      </c>
      <c r="L1378" s="225">
        <f t="shared" si="185"/>
        <v>49429.362880886431</v>
      </c>
      <c r="M1378" s="225">
        <f t="shared" si="179"/>
        <v>49429.362880886431</v>
      </c>
      <c r="N1378" s="226">
        <f t="shared" si="181"/>
        <v>58820.94182825485</v>
      </c>
      <c r="O1378" s="34">
        <v>0.3</v>
      </c>
      <c r="P1378" s="226">
        <f t="shared" si="180"/>
        <v>76467.224376731305</v>
      </c>
      <c r="Q1378" s="107" t="s">
        <v>1486</v>
      </c>
      <c r="R1378" s="34">
        <v>0.19414193673554955</v>
      </c>
      <c r="S1378" s="226">
        <f t="shared" si="184"/>
        <v>52700.000081854938</v>
      </c>
      <c r="T1378" s="156" t="s">
        <v>1486</v>
      </c>
      <c r="U1378" s="2"/>
      <c r="V1378" s="2" t="s">
        <v>795</v>
      </c>
      <c r="W1378" s="2" t="s">
        <v>3399</v>
      </c>
      <c r="X1378" s="2" t="s">
        <v>4610</v>
      </c>
      <c r="Y1378" s="488" t="s">
        <v>1486</v>
      </c>
      <c r="Z1378" s="293">
        <f t="shared" si="182"/>
        <v>13741.362880886431</v>
      </c>
      <c r="AA1378" s="293">
        <f t="shared" si="183"/>
        <v>8597.714354499949</v>
      </c>
    </row>
    <row r="1379" spans="1:27" x14ac:dyDescent="0.25">
      <c r="A1379" s="220" t="s">
        <v>4615</v>
      </c>
      <c r="B1379" s="221" t="s">
        <v>5650</v>
      </c>
      <c r="C1379" s="223" t="s">
        <v>4602</v>
      </c>
      <c r="D1379" s="220" t="s">
        <v>4604</v>
      </c>
      <c r="E1379" s="222">
        <v>1</v>
      </c>
      <c r="F1379" s="192">
        <v>8180</v>
      </c>
      <c r="G1379" s="24">
        <v>0.2</v>
      </c>
      <c r="H1379" s="24">
        <v>0.05</v>
      </c>
      <c r="I1379" s="24">
        <v>0.05</v>
      </c>
      <c r="J1379" s="24">
        <v>0</v>
      </c>
      <c r="K1379" s="224">
        <f t="shared" si="178"/>
        <v>0.27800000000000014</v>
      </c>
      <c r="L1379" s="225">
        <f t="shared" si="185"/>
        <v>11329.639889196678</v>
      </c>
      <c r="M1379" s="225">
        <f t="shared" si="179"/>
        <v>11329.639889196678</v>
      </c>
      <c r="N1379" s="226">
        <f t="shared" si="181"/>
        <v>13482.271468144047</v>
      </c>
      <c r="O1379" s="34">
        <v>0.3</v>
      </c>
      <c r="P1379" s="226">
        <f t="shared" si="180"/>
        <v>17526.95290858726</v>
      </c>
      <c r="Q1379" s="107" t="s">
        <v>1486</v>
      </c>
      <c r="R1379" s="34">
        <v>0.20211475405461696</v>
      </c>
      <c r="S1379" s="226">
        <f t="shared" si="184"/>
        <v>12199.999999331139</v>
      </c>
      <c r="T1379" s="156" t="s">
        <v>1486</v>
      </c>
      <c r="U1379" s="2"/>
      <c r="V1379" s="2" t="s">
        <v>795</v>
      </c>
      <c r="W1379" s="2" t="s">
        <v>3399</v>
      </c>
      <c r="X1379" s="2" t="s">
        <v>4610</v>
      </c>
      <c r="Y1379" s="488" t="s">
        <v>1486</v>
      </c>
      <c r="Z1379" s="293">
        <f t="shared" si="182"/>
        <v>3149.6398891966783</v>
      </c>
      <c r="AA1379" s="293">
        <f t="shared" si="183"/>
        <v>2072.1008397740679</v>
      </c>
    </row>
    <row r="1380" spans="1:27" x14ac:dyDescent="0.25">
      <c r="A1380" s="220" t="s">
        <v>4616</v>
      </c>
      <c r="B1380" s="221" t="s">
        <v>5651</v>
      </c>
      <c r="C1380" s="223" t="s">
        <v>4602</v>
      </c>
      <c r="D1380" s="220" t="s">
        <v>4604</v>
      </c>
      <c r="E1380" s="222">
        <v>1</v>
      </c>
      <c r="F1380" s="192">
        <v>34143</v>
      </c>
      <c r="G1380" s="24">
        <v>0.2</v>
      </c>
      <c r="H1380" s="24">
        <v>0.05</v>
      </c>
      <c r="I1380" s="24">
        <v>0.05</v>
      </c>
      <c r="J1380" s="24">
        <v>0</v>
      </c>
      <c r="K1380" s="224">
        <f t="shared" si="178"/>
        <v>0.27800000000000002</v>
      </c>
      <c r="L1380" s="225">
        <f t="shared" si="185"/>
        <v>47289.473684210527</v>
      </c>
      <c r="M1380" s="225">
        <f t="shared" si="179"/>
        <v>47289.473684210527</v>
      </c>
      <c r="N1380" s="226">
        <f t="shared" si="181"/>
        <v>56274.473684210527</v>
      </c>
      <c r="O1380" s="34">
        <v>0.3</v>
      </c>
      <c r="P1380" s="226">
        <f t="shared" si="180"/>
        <v>73156.815789473694</v>
      </c>
      <c r="Q1380" s="107" t="s">
        <v>1486</v>
      </c>
      <c r="R1380" s="34">
        <v>0.20019350294983332</v>
      </c>
      <c r="S1380" s="226">
        <f t="shared" si="184"/>
        <v>50799.999937299246</v>
      </c>
      <c r="T1380" s="156" t="s">
        <v>1486</v>
      </c>
      <c r="U1380" s="2"/>
      <c r="V1380" s="2" t="s">
        <v>795</v>
      </c>
      <c r="W1380" s="2" t="s">
        <v>3399</v>
      </c>
      <c r="X1380" s="2" t="s">
        <v>4610</v>
      </c>
      <c r="Y1380" s="488" t="s">
        <v>1486</v>
      </c>
      <c r="Z1380" s="293">
        <f t="shared" si="182"/>
        <v>13146.473684210527</v>
      </c>
      <c r="AA1380" s="293">
        <f t="shared" si="183"/>
        <v>8546.0755775623911</v>
      </c>
    </row>
    <row r="1381" spans="1:27" x14ac:dyDescent="0.25">
      <c r="A1381" s="220" t="s">
        <v>4617</v>
      </c>
      <c r="B1381" s="221" t="s">
        <v>5149</v>
      </c>
      <c r="C1381" s="223" t="s">
        <v>4602</v>
      </c>
      <c r="D1381" s="220" t="s">
        <v>4618</v>
      </c>
      <c r="E1381" s="222">
        <v>1</v>
      </c>
      <c r="F1381" s="192">
        <v>20442</v>
      </c>
      <c r="G1381" s="24">
        <v>0.2</v>
      </c>
      <c r="H1381" s="24">
        <v>0.05</v>
      </c>
      <c r="I1381" s="24">
        <v>0.05</v>
      </c>
      <c r="J1381" s="24">
        <v>0</v>
      </c>
      <c r="K1381" s="224">
        <f t="shared" si="178"/>
        <v>0.27800000000000014</v>
      </c>
      <c r="L1381" s="225">
        <f t="shared" si="185"/>
        <v>28313.019390581721</v>
      </c>
      <c r="M1381" s="225">
        <f t="shared" si="179"/>
        <v>28313.019390581721</v>
      </c>
      <c r="N1381" s="226">
        <f t="shared" si="181"/>
        <v>33692.493074792248</v>
      </c>
      <c r="O1381" s="34">
        <v>0.3</v>
      </c>
      <c r="P1381" s="226">
        <f t="shared" si="180"/>
        <v>43800.240997229921</v>
      </c>
      <c r="Q1381" s="107" t="s">
        <v>1486</v>
      </c>
      <c r="R1381" s="34">
        <v>0.199803290472683</v>
      </c>
      <c r="S1381" s="226">
        <f t="shared" si="184"/>
        <v>30400.000037952617</v>
      </c>
      <c r="T1381" s="156" t="s">
        <v>1486</v>
      </c>
      <c r="U1381" s="2"/>
      <c r="V1381" s="2" t="s">
        <v>795</v>
      </c>
      <c r="W1381" s="2" t="s">
        <v>3399</v>
      </c>
      <c r="X1381" s="2" t="s">
        <v>3400</v>
      </c>
      <c r="Y1381" s="488" t="s">
        <v>1486</v>
      </c>
      <c r="Z1381" s="293">
        <f t="shared" si="182"/>
        <v>7871.0193905817214</v>
      </c>
      <c r="AA1381" s="293">
        <f t="shared" si="183"/>
        <v>5104.2185192879151</v>
      </c>
    </row>
    <row r="1382" spans="1:27" x14ac:dyDescent="0.25">
      <c r="A1382" s="220" t="s">
        <v>4619</v>
      </c>
      <c r="B1382" s="221" t="s">
        <v>5150</v>
      </c>
      <c r="C1382" s="223" t="s">
        <v>4602</v>
      </c>
      <c r="D1382" s="220" t="s">
        <v>4618</v>
      </c>
      <c r="E1382" s="222">
        <v>1</v>
      </c>
      <c r="F1382" s="192">
        <v>22830</v>
      </c>
      <c r="G1382" s="24">
        <v>0.2</v>
      </c>
      <c r="H1382" s="24">
        <v>0.05</v>
      </c>
      <c r="I1382" s="24">
        <v>0.05</v>
      </c>
      <c r="J1382" s="24">
        <v>0</v>
      </c>
      <c r="K1382" s="224">
        <f t="shared" si="178"/>
        <v>0.27800000000000002</v>
      </c>
      <c r="L1382" s="225">
        <f t="shared" si="185"/>
        <v>31620.498614958451</v>
      </c>
      <c r="M1382" s="225">
        <f t="shared" si="179"/>
        <v>31620.498614958451</v>
      </c>
      <c r="N1382" s="226">
        <f t="shared" si="181"/>
        <v>37628.393351800558</v>
      </c>
      <c r="O1382" s="34">
        <v>0.3</v>
      </c>
      <c r="P1382" s="226">
        <f t="shared" si="180"/>
        <v>48916.91135734073</v>
      </c>
      <c r="Q1382" s="107" t="s">
        <v>1486</v>
      </c>
      <c r="R1382" s="34">
        <v>0.19622189214496866</v>
      </c>
      <c r="S1382" s="226">
        <f t="shared" si="184"/>
        <v>33799.999943392257</v>
      </c>
      <c r="T1382" s="156" t="s">
        <v>1486</v>
      </c>
      <c r="U1382" s="2"/>
      <c r="V1382" s="2" t="s">
        <v>795</v>
      </c>
      <c r="W1382" s="2" t="s">
        <v>3399</v>
      </c>
      <c r="X1382" s="2" t="s">
        <v>3400</v>
      </c>
      <c r="Y1382" s="488" t="s">
        <v>1486</v>
      </c>
      <c r="Z1382" s="293">
        <f t="shared" si="182"/>
        <v>8790.4986149584511</v>
      </c>
      <c r="AA1382" s="293">
        <f t="shared" si="183"/>
        <v>5573.3612969682836</v>
      </c>
    </row>
    <row r="1383" spans="1:27" x14ac:dyDescent="0.25">
      <c r="A1383" s="220" t="s">
        <v>4620</v>
      </c>
      <c r="B1383" s="221" t="s">
        <v>4621</v>
      </c>
      <c r="C1383" s="223" t="s">
        <v>4602</v>
      </c>
      <c r="D1383" s="220" t="s">
        <v>4622</v>
      </c>
      <c r="E1383" s="222">
        <v>1</v>
      </c>
      <c r="F1383" s="192">
        <v>26207</v>
      </c>
      <c r="G1383" s="24">
        <v>0.2</v>
      </c>
      <c r="H1383" s="24">
        <v>0.05</v>
      </c>
      <c r="I1383" s="24">
        <v>0.05</v>
      </c>
      <c r="J1383" s="24">
        <v>0</v>
      </c>
      <c r="K1383" s="224">
        <f t="shared" si="178"/>
        <v>0.27800000000000014</v>
      </c>
      <c r="L1383" s="225">
        <f t="shared" si="185"/>
        <v>36297.783933518011</v>
      </c>
      <c r="M1383" s="225">
        <f t="shared" si="179"/>
        <v>36297.783933518011</v>
      </c>
      <c r="N1383" s="226">
        <f t="shared" si="181"/>
        <v>43194.362880886431</v>
      </c>
      <c r="O1383" s="34">
        <v>0.3</v>
      </c>
      <c r="P1383" s="226">
        <f t="shared" si="180"/>
        <v>56152.671745152358</v>
      </c>
      <c r="Q1383" s="107" t="s">
        <v>1486</v>
      </c>
      <c r="R1383" s="34">
        <v>0.19829485688618873</v>
      </c>
      <c r="S1383" s="226">
        <f t="shared" si="184"/>
        <v>38899.999916269393</v>
      </c>
      <c r="T1383" s="156" t="s">
        <v>1486</v>
      </c>
      <c r="U1383" s="2"/>
      <c r="V1383" s="2" t="s">
        <v>795</v>
      </c>
      <c r="W1383" s="2" t="s">
        <v>3399</v>
      </c>
      <c r="X1383" s="2" t="s">
        <v>3242</v>
      </c>
      <c r="Y1383" s="488" t="s">
        <v>1486</v>
      </c>
      <c r="Z1383" s="293">
        <f t="shared" si="182"/>
        <v>10090.783933518011</v>
      </c>
      <c r="AA1383" s="293">
        <f t="shared" si="183"/>
        <v>6482.075559890247</v>
      </c>
    </row>
    <row r="1384" spans="1:27" x14ac:dyDescent="0.25">
      <c r="A1384" s="220" t="s">
        <v>4623</v>
      </c>
      <c r="B1384" s="221" t="s">
        <v>4624</v>
      </c>
      <c r="C1384" s="223" t="s">
        <v>4602</v>
      </c>
      <c r="D1384" s="220" t="s">
        <v>4622</v>
      </c>
      <c r="E1384" s="222">
        <v>1</v>
      </c>
      <c r="F1384" s="192">
        <v>32793</v>
      </c>
      <c r="G1384" s="24">
        <v>0.2</v>
      </c>
      <c r="H1384" s="24">
        <v>0.05</v>
      </c>
      <c r="I1384" s="24">
        <v>0.05</v>
      </c>
      <c r="J1384" s="24">
        <v>0</v>
      </c>
      <c r="K1384" s="224">
        <f t="shared" si="178"/>
        <v>0.27800000000000014</v>
      </c>
      <c r="L1384" s="225">
        <f t="shared" si="185"/>
        <v>45419.667590027711</v>
      </c>
      <c r="M1384" s="225">
        <f t="shared" si="179"/>
        <v>45419.667590027711</v>
      </c>
      <c r="N1384" s="226">
        <f t="shared" si="181"/>
        <v>54049.404432132971</v>
      </c>
      <c r="O1384" s="34">
        <v>0.3</v>
      </c>
      <c r="P1384" s="226">
        <f t="shared" si="180"/>
        <v>70264.225761772861</v>
      </c>
      <c r="Q1384" s="107" t="s">
        <v>1486</v>
      </c>
      <c r="R1384" s="34">
        <v>0.2019699401566632</v>
      </c>
      <c r="S1384" s="226">
        <f t="shared" si="184"/>
        <v>48900.000092303322</v>
      </c>
      <c r="T1384" s="156" t="s">
        <v>1486</v>
      </c>
      <c r="U1384" s="2"/>
      <c r="V1384" s="2" t="s">
        <v>795</v>
      </c>
      <c r="W1384" s="2" t="s">
        <v>3399</v>
      </c>
      <c r="X1384" s="2" t="s">
        <v>3242</v>
      </c>
      <c r="Y1384" s="488" t="s">
        <v>1486</v>
      </c>
      <c r="Z1384" s="293">
        <f t="shared" si="182"/>
        <v>12626.667590027711</v>
      </c>
      <c r="AA1384" s="293">
        <f t="shared" si="183"/>
        <v>8299.4370523557373</v>
      </c>
    </row>
    <row r="1385" spans="1:27" x14ac:dyDescent="0.25">
      <c r="A1385" s="220" t="s">
        <v>4625</v>
      </c>
      <c r="B1385" s="221" t="s">
        <v>4626</v>
      </c>
      <c r="C1385" s="223" t="s">
        <v>4602</v>
      </c>
      <c r="D1385" s="220" t="s">
        <v>4622</v>
      </c>
      <c r="E1385" s="222">
        <v>1</v>
      </c>
      <c r="F1385" s="192">
        <v>28512</v>
      </c>
      <c r="G1385" s="24">
        <v>0.2</v>
      </c>
      <c r="H1385" s="24">
        <v>0.05</v>
      </c>
      <c r="I1385" s="24">
        <v>0.05</v>
      </c>
      <c r="J1385" s="24">
        <v>0</v>
      </c>
      <c r="K1385" s="224">
        <f t="shared" si="178"/>
        <v>0.27800000000000014</v>
      </c>
      <c r="L1385" s="225">
        <f t="shared" si="185"/>
        <v>39490.304709141281</v>
      </c>
      <c r="M1385" s="225">
        <f t="shared" si="179"/>
        <v>39490.304709141281</v>
      </c>
      <c r="N1385" s="226">
        <f t="shared" si="181"/>
        <v>46993.462603878121</v>
      </c>
      <c r="O1385" s="34">
        <v>0.3</v>
      </c>
      <c r="P1385" s="226">
        <f t="shared" si="180"/>
        <v>61091.501385041556</v>
      </c>
      <c r="Q1385" s="107" t="s">
        <v>1486</v>
      </c>
      <c r="R1385" s="34">
        <v>0.20353802863691642</v>
      </c>
      <c r="S1385" s="226">
        <f t="shared" si="184"/>
        <v>42600.000025026478</v>
      </c>
      <c r="T1385" s="156" t="s">
        <v>1486</v>
      </c>
      <c r="U1385" s="2"/>
      <c r="V1385" s="2" t="s">
        <v>795</v>
      </c>
      <c r="W1385" s="2" t="s">
        <v>3399</v>
      </c>
      <c r="X1385" s="2" t="s">
        <v>3242</v>
      </c>
      <c r="Y1385" s="488" t="s">
        <v>1486</v>
      </c>
      <c r="Z1385" s="293">
        <f t="shared" si="182"/>
        <v>10978.304709141281</v>
      </c>
      <c r="AA1385" s="293">
        <f t="shared" si="183"/>
        <v>7286.3193487617464</v>
      </c>
    </row>
    <row r="1386" spans="1:27" x14ac:dyDescent="0.25">
      <c r="A1386" s="220" t="s">
        <v>4627</v>
      </c>
      <c r="B1386" s="221" t="s">
        <v>5652</v>
      </c>
      <c r="C1386" s="223" t="s">
        <v>4602</v>
      </c>
      <c r="D1386" s="220" t="s">
        <v>4604</v>
      </c>
      <c r="E1386" s="222">
        <v>1</v>
      </c>
      <c r="F1386" s="192">
        <v>32503</v>
      </c>
      <c r="G1386" s="24">
        <v>0.2</v>
      </c>
      <c r="H1386" s="24">
        <v>0.05</v>
      </c>
      <c r="I1386" s="24">
        <v>0.05</v>
      </c>
      <c r="J1386" s="24">
        <v>0</v>
      </c>
      <c r="K1386" s="224">
        <f t="shared" si="178"/>
        <v>0.27799999999999991</v>
      </c>
      <c r="L1386" s="225">
        <f t="shared" si="185"/>
        <v>45018.005540166203</v>
      </c>
      <c r="M1386" s="225">
        <f t="shared" si="179"/>
        <v>45018.005540166203</v>
      </c>
      <c r="N1386" s="226">
        <f t="shared" si="181"/>
        <v>53571.426592797776</v>
      </c>
      <c r="O1386" s="34">
        <v>0.3</v>
      </c>
      <c r="P1386" s="226">
        <f t="shared" si="180"/>
        <v>69642.854570637108</v>
      </c>
      <c r="Q1386" s="107" t="s">
        <v>1486</v>
      </c>
      <c r="R1386" s="34">
        <v>0.20085598998134244</v>
      </c>
      <c r="S1386" s="226">
        <f t="shared" si="184"/>
        <v>48399.999893757544</v>
      </c>
      <c r="T1386" s="156" t="s">
        <v>1486</v>
      </c>
      <c r="U1386" s="2"/>
      <c r="V1386" s="2" t="s">
        <v>795</v>
      </c>
      <c r="W1386" s="2" t="s">
        <v>3399</v>
      </c>
      <c r="X1386" s="2" t="s">
        <v>3242</v>
      </c>
      <c r="Y1386" s="488" t="s">
        <v>1486</v>
      </c>
      <c r="Z1386" s="293">
        <f t="shared" si="182"/>
        <v>12515.005540166203</v>
      </c>
      <c r="AA1386" s="293">
        <f t="shared" si="183"/>
        <v>8169.26881828365</v>
      </c>
    </row>
    <row r="1387" spans="1:27" x14ac:dyDescent="0.25">
      <c r="A1387" s="220" t="s">
        <v>4744</v>
      </c>
      <c r="B1387" s="221" t="s">
        <v>4745</v>
      </c>
      <c r="C1387" s="223" t="s">
        <v>2787</v>
      </c>
      <c r="D1387" s="220" t="s">
        <v>4746</v>
      </c>
      <c r="E1387" s="222">
        <v>10</v>
      </c>
      <c r="F1387" s="192">
        <v>1169</v>
      </c>
      <c r="G1387" s="24">
        <v>0.2</v>
      </c>
      <c r="H1387" s="24">
        <v>0.05</v>
      </c>
      <c r="I1387" s="24">
        <v>0.05</v>
      </c>
      <c r="J1387" s="24">
        <v>0.03</v>
      </c>
      <c r="K1387" s="224">
        <f t="shared" si="178"/>
        <v>0.29966000000000004</v>
      </c>
      <c r="L1387" s="225">
        <f t="shared" si="185"/>
        <v>16691.892509352601</v>
      </c>
      <c r="M1387" s="225">
        <f t="shared" si="179"/>
        <v>1669.1892509352601</v>
      </c>
      <c r="N1387" s="226">
        <f t="shared" si="181"/>
        <v>1986.3352086129594</v>
      </c>
      <c r="O1387" s="34">
        <v>0.3</v>
      </c>
      <c r="P1387" s="226">
        <f t="shared" si="180"/>
        <v>2582.2357711968471</v>
      </c>
      <c r="Q1387" s="107" t="s">
        <v>1486</v>
      </c>
      <c r="R1387" s="34">
        <v>0.33759999999999996</v>
      </c>
      <c r="S1387" s="226">
        <f t="shared" si="184"/>
        <v>2100.1056763285019</v>
      </c>
      <c r="T1387" s="156" t="s">
        <v>1486</v>
      </c>
      <c r="U1387" s="2"/>
      <c r="V1387" s="2" t="s">
        <v>795</v>
      </c>
      <c r="W1387" s="2" t="s">
        <v>1467</v>
      </c>
      <c r="X1387" s="2" t="s">
        <v>1467</v>
      </c>
      <c r="Y1387" s="488" t="s">
        <v>1486</v>
      </c>
      <c r="Z1387" s="293">
        <f t="shared" si="182"/>
        <v>500.18925093526013</v>
      </c>
      <c r="AA1387" s="293">
        <f t="shared" si="183"/>
        <v>595.79468599033771</v>
      </c>
    </row>
    <row r="1388" spans="1:27" x14ac:dyDescent="0.25">
      <c r="A1388" s="220" t="s">
        <v>4747</v>
      </c>
      <c r="B1388" s="221" t="s">
        <v>4752</v>
      </c>
      <c r="C1388" s="223" t="s">
        <v>2787</v>
      </c>
      <c r="D1388" s="220" t="s">
        <v>4746</v>
      </c>
      <c r="E1388" s="222">
        <v>10</v>
      </c>
      <c r="F1388" s="192">
        <v>6951</v>
      </c>
      <c r="G1388" s="24">
        <v>0.2</v>
      </c>
      <c r="H1388" s="24">
        <v>0.05</v>
      </c>
      <c r="I1388" s="24">
        <v>0.05</v>
      </c>
      <c r="J1388" s="24">
        <v>0.03</v>
      </c>
      <c r="K1388" s="224">
        <f t="shared" si="178"/>
        <v>0.29966000000000015</v>
      </c>
      <c r="L1388" s="225">
        <f t="shared" si="185"/>
        <v>99251.791986749318</v>
      </c>
      <c r="M1388" s="225">
        <f t="shared" si="179"/>
        <v>9925.1791986749322</v>
      </c>
      <c r="N1388" s="226">
        <f t="shared" si="181"/>
        <v>11810.963246423169</v>
      </c>
      <c r="O1388" s="34">
        <v>0.3</v>
      </c>
      <c r="P1388" s="226">
        <f t="shared" si="180"/>
        <v>15354.252220350119</v>
      </c>
      <c r="Q1388" s="107" t="s">
        <v>1486</v>
      </c>
      <c r="R1388" s="34">
        <v>0.31920000000000004</v>
      </c>
      <c r="S1388" s="226">
        <f t="shared" si="184"/>
        <v>12149.955934195066</v>
      </c>
      <c r="T1388" s="156" t="s">
        <v>1486</v>
      </c>
      <c r="U1388" s="2"/>
      <c r="V1388" s="2" t="s">
        <v>795</v>
      </c>
      <c r="W1388" s="2" t="s">
        <v>1467</v>
      </c>
      <c r="X1388" s="2" t="s">
        <v>1467</v>
      </c>
      <c r="Y1388" s="488" t="s">
        <v>1486</v>
      </c>
      <c r="Z1388" s="293">
        <f t="shared" si="182"/>
        <v>2974.1791986749322</v>
      </c>
      <c r="AA1388" s="293">
        <f t="shared" si="183"/>
        <v>3259.0470035252656</v>
      </c>
    </row>
    <row r="1389" spans="1:27" x14ac:dyDescent="0.25">
      <c r="A1389" s="220" t="s">
        <v>4748</v>
      </c>
      <c r="B1389" s="221" t="s">
        <v>4749</v>
      </c>
      <c r="C1389" s="223" t="s">
        <v>2787</v>
      </c>
      <c r="D1389" s="220" t="s">
        <v>4746</v>
      </c>
      <c r="E1389" s="222">
        <v>10</v>
      </c>
      <c r="F1389" s="192">
        <v>1990</v>
      </c>
      <c r="G1389" s="24">
        <v>0.2</v>
      </c>
      <c r="H1389" s="24">
        <v>0.05</v>
      </c>
      <c r="I1389" s="24">
        <v>0.05</v>
      </c>
      <c r="J1389" s="24">
        <v>0.03</v>
      </c>
      <c r="K1389" s="224">
        <f t="shared" si="178"/>
        <v>0.29966000000000004</v>
      </c>
      <c r="L1389" s="225">
        <f t="shared" si="185"/>
        <v>28414.769968872264</v>
      </c>
      <c r="M1389" s="225">
        <f t="shared" si="179"/>
        <v>2841.4769968872265</v>
      </c>
      <c r="N1389" s="226">
        <f t="shared" si="181"/>
        <v>3381.3576262957995</v>
      </c>
      <c r="O1389" s="34">
        <v>0.3</v>
      </c>
      <c r="P1389" s="226">
        <f t="shared" si="180"/>
        <v>4395.7649141845395</v>
      </c>
      <c r="Q1389" s="107" t="s">
        <v>1486</v>
      </c>
      <c r="R1389" s="34">
        <v>0.52959999999999996</v>
      </c>
      <c r="S1389" s="226">
        <f t="shared" si="184"/>
        <v>5034.2261904761899</v>
      </c>
      <c r="T1389" s="156" t="s">
        <v>1486</v>
      </c>
      <c r="U1389" s="2"/>
      <c r="V1389" s="2" t="s">
        <v>795</v>
      </c>
      <c r="W1389" s="2" t="s">
        <v>1467</v>
      </c>
      <c r="X1389" s="2" t="s">
        <v>1467</v>
      </c>
      <c r="Y1389" s="488" t="s">
        <v>1486</v>
      </c>
      <c r="Z1389" s="293">
        <f t="shared" si="182"/>
        <v>851.47699688722651</v>
      </c>
      <c r="AA1389" s="293">
        <f t="shared" si="183"/>
        <v>2240.442176870748</v>
      </c>
    </row>
    <row r="1390" spans="1:27" x14ac:dyDescent="0.25">
      <c r="A1390" s="220" t="s">
        <v>4750</v>
      </c>
      <c r="B1390" s="221" t="s">
        <v>4751</v>
      </c>
      <c r="C1390" s="223" t="s">
        <v>2787</v>
      </c>
      <c r="D1390" s="220" t="s">
        <v>4746</v>
      </c>
      <c r="E1390" s="222">
        <v>10</v>
      </c>
      <c r="F1390" s="192">
        <v>7140</v>
      </c>
      <c r="G1390" s="24">
        <v>0.2</v>
      </c>
      <c r="H1390" s="24">
        <v>0.05</v>
      </c>
      <c r="I1390" s="24">
        <v>0.05</v>
      </c>
      <c r="J1390" s="24">
        <v>0.03</v>
      </c>
      <c r="K1390" s="224">
        <f t="shared" si="178"/>
        <v>0.29966000000000004</v>
      </c>
      <c r="L1390" s="225">
        <f t="shared" si="185"/>
        <v>101950.48119484822</v>
      </c>
      <c r="M1390" s="225">
        <f t="shared" si="179"/>
        <v>10195.048119484822</v>
      </c>
      <c r="N1390" s="226">
        <f t="shared" si="181"/>
        <v>12132.107262186937</v>
      </c>
      <c r="O1390" s="34">
        <v>0.3</v>
      </c>
      <c r="P1390" s="226">
        <f t="shared" si="180"/>
        <v>15771.739440843019</v>
      </c>
      <c r="Q1390" s="107" t="s">
        <v>1486</v>
      </c>
      <c r="R1390" s="34">
        <v>0.30070000000000002</v>
      </c>
      <c r="S1390" s="226">
        <f t="shared" si="184"/>
        <v>12150.150150150148</v>
      </c>
      <c r="T1390" s="156" t="s">
        <v>1486</v>
      </c>
      <c r="U1390" s="2"/>
      <c r="V1390" s="2" t="s">
        <v>795</v>
      </c>
      <c r="W1390" s="2" t="s">
        <v>1467</v>
      </c>
      <c r="X1390" s="2" t="s">
        <v>1467</v>
      </c>
      <c r="Y1390" s="488" t="s">
        <v>1486</v>
      </c>
      <c r="Z1390" s="293">
        <f t="shared" si="182"/>
        <v>3055.0481194848217</v>
      </c>
      <c r="AA1390" s="293">
        <f t="shared" si="183"/>
        <v>3070.210210210209</v>
      </c>
    </row>
    <row r="1391" spans="1:27" x14ac:dyDescent="0.25">
      <c r="A1391" s="220" t="s">
        <v>4755</v>
      </c>
      <c r="B1391" s="221" t="s">
        <v>4756</v>
      </c>
      <c r="C1391" s="223" t="s">
        <v>2787</v>
      </c>
      <c r="D1391" s="220" t="s">
        <v>4746</v>
      </c>
      <c r="E1391" s="222">
        <v>1</v>
      </c>
      <c r="F1391" s="192">
        <v>3385</v>
      </c>
      <c r="G1391" s="24">
        <v>0.2</v>
      </c>
      <c r="H1391" s="24">
        <v>0.05</v>
      </c>
      <c r="I1391" s="24">
        <v>0.05</v>
      </c>
      <c r="J1391" s="24">
        <v>0.03</v>
      </c>
      <c r="K1391" s="224">
        <f t="shared" si="178"/>
        <v>0.29966000000000004</v>
      </c>
      <c r="L1391" s="225">
        <f t="shared" si="185"/>
        <v>4833.3666504840512</v>
      </c>
      <c r="M1391" s="225">
        <f t="shared" si="179"/>
        <v>4833.3666504840512</v>
      </c>
      <c r="N1391" s="226">
        <f t="shared" si="181"/>
        <v>5751.706314076021</v>
      </c>
      <c r="O1391" s="34">
        <v>0.3</v>
      </c>
      <c r="P1391" s="226">
        <f t="shared" si="180"/>
        <v>7477.2182082988274</v>
      </c>
      <c r="Q1391" s="107" t="s">
        <v>1486</v>
      </c>
      <c r="R1391" s="34">
        <v>0.29949999999999999</v>
      </c>
      <c r="S1391" s="226">
        <f t="shared" si="184"/>
        <v>5750.3925767309065</v>
      </c>
      <c r="T1391" s="156" t="s">
        <v>1486</v>
      </c>
      <c r="U1391" s="2"/>
      <c r="V1391" s="2" t="s">
        <v>795</v>
      </c>
      <c r="W1391" s="2" t="s">
        <v>1467</v>
      </c>
      <c r="X1391" s="2" t="s">
        <v>1467</v>
      </c>
      <c r="Y1391" s="488" t="s">
        <v>1486</v>
      </c>
      <c r="Z1391" s="293">
        <f t="shared" si="182"/>
        <v>1448.3666504840512</v>
      </c>
      <c r="AA1391" s="293">
        <f t="shared" si="183"/>
        <v>1447.2626695217705</v>
      </c>
    </row>
    <row r="1392" spans="1:27" x14ac:dyDescent="0.25">
      <c r="A1392" s="220" t="s">
        <v>4837</v>
      </c>
      <c r="B1392" s="221" t="s">
        <v>4838</v>
      </c>
      <c r="C1392" s="223" t="s">
        <v>1551</v>
      </c>
      <c r="D1392" s="220" t="s">
        <v>802</v>
      </c>
      <c r="E1392" s="222">
        <v>1</v>
      </c>
      <c r="F1392" s="192">
        <v>13279</v>
      </c>
      <c r="G1392" s="24">
        <v>0.2</v>
      </c>
      <c r="H1392" s="24">
        <v>0.05</v>
      </c>
      <c r="I1392" s="24">
        <v>0.05</v>
      </c>
      <c r="J1392" s="24">
        <v>0</v>
      </c>
      <c r="K1392" s="224">
        <f t="shared" si="178"/>
        <v>0.27800000000000002</v>
      </c>
      <c r="L1392" s="225">
        <f t="shared" si="185"/>
        <v>18391.966759002771</v>
      </c>
      <c r="M1392" s="225">
        <f t="shared" si="179"/>
        <v>18391.966759002771</v>
      </c>
      <c r="N1392" s="226">
        <f t="shared" si="181"/>
        <v>21886.440443213298</v>
      </c>
      <c r="O1392" s="34">
        <v>0.3</v>
      </c>
      <c r="P1392" s="226">
        <f t="shared" si="180"/>
        <v>28452.372576177288</v>
      </c>
      <c r="Q1392" s="107" t="s">
        <v>1486</v>
      </c>
      <c r="R1392" s="34">
        <v>0.25462216981065944</v>
      </c>
      <c r="S1392" s="226">
        <f t="shared" si="184"/>
        <v>21199.999999981188</v>
      </c>
      <c r="T1392" s="156" t="s">
        <v>1486</v>
      </c>
      <c r="U1392" s="2" t="s">
        <v>50</v>
      </c>
      <c r="V1392" s="2" t="s">
        <v>795</v>
      </c>
      <c r="W1392" s="2" t="s">
        <v>3399</v>
      </c>
      <c r="X1392" s="2" t="s">
        <v>1467</v>
      </c>
      <c r="Y1392" s="488" t="s">
        <v>1486</v>
      </c>
      <c r="Z1392" s="293">
        <f t="shared" si="182"/>
        <v>5112.9667590027711</v>
      </c>
      <c r="AA1392" s="293">
        <f t="shared" si="183"/>
        <v>4536.1260504043603</v>
      </c>
    </row>
    <row r="1393" spans="1:27" x14ac:dyDescent="0.25">
      <c r="A1393" s="220" t="s">
        <v>4880</v>
      </c>
      <c r="B1393" s="221" t="s">
        <v>4904</v>
      </c>
      <c r="C1393" s="223" t="s">
        <v>1572</v>
      </c>
      <c r="D1393" s="220" t="s">
        <v>4881</v>
      </c>
      <c r="E1393" s="222">
        <v>1</v>
      </c>
      <c r="F1393" s="192">
        <v>7188</v>
      </c>
      <c r="G1393" s="24">
        <v>0.2</v>
      </c>
      <c r="H1393" s="24">
        <v>0.05</v>
      </c>
      <c r="I1393" s="24">
        <v>0.05</v>
      </c>
      <c r="J1393" s="24">
        <v>0</v>
      </c>
      <c r="K1393" s="224">
        <f t="shared" si="178"/>
        <v>0.27799999999999991</v>
      </c>
      <c r="L1393" s="225">
        <f t="shared" si="185"/>
        <v>9955.6786703601101</v>
      </c>
      <c r="M1393" s="225">
        <f t="shared" si="179"/>
        <v>9955.6786703601101</v>
      </c>
      <c r="N1393" s="226">
        <f t="shared" si="181"/>
        <v>11847.25761772853</v>
      </c>
      <c r="O1393" s="34">
        <v>0.3</v>
      </c>
      <c r="P1393" s="226">
        <f t="shared" si="180"/>
        <v>15401.434903047089</v>
      </c>
      <c r="Q1393" s="107" t="s">
        <v>1486</v>
      </c>
      <c r="R1393" s="34">
        <v>0.25</v>
      </c>
      <c r="S1393" s="226">
        <f t="shared" si="184"/>
        <v>11404.96</v>
      </c>
      <c r="T1393" s="156" t="s">
        <v>1486</v>
      </c>
      <c r="U1393" s="2"/>
      <c r="V1393" s="2" t="s">
        <v>795</v>
      </c>
      <c r="W1393" s="2" t="s">
        <v>1467</v>
      </c>
      <c r="X1393" s="2" t="s">
        <v>1467</v>
      </c>
      <c r="Y1393" s="488" t="s">
        <v>1486</v>
      </c>
      <c r="Z1393" s="293">
        <f t="shared" si="182"/>
        <v>2767.6786703601101</v>
      </c>
      <c r="AA1393" s="293">
        <f t="shared" si="183"/>
        <v>2396</v>
      </c>
    </row>
    <row r="1394" spans="1:27" x14ac:dyDescent="0.25">
      <c r="A1394" s="220" t="s">
        <v>4882</v>
      </c>
      <c r="B1394" s="221" t="s">
        <v>4903</v>
      </c>
      <c r="C1394" s="223" t="s">
        <v>1572</v>
      </c>
      <c r="D1394" s="220" t="s">
        <v>4881</v>
      </c>
      <c r="E1394" s="222">
        <v>1</v>
      </c>
      <c r="F1394" s="192">
        <v>12715</v>
      </c>
      <c r="G1394" s="24">
        <v>0.2</v>
      </c>
      <c r="H1394" s="24">
        <v>0.05</v>
      </c>
      <c r="I1394" s="24">
        <v>0.05</v>
      </c>
      <c r="J1394" s="24">
        <v>0</v>
      </c>
      <c r="K1394" s="224">
        <f t="shared" si="178"/>
        <v>0.27800000000000002</v>
      </c>
      <c r="L1394" s="225">
        <v>12715</v>
      </c>
      <c r="M1394" s="225">
        <f t="shared" si="179"/>
        <v>17610.803324099725</v>
      </c>
      <c r="N1394" s="226">
        <f t="shared" si="181"/>
        <v>20956.855955678671</v>
      </c>
      <c r="O1394" s="34">
        <v>0.3</v>
      </c>
      <c r="P1394" s="226">
        <f t="shared" si="180"/>
        <v>27243.912742382272</v>
      </c>
      <c r="Q1394" s="107" t="s">
        <v>1486</v>
      </c>
      <c r="R1394" s="34">
        <v>0.25</v>
      </c>
      <c r="S1394" s="226">
        <f t="shared" si="184"/>
        <v>20174.466666666664</v>
      </c>
      <c r="T1394" s="156" t="s">
        <v>1486</v>
      </c>
      <c r="U1394" s="2"/>
      <c r="V1394" s="2" t="s">
        <v>795</v>
      </c>
      <c r="W1394" s="2" t="s">
        <v>1467</v>
      </c>
      <c r="X1394" s="2" t="s">
        <v>1467</v>
      </c>
      <c r="Y1394" s="488" t="s">
        <v>1486</v>
      </c>
      <c r="Z1394" s="293">
        <f t="shared" si="182"/>
        <v>4895.8033240997247</v>
      </c>
      <c r="AA1394" s="293">
        <f t="shared" si="183"/>
        <v>4238.3333333333321</v>
      </c>
    </row>
    <row r="1395" spans="1:27" x14ac:dyDescent="0.25">
      <c r="A1395" s="220" t="s">
        <v>4905</v>
      </c>
      <c r="B1395" s="221" t="s">
        <v>4906</v>
      </c>
      <c r="C1395" s="223" t="s">
        <v>5135</v>
      </c>
      <c r="D1395" s="220" t="s">
        <v>2083</v>
      </c>
      <c r="E1395" s="222">
        <v>1</v>
      </c>
      <c r="F1395" s="192">
        <v>12715</v>
      </c>
      <c r="G1395" s="24">
        <v>0.2</v>
      </c>
      <c r="H1395" s="24">
        <v>0.05</v>
      </c>
      <c r="I1395" s="24">
        <v>0.05</v>
      </c>
      <c r="J1395" s="24">
        <v>0</v>
      </c>
      <c r="K1395" s="224">
        <f t="shared" si="178"/>
        <v>0.27800000000000002</v>
      </c>
      <c r="L1395" s="225">
        <f t="shared" ref="L1395:L1419" si="186">+M1395*E1395</f>
        <v>17610.803324099725</v>
      </c>
      <c r="M1395" s="225">
        <f t="shared" si="179"/>
        <v>17610.803324099725</v>
      </c>
      <c r="N1395" s="226">
        <f t="shared" si="181"/>
        <v>20956.855955678671</v>
      </c>
      <c r="O1395" s="34">
        <v>0.3</v>
      </c>
      <c r="P1395" s="226">
        <f t="shared" si="180"/>
        <v>27243.912742382272</v>
      </c>
      <c r="Q1395" s="107" t="s">
        <v>1486</v>
      </c>
      <c r="R1395" s="34">
        <v>0.21342675986070417</v>
      </c>
      <c r="S1395" s="226">
        <f t="shared" si="184"/>
        <v>19236.415921447373</v>
      </c>
      <c r="T1395" s="156" t="s">
        <v>1486</v>
      </c>
      <c r="U1395" s="2"/>
      <c r="V1395" s="2" t="s">
        <v>795</v>
      </c>
      <c r="W1395" s="2" t="s">
        <v>3399</v>
      </c>
      <c r="X1395" s="2" t="s">
        <v>3242</v>
      </c>
      <c r="Y1395" s="530" t="s">
        <v>1486</v>
      </c>
      <c r="Z1395" s="293">
        <f t="shared" si="182"/>
        <v>4895.8033240997247</v>
      </c>
      <c r="AA1395" s="293">
        <f t="shared" si="183"/>
        <v>3450.0553961742644</v>
      </c>
    </row>
    <row r="1396" spans="1:27" x14ac:dyDescent="0.25">
      <c r="A1396" s="220" t="s">
        <v>4941</v>
      </c>
      <c r="B1396" s="221" t="s">
        <v>4942</v>
      </c>
      <c r="C1396" s="223" t="s">
        <v>4934</v>
      </c>
      <c r="D1396" s="220" t="s">
        <v>4940</v>
      </c>
      <c r="E1396" s="222">
        <v>1</v>
      </c>
      <c r="F1396" s="192">
        <v>9778</v>
      </c>
      <c r="G1396" s="24">
        <v>0.2</v>
      </c>
      <c r="H1396" s="24">
        <v>0.05</v>
      </c>
      <c r="I1396" s="24">
        <v>0.05</v>
      </c>
      <c r="J1396" s="24">
        <v>0</v>
      </c>
      <c r="K1396" s="224">
        <f t="shared" si="178"/>
        <v>0.27800000000000002</v>
      </c>
      <c r="L1396" s="225">
        <f t="shared" si="186"/>
        <v>13542.936288088644</v>
      </c>
      <c r="M1396" s="225">
        <f t="shared" si="179"/>
        <v>13542.936288088644</v>
      </c>
      <c r="N1396" s="226">
        <f t="shared" si="181"/>
        <v>16116.094182825485</v>
      </c>
      <c r="O1396" s="34">
        <v>0.3</v>
      </c>
      <c r="P1396" s="226">
        <f t="shared" si="180"/>
        <v>20950.922437673133</v>
      </c>
      <c r="Q1396" s="107" t="s">
        <v>1486</v>
      </c>
      <c r="R1396" s="34">
        <v>0.29479878787988095</v>
      </c>
      <c r="S1396" s="226">
        <f t="shared" si="184"/>
        <v>16500.000000025575</v>
      </c>
      <c r="T1396" s="156" t="s">
        <v>1486</v>
      </c>
      <c r="U1396" s="2"/>
      <c r="V1396" s="2" t="s">
        <v>795</v>
      </c>
      <c r="W1396" s="2" t="s">
        <v>1467</v>
      </c>
      <c r="X1396" s="2" t="s">
        <v>1467</v>
      </c>
      <c r="Y1396" s="537" t="s">
        <v>1486</v>
      </c>
      <c r="Z1396" s="293">
        <f t="shared" si="182"/>
        <v>3764.9362880886438</v>
      </c>
      <c r="AA1396" s="293">
        <f t="shared" si="183"/>
        <v>4087.5462185088873</v>
      </c>
    </row>
    <row r="1397" spans="1:27" x14ac:dyDescent="0.25">
      <c r="A1397" s="220" t="s">
        <v>4943</v>
      </c>
      <c r="B1397" s="221" t="s">
        <v>4944</v>
      </c>
      <c r="C1397" s="223" t="s">
        <v>4934</v>
      </c>
      <c r="D1397" s="220" t="s">
        <v>4940</v>
      </c>
      <c r="E1397" s="222">
        <v>1</v>
      </c>
      <c r="F1397" s="192">
        <v>5300</v>
      </c>
      <c r="G1397" s="24">
        <v>0.2</v>
      </c>
      <c r="H1397" s="24">
        <v>0.05</v>
      </c>
      <c r="I1397" s="24">
        <v>0.05</v>
      </c>
      <c r="J1397" s="24">
        <v>0</v>
      </c>
      <c r="K1397" s="224">
        <f t="shared" si="178"/>
        <v>0.27800000000000002</v>
      </c>
      <c r="L1397" s="225">
        <f t="shared" si="186"/>
        <v>7340.7202216066489</v>
      </c>
      <c r="M1397" s="225">
        <f t="shared" si="179"/>
        <v>7340.7202216066489</v>
      </c>
      <c r="N1397" s="226">
        <f t="shared" si="181"/>
        <v>8735.4570637119123</v>
      </c>
      <c r="O1397" s="34">
        <v>0.3</v>
      </c>
      <c r="P1397" s="226">
        <f t="shared" si="180"/>
        <v>11356.094182825487</v>
      </c>
      <c r="Q1397" s="107" t="s">
        <v>1486</v>
      </c>
      <c r="R1397" s="34">
        <v>0.29922223004335868</v>
      </c>
      <c r="S1397" s="226">
        <f t="shared" si="184"/>
        <v>9000.0001004458627</v>
      </c>
      <c r="T1397" s="156" t="s">
        <v>1486</v>
      </c>
      <c r="U1397" s="2"/>
      <c r="V1397" s="2" t="s">
        <v>795</v>
      </c>
      <c r="W1397" s="2" t="s">
        <v>1467</v>
      </c>
      <c r="X1397" s="2" t="s">
        <v>1467</v>
      </c>
      <c r="Y1397" s="538" t="s">
        <v>1486</v>
      </c>
      <c r="Z1397" s="293">
        <f t="shared" si="182"/>
        <v>2040.7202216066489</v>
      </c>
      <c r="AA1397" s="293">
        <f t="shared" si="183"/>
        <v>2263.0252944923222</v>
      </c>
    </row>
    <row r="1398" spans="1:27" x14ac:dyDescent="0.25">
      <c r="A1398" s="220" t="s">
        <v>4945</v>
      </c>
      <c r="B1398" s="221" t="s">
        <v>4946</v>
      </c>
      <c r="C1398" s="223" t="s">
        <v>4934</v>
      </c>
      <c r="D1398" s="220" t="s">
        <v>4940</v>
      </c>
      <c r="E1398" s="222">
        <v>1</v>
      </c>
      <c r="F1398" s="192">
        <v>6000</v>
      </c>
      <c r="G1398" s="24">
        <v>0.2</v>
      </c>
      <c r="H1398" s="24">
        <v>0.05</v>
      </c>
      <c r="I1398" s="24">
        <v>0.05</v>
      </c>
      <c r="J1398" s="24">
        <v>0</v>
      </c>
      <c r="K1398" s="224">
        <f t="shared" si="178"/>
        <v>0.27800000000000014</v>
      </c>
      <c r="L1398" s="225">
        <f t="shared" si="186"/>
        <v>8310.2493074792255</v>
      </c>
      <c r="M1398" s="225">
        <f t="shared" si="179"/>
        <v>8310.2493074792255</v>
      </c>
      <c r="N1398" s="226">
        <f t="shared" si="181"/>
        <v>9889.1966759002771</v>
      </c>
      <c r="O1398" s="34">
        <v>0.3</v>
      </c>
      <c r="P1398" s="226">
        <f t="shared" si="180"/>
        <v>12855.955678670362</v>
      </c>
      <c r="Q1398" s="107" t="s">
        <v>1486</v>
      </c>
      <c r="R1398" s="34">
        <v>0.31999999080882352</v>
      </c>
      <c r="S1398" s="226">
        <f t="shared" si="184"/>
        <v>10499.999858077425</v>
      </c>
      <c r="T1398" s="156" t="s">
        <v>1486</v>
      </c>
      <c r="U1398" s="2"/>
      <c r="V1398" s="2" t="s">
        <v>795</v>
      </c>
      <c r="W1398" s="2" t="s">
        <v>1467</v>
      </c>
      <c r="X1398" s="2" t="s">
        <v>1467</v>
      </c>
      <c r="Y1398" s="538" t="s">
        <v>1486</v>
      </c>
      <c r="Z1398" s="293">
        <f t="shared" si="182"/>
        <v>2310.2493074792255</v>
      </c>
      <c r="AA1398" s="293">
        <f t="shared" si="183"/>
        <v>2823.5292925020385</v>
      </c>
    </row>
    <row r="1399" spans="1:27" x14ac:dyDescent="0.25">
      <c r="A1399" s="220" t="s">
        <v>4970</v>
      </c>
      <c r="B1399" s="221" t="s">
        <v>4972</v>
      </c>
      <c r="C1399" s="223" t="s">
        <v>4965</v>
      </c>
      <c r="D1399" s="220" t="s">
        <v>4971</v>
      </c>
      <c r="E1399" s="222">
        <v>1</v>
      </c>
      <c r="F1399" s="192">
        <v>6303</v>
      </c>
      <c r="G1399" s="24">
        <v>0.2</v>
      </c>
      <c r="H1399" s="24">
        <v>0.05</v>
      </c>
      <c r="I1399" s="24">
        <v>0.05</v>
      </c>
      <c r="J1399" s="24">
        <v>0</v>
      </c>
      <c r="K1399" s="224">
        <f t="shared" si="178"/>
        <v>0.27800000000000002</v>
      </c>
      <c r="L1399" s="225">
        <f t="shared" si="186"/>
        <v>8729.916897506926</v>
      </c>
      <c r="M1399" s="225">
        <f t="shared" si="179"/>
        <v>8729.916897506926</v>
      </c>
      <c r="N1399" s="226">
        <f t="shared" si="181"/>
        <v>10388.601108033241</v>
      </c>
      <c r="O1399" s="34">
        <v>0.3</v>
      </c>
      <c r="P1399" s="226">
        <f t="shared" si="180"/>
        <v>13505.181440443213</v>
      </c>
      <c r="Q1399" s="107" t="s">
        <v>1486</v>
      </c>
      <c r="R1399" s="34">
        <v>0.3</v>
      </c>
      <c r="S1399" s="226">
        <f t="shared" si="184"/>
        <v>10715.1</v>
      </c>
      <c r="T1399" s="156" t="s">
        <v>1486</v>
      </c>
      <c r="U1399" s="2"/>
      <c r="V1399" s="2" t="s">
        <v>795</v>
      </c>
      <c r="W1399" s="2" t="s">
        <v>1467</v>
      </c>
      <c r="X1399" s="2" t="s">
        <v>1467</v>
      </c>
      <c r="Y1399" s="538" t="s">
        <v>1486</v>
      </c>
      <c r="Z1399" s="293">
        <f t="shared" ref="Z1399:Z1419" si="187">+M1399-F1399</f>
        <v>2426.916897506926</v>
      </c>
      <c r="AA1399" s="293">
        <f t="shared" ref="AA1399:AA1419" si="188">+(S1399/1.19)-F1399</f>
        <v>2701.2857142857156</v>
      </c>
    </row>
    <row r="1400" spans="1:27" x14ac:dyDescent="0.25">
      <c r="A1400" s="220" t="s">
        <v>4974</v>
      </c>
      <c r="B1400" s="221" t="s">
        <v>4571</v>
      </c>
      <c r="C1400" s="223" t="s">
        <v>4965</v>
      </c>
      <c r="D1400" s="220" t="s">
        <v>4973</v>
      </c>
      <c r="E1400" s="222">
        <v>1</v>
      </c>
      <c r="F1400" s="192">
        <v>6302.52</v>
      </c>
      <c r="G1400" s="24">
        <v>0.2</v>
      </c>
      <c r="H1400" s="24">
        <v>0.05</v>
      </c>
      <c r="I1400" s="24">
        <v>0.05</v>
      </c>
      <c r="J1400" s="24">
        <v>0</v>
      </c>
      <c r="K1400" s="224">
        <f t="shared" si="178"/>
        <v>0.27800000000000014</v>
      </c>
      <c r="L1400" s="225">
        <f t="shared" si="186"/>
        <v>8729.2520775623289</v>
      </c>
      <c r="M1400" s="225">
        <f t="shared" si="179"/>
        <v>8729.2520775623289</v>
      </c>
      <c r="N1400" s="226">
        <f t="shared" si="181"/>
        <v>10387.80997229917</v>
      </c>
      <c r="O1400" s="34">
        <v>0.3</v>
      </c>
      <c r="P1400" s="226">
        <f t="shared" si="180"/>
        <v>13504.152963988921</v>
      </c>
      <c r="Q1400" s="107" t="s">
        <v>1486</v>
      </c>
      <c r="R1400" s="34">
        <v>0.3</v>
      </c>
      <c r="S1400" s="226">
        <f t="shared" si="184"/>
        <v>10714.284</v>
      </c>
      <c r="T1400" s="156" t="s">
        <v>1486</v>
      </c>
      <c r="U1400" s="2"/>
      <c r="V1400" s="2" t="s">
        <v>795</v>
      </c>
      <c r="W1400" s="2" t="s">
        <v>1467</v>
      </c>
      <c r="X1400" s="2" t="s">
        <v>1467</v>
      </c>
      <c r="Y1400" s="538" t="s">
        <v>1486</v>
      </c>
      <c r="Z1400" s="293">
        <f t="shared" si="187"/>
        <v>2426.7320775623284</v>
      </c>
      <c r="AA1400" s="293">
        <f t="shared" si="188"/>
        <v>2701.08</v>
      </c>
    </row>
    <row r="1401" spans="1:27" x14ac:dyDescent="0.25">
      <c r="A1401" s="220" t="s">
        <v>5147</v>
      </c>
      <c r="B1401" s="221" t="s">
        <v>5148</v>
      </c>
      <c r="C1401" s="223" t="s">
        <v>4602</v>
      </c>
      <c r="D1401" s="220" t="s">
        <v>4618</v>
      </c>
      <c r="E1401" s="222">
        <v>1</v>
      </c>
      <c r="F1401" s="192">
        <v>21183</v>
      </c>
      <c r="G1401" s="24">
        <v>0.2</v>
      </c>
      <c r="H1401" s="24">
        <v>0.05</v>
      </c>
      <c r="I1401" s="24">
        <v>0.05</v>
      </c>
      <c r="J1401" s="24">
        <v>0</v>
      </c>
      <c r="K1401" s="224">
        <f t="shared" si="178"/>
        <v>0.27800000000000002</v>
      </c>
      <c r="L1401" s="225">
        <f t="shared" si="186"/>
        <v>29339.335180055405</v>
      </c>
      <c r="M1401" s="225">
        <f t="shared" si="179"/>
        <v>29339.335180055405</v>
      </c>
      <c r="N1401" s="226">
        <f t="shared" si="181"/>
        <v>34913.808864265928</v>
      </c>
      <c r="O1401" s="34">
        <v>0.3</v>
      </c>
      <c r="P1401" s="226">
        <f t="shared" si="180"/>
        <v>45387.951523545707</v>
      </c>
      <c r="Q1401" s="107" t="s">
        <v>1486</v>
      </c>
      <c r="R1401" s="34">
        <v>0.1997533345174424</v>
      </c>
      <c r="S1401" s="226">
        <f t="shared" si="184"/>
        <v>31500.000046609919</v>
      </c>
      <c r="T1401" s="156" t="s">
        <v>1486</v>
      </c>
      <c r="U1401" s="2"/>
      <c r="V1401" s="2" t="s">
        <v>795</v>
      </c>
      <c r="W1401" s="2" t="s">
        <v>3399</v>
      </c>
      <c r="X1401" s="2" t="s">
        <v>3400</v>
      </c>
      <c r="Y1401" s="538" t="s">
        <v>1486</v>
      </c>
      <c r="Z1401" s="293">
        <f t="shared" si="187"/>
        <v>8156.3351800554046</v>
      </c>
      <c r="AA1401" s="293">
        <f t="shared" si="188"/>
        <v>5287.5882744621194</v>
      </c>
    </row>
    <row r="1402" spans="1:27" x14ac:dyDescent="0.25">
      <c r="A1402" s="220" t="s">
        <v>5178</v>
      </c>
      <c r="B1402" s="221" t="s">
        <v>5179</v>
      </c>
      <c r="C1402" s="223" t="s">
        <v>4934</v>
      </c>
      <c r="D1402" s="220" t="s">
        <v>4940</v>
      </c>
      <c r="E1402" s="222">
        <v>18</v>
      </c>
      <c r="F1402" s="192">
        <v>716</v>
      </c>
      <c r="G1402" s="24">
        <v>0.2</v>
      </c>
      <c r="H1402" s="24">
        <v>0.05</v>
      </c>
      <c r="I1402" s="24">
        <v>0.05</v>
      </c>
      <c r="J1402" s="24">
        <v>0.05</v>
      </c>
      <c r="K1402" s="224">
        <f t="shared" si="178"/>
        <v>0.31410000000000005</v>
      </c>
      <c r="L1402" s="225">
        <f t="shared" si="186"/>
        <v>18789.911065753029</v>
      </c>
      <c r="M1402" s="225">
        <f t="shared" si="179"/>
        <v>1043.8839480973904</v>
      </c>
      <c r="N1402" s="226">
        <f t="shared" si="181"/>
        <v>1242.2218982358945</v>
      </c>
      <c r="O1402" s="34">
        <v>0.3</v>
      </c>
      <c r="P1402" s="226">
        <f t="shared" si="180"/>
        <v>1614.8884677066628</v>
      </c>
      <c r="Q1402" s="107" t="s">
        <v>1486</v>
      </c>
      <c r="R1402" s="34">
        <v>0.4</v>
      </c>
      <c r="S1402" s="226">
        <f t="shared" si="184"/>
        <v>1420.0666666666668</v>
      </c>
      <c r="T1402" s="156" t="s">
        <v>1486</v>
      </c>
      <c r="U1402" s="2"/>
      <c r="V1402" s="2" t="s">
        <v>795</v>
      </c>
      <c r="W1402" s="2" t="s">
        <v>1467</v>
      </c>
      <c r="X1402" s="2" t="s">
        <v>1467</v>
      </c>
      <c r="Y1402" s="538" t="s">
        <v>1486</v>
      </c>
      <c r="Z1402" s="293">
        <f t="shared" si="187"/>
        <v>327.88394809739043</v>
      </c>
      <c r="AA1402" s="293">
        <f t="shared" si="188"/>
        <v>477.33333333333348</v>
      </c>
    </row>
    <row r="1403" spans="1:27" x14ac:dyDescent="0.25">
      <c r="A1403" s="220" t="s">
        <v>5180</v>
      </c>
      <c r="B1403" s="221" t="s">
        <v>5181</v>
      </c>
      <c r="C1403" s="223" t="s">
        <v>4934</v>
      </c>
      <c r="D1403" s="220" t="s">
        <v>4940</v>
      </c>
      <c r="E1403" s="222">
        <v>12</v>
      </c>
      <c r="F1403" s="192">
        <v>890</v>
      </c>
      <c r="G1403" s="24">
        <v>0.2</v>
      </c>
      <c r="H1403" s="24">
        <v>0.05</v>
      </c>
      <c r="I1403" s="24">
        <v>0.05</v>
      </c>
      <c r="J1403" s="24">
        <v>0.05</v>
      </c>
      <c r="K1403" s="224">
        <f t="shared" si="178"/>
        <v>0.31410000000000016</v>
      </c>
      <c r="L1403" s="225">
        <f t="shared" si="186"/>
        <v>15570.782912961076</v>
      </c>
      <c r="M1403" s="225">
        <f t="shared" si="179"/>
        <v>1297.5652427467564</v>
      </c>
      <c r="N1403" s="226">
        <f t="shared" si="181"/>
        <v>1544.10263886864</v>
      </c>
      <c r="O1403" s="34">
        <v>0.3</v>
      </c>
      <c r="P1403" s="226">
        <f t="shared" si="180"/>
        <v>2007.3334305292321</v>
      </c>
      <c r="Q1403" s="107" t="s">
        <v>1486</v>
      </c>
      <c r="R1403" s="34">
        <v>0.4</v>
      </c>
      <c r="S1403" s="226">
        <f t="shared" si="184"/>
        <v>1765.1666666666667</v>
      </c>
      <c r="T1403" s="156" t="s">
        <v>1486</v>
      </c>
      <c r="U1403" s="2"/>
      <c r="V1403" s="2" t="s">
        <v>795</v>
      </c>
      <c r="W1403" s="2" t="s">
        <v>1467</v>
      </c>
      <c r="X1403" s="2" t="s">
        <v>1467</v>
      </c>
      <c r="Y1403" s="568" t="s">
        <v>1486</v>
      </c>
      <c r="Z1403" s="293">
        <f t="shared" si="187"/>
        <v>407.56524274675644</v>
      </c>
      <c r="AA1403" s="293">
        <f t="shared" si="188"/>
        <v>593.33333333333348</v>
      </c>
    </row>
    <row r="1404" spans="1:27" x14ac:dyDescent="0.25">
      <c r="A1404" s="220" t="s">
        <v>5276</v>
      </c>
      <c r="B1404" s="221" t="s">
        <v>5319</v>
      </c>
      <c r="C1404" s="223" t="s">
        <v>1551</v>
      </c>
      <c r="D1404" s="220" t="s">
        <v>5320</v>
      </c>
      <c r="E1404" s="222">
        <v>1</v>
      </c>
      <c r="F1404" s="192">
        <v>14956</v>
      </c>
      <c r="G1404" s="24">
        <v>0.2</v>
      </c>
      <c r="H1404" s="24">
        <v>0.05</v>
      </c>
      <c r="I1404" s="24">
        <v>0.05</v>
      </c>
      <c r="J1404" s="24">
        <v>0</v>
      </c>
      <c r="K1404" s="224">
        <f t="shared" si="178"/>
        <v>0.27800000000000002</v>
      </c>
      <c r="L1404" s="225">
        <f t="shared" si="186"/>
        <v>20714.681440443215</v>
      </c>
      <c r="M1404" s="225">
        <f t="shared" si="179"/>
        <v>20714.681440443215</v>
      </c>
      <c r="N1404" s="226">
        <f t="shared" si="181"/>
        <v>24650.470914127425</v>
      </c>
      <c r="O1404" s="34">
        <v>0.3</v>
      </c>
      <c r="P1404" s="226">
        <f t="shared" si="180"/>
        <v>32045.612188365652</v>
      </c>
      <c r="Q1404" s="107" t="s">
        <v>1486</v>
      </c>
      <c r="R1404" s="34">
        <v>0.20546250350984063</v>
      </c>
      <c r="S1404" s="226">
        <f t="shared" si="184"/>
        <v>22400.000098951186</v>
      </c>
      <c r="T1404" s="156" t="s">
        <v>1486</v>
      </c>
      <c r="U1404" s="2" t="s">
        <v>50</v>
      </c>
      <c r="V1404" s="2" t="s">
        <v>795</v>
      </c>
      <c r="W1404" s="2" t="s">
        <v>3399</v>
      </c>
      <c r="X1404" s="2" t="s">
        <v>3242</v>
      </c>
      <c r="Y1404" s="571" t="s">
        <v>1486</v>
      </c>
      <c r="Z1404" s="293">
        <f t="shared" si="187"/>
        <v>5758.6814404432153</v>
      </c>
      <c r="AA1404" s="293">
        <f t="shared" si="188"/>
        <v>3867.5294949169656</v>
      </c>
    </row>
    <row r="1405" spans="1:27" x14ac:dyDescent="0.25">
      <c r="A1405" s="220" t="s">
        <v>5316</v>
      </c>
      <c r="B1405" s="221" t="s">
        <v>5317</v>
      </c>
      <c r="C1405" s="223" t="s">
        <v>1551</v>
      </c>
      <c r="D1405" s="220" t="s">
        <v>5318</v>
      </c>
      <c r="E1405" s="222">
        <v>1</v>
      </c>
      <c r="F1405" s="192">
        <v>3690</v>
      </c>
      <c r="G1405" s="24">
        <v>0.2</v>
      </c>
      <c r="H1405" s="24">
        <v>0.05</v>
      </c>
      <c r="I1405" s="24">
        <v>0.05</v>
      </c>
      <c r="J1405" s="24">
        <v>0</v>
      </c>
      <c r="K1405" s="224">
        <f t="shared" si="178"/>
        <v>0.27800000000000002</v>
      </c>
      <c r="L1405" s="225">
        <f t="shared" si="186"/>
        <v>5110.8033240997229</v>
      </c>
      <c r="M1405" s="225">
        <f t="shared" si="179"/>
        <v>5110.8033240997229</v>
      </c>
      <c r="N1405" s="226">
        <f t="shared" si="181"/>
        <v>6081.8559556786704</v>
      </c>
      <c r="O1405" s="34">
        <v>0.3</v>
      </c>
      <c r="P1405" s="226">
        <f t="shared" si="180"/>
        <v>7906.412742382272</v>
      </c>
      <c r="Q1405" s="107" t="s">
        <v>1486</v>
      </c>
      <c r="R1405" s="34">
        <v>0.19472132738106046</v>
      </c>
      <c r="S1405" s="226">
        <f t="shared" si="184"/>
        <v>5452.8949409763918</v>
      </c>
      <c r="T1405" s="156" t="s">
        <v>1486</v>
      </c>
      <c r="U1405" s="2" t="s">
        <v>50</v>
      </c>
      <c r="V1405" s="2" t="s">
        <v>795</v>
      </c>
      <c r="W1405" s="2" t="s">
        <v>3399</v>
      </c>
      <c r="X1405" s="2" t="s">
        <v>1467</v>
      </c>
      <c r="Y1405" s="571" t="s">
        <v>1486</v>
      </c>
      <c r="Z1405" s="293">
        <f t="shared" si="187"/>
        <v>1420.8033240997229</v>
      </c>
      <c r="AA1405" s="293">
        <f t="shared" si="188"/>
        <v>892.26465628268215</v>
      </c>
    </row>
    <row r="1406" spans="1:27" x14ac:dyDescent="0.25">
      <c r="A1406" s="220" t="s">
        <v>5328</v>
      </c>
      <c r="B1406" s="221" t="s">
        <v>5327</v>
      </c>
      <c r="C1406" s="223" t="s">
        <v>1551</v>
      </c>
      <c r="D1406" s="220" t="s">
        <v>5326</v>
      </c>
      <c r="E1406" s="222">
        <v>1</v>
      </c>
      <c r="F1406" s="192">
        <v>25803</v>
      </c>
      <c r="G1406" s="24">
        <v>0.2</v>
      </c>
      <c r="H1406" s="24">
        <v>0.05</v>
      </c>
      <c r="I1406" s="24">
        <v>0.05</v>
      </c>
      <c r="J1406" s="24">
        <v>0</v>
      </c>
      <c r="K1406" s="224">
        <f t="shared" si="178"/>
        <v>0.27800000000000014</v>
      </c>
      <c r="L1406" s="225">
        <f t="shared" si="186"/>
        <v>35738.22714681441</v>
      </c>
      <c r="M1406" s="225">
        <f t="shared" si="179"/>
        <v>35738.22714681441</v>
      </c>
      <c r="N1406" s="226">
        <f t="shared" si="181"/>
        <v>42528.490304709143</v>
      </c>
      <c r="O1406" s="34">
        <v>0.3</v>
      </c>
      <c r="P1406" s="226">
        <f t="shared" si="180"/>
        <v>55287.037396121887</v>
      </c>
      <c r="Q1406" s="107" t="s">
        <v>1486</v>
      </c>
      <c r="R1406" s="34">
        <v>0.16560951427705925</v>
      </c>
      <c r="S1406" s="226">
        <f t="shared" si="184"/>
        <v>36800.000150284286</v>
      </c>
      <c r="T1406" s="156" t="s">
        <v>1486</v>
      </c>
      <c r="U1406" s="2" t="s">
        <v>50</v>
      </c>
      <c r="V1406" s="2" t="s">
        <v>795</v>
      </c>
      <c r="W1406" s="2" t="s">
        <v>3399</v>
      </c>
      <c r="X1406" s="2" t="s">
        <v>1467</v>
      </c>
      <c r="Y1406" s="573" t="s">
        <v>1486</v>
      </c>
      <c r="Z1406" s="293">
        <f t="shared" si="187"/>
        <v>9935.2271468144099</v>
      </c>
      <c r="AA1406" s="293">
        <f t="shared" si="188"/>
        <v>5121.3698741884764</v>
      </c>
    </row>
    <row r="1407" spans="1:27" x14ac:dyDescent="0.25">
      <c r="A1407" s="220" t="s">
        <v>5340</v>
      </c>
      <c r="B1407" s="221" t="s">
        <v>5385</v>
      </c>
      <c r="C1407" s="223" t="s">
        <v>4524</v>
      </c>
      <c r="D1407" s="220" t="s">
        <v>5386</v>
      </c>
      <c r="E1407" s="222">
        <v>1</v>
      </c>
      <c r="F1407" s="192">
        <v>5043</v>
      </c>
      <c r="G1407" s="24">
        <v>0.2</v>
      </c>
      <c r="H1407" s="24">
        <v>0.05</v>
      </c>
      <c r="I1407" s="24">
        <v>0.05</v>
      </c>
      <c r="J1407" s="24">
        <v>0</v>
      </c>
      <c r="K1407" s="224">
        <f t="shared" si="178"/>
        <v>0.27800000000000014</v>
      </c>
      <c r="L1407" s="225">
        <f t="shared" si="186"/>
        <v>6984.7645429362892</v>
      </c>
      <c r="M1407" s="225">
        <f t="shared" si="179"/>
        <v>6984.7645429362892</v>
      </c>
      <c r="N1407" s="226">
        <f t="shared" si="181"/>
        <v>8311.8698060941842</v>
      </c>
      <c r="O1407" s="34">
        <v>0.3</v>
      </c>
      <c r="P1407" s="226">
        <f t="shared" si="180"/>
        <v>10805.430747922441</v>
      </c>
      <c r="Q1407" s="107" t="s">
        <v>1486</v>
      </c>
      <c r="R1407" s="34">
        <v>0.25</v>
      </c>
      <c r="S1407" s="226">
        <f t="shared" si="184"/>
        <v>8001.5599999999995</v>
      </c>
      <c r="T1407" s="156" t="s">
        <v>1486</v>
      </c>
      <c r="U1407" s="2"/>
      <c r="V1407" s="2" t="s">
        <v>795</v>
      </c>
      <c r="W1407" s="2" t="s">
        <v>1467</v>
      </c>
      <c r="X1407" s="2" t="s">
        <v>1467</v>
      </c>
      <c r="Y1407" s="576" t="s">
        <v>1486</v>
      </c>
      <c r="Z1407" s="293">
        <f t="shared" si="187"/>
        <v>1941.7645429362892</v>
      </c>
      <c r="AA1407" s="293">
        <f t="shared" si="188"/>
        <v>1681</v>
      </c>
    </row>
    <row r="1408" spans="1:27" x14ac:dyDescent="0.25">
      <c r="A1408" s="220" t="s">
        <v>5656</v>
      </c>
      <c r="B1408" s="221" t="s">
        <v>5657</v>
      </c>
      <c r="C1408" s="223" t="s">
        <v>4602</v>
      </c>
      <c r="D1408" s="220" t="s">
        <v>4604</v>
      </c>
      <c r="E1408" s="222">
        <v>1</v>
      </c>
      <c r="F1408" s="192">
        <v>35688</v>
      </c>
      <c r="G1408" s="24">
        <v>0.2</v>
      </c>
      <c r="H1408" s="24">
        <v>0.05</v>
      </c>
      <c r="I1408" s="24">
        <v>0.05</v>
      </c>
      <c r="J1408" s="24">
        <v>0</v>
      </c>
      <c r="K1408" s="224">
        <f t="shared" si="178"/>
        <v>0.27800000000000002</v>
      </c>
      <c r="L1408" s="225">
        <f t="shared" si="186"/>
        <v>49429.362880886431</v>
      </c>
      <c r="M1408" s="225">
        <f t="shared" si="179"/>
        <v>49429.362880886431</v>
      </c>
      <c r="N1408" s="226">
        <f t="shared" si="181"/>
        <v>58820.94182825485</v>
      </c>
      <c r="O1408" s="34">
        <v>0.3</v>
      </c>
      <c r="P1408" s="226">
        <f t="shared" si="180"/>
        <v>76467.224376731305</v>
      </c>
      <c r="Q1408" s="107" t="s">
        <v>1486</v>
      </c>
      <c r="R1408" s="34">
        <v>0.19870339722554212</v>
      </c>
      <c r="S1408" s="226">
        <f t="shared" si="184"/>
        <v>53000.000066085056</v>
      </c>
      <c r="T1408" s="156" t="s">
        <v>1486</v>
      </c>
      <c r="U1408" s="2"/>
      <c r="V1408" s="2" t="s">
        <v>795</v>
      </c>
      <c r="W1408" s="2" t="s">
        <v>3399</v>
      </c>
      <c r="X1408" s="2" t="s">
        <v>3242</v>
      </c>
      <c r="Y1408" s="581" t="s">
        <v>1486</v>
      </c>
      <c r="Z1408" s="293">
        <f t="shared" si="187"/>
        <v>13741.362880886431</v>
      </c>
      <c r="AA1408" s="293">
        <f t="shared" si="188"/>
        <v>8849.8151815840829</v>
      </c>
    </row>
    <row r="1409" spans="1:27" x14ac:dyDescent="0.25">
      <c r="A1409" s="220" t="s">
        <v>5928</v>
      </c>
      <c r="B1409" s="221" t="s">
        <v>5929</v>
      </c>
      <c r="C1409" s="223" t="s">
        <v>5926</v>
      </c>
      <c r="D1409" s="220" t="s">
        <v>5927</v>
      </c>
      <c r="E1409" s="222">
        <v>1</v>
      </c>
      <c r="F1409" s="192">
        <v>26400</v>
      </c>
      <c r="G1409" s="24">
        <v>0.2</v>
      </c>
      <c r="H1409" s="24">
        <v>0.05</v>
      </c>
      <c r="I1409" s="24">
        <v>0.05</v>
      </c>
      <c r="J1409" s="24">
        <v>0</v>
      </c>
      <c r="K1409" s="224">
        <f t="shared" si="178"/>
        <v>0.27800000000000014</v>
      </c>
      <c r="L1409" s="225">
        <f t="shared" si="186"/>
        <v>36565.096952908592</v>
      </c>
      <c r="M1409" s="225">
        <f t="shared" si="179"/>
        <v>36565.096952908592</v>
      </c>
      <c r="N1409" s="226">
        <f t="shared" si="181"/>
        <v>43512.465373961226</v>
      </c>
      <c r="O1409" s="34">
        <v>0.3</v>
      </c>
      <c r="P1409" s="226">
        <f t="shared" si="180"/>
        <v>56566.204986149598</v>
      </c>
      <c r="Q1409" s="107" t="s">
        <v>1486</v>
      </c>
      <c r="R1409" s="34">
        <v>0.17108179470344059</v>
      </c>
      <c r="S1409" s="226">
        <f t="shared" si="184"/>
        <v>37900.000023235581</v>
      </c>
      <c r="T1409" s="156" t="s">
        <v>1486</v>
      </c>
      <c r="U1409" s="2"/>
      <c r="V1409" s="2" t="s">
        <v>795</v>
      </c>
      <c r="W1409" s="2" t="s">
        <v>1467</v>
      </c>
      <c r="X1409" s="2" t="s">
        <v>1467</v>
      </c>
      <c r="Y1409" s="590" t="s">
        <v>1486</v>
      </c>
      <c r="Z1409" s="293">
        <f t="shared" si="187"/>
        <v>10165.096952908592</v>
      </c>
      <c r="AA1409" s="293">
        <f t="shared" si="188"/>
        <v>5448.7395153240177</v>
      </c>
    </row>
    <row r="1410" spans="1:27" x14ac:dyDescent="0.25">
      <c r="A1410" s="220" t="s">
        <v>5935</v>
      </c>
      <c r="B1410" s="221" t="s">
        <v>5934</v>
      </c>
      <c r="C1410" s="223" t="s">
        <v>5926</v>
      </c>
      <c r="D1410" s="220" t="s">
        <v>5933</v>
      </c>
      <c r="E1410" s="222">
        <v>1</v>
      </c>
      <c r="F1410" s="192">
        <v>19000</v>
      </c>
      <c r="G1410" s="24">
        <v>0.2</v>
      </c>
      <c r="H1410" s="24">
        <v>0.05</v>
      </c>
      <c r="I1410" s="24">
        <v>0.05</v>
      </c>
      <c r="J1410" s="24">
        <v>0</v>
      </c>
      <c r="K1410" s="224">
        <f t="shared" si="178"/>
        <v>0.27800000000000002</v>
      </c>
      <c r="L1410" s="225">
        <f t="shared" si="186"/>
        <v>26315.78947368421</v>
      </c>
      <c r="M1410" s="225">
        <f t="shared" si="179"/>
        <v>26315.78947368421</v>
      </c>
      <c r="N1410" s="226">
        <f t="shared" si="181"/>
        <v>31315.78947368421</v>
      </c>
      <c r="O1410" s="34">
        <v>0.3</v>
      </c>
      <c r="P1410" s="226">
        <f t="shared" si="180"/>
        <v>40710.526315789473</v>
      </c>
      <c r="Q1410" s="107" t="s">
        <v>1486</v>
      </c>
      <c r="R1410" s="34">
        <v>0.2</v>
      </c>
      <c r="S1410" s="226">
        <f t="shared" si="184"/>
        <v>28262.5</v>
      </c>
      <c r="T1410" s="156" t="s">
        <v>1486</v>
      </c>
      <c r="U1410" s="2"/>
      <c r="V1410" s="2" t="s">
        <v>795</v>
      </c>
      <c r="W1410" s="2" t="s">
        <v>1467</v>
      </c>
      <c r="X1410" s="2" t="s">
        <v>1467</v>
      </c>
      <c r="Y1410" s="590" t="s">
        <v>1486</v>
      </c>
      <c r="Z1410" s="293">
        <f t="shared" si="187"/>
        <v>7315.78947368421</v>
      </c>
      <c r="AA1410" s="293">
        <f t="shared" si="188"/>
        <v>4750</v>
      </c>
    </row>
    <row r="1411" spans="1:27" x14ac:dyDescent="0.25">
      <c r="A1411" s="220" t="s">
        <v>5937</v>
      </c>
      <c r="B1411" s="221" t="s">
        <v>5938</v>
      </c>
      <c r="C1411" s="223" t="s">
        <v>5926</v>
      </c>
      <c r="D1411" s="220" t="s">
        <v>5936</v>
      </c>
      <c r="E1411" s="222">
        <v>1</v>
      </c>
      <c r="F1411" s="192">
        <v>24900</v>
      </c>
      <c r="G1411" s="24">
        <v>0.2</v>
      </c>
      <c r="H1411" s="24">
        <v>0.05</v>
      </c>
      <c r="I1411" s="24">
        <v>0.05</v>
      </c>
      <c r="J1411" s="24">
        <v>0</v>
      </c>
      <c r="K1411" s="224">
        <f t="shared" ref="K1411:K1419" si="189">IF(F1411=0,0,1-(F1411/M1411))</f>
        <v>0.27800000000000002</v>
      </c>
      <c r="L1411" s="225">
        <f t="shared" si="186"/>
        <v>34487.534626038781</v>
      </c>
      <c r="M1411" s="225">
        <f t="shared" ref="M1411:M1419" si="190">+F1411/(1-G1411)/(1-H1411)/(1-I1411)/(1-J1411)</f>
        <v>34487.534626038781</v>
      </c>
      <c r="N1411" s="226">
        <f t="shared" si="181"/>
        <v>41040.166204986148</v>
      </c>
      <c r="O1411" s="34">
        <v>0.3</v>
      </c>
      <c r="P1411" s="226">
        <f t="shared" ref="P1411:P1419" si="191">+N1411*(1+O1411)</f>
        <v>53352.216066481997</v>
      </c>
      <c r="Q1411" s="107" t="s">
        <v>1486</v>
      </c>
      <c r="R1411" s="34">
        <v>0.2</v>
      </c>
      <c r="S1411" s="226">
        <f t="shared" si="184"/>
        <v>37038.75</v>
      </c>
      <c r="T1411" s="156" t="s">
        <v>1486</v>
      </c>
      <c r="U1411" s="2"/>
      <c r="V1411" s="2" t="s">
        <v>795</v>
      </c>
      <c r="W1411" s="2" t="s">
        <v>1467</v>
      </c>
      <c r="X1411" s="2" t="s">
        <v>1467</v>
      </c>
      <c r="Y1411" s="590" t="s">
        <v>1486</v>
      </c>
      <c r="Z1411" s="293">
        <f t="shared" si="187"/>
        <v>9587.5346260387814</v>
      </c>
      <c r="AA1411" s="293">
        <f t="shared" si="188"/>
        <v>6225</v>
      </c>
    </row>
    <row r="1412" spans="1:27" x14ac:dyDescent="0.25">
      <c r="A1412" s="220" t="s">
        <v>5939</v>
      </c>
      <c r="B1412" s="221" t="s">
        <v>5940</v>
      </c>
      <c r="C1412" s="223" t="s">
        <v>5926</v>
      </c>
      <c r="D1412" s="220" t="s">
        <v>5936</v>
      </c>
      <c r="E1412" s="222">
        <v>1</v>
      </c>
      <c r="F1412" s="192">
        <v>28500</v>
      </c>
      <c r="G1412" s="24">
        <v>0.2</v>
      </c>
      <c r="H1412" s="24">
        <v>0.05</v>
      </c>
      <c r="I1412" s="24">
        <v>0.05</v>
      </c>
      <c r="J1412" s="24">
        <v>0</v>
      </c>
      <c r="K1412" s="224">
        <f t="shared" si="189"/>
        <v>0.27800000000000014</v>
      </c>
      <c r="L1412" s="225">
        <f t="shared" si="186"/>
        <v>39473.68421052632</v>
      </c>
      <c r="M1412" s="225">
        <f t="shared" si="190"/>
        <v>39473.68421052632</v>
      </c>
      <c r="N1412" s="226">
        <f t="shared" si="181"/>
        <v>46973.68421052632</v>
      </c>
      <c r="O1412" s="34">
        <v>0.3</v>
      </c>
      <c r="P1412" s="226">
        <f t="shared" si="191"/>
        <v>61065.789473684221</v>
      </c>
      <c r="Q1412" s="107" t="s">
        <v>1486</v>
      </c>
      <c r="R1412" s="34">
        <v>0.2</v>
      </c>
      <c r="S1412" s="226">
        <f t="shared" si="184"/>
        <v>42393.75</v>
      </c>
      <c r="T1412" s="156" t="s">
        <v>1486</v>
      </c>
      <c r="U1412" s="2"/>
      <c r="V1412" s="2" t="s">
        <v>795</v>
      </c>
      <c r="W1412" s="2" t="s">
        <v>1467</v>
      </c>
      <c r="X1412" s="2" t="s">
        <v>1467</v>
      </c>
      <c r="Y1412" s="590" t="s">
        <v>1486</v>
      </c>
      <c r="Z1412" s="293">
        <f t="shared" si="187"/>
        <v>10973.68421052632</v>
      </c>
      <c r="AA1412" s="293">
        <f t="shared" si="188"/>
        <v>7125</v>
      </c>
    </row>
    <row r="1413" spans="1:27" x14ac:dyDescent="0.25">
      <c r="A1413" s="220" t="s">
        <v>5941</v>
      </c>
      <c r="B1413" s="221" t="s">
        <v>5942</v>
      </c>
      <c r="C1413" s="223" t="s">
        <v>5926</v>
      </c>
      <c r="D1413" s="220" t="s">
        <v>5936</v>
      </c>
      <c r="E1413" s="222">
        <v>1</v>
      </c>
      <c r="F1413" s="192">
        <v>28500</v>
      </c>
      <c r="G1413" s="24">
        <v>0.2</v>
      </c>
      <c r="H1413" s="24">
        <v>0.05</v>
      </c>
      <c r="I1413" s="24">
        <v>0.05</v>
      </c>
      <c r="J1413" s="24">
        <v>0</v>
      </c>
      <c r="K1413" s="224">
        <f t="shared" si="189"/>
        <v>0.27800000000000014</v>
      </c>
      <c r="L1413" s="225">
        <f t="shared" si="186"/>
        <v>39473.68421052632</v>
      </c>
      <c r="M1413" s="225">
        <f t="shared" si="190"/>
        <v>39473.68421052632</v>
      </c>
      <c r="N1413" s="226">
        <f t="shared" si="181"/>
        <v>46973.68421052632</v>
      </c>
      <c r="O1413" s="34">
        <v>0.3</v>
      </c>
      <c r="P1413" s="226">
        <f t="shared" si="191"/>
        <v>61065.789473684221</v>
      </c>
      <c r="Q1413" s="107" t="s">
        <v>1486</v>
      </c>
      <c r="R1413" s="34">
        <v>0.2</v>
      </c>
      <c r="S1413" s="226">
        <f t="shared" si="184"/>
        <v>42393.75</v>
      </c>
      <c r="T1413" s="156" t="s">
        <v>1486</v>
      </c>
      <c r="U1413" s="2"/>
      <c r="V1413" s="2" t="s">
        <v>795</v>
      </c>
      <c r="W1413" s="2" t="s">
        <v>1467</v>
      </c>
      <c r="X1413" s="2" t="s">
        <v>1467</v>
      </c>
      <c r="Y1413" s="590" t="s">
        <v>1486</v>
      </c>
      <c r="Z1413" s="293">
        <f t="shared" si="187"/>
        <v>10973.68421052632</v>
      </c>
      <c r="AA1413" s="293">
        <f t="shared" si="188"/>
        <v>7125</v>
      </c>
    </row>
    <row r="1414" spans="1:27" x14ac:dyDescent="0.25">
      <c r="A1414" s="220" t="s">
        <v>5943</v>
      </c>
      <c r="B1414" s="221" t="s">
        <v>5944</v>
      </c>
      <c r="C1414" s="223" t="s">
        <v>5926</v>
      </c>
      <c r="D1414" s="220" t="s">
        <v>5933</v>
      </c>
      <c r="E1414" s="222">
        <v>1</v>
      </c>
      <c r="F1414" s="192">
        <v>34900</v>
      </c>
      <c r="G1414" s="24">
        <v>0.2</v>
      </c>
      <c r="H1414" s="24">
        <v>0.05</v>
      </c>
      <c r="I1414" s="24">
        <v>0.05</v>
      </c>
      <c r="J1414" s="24">
        <v>0</v>
      </c>
      <c r="K1414" s="224">
        <f t="shared" si="189"/>
        <v>0.27800000000000002</v>
      </c>
      <c r="L1414" s="225">
        <f t="shared" si="186"/>
        <v>48337.950138504159</v>
      </c>
      <c r="M1414" s="225">
        <f t="shared" si="190"/>
        <v>48337.950138504159</v>
      </c>
      <c r="N1414" s="226">
        <f t="shared" si="181"/>
        <v>57522.160664819945</v>
      </c>
      <c r="O1414" s="34">
        <v>0.3</v>
      </c>
      <c r="P1414" s="226">
        <f t="shared" si="191"/>
        <v>74778.808864265928</v>
      </c>
      <c r="Q1414" s="107" t="s">
        <v>1486</v>
      </c>
      <c r="R1414" s="34">
        <v>0.2</v>
      </c>
      <c r="S1414" s="226">
        <f t="shared" si="184"/>
        <v>51913.75</v>
      </c>
      <c r="T1414" s="156" t="s">
        <v>1486</v>
      </c>
      <c r="U1414" s="2"/>
      <c r="V1414" s="2" t="s">
        <v>795</v>
      </c>
      <c r="W1414" s="2" t="s">
        <v>1467</v>
      </c>
      <c r="X1414" s="2" t="s">
        <v>1467</v>
      </c>
      <c r="Y1414" s="597" t="s">
        <v>1486</v>
      </c>
      <c r="Z1414" s="293">
        <f t="shared" si="187"/>
        <v>13437.950138504159</v>
      </c>
      <c r="AA1414" s="293">
        <f t="shared" si="188"/>
        <v>8725</v>
      </c>
    </row>
    <row r="1415" spans="1:27" x14ac:dyDescent="0.25">
      <c r="A1415" s="220" t="s">
        <v>5945</v>
      </c>
      <c r="B1415" s="221" t="s">
        <v>5946</v>
      </c>
      <c r="C1415" s="223" t="s">
        <v>5926</v>
      </c>
      <c r="D1415" s="220" t="s">
        <v>5933</v>
      </c>
      <c r="E1415" s="222">
        <v>1</v>
      </c>
      <c r="F1415" s="192">
        <v>39900</v>
      </c>
      <c r="G1415" s="24">
        <v>0.2</v>
      </c>
      <c r="H1415" s="24">
        <v>0.05</v>
      </c>
      <c r="I1415" s="24">
        <v>0.05</v>
      </c>
      <c r="J1415" s="24">
        <v>0</v>
      </c>
      <c r="K1415" s="224">
        <f t="shared" si="189"/>
        <v>0.27800000000000002</v>
      </c>
      <c r="L1415" s="225">
        <f t="shared" si="186"/>
        <v>55263.157894736847</v>
      </c>
      <c r="M1415" s="225">
        <f t="shared" si="190"/>
        <v>55263.157894736847</v>
      </c>
      <c r="N1415" s="226">
        <f t="shared" si="181"/>
        <v>65763.15789473684</v>
      </c>
      <c r="O1415" s="34">
        <v>0.3</v>
      </c>
      <c r="P1415" s="226">
        <f t="shared" si="191"/>
        <v>85492.105263157893</v>
      </c>
      <c r="Q1415" s="107" t="s">
        <v>1486</v>
      </c>
      <c r="R1415" s="34">
        <v>0.2</v>
      </c>
      <c r="S1415" s="226">
        <f t="shared" si="184"/>
        <v>59351.25</v>
      </c>
      <c r="T1415" s="156" t="s">
        <v>1486</v>
      </c>
      <c r="U1415" s="2"/>
      <c r="V1415" s="2" t="s">
        <v>795</v>
      </c>
      <c r="W1415" s="2" t="s">
        <v>1467</v>
      </c>
      <c r="X1415" s="2" t="s">
        <v>1467</v>
      </c>
      <c r="Y1415" s="601" t="s">
        <v>1486</v>
      </c>
      <c r="Z1415" s="293">
        <f t="shared" si="187"/>
        <v>15363.157894736847</v>
      </c>
      <c r="AA1415" s="293">
        <f t="shared" si="188"/>
        <v>9975</v>
      </c>
    </row>
    <row r="1416" spans="1:27" x14ac:dyDescent="0.25">
      <c r="A1416" s="220" t="s">
        <v>5947</v>
      </c>
      <c r="B1416" s="221" t="s">
        <v>5948</v>
      </c>
      <c r="C1416" s="223" t="s">
        <v>1551</v>
      </c>
      <c r="D1416" s="220" t="s">
        <v>5320</v>
      </c>
      <c r="E1416" s="222">
        <v>1</v>
      </c>
      <c r="F1416" s="192">
        <v>14956</v>
      </c>
      <c r="G1416" s="24">
        <v>0.2</v>
      </c>
      <c r="H1416" s="24">
        <v>0.05</v>
      </c>
      <c r="I1416" s="24">
        <v>0.05</v>
      </c>
      <c r="J1416" s="24">
        <v>0</v>
      </c>
      <c r="K1416" s="224">
        <f t="shared" si="189"/>
        <v>0.27800000000000002</v>
      </c>
      <c r="L1416" s="225">
        <f t="shared" si="186"/>
        <v>20714.681440443215</v>
      </c>
      <c r="M1416" s="225">
        <f t="shared" si="190"/>
        <v>20714.681440443215</v>
      </c>
      <c r="N1416" s="226">
        <f t="shared" si="181"/>
        <v>24650.470914127425</v>
      </c>
      <c r="O1416" s="34">
        <v>0.3</v>
      </c>
      <c r="P1416" s="226">
        <f t="shared" si="191"/>
        <v>32045.612188365652</v>
      </c>
      <c r="Q1416" s="107" t="s">
        <v>1486</v>
      </c>
      <c r="R1416" s="34">
        <v>0.2</v>
      </c>
      <c r="S1416" s="226">
        <f t="shared" si="184"/>
        <v>22247.05</v>
      </c>
      <c r="T1416" s="156" t="s">
        <v>1486</v>
      </c>
      <c r="U1416" s="2"/>
      <c r="V1416" s="2" t="s">
        <v>795</v>
      </c>
      <c r="W1416" s="2" t="s">
        <v>1467</v>
      </c>
      <c r="X1416" s="2" t="s">
        <v>1467</v>
      </c>
      <c r="Y1416" s="630" t="s">
        <v>1486</v>
      </c>
      <c r="Z1416" s="293">
        <f t="shared" si="187"/>
        <v>5758.6814404432153</v>
      </c>
      <c r="AA1416" s="293">
        <f t="shared" si="188"/>
        <v>3739</v>
      </c>
    </row>
    <row r="1417" spans="1:27" x14ac:dyDescent="0.25">
      <c r="A1417" s="220" t="s">
        <v>5960</v>
      </c>
      <c r="B1417" s="221" t="s">
        <v>5961</v>
      </c>
      <c r="C1417" s="223" t="s">
        <v>5955</v>
      </c>
      <c r="D1417" s="220" t="s">
        <v>5962</v>
      </c>
      <c r="E1417" s="222">
        <v>1</v>
      </c>
      <c r="F1417" s="192">
        <v>18972</v>
      </c>
      <c r="G1417" s="24">
        <v>0.2</v>
      </c>
      <c r="H1417" s="24">
        <v>0.05</v>
      </c>
      <c r="I1417" s="24">
        <v>0.05</v>
      </c>
      <c r="J1417" s="24">
        <v>0</v>
      </c>
      <c r="K1417" s="224">
        <f t="shared" si="189"/>
        <v>0.27800000000000014</v>
      </c>
      <c r="L1417" s="225">
        <f t="shared" si="186"/>
        <v>26277.008310249312</v>
      </c>
      <c r="M1417" s="225">
        <f t="shared" si="190"/>
        <v>26277.008310249312</v>
      </c>
      <c r="N1417" s="226">
        <f t="shared" si="181"/>
        <v>31269.639889196678</v>
      </c>
      <c r="O1417" s="34">
        <v>0.3</v>
      </c>
      <c r="P1417" s="226">
        <f t="shared" si="191"/>
        <v>40650.531855955684</v>
      </c>
      <c r="Q1417" s="107" t="s">
        <v>1486</v>
      </c>
      <c r="R1417" s="34">
        <v>0.17</v>
      </c>
      <c r="S1417" s="226">
        <f t="shared" si="184"/>
        <v>27200.819277108432</v>
      </c>
      <c r="T1417" s="156" t="s">
        <v>1486</v>
      </c>
      <c r="U1417" s="2"/>
      <c r="V1417" s="2" t="s">
        <v>795</v>
      </c>
      <c r="W1417" s="2" t="s">
        <v>1467</v>
      </c>
      <c r="X1417" s="2" t="s">
        <v>1467</v>
      </c>
      <c r="Y1417" s="631" t="s">
        <v>1486</v>
      </c>
      <c r="Z1417" s="293">
        <f t="shared" si="187"/>
        <v>7305.0083102493118</v>
      </c>
      <c r="AA1417" s="293">
        <f t="shared" si="188"/>
        <v>3885.8313253012057</v>
      </c>
    </row>
    <row r="1418" spans="1:27" x14ac:dyDescent="0.25">
      <c r="A1418" s="220" t="s">
        <v>6070</v>
      </c>
      <c r="B1418" s="221" t="s">
        <v>6071</v>
      </c>
      <c r="C1418" s="223" t="s">
        <v>4524</v>
      </c>
      <c r="D1418" s="220" t="s">
        <v>1504</v>
      </c>
      <c r="E1418" s="222">
        <v>1</v>
      </c>
      <c r="F1418" s="192">
        <v>5043</v>
      </c>
      <c r="G1418" s="24">
        <v>0.2</v>
      </c>
      <c r="H1418" s="24">
        <v>0.05</v>
      </c>
      <c r="I1418" s="24">
        <v>0.05</v>
      </c>
      <c r="J1418" s="24">
        <v>0</v>
      </c>
      <c r="K1418" s="224">
        <f t="shared" si="189"/>
        <v>0.27800000000000014</v>
      </c>
      <c r="L1418" s="225">
        <f t="shared" si="186"/>
        <v>6984.7645429362892</v>
      </c>
      <c r="M1418" s="225">
        <f t="shared" si="190"/>
        <v>6984.7645429362892</v>
      </c>
      <c r="N1418" s="226">
        <f t="shared" si="181"/>
        <v>8311.8698060941842</v>
      </c>
      <c r="O1418" s="34">
        <v>0.3</v>
      </c>
      <c r="P1418" s="226">
        <f t="shared" si="191"/>
        <v>10805.430747922441</v>
      </c>
      <c r="Q1418" s="107" t="s">
        <v>1486</v>
      </c>
      <c r="R1418" s="34">
        <v>0.4</v>
      </c>
      <c r="S1418" s="226">
        <f t="shared" si="184"/>
        <v>10001.949999999999</v>
      </c>
      <c r="T1418" s="156" t="s">
        <v>1486</v>
      </c>
      <c r="U1418" s="2"/>
      <c r="V1418" s="2" t="s">
        <v>795</v>
      </c>
      <c r="W1418" s="2" t="s">
        <v>1467</v>
      </c>
      <c r="X1418" s="2" t="s">
        <v>1467</v>
      </c>
      <c r="Y1418" s="636" t="s">
        <v>1486</v>
      </c>
      <c r="Z1418" s="293">
        <f t="shared" si="187"/>
        <v>1941.7645429362892</v>
      </c>
      <c r="AA1418" s="293">
        <f t="shared" si="188"/>
        <v>3362</v>
      </c>
    </row>
    <row r="1419" spans="1:27" x14ac:dyDescent="0.25">
      <c r="A1419" s="220" t="s">
        <v>6097</v>
      </c>
      <c r="B1419" s="221" t="s">
        <v>6098</v>
      </c>
      <c r="C1419" s="223" t="s">
        <v>5955</v>
      </c>
      <c r="D1419" s="220" t="s">
        <v>5962</v>
      </c>
      <c r="E1419" s="222">
        <v>1</v>
      </c>
      <c r="F1419" s="192">
        <v>12635</v>
      </c>
      <c r="G1419" s="24">
        <v>0.2</v>
      </c>
      <c r="H1419" s="24">
        <v>0.05</v>
      </c>
      <c r="I1419" s="24">
        <v>0.05</v>
      </c>
      <c r="J1419" s="24">
        <v>0</v>
      </c>
      <c r="K1419" s="224">
        <f t="shared" si="189"/>
        <v>0.27800000000000002</v>
      </c>
      <c r="L1419" s="225">
        <f t="shared" si="186"/>
        <v>17500</v>
      </c>
      <c r="M1419" s="225">
        <f t="shared" si="190"/>
        <v>17500</v>
      </c>
      <c r="N1419" s="226">
        <f t="shared" si="181"/>
        <v>20825</v>
      </c>
      <c r="O1419" s="34">
        <v>0.3</v>
      </c>
      <c r="P1419" s="226">
        <f t="shared" si="191"/>
        <v>27072.5</v>
      </c>
      <c r="Q1419" s="107" t="s">
        <v>1486</v>
      </c>
      <c r="R1419" s="34">
        <v>0.2</v>
      </c>
      <c r="S1419" s="226">
        <f t="shared" si="184"/>
        <v>18794.5625</v>
      </c>
      <c r="T1419" s="156" t="s">
        <v>1486</v>
      </c>
      <c r="U1419" s="2"/>
      <c r="V1419" s="2" t="s">
        <v>795</v>
      </c>
      <c r="W1419" s="2" t="s">
        <v>1467</v>
      </c>
      <c r="X1419" s="2" t="s">
        <v>1467</v>
      </c>
      <c r="Y1419" s="651" t="s">
        <v>1486</v>
      </c>
      <c r="Z1419" s="293">
        <f t="shared" si="187"/>
        <v>4865</v>
      </c>
      <c r="AA1419" s="293">
        <f t="shared" si="188"/>
        <v>3158.75</v>
      </c>
    </row>
    <row r="1420" spans="1:27" x14ac:dyDescent="0.25">
      <c r="A1420" s="651"/>
      <c r="D1420" s="651"/>
      <c r="E1420" s="651"/>
      <c r="G1420" s="651"/>
      <c r="H1420" s="651"/>
      <c r="I1420" s="651"/>
      <c r="J1420" s="651"/>
      <c r="K1420" s="651"/>
      <c r="L1420" s="651"/>
      <c r="M1420" s="651"/>
      <c r="N1420" s="651"/>
      <c r="O1420" s="651"/>
      <c r="P1420" s="651"/>
      <c r="Q1420" s="651"/>
      <c r="R1420" s="651"/>
      <c r="S1420" s="651"/>
      <c r="T1420" s="651"/>
      <c r="U1420" s="651"/>
      <c r="V1420" s="651"/>
      <c r="W1420" s="651"/>
      <c r="X1420" s="651"/>
      <c r="Y1420" s="651"/>
      <c r="Z1420" s="651"/>
      <c r="AA1420" s="651"/>
    </row>
  </sheetData>
  <autoFilter ref="A2:AA1419">
    <sortState ref="A3:AA1419">
      <sortCondition ref="A2:A1419"/>
    </sortState>
  </autoFilter>
  <sortState ref="A3:AA1419">
    <sortCondition ref="A2"/>
  </sortState>
  <mergeCells count="1">
    <mergeCell ref="R1:S1"/>
  </mergeCells>
  <pageMargins left="0.74803149606299213" right="0.74803149606299213" top="0.98425196850393704" bottom="0.98425196850393704" header="0.51181102362204722" footer="0.51181102362204722"/>
  <pageSetup scale="66" fitToHeight="0" orientation="landscape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  <pageSetUpPr fitToPage="1"/>
  </sheetPr>
  <dimension ref="A1:T1421"/>
  <sheetViews>
    <sheetView showGridLines="0" zoomScale="85" zoomScaleNormal="85" workbookViewId="0">
      <pane ySplit="2" topLeftCell="A3" activePane="bottomLeft" state="frozen"/>
      <selection activeCell="B2" sqref="B2"/>
      <selection pane="bottomLeft" activeCell="C12" sqref="C12"/>
    </sheetView>
  </sheetViews>
  <sheetFormatPr baseColWidth="10" defaultColWidth="10.7109375" defaultRowHeight="15" x14ac:dyDescent="0.25"/>
  <cols>
    <col min="1" max="1" width="12.7109375" style="4" bestFit="1" customWidth="1"/>
    <col min="2" max="2" width="42.5703125" customWidth="1"/>
    <col min="3" max="3" width="16.28515625" style="4" bestFit="1" customWidth="1"/>
    <col min="4" max="4" width="9.42578125" style="4" bestFit="1" customWidth="1"/>
    <col min="5" max="5" width="26.85546875" style="6" customWidth="1"/>
    <col min="6" max="6" width="10.7109375" style="4" customWidth="1"/>
    <col min="7" max="9" width="7.5703125" customWidth="1"/>
    <col min="10" max="11" width="7.42578125" customWidth="1"/>
    <col min="12" max="12" width="6.85546875" customWidth="1"/>
    <col min="13" max="13" width="7.140625" customWidth="1"/>
    <col min="14" max="14" width="7.42578125" customWidth="1"/>
    <col min="15" max="15" width="8.7109375" customWidth="1"/>
  </cols>
  <sheetData>
    <row r="1" spans="1:20" s="14" customFormat="1" ht="33" customHeight="1" x14ac:dyDescent="0.2">
      <c r="A1" s="2"/>
      <c r="C1" s="2"/>
      <c r="D1" s="2"/>
      <c r="E1" s="3"/>
      <c r="F1" s="2"/>
      <c r="P1"/>
      <c r="Q1"/>
      <c r="R1"/>
      <c r="S1"/>
      <c r="T1"/>
    </row>
    <row r="2" spans="1:20" s="14" customFormat="1" x14ac:dyDescent="0.25">
      <c r="A2" s="492" t="s">
        <v>0</v>
      </c>
      <c r="B2" s="492" t="s">
        <v>1</v>
      </c>
      <c r="C2" s="492" t="s">
        <v>2</v>
      </c>
      <c r="D2" s="492" t="s">
        <v>1521</v>
      </c>
      <c r="E2" s="492" t="s">
        <v>2491</v>
      </c>
      <c r="F2" s="132">
        <v>43130</v>
      </c>
      <c r="G2" s="132">
        <v>43133</v>
      </c>
      <c r="H2" s="132">
        <v>43157</v>
      </c>
      <c r="I2" s="132">
        <v>43213</v>
      </c>
      <c r="J2" s="132">
        <v>43236</v>
      </c>
      <c r="K2" s="132">
        <v>43256</v>
      </c>
      <c r="L2" s="132">
        <v>43325</v>
      </c>
      <c r="M2" s="132">
        <v>43339</v>
      </c>
      <c r="N2" s="132">
        <v>43354</v>
      </c>
      <c r="O2" s="132">
        <v>43367</v>
      </c>
      <c r="P2"/>
      <c r="Q2"/>
      <c r="R2"/>
      <c r="S2"/>
      <c r="T2"/>
    </row>
    <row r="3" spans="1:20" s="14" customFormat="1" ht="15" customHeight="1" x14ac:dyDescent="0.25">
      <c r="A3" s="2" t="s">
        <v>1757</v>
      </c>
      <c r="B3" s="491" t="s">
        <v>5469</v>
      </c>
      <c r="C3" s="2" t="s">
        <v>1504</v>
      </c>
      <c r="D3" s="2">
        <v>11</v>
      </c>
      <c r="E3" s="3" t="s">
        <v>4524</v>
      </c>
      <c r="F3" s="270"/>
      <c r="L3" s="2"/>
      <c r="P3"/>
      <c r="Q3"/>
      <c r="R3"/>
      <c r="S3"/>
      <c r="T3"/>
    </row>
    <row r="4" spans="1:20" s="14" customFormat="1" ht="15" customHeight="1" x14ac:dyDescent="0.25">
      <c r="A4" s="2" t="s">
        <v>8</v>
      </c>
      <c r="B4" s="491" t="s">
        <v>5825</v>
      </c>
      <c r="C4" s="2" t="s">
        <v>9</v>
      </c>
      <c r="D4" s="2">
        <v>-25</v>
      </c>
      <c r="E4" s="3" t="s">
        <v>1486</v>
      </c>
      <c r="F4" s="270"/>
      <c r="L4" s="2"/>
      <c r="P4"/>
      <c r="Q4"/>
      <c r="R4"/>
      <c r="S4"/>
      <c r="T4"/>
    </row>
    <row r="5" spans="1:20" s="14" customFormat="1" ht="15" customHeight="1" x14ac:dyDescent="0.25">
      <c r="A5" s="2" t="s">
        <v>13</v>
      </c>
      <c r="B5" s="491" t="s">
        <v>5827</v>
      </c>
      <c r="C5" s="2" t="s">
        <v>9</v>
      </c>
      <c r="D5" s="2">
        <v>-1</v>
      </c>
      <c r="E5" s="3" t="s">
        <v>1486</v>
      </c>
      <c r="F5" s="270"/>
      <c r="L5" s="2"/>
      <c r="P5"/>
      <c r="Q5"/>
      <c r="R5"/>
      <c r="S5"/>
      <c r="T5"/>
    </row>
    <row r="6" spans="1:20" s="14" customFormat="1" ht="15" customHeight="1" x14ac:dyDescent="0.25">
      <c r="A6" s="2" t="s">
        <v>14</v>
      </c>
      <c r="B6" s="491" t="s">
        <v>5828</v>
      </c>
      <c r="C6" s="2" t="s">
        <v>17</v>
      </c>
      <c r="D6" s="2">
        <v>0</v>
      </c>
      <c r="E6" s="3" t="s">
        <v>16</v>
      </c>
      <c r="F6" s="270"/>
      <c r="L6" s="2"/>
      <c r="P6"/>
      <c r="Q6"/>
      <c r="R6"/>
      <c r="S6"/>
      <c r="T6"/>
    </row>
    <row r="7" spans="1:20" s="14" customFormat="1" ht="15" customHeight="1" x14ac:dyDescent="0.25">
      <c r="A7" s="2" t="s">
        <v>15</v>
      </c>
      <c r="B7" s="491" t="s">
        <v>5829</v>
      </c>
      <c r="C7" s="2" t="s">
        <v>17</v>
      </c>
      <c r="D7" s="2">
        <v>0</v>
      </c>
      <c r="E7" s="3" t="s">
        <v>16</v>
      </c>
      <c r="F7" s="270"/>
      <c r="L7" s="2"/>
      <c r="P7"/>
      <c r="Q7"/>
      <c r="R7"/>
      <c r="S7"/>
      <c r="T7"/>
    </row>
    <row r="8" spans="1:20" s="14" customFormat="1" ht="15" customHeight="1" x14ac:dyDescent="0.25">
      <c r="A8" s="2" t="s">
        <v>19</v>
      </c>
      <c r="B8" s="491" t="s">
        <v>5830</v>
      </c>
      <c r="C8" s="2" t="s">
        <v>17</v>
      </c>
      <c r="D8" s="2">
        <v>-20</v>
      </c>
      <c r="E8" s="3" t="s">
        <v>16</v>
      </c>
      <c r="F8" s="270"/>
      <c r="L8" s="2"/>
      <c r="P8"/>
      <c r="Q8"/>
      <c r="R8"/>
      <c r="S8"/>
      <c r="T8"/>
    </row>
    <row r="9" spans="1:20" s="14" customFormat="1" ht="15" customHeight="1" x14ac:dyDescent="0.25">
      <c r="A9" s="2" t="s">
        <v>20</v>
      </c>
      <c r="B9" s="491" t="s">
        <v>5831</v>
      </c>
      <c r="C9" s="2" t="s">
        <v>17</v>
      </c>
      <c r="D9" s="2">
        <v>-50</v>
      </c>
      <c r="E9" s="3" t="s">
        <v>16</v>
      </c>
      <c r="F9" s="270"/>
      <c r="L9" s="2"/>
      <c r="P9"/>
      <c r="Q9"/>
      <c r="R9"/>
      <c r="S9"/>
      <c r="T9"/>
    </row>
    <row r="10" spans="1:20" s="14" customFormat="1" ht="15" customHeight="1" x14ac:dyDescent="0.25">
      <c r="A10" s="2" t="s">
        <v>21</v>
      </c>
      <c r="B10" s="491" t="s">
        <v>5832</v>
      </c>
      <c r="C10" s="2" t="s">
        <v>17</v>
      </c>
      <c r="D10" s="2">
        <v>-12</v>
      </c>
      <c r="E10" s="3" t="s">
        <v>16</v>
      </c>
      <c r="F10" s="270"/>
      <c r="L10" s="2"/>
      <c r="P10"/>
      <c r="Q10"/>
      <c r="R10"/>
      <c r="S10"/>
      <c r="T10"/>
    </row>
    <row r="11" spans="1:20" s="14" customFormat="1" ht="15" customHeight="1" x14ac:dyDescent="0.25">
      <c r="A11" s="2" t="s">
        <v>22</v>
      </c>
      <c r="B11" s="491" t="s">
        <v>5833</v>
      </c>
      <c r="C11" s="2" t="s">
        <v>23</v>
      </c>
      <c r="D11" s="2">
        <v>0</v>
      </c>
      <c r="E11" s="3" t="s">
        <v>2668</v>
      </c>
      <c r="F11" s="270"/>
      <c r="L11" s="2"/>
      <c r="P11"/>
      <c r="Q11"/>
      <c r="R11"/>
      <c r="S11"/>
      <c r="T11"/>
    </row>
    <row r="12" spans="1:20" s="14" customFormat="1" ht="15" customHeight="1" x14ac:dyDescent="0.25">
      <c r="A12" s="2" t="s">
        <v>24</v>
      </c>
      <c r="B12" s="491" t="s">
        <v>5834</v>
      </c>
      <c r="C12" s="2" t="s">
        <v>23</v>
      </c>
      <c r="D12" s="2">
        <v>11</v>
      </c>
      <c r="E12" s="3" t="s">
        <v>2668</v>
      </c>
      <c r="F12" s="270"/>
      <c r="L12" s="2"/>
      <c r="P12"/>
      <c r="Q12"/>
      <c r="R12"/>
      <c r="S12"/>
      <c r="T12"/>
    </row>
    <row r="13" spans="1:20" s="14" customFormat="1" ht="15" customHeight="1" x14ac:dyDescent="0.25">
      <c r="A13" s="2" t="s">
        <v>25</v>
      </c>
      <c r="B13" s="491" t="s">
        <v>5835</v>
      </c>
      <c r="C13" s="2" t="s">
        <v>23</v>
      </c>
      <c r="D13" s="2">
        <v>0</v>
      </c>
      <c r="E13" s="3" t="s">
        <v>2668</v>
      </c>
      <c r="F13" s="270"/>
      <c r="L13" s="2"/>
      <c r="P13"/>
      <c r="Q13"/>
      <c r="R13"/>
      <c r="S13"/>
      <c r="T13"/>
    </row>
    <row r="14" spans="1:20" s="14" customFormat="1" ht="15" customHeight="1" x14ac:dyDescent="0.25">
      <c r="A14" s="2" t="s">
        <v>26</v>
      </c>
      <c r="B14" s="491" t="s">
        <v>5836</v>
      </c>
      <c r="C14" s="2" t="s">
        <v>23</v>
      </c>
      <c r="D14" s="2">
        <v>12</v>
      </c>
      <c r="E14" s="3" t="s">
        <v>2668</v>
      </c>
      <c r="F14" s="270"/>
      <c r="L14" s="2"/>
      <c r="P14"/>
      <c r="Q14"/>
      <c r="R14"/>
      <c r="S14"/>
      <c r="T14"/>
    </row>
    <row r="15" spans="1:20" s="14" customFormat="1" ht="15" customHeight="1" x14ac:dyDescent="0.25">
      <c r="A15" s="2" t="s">
        <v>27</v>
      </c>
      <c r="B15" s="491" t="s">
        <v>5837</v>
      </c>
      <c r="C15" s="2" t="s">
        <v>23</v>
      </c>
      <c r="D15" s="2">
        <v>24</v>
      </c>
      <c r="E15" s="3" t="s">
        <v>2668</v>
      </c>
      <c r="F15" s="270"/>
      <c r="L15" s="2"/>
      <c r="P15"/>
      <c r="Q15"/>
      <c r="R15"/>
      <c r="S15"/>
      <c r="T15"/>
    </row>
    <row r="16" spans="1:20" s="14" customFormat="1" ht="15" customHeight="1" x14ac:dyDescent="0.25">
      <c r="A16" s="2" t="s">
        <v>28</v>
      </c>
      <c r="B16" s="491" t="s">
        <v>5838</v>
      </c>
      <c r="C16" s="2" t="s">
        <v>23</v>
      </c>
      <c r="D16" s="2">
        <v>-12</v>
      </c>
      <c r="E16" s="3" t="s">
        <v>2668</v>
      </c>
      <c r="F16" s="270"/>
      <c r="L16" s="2"/>
      <c r="P16"/>
      <c r="Q16"/>
      <c r="R16"/>
      <c r="S16"/>
      <c r="T16"/>
    </row>
    <row r="17" spans="1:20" s="14" customFormat="1" ht="15" customHeight="1" x14ac:dyDescent="0.25">
      <c r="A17" s="2" t="s">
        <v>30</v>
      </c>
      <c r="B17" s="491" t="s">
        <v>5839</v>
      </c>
      <c r="C17" s="2" t="s">
        <v>33</v>
      </c>
      <c r="D17" s="2">
        <v>6513</v>
      </c>
      <c r="E17" s="3" t="s">
        <v>1563</v>
      </c>
      <c r="F17" s="270"/>
      <c r="K17" s="14">
        <v>936</v>
      </c>
      <c r="L17" s="2"/>
      <c r="M17" s="14">
        <v>360</v>
      </c>
      <c r="P17"/>
      <c r="Q17"/>
      <c r="R17"/>
      <c r="S17"/>
      <c r="T17"/>
    </row>
    <row r="18" spans="1:20" s="14" customFormat="1" ht="15" customHeight="1" x14ac:dyDescent="0.25">
      <c r="A18" s="2" t="s">
        <v>31</v>
      </c>
      <c r="B18" s="491" t="s">
        <v>5840</v>
      </c>
      <c r="C18" s="2" t="s">
        <v>2854</v>
      </c>
      <c r="D18" s="2">
        <v>1188</v>
      </c>
      <c r="E18" s="3" t="s">
        <v>1563</v>
      </c>
      <c r="F18" s="270"/>
      <c r="K18" s="14">
        <v>204</v>
      </c>
      <c r="L18" s="2"/>
      <c r="M18" s="14">
        <v>120</v>
      </c>
      <c r="P18"/>
      <c r="Q18"/>
      <c r="R18"/>
      <c r="S18"/>
      <c r="T18"/>
    </row>
    <row r="19" spans="1:20" s="14" customFormat="1" ht="15" customHeight="1" x14ac:dyDescent="0.25">
      <c r="A19" s="2" t="s">
        <v>35</v>
      </c>
      <c r="B19" s="491" t="s">
        <v>5841</v>
      </c>
      <c r="C19" s="2" t="s">
        <v>1693</v>
      </c>
      <c r="D19" s="2">
        <v>170</v>
      </c>
      <c r="E19" s="3" t="s">
        <v>1563</v>
      </c>
      <c r="F19" s="270"/>
      <c r="K19" s="14">
        <v>14</v>
      </c>
      <c r="L19" s="2"/>
      <c r="M19" s="14">
        <v>18</v>
      </c>
      <c r="P19"/>
      <c r="Q19"/>
      <c r="R19"/>
      <c r="S19"/>
      <c r="T19"/>
    </row>
    <row r="20" spans="1:20" s="14" customFormat="1" ht="15" customHeight="1" x14ac:dyDescent="0.25">
      <c r="A20" s="2" t="s">
        <v>36</v>
      </c>
      <c r="B20" s="491" t="s">
        <v>5842</v>
      </c>
      <c r="C20" s="2" t="s">
        <v>1693</v>
      </c>
      <c r="D20" s="2">
        <v>0</v>
      </c>
      <c r="E20" s="3" t="s">
        <v>1563</v>
      </c>
      <c r="F20" s="270"/>
      <c r="K20" s="14">
        <v>0</v>
      </c>
      <c r="L20" s="2"/>
      <c r="M20" s="14">
        <v>0</v>
      </c>
      <c r="P20"/>
      <c r="Q20"/>
      <c r="R20"/>
      <c r="S20"/>
      <c r="T20"/>
    </row>
    <row r="21" spans="1:20" s="14" customFormat="1" ht="15" customHeight="1" x14ac:dyDescent="0.25">
      <c r="A21" s="2" t="s">
        <v>38</v>
      </c>
      <c r="B21" s="491" t="s">
        <v>5843</v>
      </c>
      <c r="C21" s="2" t="s">
        <v>1693</v>
      </c>
      <c r="D21" s="2">
        <v>240</v>
      </c>
      <c r="E21" s="3" t="s">
        <v>1563</v>
      </c>
      <c r="F21" s="270"/>
      <c r="J21" s="14">
        <v>27</v>
      </c>
      <c r="K21" s="14">
        <v>180</v>
      </c>
      <c r="L21" s="2"/>
      <c r="M21" s="14">
        <v>17</v>
      </c>
      <c r="P21"/>
      <c r="Q21"/>
      <c r="R21"/>
      <c r="S21"/>
      <c r="T21"/>
    </row>
    <row r="22" spans="1:20" s="14" customFormat="1" ht="15" customHeight="1" x14ac:dyDescent="0.25">
      <c r="A22" s="2" t="s">
        <v>39</v>
      </c>
      <c r="B22" s="491" t="s">
        <v>1736</v>
      </c>
      <c r="C22" s="2" t="s">
        <v>1638</v>
      </c>
      <c r="D22" s="2">
        <v>0</v>
      </c>
      <c r="E22" s="3" t="s">
        <v>1545</v>
      </c>
      <c r="F22" s="270">
        <v>0</v>
      </c>
      <c r="G22" s="14">
        <v>0</v>
      </c>
      <c r="H22" s="14">
        <v>0</v>
      </c>
      <c r="L22" s="2"/>
      <c r="M22" s="14">
        <v>0</v>
      </c>
      <c r="P22"/>
      <c r="Q22"/>
      <c r="R22"/>
      <c r="S22"/>
      <c r="T22"/>
    </row>
    <row r="23" spans="1:20" s="14" customFormat="1" ht="15" customHeight="1" x14ac:dyDescent="0.25">
      <c r="A23" s="2" t="s">
        <v>40</v>
      </c>
      <c r="B23" s="491" t="s">
        <v>41</v>
      </c>
      <c r="C23" s="2" t="s">
        <v>17</v>
      </c>
      <c r="D23" s="2">
        <v>6</v>
      </c>
      <c r="E23" s="3" t="s">
        <v>16</v>
      </c>
      <c r="F23" s="270"/>
      <c r="L23" s="2"/>
      <c r="P23"/>
      <c r="Q23"/>
      <c r="R23"/>
      <c r="S23"/>
      <c r="T23"/>
    </row>
    <row r="24" spans="1:20" s="14" customFormat="1" x14ac:dyDescent="0.25">
      <c r="A24" s="2" t="s">
        <v>44</v>
      </c>
      <c r="B24" s="491" t="s">
        <v>43</v>
      </c>
      <c r="C24" s="2" t="s">
        <v>17</v>
      </c>
      <c r="D24" s="2">
        <v>80</v>
      </c>
      <c r="E24" s="3" t="s">
        <v>16</v>
      </c>
      <c r="F24" s="270"/>
      <c r="L24" s="2"/>
      <c r="P24"/>
      <c r="Q24"/>
      <c r="R24"/>
      <c r="S24"/>
      <c r="T24"/>
    </row>
    <row r="25" spans="1:20" s="14" customFormat="1" ht="15" customHeight="1" x14ac:dyDescent="0.25">
      <c r="A25" s="2" t="s">
        <v>1503</v>
      </c>
      <c r="B25" s="491" t="s">
        <v>1972</v>
      </c>
      <c r="C25" s="2" t="s">
        <v>1638</v>
      </c>
      <c r="D25" s="2">
        <v>60</v>
      </c>
      <c r="E25" s="3" t="s">
        <v>1545</v>
      </c>
      <c r="F25" s="270">
        <v>0</v>
      </c>
      <c r="G25" s="14">
        <v>0</v>
      </c>
      <c r="H25" s="14">
        <v>0</v>
      </c>
      <c r="L25" s="2"/>
      <c r="M25" s="14">
        <v>0</v>
      </c>
      <c r="P25"/>
      <c r="Q25"/>
      <c r="R25"/>
      <c r="S25"/>
      <c r="T25"/>
    </row>
    <row r="26" spans="1:20" s="14" customFormat="1" ht="15" customHeight="1" x14ac:dyDescent="0.25">
      <c r="A26" s="2" t="s">
        <v>1514</v>
      </c>
      <c r="B26" s="491" t="s">
        <v>3545</v>
      </c>
      <c r="C26" s="2" t="s">
        <v>23</v>
      </c>
      <c r="D26" s="2">
        <v>38</v>
      </c>
      <c r="E26" s="3" t="s">
        <v>2668</v>
      </c>
      <c r="F26" s="270"/>
      <c r="L26" s="2"/>
      <c r="P26"/>
      <c r="Q26"/>
      <c r="R26"/>
      <c r="S26"/>
      <c r="T26"/>
    </row>
    <row r="27" spans="1:20" s="14" customFormat="1" x14ac:dyDescent="0.25">
      <c r="A27" s="2" t="s">
        <v>1515</v>
      </c>
      <c r="B27" s="491" t="s">
        <v>5844</v>
      </c>
      <c r="C27" s="2" t="s">
        <v>1638</v>
      </c>
      <c r="D27" s="2">
        <v>148</v>
      </c>
      <c r="E27" s="3" t="s">
        <v>1545</v>
      </c>
      <c r="F27" s="270">
        <v>6</v>
      </c>
      <c r="G27" s="14">
        <v>0</v>
      </c>
      <c r="H27" s="14">
        <v>15</v>
      </c>
      <c r="L27" s="2"/>
      <c r="M27" s="14">
        <v>13</v>
      </c>
      <c r="P27"/>
      <c r="Q27"/>
      <c r="R27"/>
      <c r="S27"/>
      <c r="T27"/>
    </row>
    <row r="28" spans="1:20" s="14" customFormat="1" ht="15" customHeight="1" x14ac:dyDescent="0.25">
      <c r="A28" s="2" t="s">
        <v>1516</v>
      </c>
      <c r="B28" s="491" t="s">
        <v>1737</v>
      </c>
      <c r="C28" s="2" t="s">
        <v>1504</v>
      </c>
      <c r="D28" s="2">
        <v>538</v>
      </c>
      <c r="E28" s="3" t="s">
        <v>1545</v>
      </c>
      <c r="F28" s="270">
        <v>63</v>
      </c>
      <c r="G28" s="14">
        <v>58</v>
      </c>
      <c r="H28" s="14">
        <v>50</v>
      </c>
      <c r="L28" s="2"/>
      <c r="M28" s="14">
        <v>32</v>
      </c>
      <c r="P28"/>
      <c r="Q28"/>
      <c r="R28"/>
      <c r="S28"/>
      <c r="T28"/>
    </row>
    <row r="29" spans="1:20" s="14" customFormat="1" ht="15" customHeight="1" x14ac:dyDescent="0.25">
      <c r="A29" s="2" t="s">
        <v>1647</v>
      </c>
      <c r="B29" s="491" t="s">
        <v>1670</v>
      </c>
      <c r="C29" s="2" t="s">
        <v>1504</v>
      </c>
      <c r="D29" s="2">
        <v>884</v>
      </c>
      <c r="E29" s="3" t="s">
        <v>1545</v>
      </c>
      <c r="F29" s="270">
        <v>34</v>
      </c>
      <c r="G29" s="14">
        <v>14</v>
      </c>
      <c r="H29" s="14">
        <v>80</v>
      </c>
      <c r="L29" s="2"/>
      <c r="M29" s="14">
        <v>25</v>
      </c>
      <c r="P29"/>
      <c r="Q29"/>
      <c r="R29"/>
      <c r="S29"/>
      <c r="T29"/>
    </row>
    <row r="30" spans="1:20" s="14" customFormat="1" ht="15" customHeight="1" x14ac:dyDescent="0.25">
      <c r="A30" s="2" t="s">
        <v>1653</v>
      </c>
      <c r="B30" s="491" t="s">
        <v>2112</v>
      </c>
      <c r="C30" s="2" t="s">
        <v>1504</v>
      </c>
      <c r="D30" s="2">
        <v>42</v>
      </c>
      <c r="E30" s="3" t="s">
        <v>1545</v>
      </c>
      <c r="F30" s="270">
        <v>38</v>
      </c>
      <c r="G30" s="14">
        <v>38</v>
      </c>
      <c r="H30" s="14">
        <v>31</v>
      </c>
      <c r="L30" s="2"/>
      <c r="M30" s="14">
        <v>22</v>
      </c>
      <c r="P30"/>
      <c r="Q30"/>
      <c r="R30"/>
      <c r="S30"/>
      <c r="T30"/>
    </row>
    <row r="31" spans="1:20" s="14" customFormat="1" ht="15" customHeight="1" x14ac:dyDescent="0.25">
      <c r="A31" s="2" t="s">
        <v>1672</v>
      </c>
      <c r="B31" s="491" t="s">
        <v>5845</v>
      </c>
      <c r="C31" s="2" t="s">
        <v>1504</v>
      </c>
      <c r="D31" s="2">
        <v>12</v>
      </c>
      <c r="E31" s="3" t="s">
        <v>1545</v>
      </c>
      <c r="F31" s="270">
        <v>23</v>
      </c>
      <c r="G31" s="14">
        <v>21</v>
      </c>
      <c r="H31" s="14">
        <v>7</v>
      </c>
      <c r="L31" s="2"/>
      <c r="M31" s="14">
        <v>2</v>
      </c>
      <c r="P31"/>
      <c r="Q31"/>
      <c r="R31"/>
      <c r="S31"/>
      <c r="T31"/>
    </row>
    <row r="32" spans="1:20" s="14" customFormat="1" ht="15" customHeight="1" x14ac:dyDescent="0.25">
      <c r="A32" s="2" t="s">
        <v>1755</v>
      </c>
      <c r="B32" s="491" t="s">
        <v>1925</v>
      </c>
      <c r="C32" s="2" t="s">
        <v>1504</v>
      </c>
      <c r="D32" s="2">
        <v>421</v>
      </c>
      <c r="E32" s="3" t="s">
        <v>1545</v>
      </c>
      <c r="F32" s="270">
        <v>17</v>
      </c>
      <c r="G32" s="14">
        <v>9</v>
      </c>
      <c r="H32" s="14">
        <v>2</v>
      </c>
      <c r="L32" s="2"/>
      <c r="M32" s="14">
        <v>0</v>
      </c>
      <c r="P32"/>
      <c r="Q32"/>
      <c r="R32"/>
      <c r="S32"/>
      <c r="T32"/>
    </row>
    <row r="33" spans="1:20" s="14" customFormat="1" x14ac:dyDescent="0.25">
      <c r="A33" s="2" t="s">
        <v>1756</v>
      </c>
      <c r="B33" s="491" t="s">
        <v>1671</v>
      </c>
      <c r="C33" s="2" t="s">
        <v>1504</v>
      </c>
      <c r="D33" s="2">
        <v>4</v>
      </c>
      <c r="E33" s="3" t="s">
        <v>1545</v>
      </c>
      <c r="F33" s="270">
        <v>4</v>
      </c>
      <c r="G33" s="14">
        <v>4</v>
      </c>
      <c r="H33" s="14">
        <v>4</v>
      </c>
      <c r="L33" s="2"/>
      <c r="M33" s="14">
        <v>4</v>
      </c>
      <c r="P33"/>
      <c r="Q33"/>
      <c r="R33"/>
      <c r="S33"/>
      <c r="T33"/>
    </row>
    <row r="34" spans="1:20" s="14" customFormat="1" x14ac:dyDescent="0.25">
      <c r="A34" s="2" t="s">
        <v>2250</v>
      </c>
      <c r="B34" s="491" t="s">
        <v>5846</v>
      </c>
      <c r="C34" s="2" t="s">
        <v>1638</v>
      </c>
      <c r="D34" s="2">
        <v>280</v>
      </c>
      <c r="E34" s="3" t="s">
        <v>1545</v>
      </c>
      <c r="F34" s="270">
        <v>0</v>
      </c>
      <c r="G34" s="14">
        <v>0</v>
      </c>
      <c r="H34" s="14">
        <v>0</v>
      </c>
      <c r="L34" s="2"/>
      <c r="M34" s="14">
        <v>0</v>
      </c>
      <c r="P34"/>
      <c r="Q34"/>
      <c r="R34"/>
      <c r="S34"/>
      <c r="T34"/>
    </row>
    <row r="35" spans="1:20" s="14" customFormat="1" x14ac:dyDescent="0.25">
      <c r="A35" s="2" t="s">
        <v>1896</v>
      </c>
      <c r="B35" s="491" t="s">
        <v>1892</v>
      </c>
      <c r="C35" s="2" t="s">
        <v>1842</v>
      </c>
      <c r="D35" s="2">
        <v>-32</v>
      </c>
      <c r="E35" s="3" t="s">
        <v>1546</v>
      </c>
      <c r="F35" s="270"/>
      <c r="L35" s="2"/>
      <c r="P35"/>
      <c r="Q35"/>
      <c r="R35"/>
      <c r="S35"/>
      <c r="T35"/>
    </row>
    <row r="36" spans="1:20" s="14" customFormat="1" x14ac:dyDescent="0.25">
      <c r="A36" s="2" t="s">
        <v>1924</v>
      </c>
      <c r="B36" s="491" t="s">
        <v>5847</v>
      </c>
      <c r="C36" s="2" t="s">
        <v>1504</v>
      </c>
      <c r="D36" s="2">
        <v>338</v>
      </c>
      <c r="E36" s="3" t="s">
        <v>1545</v>
      </c>
      <c r="F36" s="270">
        <v>17</v>
      </c>
      <c r="G36" s="14">
        <v>1</v>
      </c>
      <c r="H36" s="14">
        <v>8</v>
      </c>
      <c r="L36" s="2"/>
      <c r="M36" s="14">
        <v>18</v>
      </c>
      <c r="P36"/>
      <c r="Q36"/>
      <c r="R36"/>
      <c r="S36"/>
      <c r="T36"/>
    </row>
    <row r="37" spans="1:20" s="14" customFormat="1" x14ac:dyDescent="0.25">
      <c r="A37" s="2" t="s">
        <v>1971</v>
      </c>
      <c r="B37" s="491" t="s">
        <v>5848</v>
      </c>
      <c r="C37" s="2" t="s">
        <v>1504</v>
      </c>
      <c r="D37" s="2">
        <v>63</v>
      </c>
      <c r="E37" s="3" t="s">
        <v>1545</v>
      </c>
      <c r="F37" s="270">
        <v>8</v>
      </c>
      <c r="G37" s="14">
        <v>8</v>
      </c>
      <c r="H37" s="14">
        <v>8</v>
      </c>
      <c r="L37" s="2"/>
      <c r="M37" s="14">
        <v>5</v>
      </c>
      <c r="P37"/>
      <c r="Q37"/>
      <c r="R37"/>
      <c r="S37"/>
      <c r="T37"/>
    </row>
    <row r="38" spans="1:20" s="14" customFormat="1" x14ac:dyDescent="0.25">
      <c r="A38" s="2" t="s">
        <v>2109</v>
      </c>
      <c r="B38" s="491" t="s">
        <v>2110</v>
      </c>
      <c r="C38" s="2" t="s">
        <v>1504</v>
      </c>
      <c r="D38" s="2">
        <v>68</v>
      </c>
      <c r="E38" s="3" t="s">
        <v>1545</v>
      </c>
      <c r="F38" s="270">
        <v>10</v>
      </c>
      <c r="G38" s="14">
        <v>10</v>
      </c>
      <c r="H38" s="14">
        <v>8</v>
      </c>
      <c r="L38" s="2"/>
      <c r="M38" s="14">
        <v>8</v>
      </c>
      <c r="P38"/>
      <c r="Q38"/>
      <c r="R38"/>
      <c r="S38"/>
      <c r="T38"/>
    </row>
    <row r="39" spans="1:20" s="14" customFormat="1" x14ac:dyDescent="0.25">
      <c r="A39" s="2" t="s">
        <v>2111</v>
      </c>
      <c r="B39" s="491" t="s">
        <v>5849</v>
      </c>
      <c r="C39" s="2" t="s">
        <v>1638</v>
      </c>
      <c r="D39" s="2">
        <v>282</v>
      </c>
      <c r="E39" s="3" t="s">
        <v>1545</v>
      </c>
      <c r="F39" s="270">
        <v>0</v>
      </c>
      <c r="G39" s="14">
        <v>0</v>
      </c>
      <c r="H39" s="14">
        <v>0</v>
      </c>
      <c r="L39" s="2"/>
      <c r="M39" s="14">
        <v>2</v>
      </c>
      <c r="P39"/>
      <c r="Q39"/>
      <c r="R39"/>
      <c r="S39"/>
      <c r="T39"/>
    </row>
    <row r="40" spans="1:20" s="14" customFormat="1" x14ac:dyDescent="0.25">
      <c r="A40" s="2" t="s">
        <v>2333</v>
      </c>
      <c r="B40" s="491" t="s">
        <v>5850</v>
      </c>
      <c r="C40" s="2" t="s">
        <v>1504</v>
      </c>
      <c r="D40" s="2">
        <v>0</v>
      </c>
      <c r="E40" s="3" t="s">
        <v>1545</v>
      </c>
      <c r="F40" s="270">
        <v>0</v>
      </c>
      <c r="G40" s="14">
        <v>0</v>
      </c>
      <c r="H40" s="14">
        <v>0</v>
      </c>
      <c r="L40" s="2"/>
      <c r="M40" s="14">
        <v>0</v>
      </c>
      <c r="P40"/>
      <c r="Q40"/>
      <c r="R40"/>
      <c r="S40"/>
      <c r="T40"/>
    </row>
    <row r="41" spans="1:20" s="14" customFormat="1" x14ac:dyDescent="0.25">
      <c r="A41" s="2" t="s">
        <v>2459</v>
      </c>
      <c r="B41" s="491" t="s">
        <v>2460</v>
      </c>
      <c r="C41" s="2" t="s">
        <v>2461</v>
      </c>
      <c r="D41" s="2">
        <v>75</v>
      </c>
      <c r="E41" s="3" t="s">
        <v>1546</v>
      </c>
      <c r="F41" s="270"/>
      <c r="L41" s="2"/>
      <c r="P41"/>
      <c r="Q41"/>
      <c r="R41"/>
      <c r="S41"/>
      <c r="T41"/>
    </row>
    <row r="42" spans="1:20" s="14" customFormat="1" x14ac:dyDescent="0.25">
      <c r="A42" s="2" t="s">
        <v>2467</v>
      </c>
      <c r="B42" s="491" t="s">
        <v>2468</v>
      </c>
      <c r="C42" s="2" t="s">
        <v>2469</v>
      </c>
      <c r="D42" s="2">
        <v>-16</v>
      </c>
      <c r="E42" s="3" t="s">
        <v>1561</v>
      </c>
      <c r="F42" s="270"/>
      <c r="L42" s="2"/>
      <c r="P42"/>
      <c r="Q42"/>
      <c r="R42"/>
      <c r="S42"/>
      <c r="T42"/>
    </row>
    <row r="43" spans="1:20" s="14" customFormat="1" x14ac:dyDescent="0.25">
      <c r="A43" s="2" t="s">
        <v>2674</v>
      </c>
      <c r="B43" s="491" t="s">
        <v>5889</v>
      </c>
      <c r="C43" s="2" t="s">
        <v>23</v>
      </c>
      <c r="D43" s="2">
        <v>60</v>
      </c>
      <c r="E43" s="3" t="s">
        <v>2668</v>
      </c>
      <c r="F43" s="270"/>
      <c r="L43" s="2"/>
      <c r="P43"/>
      <c r="Q43"/>
      <c r="R43"/>
      <c r="S43"/>
      <c r="T43"/>
    </row>
    <row r="44" spans="1:20" s="14" customFormat="1" x14ac:dyDescent="0.25">
      <c r="A44" s="2" t="s">
        <v>2691</v>
      </c>
      <c r="B44" s="491" t="s">
        <v>2692</v>
      </c>
      <c r="C44" s="2" t="s">
        <v>2692</v>
      </c>
      <c r="D44" s="2">
        <v>-16</v>
      </c>
      <c r="E44" s="3" t="s">
        <v>1561</v>
      </c>
      <c r="F44" s="270"/>
      <c r="L44" s="2"/>
      <c r="P44"/>
      <c r="Q44"/>
      <c r="R44"/>
      <c r="S44"/>
      <c r="T44"/>
    </row>
    <row r="45" spans="1:20" s="14" customFormat="1" x14ac:dyDescent="0.25">
      <c r="A45" s="2" t="s">
        <v>2719</v>
      </c>
      <c r="B45" s="491" t="s">
        <v>5851</v>
      </c>
      <c r="C45" s="2" t="s">
        <v>2720</v>
      </c>
      <c r="D45" s="2">
        <v>-4</v>
      </c>
      <c r="E45" s="3" t="s">
        <v>1546</v>
      </c>
      <c r="F45" s="270"/>
      <c r="L45" s="2"/>
      <c r="P45"/>
      <c r="Q45"/>
      <c r="R45"/>
      <c r="S45"/>
      <c r="T45"/>
    </row>
    <row r="46" spans="1:20" s="14" customFormat="1" x14ac:dyDescent="0.25">
      <c r="A46" s="2" t="s">
        <v>2721</v>
      </c>
      <c r="B46" s="491" t="s">
        <v>2722</v>
      </c>
      <c r="C46" s="2" t="s">
        <v>2720</v>
      </c>
      <c r="D46" s="2">
        <v>14</v>
      </c>
      <c r="E46" s="3" t="s">
        <v>1546</v>
      </c>
      <c r="F46" s="270"/>
      <c r="L46" s="2"/>
      <c r="P46"/>
      <c r="Q46"/>
      <c r="R46"/>
      <c r="S46"/>
      <c r="T46"/>
    </row>
    <row r="47" spans="1:20" s="14" customFormat="1" x14ac:dyDescent="0.25">
      <c r="A47" s="2" t="s">
        <v>3632</v>
      </c>
      <c r="B47" s="491" t="s">
        <v>3633</v>
      </c>
      <c r="C47" s="2" t="s">
        <v>33</v>
      </c>
      <c r="D47" s="2">
        <v>12</v>
      </c>
      <c r="E47" s="3" t="s">
        <v>1546</v>
      </c>
      <c r="F47" s="270"/>
      <c r="L47" s="2"/>
      <c r="P47"/>
      <c r="Q47"/>
      <c r="R47"/>
      <c r="S47"/>
      <c r="T47"/>
    </row>
    <row r="48" spans="1:20" s="14" customFormat="1" x14ac:dyDescent="0.25">
      <c r="A48" s="2" t="s">
        <v>2857</v>
      </c>
      <c r="B48" s="491" t="s">
        <v>5852</v>
      </c>
      <c r="C48" s="2" t="s">
        <v>1693</v>
      </c>
      <c r="D48" s="2">
        <v>0</v>
      </c>
      <c r="E48" s="3" t="s">
        <v>1563</v>
      </c>
      <c r="F48" s="270"/>
      <c r="K48" s="14">
        <v>0</v>
      </c>
      <c r="L48" s="2"/>
      <c r="M48" s="14">
        <v>0</v>
      </c>
      <c r="P48"/>
      <c r="Q48"/>
      <c r="R48"/>
      <c r="S48"/>
      <c r="T48"/>
    </row>
    <row r="49" spans="1:20" s="14" customFormat="1" x14ac:dyDescent="0.25">
      <c r="A49" s="2" t="s">
        <v>2859</v>
      </c>
      <c r="B49" s="491" t="s">
        <v>5853</v>
      </c>
      <c r="C49" s="2" t="s">
        <v>33</v>
      </c>
      <c r="D49" s="2">
        <v>0</v>
      </c>
      <c r="E49" s="3" t="s">
        <v>1563</v>
      </c>
      <c r="F49" s="270"/>
      <c r="K49" s="14">
        <v>0</v>
      </c>
      <c r="L49" s="2"/>
      <c r="M49" s="14">
        <v>0</v>
      </c>
      <c r="P49"/>
      <c r="Q49"/>
      <c r="R49"/>
      <c r="S49"/>
      <c r="T49"/>
    </row>
    <row r="50" spans="1:20" s="14" customFormat="1" x14ac:dyDescent="0.25">
      <c r="A50" s="2" t="s">
        <v>2860</v>
      </c>
      <c r="B50" s="491" t="s">
        <v>5854</v>
      </c>
      <c r="C50" s="2" t="s">
        <v>33</v>
      </c>
      <c r="D50" s="2">
        <v>142</v>
      </c>
      <c r="E50" s="3" t="s">
        <v>1563</v>
      </c>
      <c r="F50" s="270"/>
      <c r="K50" s="14">
        <v>24</v>
      </c>
      <c r="L50" s="2"/>
      <c r="M50" s="14">
        <v>12</v>
      </c>
      <c r="P50"/>
      <c r="Q50"/>
      <c r="R50"/>
      <c r="S50"/>
      <c r="T50"/>
    </row>
    <row r="51" spans="1:20" s="14" customFormat="1" x14ac:dyDescent="0.25">
      <c r="A51" s="2" t="s">
        <v>2861</v>
      </c>
      <c r="B51" s="491" t="s">
        <v>5855</v>
      </c>
      <c r="C51" s="2" t="s">
        <v>1693</v>
      </c>
      <c r="D51" s="2">
        <v>0</v>
      </c>
      <c r="E51" s="3" t="s">
        <v>1563</v>
      </c>
      <c r="F51" s="270"/>
      <c r="K51" s="14">
        <v>0</v>
      </c>
      <c r="L51" s="2"/>
      <c r="M51" s="14">
        <v>0</v>
      </c>
      <c r="P51"/>
      <c r="Q51"/>
      <c r="R51"/>
      <c r="S51"/>
      <c r="T51"/>
    </row>
    <row r="52" spans="1:20" s="14" customFormat="1" x14ac:dyDescent="0.25">
      <c r="A52" s="2" t="s">
        <v>2862</v>
      </c>
      <c r="B52" s="491" t="s">
        <v>5856</v>
      </c>
      <c r="C52" s="2" t="s">
        <v>1693</v>
      </c>
      <c r="D52" s="2">
        <v>0</v>
      </c>
      <c r="E52" s="3" t="s">
        <v>1563</v>
      </c>
      <c r="F52" s="270"/>
      <c r="K52" s="14">
        <v>0</v>
      </c>
      <c r="L52" s="2"/>
      <c r="M52" s="14">
        <v>0</v>
      </c>
      <c r="P52"/>
      <c r="Q52"/>
      <c r="R52"/>
      <c r="S52"/>
      <c r="T52"/>
    </row>
    <row r="53" spans="1:20" s="14" customFormat="1" x14ac:dyDescent="0.25">
      <c r="A53" s="2" t="s">
        <v>2863</v>
      </c>
      <c r="B53" s="491" t="s">
        <v>5857</v>
      </c>
      <c r="C53" s="2" t="s">
        <v>33</v>
      </c>
      <c r="D53" s="2">
        <v>12</v>
      </c>
      <c r="E53" s="3" t="s">
        <v>1563</v>
      </c>
      <c r="F53" s="270"/>
      <c r="K53" s="14">
        <v>12</v>
      </c>
      <c r="L53" s="2"/>
      <c r="M53" s="14">
        <v>12</v>
      </c>
      <c r="P53"/>
      <c r="Q53"/>
      <c r="R53"/>
      <c r="S53"/>
      <c r="T53"/>
    </row>
    <row r="54" spans="1:20" s="14" customFormat="1" x14ac:dyDescent="0.25">
      <c r="A54" s="2" t="s">
        <v>2864</v>
      </c>
      <c r="B54" s="491" t="s">
        <v>5858</v>
      </c>
      <c r="C54" s="2" t="s">
        <v>1693</v>
      </c>
      <c r="D54" s="2">
        <v>0</v>
      </c>
      <c r="E54" s="3" t="s">
        <v>1563</v>
      </c>
      <c r="F54" s="270"/>
      <c r="K54" s="14">
        <v>0</v>
      </c>
      <c r="L54" s="2"/>
      <c r="M54" s="14">
        <v>0</v>
      </c>
      <c r="P54"/>
      <c r="Q54"/>
      <c r="R54"/>
      <c r="S54"/>
      <c r="T54"/>
    </row>
    <row r="55" spans="1:20" s="14" customFormat="1" x14ac:dyDescent="0.25">
      <c r="A55" s="2" t="s">
        <v>2865</v>
      </c>
      <c r="B55" s="491" t="s">
        <v>5859</v>
      </c>
      <c r="C55" s="2" t="s">
        <v>1693</v>
      </c>
      <c r="D55" s="2">
        <v>0</v>
      </c>
      <c r="E55" s="3" t="s">
        <v>1563</v>
      </c>
      <c r="F55" s="270"/>
      <c r="K55" s="14">
        <v>0</v>
      </c>
      <c r="L55" s="2"/>
      <c r="M55" s="14">
        <v>0</v>
      </c>
      <c r="P55"/>
      <c r="Q55"/>
      <c r="R55"/>
      <c r="S55"/>
      <c r="T55"/>
    </row>
    <row r="56" spans="1:20" s="14" customFormat="1" x14ac:dyDescent="0.25">
      <c r="A56" s="2" t="s">
        <v>2866</v>
      </c>
      <c r="B56" s="491" t="s">
        <v>5860</v>
      </c>
      <c r="C56" s="2" t="s">
        <v>33</v>
      </c>
      <c r="D56" s="2">
        <v>0</v>
      </c>
      <c r="E56" s="3" t="s">
        <v>1563</v>
      </c>
      <c r="F56" s="270"/>
      <c r="K56" s="14">
        <v>0</v>
      </c>
      <c r="L56" s="2"/>
      <c r="M56" s="14">
        <v>0</v>
      </c>
      <c r="P56"/>
      <c r="Q56"/>
      <c r="R56"/>
      <c r="S56"/>
      <c r="T56"/>
    </row>
    <row r="57" spans="1:20" s="14" customFormat="1" x14ac:dyDescent="0.25">
      <c r="A57" s="2" t="s">
        <v>2867</v>
      </c>
      <c r="B57" s="491" t="s">
        <v>5861</v>
      </c>
      <c r="C57" s="2" t="s">
        <v>2854</v>
      </c>
      <c r="D57" s="2">
        <v>0</v>
      </c>
      <c r="E57" s="3" t="s">
        <v>1563</v>
      </c>
      <c r="F57" s="270"/>
      <c r="K57" s="14">
        <v>0</v>
      </c>
      <c r="L57" s="2"/>
      <c r="M57" s="14">
        <v>0</v>
      </c>
      <c r="P57"/>
      <c r="Q57"/>
      <c r="R57"/>
      <c r="S57"/>
      <c r="T57"/>
    </row>
    <row r="58" spans="1:20" s="14" customFormat="1" x14ac:dyDescent="0.25">
      <c r="A58" s="2" t="s">
        <v>2868</v>
      </c>
      <c r="B58" s="491" t="s">
        <v>5861</v>
      </c>
      <c r="C58" s="2" t="s">
        <v>1693</v>
      </c>
      <c r="D58" s="2">
        <v>0</v>
      </c>
      <c r="E58" s="3" t="s">
        <v>1563</v>
      </c>
      <c r="F58" s="270"/>
      <c r="K58" s="14">
        <v>0</v>
      </c>
      <c r="L58" s="2"/>
      <c r="M58" s="14">
        <v>0</v>
      </c>
      <c r="P58"/>
      <c r="Q58"/>
      <c r="R58"/>
      <c r="S58"/>
      <c r="T58"/>
    </row>
    <row r="59" spans="1:20" s="14" customFormat="1" x14ac:dyDescent="0.25">
      <c r="A59" s="2" t="s">
        <v>2858</v>
      </c>
      <c r="B59" s="491" t="s">
        <v>5862</v>
      </c>
      <c r="C59" s="2" t="s">
        <v>33</v>
      </c>
      <c r="D59" s="2">
        <v>0</v>
      </c>
      <c r="E59" s="3" t="s">
        <v>1563</v>
      </c>
      <c r="F59" s="270"/>
      <c r="K59" s="14">
        <v>0</v>
      </c>
      <c r="L59" s="2"/>
      <c r="M59" s="14">
        <v>0</v>
      </c>
      <c r="P59"/>
      <c r="Q59"/>
      <c r="R59"/>
      <c r="S59"/>
      <c r="T59"/>
    </row>
    <row r="60" spans="1:20" s="14" customFormat="1" x14ac:dyDescent="0.25">
      <c r="A60" s="2" t="s">
        <v>2899</v>
      </c>
      <c r="B60" s="491" t="s">
        <v>2897</v>
      </c>
      <c r="C60" s="2" t="s">
        <v>2898</v>
      </c>
      <c r="D60" s="2">
        <v>24</v>
      </c>
      <c r="E60" s="3" t="s">
        <v>1546</v>
      </c>
      <c r="F60" s="270"/>
      <c r="L60" s="2"/>
      <c r="P60"/>
      <c r="Q60"/>
      <c r="R60"/>
      <c r="S60"/>
      <c r="T60"/>
    </row>
    <row r="61" spans="1:20" s="14" customFormat="1" x14ac:dyDescent="0.25">
      <c r="A61" s="2" t="s">
        <v>3012</v>
      </c>
      <c r="B61" s="491" t="s">
        <v>3011</v>
      </c>
      <c r="C61" s="2" t="s">
        <v>2720</v>
      </c>
      <c r="D61" s="2">
        <v>-12</v>
      </c>
      <c r="E61" s="3" t="s">
        <v>1546</v>
      </c>
      <c r="F61" s="270"/>
      <c r="L61" s="2"/>
      <c r="P61"/>
      <c r="Q61"/>
      <c r="R61"/>
      <c r="S61"/>
      <c r="T61"/>
    </row>
    <row r="62" spans="1:20" s="14" customFormat="1" x14ac:dyDescent="0.25">
      <c r="A62" s="2" t="s">
        <v>4014</v>
      </c>
      <c r="B62" s="491" t="s">
        <v>5890</v>
      </c>
      <c r="C62" s="2" t="s">
        <v>33</v>
      </c>
      <c r="D62" s="2"/>
      <c r="E62" s="3" t="s">
        <v>32</v>
      </c>
      <c r="F62" s="270"/>
      <c r="L62" s="2"/>
      <c r="P62"/>
      <c r="Q62"/>
      <c r="R62"/>
      <c r="S62"/>
      <c r="T62"/>
    </row>
    <row r="63" spans="1:20" s="14" customFormat="1" x14ac:dyDescent="0.25">
      <c r="A63" s="2" t="s">
        <v>4015</v>
      </c>
      <c r="B63" s="491" t="s">
        <v>4013</v>
      </c>
      <c r="C63" s="2" t="s">
        <v>1638</v>
      </c>
      <c r="D63" s="2">
        <v>200</v>
      </c>
      <c r="E63" s="3" t="s">
        <v>1545</v>
      </c>
      <c r="F63" s="270"/>
      <c r="L63" s="2"/>
      <c r="P63"/>
      <c r="Q63"/>
      <c r="R63"/>
      <c r="S63"/>
      <c r="T63"/>
    </row>
    <row r="64" spans="1:20" s="14" customFormat="1" x14ac:dyDescent="0.25">
      <c r="A64" s="2" t="s">
        <v>4367</v>
      </c>
      <c r="B64" s="491" t="s">
        <v>4368</v>
      </c>
      <c r="C64" s="2" t="s">
        <v>1504</v>
      </c>
      <c r="D64" s="2">
        <v>120</v>
      </c>
      <c r="E64" s="3" t="s">
        <v>4364</v>
      </c>
      <c r="F64" s="270"/>
      <c r="L64" s="2"/>
      <c r="P64"/>
      <c r="Q64"/>
      <c r="R64"/>
      <c r="S64"/>
      <c r="T64"/>
    </row>
    <row r="65" spans="1:20" s="14" customFormat="1" x14ac:dyDescent="0.25">
      <c r="A65" s="2" t="s">
        <v>4393</v>
      </c>
      <c r="B65" s="491" t="s">
        <v>4527</v>
      </c>
      <c r="C65" s="2" t="s">
        <v>2461</v>
      </c>
      <c r="D65" s="2">
        <v>120</v>
      </c>
      <c r="E65" s="3" t="s">
        <v>4528</v>
      </c>
      <c r="F65" s="270"/>
      <c r="L65" s="2"/>
      <c r="P65"/>
      <c r="Q65"/>
      <c r="R65"/>
      <c r="S65"/>
      <c r="T65"/>
    </row>
    <row r="66" spans="1:20" s="14" customFormat="1" x14ac:dyDescent="0.25">
      <c r="A66" s="2" t="s">
        <v>4458</v>
      </c>
      <c r="B66" s="491" t="s">
        <v>5891</v>
      </c>
      <c r="C66" s="2" t="s">
        <v>4457</v>
      </c>
      <c r="D66" s="2">
        <v>180</v>
      </c>
      <c r="E66" s="3" t="s">
        <v>1563</v>
      </c>
      <c r="F66" s="270"/>
      <c r="L66" s="2"/>
      <c r="P66"/>
      <c r="Q66"/>
      <c r="R66"/>
      <c r="S66"/>
      <c r="T66"/>
    </row>
    <row r="67" spans="1:20" s="14" customFormat="1" x14ac:dyDescent="0.25">
      <c r="A67" s="2" t="s">
        <v>4568</v>
      </c>
      <c r="B67" s="491" t="s">
        <v>4569</v>
      </c>
      <c r="C67" s="2" t="s">
        <v>4570</v>
      </c>
      <c r="D67" s="2">
        <v>600</v>
      </c>
      <c r="E67" s="3" t="s">
        <v>1563</v>
      </c>
      <c r="F67" s="270"/>
      <c r="L67" s="2"/>
      <c r="P67"/>
      <c r="Q67"/>
      <c r="R67"/>
      <c r="S67"/>
      <c r="T67"/>
    </row>
    <row r="68" spans="1:20" s="14" customFormat="1" x14ac:dyDescent="0.25">
      <c r="A68" s="2" t="s">
        <v>5817</v>
      </c>
      <c r="B68" s="491" t="s">
        <v>5818</v>
      </c>
      <c r="C68" s="2" t="s">
        <v>23</v>
      </c>
      <c r="D68" s="2"/>
      <c r="E68" s="3" t="s">
        <v>2668</v>
      </c>
      <c r="F68" s="270"/>
      <c r="P68"/>
      <c r="Q68"/>
      <c r="R68"/>
      <c r="S68"/>
      <c r="T68"/>
    </row>
    <row r="69" spans="1:20" s="14" customFormat="1" x14ac:dyDescent="0.25">
      <c r="A69" s="2" t="s">
        <v>5996</v>
      </c>
      <c r="B69" s="14" t="s">
        <v>5997</v>
      </c>
      <c r="C69" s="2" t="s">
        <v>23</v>
      </c>
      <c r="D69" s="2">
        <v>4</v>
      </c>
      <c r="E69" s="3" t="s">
        <v>2668</v>
      </c>
      <c r="F69" s="270"/>
      <c r="P69"/>
      <c r="Q69"/>
      <c r="R69"/>
      <c r="S69"/>
      <c r="T69"/>
    </row>
    <row r="70" spans="1:20" s="14" customFormat="1" x14ac:dyDescent="0.25">
      <c r="A70" s="2" t="s">
        <v>6039</v>
      </c>
      <c r="B70" s="14" t="s">
        <v>6040</v>
      </c>
      <c r="C70" s="2" t="s">
        <v>6041</v>
      </c>
      <c r="D70" s="2"/>
      <c r="E70" s="3" t="s">
        <v>1545</v>
      </c>
      <c r="F70" s="270"/>
      <c r="P70"/>
      <c r="Q70"/>
      <c r="R70"/>
      <c r="S70"/>
      <c r="T70"/>
    </row>
    <row r="71" spans="1:20" s="14" customFormat="1" x14ac:dyDescent="0.25">
      <c r="A71" s="2" t="s">
        <v>692</v>
      </c>
      <c r="B71" s="491" t="s">
        <v>3436</v>
      </c>
      <c r="C71" s="2" t="s">
        <v>694</v>
      </c>
      <c r="D71" s="2">
        <v>-65</v>
      </c>
      <c r="E71" s="3" t="s">
        <v>693</v>
      </c>
      <c r="F71" s="270"/>
      <c r="L71" s="2"/>
      <c r="P71"/>
      <c r="Q71"/>
      <c r="R71"/>
      <c r="S71"/>
      <c r="T71"/>
    </row>
    <row r="72" spans="1:20" s="14" customFormat="1" x14ac:dyDescent="0.25">
      <c r="A72" s="2" t="s">
        <v>696</v>
      </c>
      <c r="B72" s="491" t="s">
        <v>1754</v>
      </c>
      <c r="C72" s="2" t="s">
        <v>694</v>
      </c>
      <c r="D72" s="2">
        <v>0</v>
      </c>
      <c r="E72" s="3" t="s">
        <v>693</v>
      </c>
      <c r="F72" s="270"/>
      <c r="L72" s="2"/>
      <c r="P72"/>
      <c r="Q72"/>
      <c r="R72"/>
      <c r="S72"/>
      <c r="T72"/>
    </row>
    <row r="73" spans="1:20" s="14" customFormat="1" x14ac:dyDescent="0.25">
      <c r="A73" s="2" t="s">
        <v>697</v>
      </c>
      <c r="B73" s="491" t="s">
        <v>2641</v>
      </c>
      <c r="C73" s="2" t="s">
        <v>694</v>
      </c>
      <c r="D73" s="2">
        <v>-36</v>
      </c>
      <c r="E73" s="3" t="s">
        <v>693</v>
      </c>
      <c r="F73" s="270"/>
      <c r="L73" s="2"/>
      <c r="P73"/>
      <c r="Q73"/>
      <c r="R73"/>
      <c r="S73"/>
      <c r="T73"/>
    </row>
    <row r="74" spans="1:20" s="14" customFormat="1" x14ac:dyDescent="0.25">
      <c r="A74" s="2" t="s">
        <v>698</v>
      </c>
      <c r="B74" s="491" t="s">
        <v>3437</v>
      </c>
      <c r="C74" s="2" t="s">
        <v>694</v>
      </c>
      <c r="D74" s="2">
        <v>-30</v>
      </c>
      <c r="E74" s="3" t="s">
        <v>693</v>
      </c>
      <c r="F74" s="270"/>
      <c r="L74" s="2"/>
      <c r="P74"/>
      <c r="Q74"/>
      <c r="R74"/>
      <c r="S74"/>
      <c r="T74"/>
    </row>
    <row r="75" spans="1:20" s="14" customFormat="1" x14ac:dyDescent="0.25">
      <c r="A75" s="2" t="s">
        <v>699</v>
      </c>
      <c r="B75" s="491" t="s">
        <v>3442</v>
      </c>
      <c r="C75" s="2" t="s">
        <v>694</v>
      </c>
      <c r="D75" s="2">
        <v>124</v>
      </c>
      <c r="E75" s="3" t="s">
        <v>693</v>
      </c>
      <c r="F75" s="270"/>
      <c r="L75" s="2"/>
      <c r="P75"/>
      <c r="Q75"/>
      <c r="R75"/>
      <c r="S75"/>
      <c r="T75"/>
    </row>
    <row r="76" spans="1:20" s="14" customFormat="1" x14ac:dyDescent="0.25">
      <c r="A76" s="2" t="s">
        <v>700</v>
      </c>
      <c r="B76" s="491" t="s">
        <v>3439</v>
      </c>
      <c r="C76" s="2" t="s">
        <v>694</v>
      </c>
      <c r="D76" s="2">
        <v>-34</v>
      </c>
      <c r="E76" s="3" t="s">
        <v>693</v>
      </c>
      <c r="F76" s="270"/>
      <c r="L76" s="2"/>
      <c r="P76"/>
      <c r="Q76"/>
      <c r="R76"/>
      <c r="S76"/>
      <c r="T76"/>
    </row>
    <row r="77" spans="1:20" s="14" customFormat="1" x14ac:dyDescent="0.25">
      <c r="A77" s="2" t="s">
        <v>701</v>
      </c>
      <c r="B77" s="491" t="s">
        <v>3438</v>
      </c>
      <c r="C77" s="2" t="s">
        <v>694</v>
      </c>
      <c r="D77" s="2">
        <v>0</v>
      </c>
      <c r="E77" s="3" t="s">
        <v>693</v>
      </c>
      <c r="F77" s="270"/>
      <c r="L77" s="2"/>
      <c r="P77"/>
      <c r="Q77"/>
      <c r="R77"/>
      <c r="S77"/>
      <c r="T77"/>
    </row>
    <row r="78" spans="1:20" s="14" customFormat="1" x14ac:dyDescent="0.25">
      <c r="A78" s="2" t="s">
        <v>702</v>
      </c>
      <c r="B78" s="491" t="s">
        <v>3440</v>
      </c>
      <c r="C78" s="2" t="s">
        <v>694</v>
      </c>
      <c r="D78" s="2">
        <v>17</v>
      </c>
      <c r="E78" s="3" t="s">
        <v>693</v>
      </c>
      <c r="F78" s="270"/>
      <c r="L78" s="2"/>
      <c r="P78"/>
      <c r="Q78"/>
      <c r="R78"/>
      <c r="S78"/>
      <c r="T78"/>
    </row>
    <row r="79" spans="1:20" s="14" customFormat="1" x14ac:dyDescent="0.25">
      <c r="A79" s="2" t="s">
        <v>703</v>
      </c>
      <c r="B79" s="491" t="s">
        <v>3441</v>
      </c>
      <c r="C79" s="2" t="s">
        <v>694</v>
      </c>
      <c r="D79" s="2">
        <v>-40</v>
      </c>
      <c r="E79" s="3" t="s">
        <v>693</v>
      </c>
      <c r="F79" s="270"/>
      <c r="L79" s="2"/>
      <c r="P79"/>
      <c r="Q79"/>
      <c r="R79"/>
      <c r="S79"/>
      <c r="T79"/>
    </row>
    <row r="80" spans="1:20" s="14" customFormat="1" x14ac:dyDescent="0.25">
      <c r="A80" s="2" t="s">
        <v>704</v>
      </c>
      <c r="B80" s="491" t="s">
        <v>705</v>
      </c>
      <c r="C80" s="2" t="s">
        <v>706</v>
      </c>
      <c r="D80" s="2">
        <v>-262</v>
      </c>
      <c r="E80" s="3" t="s">
        <v>693</v>
      </c>
      <c r="F80" s="270"/>
      <c r="L80" s="2"/>
      <c r="P80"/>
      <c r="Q80"/>
      <c r="R80"/>
      <c r="S80"/>
      <c r="T80"/>
    </row>
    <row r="81" spans="1:20" s="14" customFormat="1" x14ac:dyDescent="0.25">
      <c r="A81" s="2" t="s">
        <v>708</v>
      </c>
      <c r="B81" s="491" t="s">
        <v>709</v>
      </c>
      <c r="C81" s="2" t="s">
        <v>706</v>
      </c>
      <c r="D81" s="2">
        <v>-81</v>
      </c>
      <c r="E81" s="3" t="s">
        <v>693</v>
      </c>
      <c r="F81" s="270"/>
      <c r="L81" s="2"/>
      <c r="P81"/>
      <c r="Q81"/>
      <c r="R81"/>
      <c r="S81"/>
      <c r="T81"/>
    </row>
    <row r="82" spans="1:20" s="14" customFormat="1" x14ac:dyDescent="0.25">
      <c r="A82" s="2" t="s">
        <v>710</v>
      </c>
      <c r="B82" s="491" t="s">
        <v>711</v>
      </c>
      <c r="C82" s="2" t="s">
        <v>706</v>
      </c>
      <c r="D82" s="2">
        <v>0</v>
      </c>
      <c r="E82" s="3" t="s">
        <v>693</v>
      </c>
      <c r="F82" s="270"/>
      <c r="L82" s="2"/>
      <c r="P82"/>
      <c r="Q82"/>
      <c r="R82"/>
      <c r="S82"/>
      <c r="T82"/>
    </row>
    <row r="83" spans="1:20" s="14" customFormat="1" x14ac:dyDescent="0.25">
      <c r="A83" s="2" t="s">
        <v>712</v>
      </c>
      <c r="B83" s="491" t="s">
        <v>1965</v>
      </c>
      <c r="C83" s="2" t="s">
        <v>713</v>
      </c>
      <c r="D83" s="2">
        <v>-46</v>
      </c>
      <c r="E83" s="3" t="s">
        <v>693</v>
      </c>
      <c r="F83" s="270"/>
      <c r="L83" s="2"/>
      <c r="P83"/>
      <c r="Q83"/>
      <c r="R83"/>
      <c r="S83"/>
      <c r="T83"/>
    </row>
    <row r="84" spans="1:20" s="14" customFormat="1" x14ac:dyDescent="0.25">
      <c r="A84" s="2" t="s">
        <v>714</v>
      </c>
      <c r="B84" s="491" t="s">
        <v>4700</v>
      </c>
      <c r="C84" s="2" t="s">
        <v>713</v>
      </c>
      <c r="D84" s="2">
        <v>-13</v>
      </c>
      <c r="E84" s="3" t="s">
        <v>693</v>
      </c>
      <c r="F84" s="270"/>
      <c r="L84" s="2"/>
      <c r="P84"/>
      <c r="Q84"/>
      <c r="R84"/>
      <c r="S84"/>
      <c r="T84"/>
    </row>
    <row r="85" spans="1:20" s="14" customFormat="1" x14ac:dyDescent="0.25">
      <c r="A85" s="2" t="s">
        <v>715</v>
      </c>
      <c r="B85" s="491" t="s">
        <v>1966</v>
      </c>
      <c r="C85" s="2" t="s">
        <v>713</v>
      </c>
      <c r="D85" s="2">
        <v>-1</v>
      </c>
      <c r="E85" s="3" t="s">
        <v>693</v>
      </c>
      <c r="F85" s="270"/>
      <c r="L85" s="2"/>
      <c r="P85"/>
      <c r="Q85"/>
      <c r="R85"/>
      <c r="S85"/>
      <c r="T85"/>
    </row>
    <row r="86" spans="1:20" s="14" customFormat="1" x14ac:dyDescent="0.25">
      <c r="A86" s="2" t="s">
        <v>716</v>
      </c>
      <c r="B86" s="491" t="s">
        <v>4699</v>
      </c>
      <c r="C86" s="2" t="s">
        <v>713</v>
      </c>
      <c r="D86" s="2">
        <v>0</v>
      </c>
      <c r="E86" s="3" t="s">
        <v>4698</v>
      </c>
      <c r="F86" s="270"/>
      <c r="L86" s="2"/>
      <c r="P86"/>
      <c r="Q86"/>
      <c r="R86"/>
      <c r="S86"/>
      <c r="T86"/>
    </row>
    <row r="87" spans="1:20" s="14" customFormat="1" x14ac:dyDescent="0.25">
      <c r="A87" s="2" t="s">
        <v>717</v>
      </c>
      <c r="B87" s="491" t="s">
        <v>1967</v>
      </c>
      <c r="C87" s="2" t="s">
        <v>713</v>
      </c>
      <c r="D87" s="2">
        <v>-105</v>
      </c>
      <c r="E87" s="3" t="s">
        <v>693</v>
      </c>
      <c r="F87" s="270"/>
      <c r="L87" s="2"/>
      <c r="P87"/>
      <c r="Q87"/>
      <c r="R87"/>
      <c r="S87"/>
      <c r="T87"/>
    </row>
    <row r="88" spans="1:20" s="14" customFormat="1" x14ac:dyDescent="0.25">
      <c r="A88" s="2" t="s">
        <v>718</v>
      </c>
      <c r="B88" s="491" t="s">
        <v>719</v>
      </c>
      <c r="C88" s="2" t="s">
        <v>713</v>
      </c>
      <c r="D88" s="2">
        <v>-9</v>
      </c>
      <c r="E88" s="3" t="s">
        <v>693</v>
      </c>
      <c r="F88" s="270"/>
      <c r="L88" s="2"/>
      <c r="P88"/>
      <c r="Q88"/>
      <c r="R88"/>
      <c r="S88"/>
      <c r="T88"/>
    </row>
    <row r="89" spans="1:20" s="14" customFormat="1" x14ac:dyDescent="0.25">
      <c r="A89" s="2" t="s">
        <v>720</v>
      </c>
      <c r="B89" s="491" t="s">
        <v>721</v>
      </c>
      <c r="C89" s="2" t="s">
        <v>713</v>
      </c>
      <c r="D89" s="2">
        <v>0</v>
      </c>
      <c r="E89" s="3" t="s">
        <v>693</v>
      </c>
      <c r="F89" s="270"/>
      <c r="L89" s="2"/>
      <c r="P89"/>
      <c r="Q89"/>
      <c r="R89"/>
      <c r="S89"/>
      <c r="T89"/>
    </row>
    <row r="90" spans="1:20" s="14" customFormat="1" x14ac:dyDescent="0.25">
      <c r="A90" s="2" t="s">
        <v>722</v>
      </c>
      <c r="B90" s="491" t="s">
        <v>723</v>
      </c>
      <c r="C90" s="2" t="s">
        <v>713</v>
      </c>
      <c r="D90" s="2">
        <v>0</v>
      </c>
      <c r="E90" s="3" t="s">
        <v>693</v>
      </c>
      <c r="F90" s="270"/>
      <c r="L90" s="2"/>
      <c r="P90"/>
      <c r="Q90"/>
      <c r="R90"/>
      <c r="S90"/>
      <c r="T90"/>
    </row>
    <row r="91" spans="1:20" s="14" customFormat="1" x14ac:dyDescent="0.25">
      <c r="A91" s="2" t="s">
        <v>724</v>
      </c>
      <c r="B91" s="491" t="s">
        <v>725</v>
      </c>
      <c r="C91" s="2" t="s">
        <v>713</v>
      </c>
      <c r="D91" s="2">
        <v>0</v>
      </c>
      <c r="E91" s="3" t="s">
        <v>693</v>
      </c>
      <c r="F91" s="270"/>
      <c r="L91" s="2"/>
      <c r="P91"/>
      <c r="Q91"/>
      <c r="R91"/>
      <c r="S91"/>
      <c r="T91"/>
    </row>
    <row r="92" spans="1:20" s="14" customFormat="1" x14ac:dyDescent="0.25">
      <c r="A92" s="2" t="s">
        <v>726</v>
      </c>
      <c r="B92" s="491" t="s">
        <v>725</v>
      </c>
      <c r="C92" s="2" t="s">
        <v>713</v>
      </c>
      <c r="D92" s="2">
        <v>0</v>
      </c>
      <c r="E92" s="3" t="s">
        <v>693</v>
      </c>
      <c r="F92" s="270"/>
      <c r="L92" s="2"/>
      <c r="P92"/>
      <c r="Q92"/>
      <c r="R92"/>
      <c r="S92"/>
      <c r="T92"/>
    </row>
    <row r="93" spans="1:20" s="14" customFormat="1" x14ac:dyDescent="0.25">
      <c r="A93" s="2" t="s">
        <v>727</v>
      </c>
      <c r="B93" s="491" t="s">
        <v>728</v>
      </c>
      <c r="C93" s="2" t="s">
        <v>713</v>
      </c>
      <c r="D93" s="2">
        <v>0</v>
      </c>
      <c r="E93" s="3" t="s">
        <v>693</v>
      </c>
      <c r="F93" s="270"/>
      <c r="L93" s="2"/>
      <c r="P93"/>
      <c r="Q93"/>
      <c r="R93"/>
      <c r="S93"/>
      <c r="T93"/>
    </row>
    <row r="94" spans="1:20" s="14" customFormat="1" x14ac:dyDescent="0.25">
      <c r="A94" s="2" t="s">
        <v>729</v>
      </c>
      <c r="B94" s="491" t="s">
        <v>728</v>
      </c>
      <c r="C94" s="2" t="s">
        <v>713</v>
      </c>
      <c r="D94" s="2">
        <v>0</v>
      </c>
      <c r="E94" s="3" t="s">
        <v>693</v>
      </c>
      <c r="F94" s="270"/>
      <c r="L94" s="2"/>
      <c r="P94"/>
      <c r="Q94"/>
      <c r="R94"/>
      <c r="S94"/>
      <c r="T94"/>
    </row>
    <row r="95" spans="1:20" s="14" customFormat="1" x14ac:dyDescent="0.25">
      <c r="A95" s="2" t="s">
        <v>730</v>
      </c>
      <c r="B95" s="491" t="s">
        <v>731</v>
      </c>
      <c r="C95" s="2" t="s">
        <v>713</v>
      </c>
      <c r="D95" s="2">
        <v>0</v>
      </c>
      <c r="E95" s="3" t="s">
        <v>693</v>
      </c>
      <c r="F95" s="270"/>
      <c r="L95" s="2"/>
      <c r="P95"/>
      <c r="Q95"/>
      <c r="R95"/>
      <c r="S95"/>
      <c r="T95"/>
    </row>
    <row r="96" spans="1:20" s="14" customFormat="1" x14ac:dyDescent="0.25">
      <c r="A96" s="2" t="s">
        <v>1837</v>
      </c>
      <c r="B96" s="491" t="s">
        <v>1838</v>
      </c>
      <c r="C96" s="2" t="s">
        <v>1839</v>
      </c>
      <c r="D96" s="2">
        <v>-1</v>
      </c>
      <c r="E96" s="3" t="s">
        <v>1546</v>
      </c>
      <c r="F96" s="270"/>
      <c r="L96" s="2"/>
      <c r="P96"/>
      <c r="Q96"/>
      <c r="R96"/>
      <c r="S96"/>
      <c r="T96"/>
    </row>
    <row r="97" spans="1:20" s="14" customFormat="1" x14ac:dyDescent="0.25">
      <c r="A97" s="2" t="s">
        <v>1840</v>
      </c>
      <c r="B97" s="491" t="s">
        <v>1841</v>
      </c>
      <c r="C97" s="2" t="s">
        <v>1842</v>
      </c>
      <c r="D97" s="2">
        <v>3</v>
      </c>
      <c r="E97" s="3" t="s">
        <v>1546</v>
      </c>
      <c r="F97" s="270"/>
      <c r="L97" s="2"/>
      <c r="P97"/>
      <c r="Q97"/>
      <c r="R97"/>
      <c r="S97"/>
      <c r="T97"/>
    </row>
    <row r="98" spans="1:20" s="14" customFormat="1" x14ac:dyDescent="0.25">
      <c r="A98" s="2" t="s">
        <v>1911</v>
      </c>
      <c r="B98" s="491" t="s">
        <v>1916</v>
      </c>
      <c r="C98" s="2" t="s">
        <v>2717</v>
      </c>
      <c r="D98" s="2">
        <v>343</v>
      </c>
      <c r="E98" s="3" t="s">
        <v>1556</v>
      </c>
      <c r="F98" s="270"/>
      <c r="L98" s="2"/>
      <c r="P98"/>
      <c r="Q98"/>
      <c r="R98"/>
      <c r="S98"/>
      <c r="T98"/>
    </row>
    <row r="99" spans="1:20" s="14" customFormat="1" x14ac:dyDescent="0.25">
      <c r="A99" s="2" t="s">
        <v>1912</v>
      </c>
      <c r="B99" s="491" t="s">
        <v>1917</v>
      </c>
      <c r="C99" s="2" t="s">
        <v>2717</v>
      </c>
      <c r="D99" s="2">
        <v>330</v>
      </c>
      <c r="E99" s="3" t="s">
        <v>1556</v>
      </c>
      <c r="F99" s="270"/>
      <c r="L99" s="2"/>
      <c r="P99"/>
      <c r="Q99"/>
      <c r="R99"/>
      <c r="S99"/>
      <c r="T99"/>
    </row>
    <row r="100" spans="1:20" s="14" customFormat="1" x14ac:dyDescent="0.25">
      <c r="A100" s="2" t="s">
        <v>2713</v>
      </c>
      <c r="B100" s="491" t="s">
        <v>2714</v>
      </c>
      <c r="C100" s="2" t="s">
        <v>2717</v>
      </c>
      <c r="D100" s="2">
        <v>684</v>
      </c>
      <c r="E100" s="3" t="s">
        <v>1556</v>
      </c>
      <c r="F100" s="270"/>
      <c r="L100" s="2"/>
      <c r="P100"/>
      <c r="Q100"/>
      <c r="R100"/>
      <c r="S100"/>
      <c r="T100"/>
    </row>
    <row r="101" spans="1:20" s="14" customFormat="1" x14ac:dyDescent="0.25">
      <c r="A101" s="2" t="s">
        <v>2715</v>
      </c>
      <c r="B101" s="491" t="s">
        <v>2716</v>
      </c>
      <c r="C101" s="2" t="s">
        <v>2717</v>
      </c>
      <c r="D101" s="2">
        <v>30</v>
      </c>
      <c r="E101" s="3" t="s">
        <v>1556</v>
      </c>
      <c r="F101" s="270"/>
      <c r="L101" s="2"/>
      <c r="P101"/>
      <c r="Q101"/>
      <c r="R101"/>
      <c r="S101"/>
      <c r="T101"/>
    </row>
    <row r="102" spans="1:20" s="14" customFormat="1" x14ac:dyDescent="0.25">
      <c r="A102" s="2" t="s">
        <v>4228</v>
      </c>
      <c r="B102" s="491" t="s">
        <v>4229</v>
      </c>
      <c r="C102" s="2" t="s">
        <v>1504</v>
      </c>
      <c r="D102" s="2">
        <v>1</v>
      </c>
      <c r="E102" s="3" t="s">
        <v>4221</v>
      </c>
      <c r="F102" s="270"/>
      <c r="L102" s="2"/>
      <c r="P102"/>
      <c r="Q102"/>
      <c r="R102"/>
      <c r="S102"/>
      <c r="T102"/>
    </row>
    <row r="103" spans="1:20" s="14" customFormat="1" x14ac:dyDescent="0.25">
      <c r="A103" s="2" t="s">
        <v>4696</v>
      </c>
      <c r="B103" s="491" t="s">
        <v>4697</v>
      </c>
      <c r="C103" s="2" t="s">
        <v>1504</v>
      </c>
      <c r="D103" s="2"/>
      <c r="E103" s="3" t="s">
        <v>4410</v>
      </c>
      <c r="F103" s="270"/>
      <c r="L103" s="2"/>
      <c r="P103"/>
      <c r="Q103"/>
      <c r="R103"/>
      <c r="S103"/>
      <c r="T103"/>
    </row>
    <row r="104" spans="1:20" s="14" customFormat="1" x14ac:dyDescent="0.25">
      <c r="A104" s="2" t="s">
        <v>4718</v>
      </c>
      <c r="B104" s="491" t="s">
        <v>4717</v>
      </c>
      <c r="C104" s="2" t="s">
        <v>782</v>
      </c>
      <c r="D104" s="2"/>
      <c r="E104" s="3" t="s">
        <v>1561</v>
      </c>
      <c r="F104" s="270"/>
      <c r="L104" s="2"/>
      <c r="P104"/>
      <c r="Q104"/>
      <c r="R104"/>
      <c r="S104"/>
      <c r="T104"/>
    </row>
    <row r="105" spans="1:20" s="14" customFormat="1" x14ac:dyDescent="0.25">
      <c r="A105" s="2" t="s">
        <v>5281</v>
      </c>
      <c r="B105" s="491" t="s">
        <v>5305</v>
      </c>
      <c r="C105" s="2" t="s">
        <v>4636</v>
      </c>
      <c r="D105" s="2"/>
      <c r="E105" s="3" t="s">
        <v>4767</v>
      </c>
      <c r="F105" s="270"/>
      <c r="L105" s="2"/>
      <c r="P105"/>
      <c r="Q105"/>
      <c r="R105"/>
      <c r="S105"/>
      <c r="T105"/>
    </row>
    <row r="106" spans="1:20" s="14" customFormat="1" x14ac:dyDescent="0.25">
      <c r="A106" s="2" t="s">
        <v>5461</v>
      </c>
      <c r="B106" s="491" t="s">
        <v>5462</v>
      </c>
      <c r="C106" s="2" t="s">
        <v>392</v>
      </c>
      <c r="D106" s="2"/>
      <c r="E106" s="3" t="s">
        <v>1626</v>
      </c>
      <c r="F106" s="270"/>
      <c r="P106"/>
      <c r="Q106"/>
      <c r="R106"/>
      <c r="S106"/>
      <c r="T106"/>
    </row>
    <row r="107" spans="1:20" s="14" customFormat="1" x14ac:dyDescent="0.25">
      <c r="A107" s="2" t="s">
        <v>5519</v>
      </c>
      <c r="B107" s="491" t="s">
        <v>5520</v>
      </c>
      <c r="C107" s="2" t="s">
        <v>5214</v>
      </c>
      <c r="D107" s="2">
        <v>48</v>
      </c>
      <c r="E107" s="3" t="s">
        <v>5170</v>
      </c>
      <c r="F107" s="270"/>
      <c r="P107"/>
      <c r="Q107"/>
      <c r="R107"/>
      <c r="S107"/>
      <c r="T107"/>
    </row>
    <row r="108" spans="1:20" s="14" customFormat="1" x14ac:dyDescent="0.25">
      <c r="A108" s="2" t="s">
        <v>5795</v>
      </c>
      <c r="B108" s="491" t="s">
        <v>5796</v>
      </c>
      <c r="C108" s="2" t="s">
        <v>5794</v>
      </c>
      <c r="D108" s="2"/>
      <c r="E108" s="3" t="s">
        <v>5619</v>
      </c>
      <c r="F108" s="270"/>
      <c r="P108"/>
      <c r="Q108"/>
      <c r="R108"/>
      <c r="S108"/>
      <c r="T108"/>
    </row>
    <row r="109" spans="1:20" s="14" customFormat="1" x14ac:dyDescent="0.25">
      <c r="A109" s="2" t="s">
        <v>5998</v>
      </c>
      <c r="B109" s="14" t="s">
        <v>5999</v>
      </c>
      <c r="C109" s="2" t="s">
        <v>6000</v>
      </c>
      <c r="D109" s="2"/>
      <c r="E109" s="3" t="s">
        <v>2787</v>
      </c>
      <c r="F109" s="270"/>
      <c r="P109"/>
      <c r="Q109"/>
      <c r="R109"/>
      <c r="S109"/>
      <c r="T109"/>
    </row>
    <row r="110" spans="1:20" s="14" customFormat="1" x14ac:dyDescent="0.25">
      <c r="A110" s="2" t="s">
        <v>6009</v>
      </c>
      <c r="B110" s="14" t="s">
        <v>6010</v>
      </c>
      <c r="C110" s="2" t="s">
        <v>6011</v>
      </c>
      <c r="D110" s="2"/>
      <c r="E110" s="3" t="s">
        <v>6006</v>
      </c>
      <c r="F110" s="270"/>
      <c r="P110"/>
      <c r="Q110"/>
      <c r="R110"/>
      <c r="S110"/>
      <c r="T110"/>
    </row>
    <row r="111" spans="1:20" s="14" customFormat="1" x14ac:dyDescent="0.25">
      <c r="A111" s="2" t="s">
        <v>6066</v>
      </c>
      <c r="B111" s="14" t="s">
        <v>6067</v>
      </c>
      <c r="C111" s="2" t="s">
        <v>6068</v>
      </c>
      <c r="D111" s="2"/>
      <c r="E111" s="3" t="s">
        <v>6069</v>
      </c>
      <c r="F111" s="270"/>
      <c r="P111"/>
      <c r="Q111"/>
      <c r="R111"/>
      <c r="S111"/>
      <c r="T111"/>
    </row>
    <row r="112" spans="1:20" s="14" customFormat="1" x14ac:dyDescent="0.25">
      <c r="A112" s="2" t="s">
        <v>6105</v>
      </c>
      <c r="B112" s="14" t="s">
        <v>6106</v>
      </c>
      <c r="C112" s="2" t="s">
        <v>5116</v>
      </c>
      <c r="D112" s="2"/>
      <c r="E112" s="3" t="s">
        <v>1576</v>
      </c>
      <c r="F112" s="270"/>
      <c r="P112"/>
      <c r="Q112"/>
      <c r="R112"/>
      <c r="S112"/>
      <c r="T112"/>
    </row>
    <row r="113" spans="1:20" s="14" customFormat="1" x14ac:dyDescent="0.25">
      <c r="A113" s="2" t="s">
        <v>2874</v>
      </c>
      <c r="B113" s="491" t="s">
        <v>3379</v>
      </c>
      <c r="C113" s="2" t="s">
        <v>2872</v>
      </c>
      <c r="D113" s="2">
        <v>4</v>
      </c>
      <c r="E113" s="3" t="s">
        <v>2932</v>
      </c>
      <c r="F113" s="270"/>
      <c r="L113" s="2"/>
      <c r="P113"/>
      <c r="Q113"/>
      <c r="R113"/>
      <c r="S113"/>
      <c r="T113"/>
    </row>
    <row r="114" spans="1:20" s="14" customFormat="1" x14ac:dyDescent="0.25">
      <c r="A114" s="2" t="s">
        <v>2883</v>
      </c>
      <c r="B114" s="491" t="s">
        <v>3386</v>
      </c>
      <c r="C114" s="2" t="s">
        <v>3374</v>
      </c>
      <c r="D114" s="2">
        <v>8</v>
      </c>
      <c r="E114" s="3" t="s">
        <v>2932</v>
      </c>
      <c r="F114" s="270"/>
      <c r="L114" s="2"/>
      <c r="P114"/>
      <c r="Q114"/>
      <c r="R114"/>
      <c r="S114"/>
      <c r="T114"/>
    </row>
    <row r="115" spans="1:20" s="14" customFormat="1" x14ac:dyDescent="0.25">
      <c r="A115" s="2" t="s">
        <v>2884</v>
      </c>
      <c r="B115" s="491" t="s">
        <v>2870</v>
      </c>
      <c r="C115" s="2" t="s">
        <v>3374</v>
      </c>
      <c r="D115" s="2">
        <v>2</v>
      </c>
      <c r="E115" s="3" t="s">
        <v>2932</v>
      </c>
      <c r="F115" s="270"/>
      <c r="L115" s="2"/>
      <c r="P115"/>
      <c r="Q115"/>
      <c r="R115"/>
      <c r="S115"/>
      <c r="T115"/>
    </row>
    <row r="116" spans="1:20" s="14" customFormat="1" x14ac:dyDescent="0.25">
      <c r="A116" s="2" t="s">
        <v>3388</v>
      </c>
      <c r="B116" s="491" t="s">
        <v>2871</v>
      </c>
      <c r="C116" s="2" t="s">
        <v>3374</v>
      </c>
      <c r="D116" s="2">
        <v>1</v>
      </c>
      <c r="E116" s="3" t="s">
        <v>2932</v>
      </c>
      <c r="F116" s="270"/>
      <c r="L116" s="2"/>
      <c r="P116"/>
      <c r="Q116"/>
      <c r="R116"/>
      <c r="S116"/>
      <c r="T116"/>
    </row>
    <row r="117" spans="1:20" s="14" customFormat="1" x14ac:dyDescent="0.25">
      <c r="A117" s="2" t="s">
        <v>3389</v>
      </c>
      <c r="B117" s="491" t="s">
        <v>2930</v>
      </c>
      <c r="C117" s="2" t="s">
        <v>3374</v>
      </c>
      <c r="D117" s="2">
        <v>51</v>
      </c>
      <c r="E117" s="3" t="s">
        <v>2932</v>
      </c>
      <c r="F117" s="270"/>
      <c r="L117" s="2"/>
      <c r="P117"/>
      <c r="Q117"/>
      <c r="R117"/>
      <c r="S117"/>
      <c r="T117"/>
    </row>
    <row r="118" spans="1:20" s="14" customFormat="1" x14ac:dyDescent="0.25">
      <c r="A118" s="2" t="s">
        <v>2876</v>
      </c>
      <c r="B118" s="491" t="s">
        <v>3380</v>
      </c>
      <c r="C118" s="2" t="s">
        <v>2872</v>
      </c>
      <c r="D118" s="2">
        <v>4</v>
      </c>
      <c r="E118" s="3" t="s">
        <v>1546</v>
      </c>
      <c r="F118" s="270"/>
      <c r="L118" s="2"/>
      <c r="P118"/>
      <c r="Q118"/>
      <c r="R118"/>
      <c r="S118"/>
      <c r="T118"/>
    </row>
    <row r="119" spans="1:20" s="14" customFormat="1" x14ac:dyDescent="0.25">
      <c r="A119" s="2" t="s">
        <v>2878</v>
      </c>
      <c r="B119" s="491" t="s">
        <v>3381</v>
      </c>
      <c r="C119" s="2" t="s">
        <v>2872</v>
      </c>
      <c r="D119" s="2">
        <v>10</v>
      </c>
      <c r="E119" s="3" t="s">
        <v>1626</v>
      </c>
      <c r="F119" s="270"/>
      <c r="L119" s="2"/>
      <c r="P119"/>
      <c r="Q119"/>
      <c r="R119"/>
      <c r="S119"/>
      <c r="T119"/>
    </row>
    <row r="120" spans="1:20" s="14" customFormat="1" x14ac:dyDescent="0.25">
      <c r="A120" s="2" t="s">
        <v>2875</v>
      </c>
      <c r="B120" s="491" t="s">
        <v>3382</v>
      </c>
      <c r="C120" s="2" t="s">
        <v>2872</v>
      </c>
      <c r="D120" s="2">
        <v>23</v>
      </c>
      <c r="E120" s="3" t="s">
        <v>2926</v>
      </c>
      <c r="F120" s="270"/>
      <c r="L120" s="2"/>
      <c r="P120"/>
      <c r="Q120"/>
      <c r="R120"/>
      <c r="S120"/>
      <c r="T120"/>
    </row>
    <row r="121" spans="1:20" s="14" customFormat="1" x14ac:dyDescent="0.25">
      <c r="A121" s="2" t="s">
        <v>2877</v>
      </c>
      <c r="B121" s="491" t="s">
        <v>3383</v>
      </c>
      <c r="C121" s="2" t="s">
        <v>2872</v>
      </c>
      <c r="D121" s="2">
        <v>3</v>
      </c>
      <c r="E121" s="3" t="s">
        <v>2926</v>
      </c>
      <c r="F121" s="270"/>
      <c r="L121" s="2"/>
      <c r="P121"/>
      <c r="Q121"/>
      <c r="R121"/>
      <c r="S121"/>
      <c r="T121"/>
    </row>
    <row r="122" spans="1:20" s="14" customFormat="1" x14ac:dyDescent="0.25">
      <c r="A122" s="2" t="s">
        <v>2879</v>
      </c>
      <c r="B122" s="491" t="s">
        <v>3384</v>
      </c>
      <c r="C122" s="2" t="s">
        <v>2872</v>
      </c>
      <c r="D122" s="2">
        <v>46</v>
      </c>
      <c r="E122" s="3" t="s">
        <v>2926</v>
      </c>
      <c r="F122" s="270"/>
      <c r="L122" s="2"/>
      <c r="P122"/>
      <c r="Q122"/>
      <c r="R122"/>
      <c r="S122"/>
      <c r="T122"/>
    </row>
    <row r="123" spans="1:20" s="14" customFormat="1" x14ac:dyDescent="0.25">
      <c r="A123" s="2" t="s">
        <v>2880</v>
      </c>
      <c r="B123" s="491" t="s">
        <v>2869</v>
      </c>
      <c r="C123" s="2" t="s">
        <v>3374</v>
      </c>
      <c r="D123" s="2">
        <v>5</v>
      </c>
      <c r="E123" s="3" t="s">
        <v>2926</v>
      </c>
      <c r="F123" s="270"/>
      <c r="L123" s="2"/>
      <c r="P123"/>
      <c r="Q123"/>
      <c r="R123"/>
      <c r="S123"/>
      <c r="T123"/>
    </row>
    <row r="124" spans="1:20" s="14" customFormat="1" x14ac:dyDescent="0.25">
      <c r="A124" s="2" t="s">
        <v>2881</v>
      </c>
      <c r="B124" s="491" t="s">
        <v>3387</v>
      </c>
      <c r="C124" s="2" t="s">
        <v>2872</v>
      </c>
      <c r="D124" s="2">
        <v>25</v>
      </c>
      <c r="E124" s="3" t="s">
        <v>2926</v>
      </c>
      <c r="F124" s="270"/>
      <c r="L124" s="2"/>
      <c r="P124"/>
      <c r="Q124"/>
      <c r="R124"/>
      <c r="S124"/>
      <c r="T124"/>
    </row>
    <row r="125" spans="1:20" s="14" customFormat="1" x14ac:dyDescent="0.25">
      <c r="A125" s="2" t="s">
        <v>2882</v>
      </c>
      <c r="B125" s="491" t="s">
        <v>3385</v>
      </c>
      <c r="C125" s="2" t="s">
        <v>3374</v>
      </c>
      <c r="D125" s="2">
        <v>-5</v>
      </c>
      <c r="E125" s="3" t="s">
        <v>2926</v>
      </c>
      <c r="F125" s="270"/>
      <c r="L125" s="2"/>
      <c r="P125"/>
      <c r="Q125"/>
      <c r="R125"/>
      <c r="S125"/>
      <c r="T125"/>
    </row>
    <row r="126" spans="1:20" s="14" customFormat="1" x14ac:dyDescent="0.25">
      <c r="A126" s="2" t="s">
        <v>1758</v>
      </c>
      <c r="B126" s="491" t="s">
        <v>45</v>
      </c>
      <c r="C126" s="2" t="s">
        <v>46</v>
      </c>
      <c r="D126" s="2">
        <v>44</v>
      </c>
      <c r="E126" s="3" t="s">
        <v>2926</v>
      </c>
      <c r="F126" s="270"/>
      <c r="L126" s="2"/>
      <c r="P126"/>
      <c r="Q126"/>
      <c r="R126"/>
      <c r="S126"/>
      <c r="T126"/>
    </row>
    <row r="127" spans="1:20" s="14" customFormat="1" x14ac:dyDescent="0.25">
      <c r="A127" s="2" t="s">
        <v>1759</v>
      </c>
      <c r="B127" s="491" t="s">
        <v>52</v>
      </c>
      <c r="C127" s="2" t="s">
        <v>46</v>
      </c>
      <c r="D127" s="2">
        <v>18</v>
      </c>
      <c r="E127" s="3" t="s">
        <v>2926</v>
      </c>
      <c r="F127" s="270"/>
      <c r="L127" s="2"/>
      <c r="P127"/>
      <c r="Q127"/>
      <c r="R127"/>
      <c r="S127"/>
      <c r="T127"/>
    </row>
    <row r="128" spans="1:20" s="14" customFormat="1" x14ac:dyDescent="0.25">
      <c r="A128" s="2" t="s">
        <v>1760</v>
      </c>
      <c r="B128" s="491" t="s">
        <v>54</v>
      </c>
      <c r="C128" s="2" t="s">
        <v>46</v>
      </c>
      <c r="D128" s="2">
        <v>-82</v>
      </c>
      <c r="E128" s="3" t="s">
        <v>2926</v>
      </c>
      <c r="F128" s="270"/>
      <c r="L128" s="2"/>
      <c r="P128"/>
      <c r="Q128"/>
      <c r="R128"/>
      <c r="S128"/>
      <c r="T128"/>
    </row>
    <row r="129" spans="1:20" s="14" customFormat="1" x14ac:dyDescent="0.25">
      <c r="A129" s="2" t="s">
        <v>1761</v>
      </c>
      <c r="B129" s="491" t="s">
        <v>56</v>
      </c>
      <c r="C129" s="2" t="s">
        <v>46</v>
      </c>
      <c r="D129" s="2">
        <v>10</v>
      </c>
      <c r="E129" s="3" t="s">
        <v>2926</v>
      </c>
      <c r="F129" s="270"/>
      <c r="L129" s="2"/>
      <c r="P129"/>
      <c r="Q129"/>
      <c r="R129"/>
      <c r="S129"/>
      <c r="T129"/>
    </row>
    <row r="130" spans="1:20" s="14" customFormat="1" x14ac:dyDescent="0.25">
      <c r="A130" s="2" t="s">
        <v>1762</v>
      </c>
      <c r="B130" s="491" t="s">
        <v>58</v>
      </c>
      <c r="C130" s="2" t="s">
        <v>46</v>
      </c>
      <c r="D130" s="2">
        <v>14</v>
      </c>
      <c r="E130" s="3" t="s">
        <v>2926</v>
      </c>
      <c r="F130" s="270"/>
      <c r="L130" s="2"/>
      <c r="P130"/>
      <c r="Q130"/>
      <c r="R130"/>
      <c r="S130"/>
      <c r="T130"/>
    </row>
    <row r="131" spans="1:20" s="14" customFormat="1" x14ac:dyDescent="0.25">
      <c r="A131" s="2" t="s">
        <v>1763</v>
      </c>
      <c r="B131" s="491" t="s">
        <v>60</v>
      </c>
      <c r="C131" s="2" t="s">
        <v>46</v>
      </c>
      <c r="D131" s="2">
        <v>0</v>
      </c>
      <c r="E131" s="3" t="s">
        <v>2926</v>
      </c>
      <c r="F131" s="270"/>
      <c r="L131" s="2"/>
      <c r="P131"/>
      <c r="Q131"/>
      <c r="R131"/>
      <c r="S131"/>
      <c r="T131"/>
    </row>
    <row r="132" spans="1:20" s="14" customFormat="1" x14ac:dyDescent="0.25">
      <c r="A132" s="2" t="s">
        <v>1764</v>
      </c>
      <c r="B132" s="491" t="s">
        <v>62</v>
      </c>
      <c r="C132" s="2" t="s">
        <v>46</v>
      </c>
      <c r="D132" s="2">
        <v>0</v>
      </c>
      <c r="E132" s="3" t="s">
        <v>2926</v>
      </c>
      <c r="F132" s="270"/>
      <c r="L132" s="2"/>
      <c r="P132"/>
      <c r="Q132"/>
      <c r="R132"/>
      <c r="S132"/>
      <c r="T132"/>
    </row>
    <row r="133" spans="1:20" s="14" customFormat="1" x14ac:dyDescent="0.25">
      <c r="A133" s="2" t="s">
        <v>1765</v>
      </c>
      <c r="B133" s="491" t="s">
        <v>64</v>
      </c>
      <c r="C133" s="2" t="s">
        <v>46</v>
      </c>
      <c r="D133" s="2">
        <v>0</v>
      </c>
      <c r="E133" s="3" t="s">
        <v>1486</v>
      </c>
      <c r="F133" s="270"/>
      <c r="L133" s="2"/>
      <c r="P133"/>
      <c r="Q133"/>
      <c r="R133"/>
      <c r="S133"/>
      <c r="T133"/>
    </row>
    <row r="134" spans="1:20" s="14" customFormat="1" x14ac:dyDescent="0.25">
      <c r="A134" s="2" t="s">
        <v>1766</v>
      </c>
      <c r="B134" s="491" t="s">
        <v>66</v>
      </c>
      <c r="C134" s="2" t="s">
        <v>46</v>
      </c>
      <c r="D134" s="2">
        <v>0</v>
      </c>
      <c r="E134" s="3" t="s">
        <v>1486</v>
      </c>
      <c r="F134" s="270"/>
      <c r="L134" s="2"/>
      <c r="P134"/>
      <c r="Q134"/>
      <c r="R134"/>
      <c r="S134"/>
      <c r="T134"/>
    </row>
    <row r="135" spans="1:20" s="14" customFormat="1" x14ac:dyDescent="0.25">
      <c r="A135" s="2" t="s">
        <v>1767</v>
      </c>
      <c r="B135" s="491" t="s">
        <v>68</v>
      </c>
      <c r="C135" s="2" t="s">
        <v>46</v>
      </c>
      <c r="D135" s="2">
        <v>0</v>
      </c>
      <c r="E135" s="3" t="s">
        <v>1486</v>
      </c>
      <c r="F135" s="270"/>
      <c r="L135" s="2"/>
      <c r="P135"/>
      <c r="Q135"/>
      <c r="R135"/>
      <c r="S135"/>
      <c r="T135"/>
    </row>
    <row r="136" spans="1:20" s="14" customFormat="1" x14ac:dyDescent="0.25">
      <c r="A136" s="2" t="s">
        <v>1768</v>
      </c>
      <c r="B136" s="491" t="s">
        <v>70</v>
      </c>
      <c r="C136" s="2" t="s">
        <v>46</v>
      </c>
      <c r="D136" s="2">
        <v>0</v>
      </c>
      <c r="E136" s="3" t="s">
        <v>1486</v>
      </c>
      <c r="F136" s="270"/>
      <c r="L136" s="2"/>
      <c r="P136"/>
      <c r="Q136"/>
      <c r="R136"/>
      <c r="S136"/>
      <c r="T136"/>
    </row>
    <row r="137" spans="1:20" s="14" customFormat="1" x14ac:dyDescent="0.25">
      <c r="A137" s="2" t="s">
        <v>1769</v>
      </c>
      <c r="B137" s="491" t="s">
        <v>72</v>
      </c>
      <c r="C137" s="2" t="s">
        <v>46</v>
      </c>
      <c r="D137" s="2">
        <v>0</v>
      </c>
      <c r="E137" s="3" t="s">
        <v>1486</v>
      </c>
      <c r="F137" s="270"/>
      <c r="L137" s="2"/>
      <c r="P137"/>
      <c r="Q137"/>
      <c r="R137"/>
      <c r="S137"/>
      <c r="T137"/>
    </row>
    <row r="138" spans="1:20" s="14" customFormat="1" x14ac:dyDescent="0.25">
      <c r="A138" s="2" t="s">
        <v>1770</v>
      </c>
      <c r="B138" s="491" t="s">
        <v>74</v>
      </c>
      <c r="C138" s="2" t="s">
        <v>46</v>
      </c>
      <c r="D138" s="2">
        <v>0</v>
      </c>
      <c r="E138" s="3" t="s">
        <v>1486</v>
      </c>
      <c r="F138" s="270"/>
      <c r="L138" s="2"/>
      <c r="P138"/>
      <c r="Q138"/>
      <c r="R138"/>
      <c r="S138"/>
      <c r="T138"/>
    </row>
    <row r="139" spans="1:20" s="14" customFormat="1" x14ac:dyDescent="0.25">
      <c r="A139" s="2" t="s">
        <v>1771</v>
      </c>
      <c r="B139" s="491" t="s">
        <v>76</v>
      </c>
      <c r="C139" s="2" t="s">
        <v>46</v>
      </c>
      <c r="D139" s="2">
        <v>0</v>
      </c>
      <c r="E139" s="3" t="s">
        <v>1486</v>
      </c>
      <c r="F139" s="270"/>
      <c r="L139" s="2"/>
      <c r="P139"/>
      <c r="Q139"/>
      <c r="R139"/>
      <c r="S139"/>
      <c r="T139"/>
    </row>
    <row r="140" spans="1:20" s="14" customFormat="1" x14ac:dyDescent="0.25">
      <c r="A140" s="2" t="s">
        <v>1772</v>
      </c>
      <c r="B140" s="491" t="s">
        <v>78</v>
      </c>
      <c r="C140" s="2" t="s">
        <v>46</v>
      </c>
      <c r="D140" s="2">
        <v>0</v>
      </c>
      <c r="E140" s="3" t="s">
        <v>1486</v>
      </c>
      <c r="F140" s="270"/>
      <c r="L140" s="2"/>
      <c r="P140"/>
      <c r="Q140"/>
      <c r="R140"/>
      <c r="S140"/>
      <c r="T140"/>
    </row>
    <row r="141" spans="1:20" s="14" customFormat="1" x14ac:dyDescent="0.25">
      <c r="A141" s="2" t="s">
        <v>1773</v>
      </c>
      <c r="B141" s="491" t="s">
        <v>80</v>
      </c>
      <c r="C141" s="2" t="s">
        <v>46</v>
      </c>
      <c r="D141" s="2">
        <v>0</v>
      </c>
      <c r="E141" s="3" t="s">
        <v>1486</v>
      </c>
      <c r="F141" s="270"/>
      <c r="L141" s="2"/>
      <c r="P141"/>
      <c r="Q141"/>
      <c r="R141"/>
      <c r="S141"/>
      <c r="T141"/>
    </row>
    <row r="142" spans="1:20" s="14" customFormat="1" x14ac:dyDescent="0.25">
      <c r="A142" s="2" t="s">
        <v>1774</v>
      </c>
      <c r="B142" s="491" t="s">
        <v>82</v>
      </c>
      <c r="C142" s="2" t="s">
        <v>46</v>
      </c>
      <c r="D142" s="2">
        <v>0</v>
      </c>
      <c r="E142" s="3" t="s">
        <v>1486</v>
      </c>
      <c r="F142" s="270"/>
      <c r="L142" s="2"/>
      <c r="P142"/>
      <c r="Q142"/>
      <c r="R142"/>
      <c r="S142"/>
      <c r="T142"/>
    </row>
    <row r="143" spans="1:20" s="14" customFormat="1" x14ac:dyDescent="0.25">
      <c r="A143" s="2" t="s">
        <v>1775</v>
      </c>
      <c r="B143" s="491" t="s">
        <v>84</v>
      </c>
      <c r="C143" s="2" t="s">
        <v>46</v>
      </c>
      <c r="D143" s="2">
        <v>0</v>
      </c>
      <c r="E143" s="3" t="s">
        <v>1486</v>
      </c>
      <c r="F143" s="270"/>
      <c r="L143" s="2"/>
      <c r="P143"/>
      <c r="Q143"/>
      <c r="R143"/>
      <c r="S143"/>
      <c r="T143"/>
    </row>
    <row r="144" spans="1:20" s="14" customFormat="1" x14ac:dyDescent="0.25">
      <c r="A144" s="2" t="s">
        <v>1776</v>
      </c>
      <c r="B144" s="491" t="s">
        <v>86</v>
      </c>
      <c r="C144" s="2" t="s">
        <v>46</v>
      </c>
      <c r="D144" s="2">
        <v>0</v>
      </c>
      <c r="E144" s="3" t="s">
        <v>1486</v>
      </c>
      <c r="F144" s="270"/>
      <c r="L144" s="2"/>
      <c r="P144"/>
      <c r="Q144"/>
      <c r="R144"/>
      <c r="S144"/>
      <c r="T144"/>
    </row>
    <row r="145" spans="1:20" s="14" customFormat="1" x14ac:dyDescent="0.25">
      <c r="A145" s="2" t="s">
        <v>1777</v>
      </c>
      <c r="B145" s="491" t="s">
        <v>5477</v>
      </c>
      <c r="C145" s="2" t="s">
        <v>89</v>
      </c>
      <c r="D145" s="2">
        <v>40</v>
      </c>
      <c r="E145" s="3" t="s">
        <v>88</v>
      </c>
      <c r="F145" s="270"/>
      <c r="L145" s="2"/>
      <c r="P145"/>
      <c r="Q145"/>
      <c r="R145"/>
      <c r="S145"/>
      <c r="T145"/>
    </row>
    <row r="146" spans="1:20" s="14" customFormat="1" x14ac:dyDescent="0.25">
      <c r="A146" s="2" t="s">
        <v>1778</v>
      </c>
      <c r="B146" s="491" t="s">
        <v>2738</v>
      </c>
      <c r="C146" s="2" t="s">
        <v>89</v>
      </c>
      <c r="D146" s="2">
        <v>0</v>
      </c>
      <c r="E146" s="3" t="s">
        <v>1486</v>
      </c>
      <c r="F146" s="270"/>
      <c r="L146" s="2"/>
      <c r="P146"/>
      <c r="Q146"/>
      <c r="R146"/>
      <c r="S146"/>
      <c r="T146"/>
    </row>
    <row r="147" spans="1:20" s="14" customFormat="1" x14ac:dyDescent="0.25">
      <c r="A147" s="2" t="s">
        <v>1779</v>
      </c>
      <c r="B147" s="491" t="s">
        <v>5971</v>
      </c>
      <c r="C147" s="2" t="s">
        <v>94</v>
      </c>
      <c r="D147" s="2">
        <v>0</v>
      </c>
      <c r="E147" s="3" t="s">
        <v>1569</v>
      </c>
      <c r="F147" s="270"/>
      <c r="L147" s="2"/>
      <c r="P147"/>
      <c r="Q147"/>
      <c r="R147"/>
      <c r="S147"/>
      <c r="T147"/>
    </row>
    <row r="148" spans="1:20" s="14" customFormat="1" x14ac:dyDescent="0.25">
      <c r="A148" s="2" t="s">
        <v>1780</v>
      </c>
      <c r="B148" s="491" t="s">
        <v>5972</v>
      </c>
      <c r="C148" s="2" t="s">
        <v>94</v>
      </c>
      <c r="D148" s="2">
        <v>0</v>
      </c>
      <c r="E148" s="3" t="s">
        <v>1569</v>
      </c>
      <c r="F148" s="270"/>
      <c r="L148" s="2"/>
      <c r="P148"/>
      <c r="Q148"/>
      <c r="R148"/>
      <c r="S148"/>
      <c r="T148"/>
    </row>
    <row r="149" spans="1:20" s="14" customFormat="1" x14ac:dyDescent="0.25">
      <c r="A149" s="2" t="s">
        <v>1781</v>
      </c>
      <c r="B149" s="491" t="s">
        <v>5484</v>
      </c>
      <c r="C149" s="2" t="s">
        <v>94</v>
      </c>
      <c r="D149" s="2">
        <v>0</v>
      </c>
      <c r="E149" s="3" t="s">
        <v>88</v>
      </c>
      <c r="F149" s="270"/>
      <c r="L149" s="2"/>
      <c r="P149"/>
      <c r="Q149"/>
      <c r="R149"/>
      <c r="S149"/>
      <c r="T149"/>
    </row>
    <row r="150" spans="1:20" s="14" customFormat="1" x14ac:dyDescent="0.25">
      <c r="A150" s="2" t="s">
        <v>1782</v>
      </c>
      <c r="B150" s="491" t="s">
        <v>5485</v>
      </c>
      <c r="C150" s="2" t="s">
        <v>94</v>
      </c>
      <c r="D150" s="2">
        <v>0</v>
      </c>
      <c r="E150" s="3" t="s">
        <v>88</v>
      </c>
      <c r="F150" s="270"/>
      <c r="L150" s="2"/>
      <c r="P150"/>
      <c r="Q150"/>
      <c r="R150"/>
      <c r="S150"/>
      <c r="T150"/>
    </row>
    <row r="151" spans="1:20" s="14" customFormat="1" x14ac:dyDescent="0.25">
      <c r="A151" s="2" t="s">
        <v>1783</v>
      </c>
      <c r="B151" s="491" t="s">
        <v>5380</v>
      </c>
      <c r="C151" s="2" t="s">
        <v>5381</v>
      </c>
      <c r="D151" s="2">
        <v>10</v>
      </c>
      <c r="E151" s="3" t="s">
        <v>1626</v>
      </c>
      <c r="F151" s="270"/>
      <c r="L151" s="2"/>
      <c r="P151"/>
      <c r="Q151"/>
      <c r="R151"/>
      <c r="S151"/>
      <c r="T151"/>
    </row>
    <row r="152" spans="1:20" s="14" customFormat="1" x14ac:dyDescent="0.25">
      <c r="A152" s="2" t="s">
        <v>1784</v>
      </c>
      <c r="B152" s="491" t="s">
        <v>103</v>
      </c>
      <c r="C152" s="2" t="s">
        <v>100</v>
      </c>
      <c r="D152" s="2">
        <v>34</v>
      </c>
      <c r="E152" s="3" t="s">
        <v>1569</v>
      </c>
      <c r="F152" s="270"/>
      <c r="K152" s="14">
        <v>35</v>
      </c>
      <c r="L152" s="2"/>
      <c r="P152"/>
      <c r="Q152"/>
      <c r="R152"/>
      <c r="S152"/>
      <c r="T152"/>
    </row>
    <row r="153" spans="1:20" s="14" customFormat="1" x14ac:dyDescent="0.25">
      <c r="A153" s="2" t="s">
        <v>1785</v>
      </c>
      <c r="B153" s="491" t="s">
        <v>105</v>
      </c>
      <c r="C153" s="2" t="s">
        <v>100</v>
      </c>
      <c r="D153" s="2">
        <v>-4</v>
      </c>
      <c r="E153" s="3" t="s">
        <v>1569</v>
      </c>
      <c r="F153" s="270"/>
      <c r="L153" s="2"/>
      <c r="P153"/>
      <c r="Q153"/>
      <c r="R153"/>
      <c r="S153"/>
      <c r="T153"/>
    </row>
    <row r="154" spans="1:20" s="14" customFormat="1" x14ac:dyDescent="0.25">
      <c r="A154" s="2" t="s">
        <v>51</v>
      </c>
      <c r="B154" s="491" t="s">
        <v>111</v>
      </c>
      <c r="C154" s="2" t="s">
        <v>112</v>
      </c>
      <c r="D154" s="2">
        <v>0</v>
      </c>
      <c r="E154" s="3" t="s">
        <v>1569</v>
      </c>
      <c r="F154" s="270"/>
      <c r="L154" s="2"/>
      <c r="P154"/>
      <c r="Q154"/>
      <c r="R154"/>
      <c r="S154"/>
      <c r="T154"/>
    </row>
    <row r="155" spans="1:20" s="14" customFormat="1" x14ac:dyDescent="0.25">
      <c r="A155" s="2" t="s">
        <v>53</v>
      </c>
      <c r="B155" s="491" t="s">
        <v>113</v>
      </c>
      <c r="C155" s="2" t="s">
        <v>112</v>
      </c>
      <c r="D155" s="2">
        <v>0</v>
      </c>
      <c r="E155" s="3" t="s">
        <v>1569</v>
      </c>
      <c r="F155" s="270"/>
      <c r="L155" s="2"/>
      <c r="P155"/>
      <c r="Q155"/>
      <c r="R155"/>
      <c r="S155"/>
      <c r="T155"/>
    </row>
    <row r="156" spans="1:20" s="14" customFormat="1" x14ac:dyDescent="0.25">
      <c r="A156" s="2" t="s">
        <v>55</v>
      </c>
      <c r="B156" s="491" t="s">
        <v>114</v>
      </c>
      <c r="C156" s="2" t="s">
        <v>112</v>
      </c>
      <c r="D156" s="2">
        <v>0</v>
      </c>
      <c r="E156" s="3" t="s">
        <v>1569</v>
      </c>
      <c r="F156" s="270"/>
      <c r="L156" s="2"/>
      <c r="P156"/>
      <c r="Q156"/>
      <c r="R156"/>
      <c r="S156"/>
      <c r="T156"/>
    </row>
    <row r="157" spans="1:20" s="14" customFormat="1" x14ac:dyDescent="0.25">
      <c r="A157" s="2" t="s">
        <v>57</v>
      </c>
      <c r="B157" s="491" t="s">
        <v>115</v>
      </c>
      <c r="C157" s="2" t="s">
        <v>112</v>
      </c>
      <c r="D157" s="2">
        <v>0</v>
      </c>
      <c r="E157" s="3" t="s">
        <v>1569</v>
      </c>
      <c r="F157" s="270"/>
      <c r="L157" s="2"/>
      <c r="P157"/>
      <c r="Q157"/>
      <c r="R157"/>
      <c r="S157"/>
      <c r="T157"/>
    </row>
    <row r="158" spans="1:20" s="14" customFormat="1" x14ac:dyDescent="0.25">
      <c r="A158" s="2" t="s">
        <v>59</v>
      </c>
      <c r="B158" s="491" t="s">
        <v>116</v>
      </c>
      <c r="C158" s="2" t="s">
        <v>117</v>
      </c>
      <c r="D158" s="2">
        <v>0</v>
      </c>
      <c r="E158" s="3" t="s">
        <v>1626</v>
      </c>
      <c r="F158" s="270"/>
      <c r="L158" s="2"/>
      <c r="P158"/>
      <c r="Q158"/>
      <c r="R158"/>
      <c r="S158"/>
      <c r="T158"/>
    </row>
    <row r="159" spans="1:20" s="14" customFormat="1" x14ac:dyDescent="0.25">
      <c r="A159" s="2" t="s">
        <v>61</v>
      </c>
      <c r="B159" s="491" t="s">
        <v>118</v>
      </c>
      <c r="C159" s="2" t="s">
        <v>117</v>
      </c>
      <c r="D159" s="2">
        <v>0</v>
      </c>
      <c r="E159" s="3" t="s">
        <v>1626</v>
      </c>
      <c r="F159" s="270"/>
      <c r="L159" s="2"/>
      <c r="P159"/>
      <c r="Q159"/>
      <c r="R159"/>
      <c r="S159"/>
      <c r="T159"/>
    </row>
    <row r="160" spans="1:20" s="14" customFormat="1" x14ac:dyDescent="0.25">
      <c r="A160" s="2" t="s">
        <v>63</v>
      </c>
      <c r="B160" s="491" t="s">
        <v>4081</v>
      </c>
      <c r="C160" s="2" t="s">
        <v>119</v>
      </c>
      <c r="D160" s="2">
        <v>0</v>
      </c>
      <c r="E160" s="3" t="s">
        <v>1626</v>
      </c>
      <c r="F160" s="270"/>
      <c r="L160" s="2"/>
      <c r="P160"/>
      <c r="Q160"/>
      <c r="R160"/>
      <c r="S160"/>
      <c r="T160"/>
    </row>
    <row r="161" spans="1:20" s="14" customFormat="1" x14ac:dyDescent="0.25">
      <c r="A161" s="2" t="s">
        <v>65</v>
      </c>
      <c r="B161" s="491" t="s">
        <v>120</v>
      </c>
      <c r="C161" s="2" t="s">
        <v>117</v>
      </c>
      <c r="D161" s="2">
        <v>0</v>
      </c>
      <c r="E161" s="3" t="s">
        <v>1626</v>
      </c>
      <c r="F161" s="270"/>
      <c r="L161" s="2"/>
      <c r="P161"/>
      <c r="Q161"/>
      <c r="R161"/>
      <c r="S161"/>
      <c r="T161"/>
    </row>
    <row r="162" spans="1:20" s="14" customFormat="1" x14ac:dyDescent="0.25">
      <c r="A162" s="2" t="s">
        <v>67</v>
      </c>
      <c r="B162" s="491" t="s">
        <v>4089</v>
      </c>
      <c r="C162" s="2" t="s">
        <v>117</v>
      </c>
      <c r="D162" s="2">
        <v>0</v>
      </c>
      <c r="E162" s="3" t="s">
        <v>1626</v>
      </c>
      <c r="F162" s="270"/>
      <c r="L162" s="2"/>
      <c r="P162"/>
      <c r="Q162"/>
      <c r="R162"/>
      <c r="S162"/>
      <c r="T162"/>
    </row>
    <row r="163" spans="1:20" s="14" customFormat="1" x14ac:dyDescent="0.25">
      <c r="A163" s="2" t="s">
        <v>69</v>
      </c>
      <c r="B163" s="491" t="s">
        <v>121</v>
      </c>
      <c r="C163" s="2" t="s">
        <v>117</v>
      </c>
      <c r="D163" s="2">
        <v>0</v>
      </c>
      <c r="E163" s="3" t="s">
        <v>1626</v>
      </c>
      <c r="F163" s="270"/>
      <c r="L163" s="2"/>
      <c r="P163"/>
      <c r="Q163"/>
      <c r="R163"/>
      <c r="S163"/>
      <c r="T163"/>
    </row>
    <row r="164" spans="1:20" s="14" customFormat="1" x14ac:dyDescent="0.25">
      <c r="A164" s="2" t="s">
        <v>71</v>
      </c>
      <c r="B164" s="491" t="s">
        <v>122</v>
      </c>
      <c r="C164" s="2" t="s">
        <v>117</v>
      </c>
      <c r="D164" s="2">
        <v>0</v>
      </c>
      <c r="E164" s="3" t="s">
        <v>1626</v>
      </c>
      <c r="F164" s="270"/>
      <c r="L164" s="2"/>
      <c r="P164"/>
      <c r="Q164"/>
      <c r="R164"/>
      <c r="S164"/>
      <c r="T164"/>
    </row>
    <row r="165" spans="1:20" s="14" customFormat="1" x14ac:dyDescent="0.25">
      <c r="A165" s="2" t="s">
        <v>73</v>
      </c>
      <c r="B165" s="491" t="s">
        <v>123</v>
      </c>
      <c r="C165" s="2" t="s">
        <v>117</v>
      </c>
      <c r="D165" s="2">
        <v>0</v>
      </c>
      <c r="E165" s="3" t="s">
        <v>1626</v>
      </c>
      <c r="F165" s="270"/>
      <c r="L165" s="2"/>
      <c r="P165"/>
      <c r="Q165"/>
      <c r="R165"/>
      <c r="S165"/>
      <c r="T165"/>
    </row>
    <row r="166" spans="1:20" s="14" customFormat="1" x14ac:dyDescent="0.25">
      <c r="A166" s="2" t="s">
        <v>75</v>
      </c>
      <c r="B166" s="491" t="s">
        <v>124</v>
      </c>
      <c r="C166" s="2" t="s">
        <v>117</v>
      </c>
      <c r="D166" s="2">
        <v>-3</v>
      </c>
      <c r="E166" s="3" t="s">
        <v>1626</v>
      </c>
      <c r="F166" s="270"/>
      <c r="L166" s="2"/>
      <c r="P166"/>
      <c r="Q166"/>
      <c r="R166"/>
      <c r="S166"/>
      <c r="T166"/>
    </row>
    <row r="167" spans="1:20" s="14" customFormat="1" x14ac:dyDescent="0.25">
      <c r="A167" s="2" t="s">
        <v>77</v>
      </c>
      <c r="B167" s="491" t="s">
        <v>4080</v>
      </c>
      <c r="C167" s="2" t="s">
        <v>117</v>
      </c>
      <c r="D167" s="2">
        <v>0</v>
      </c>
      <c r="E167" s="3" t="s">
        <v>1626</v>
      </c>
      <c r="F167" s="270"/>
      <c r="L167" s="2"/>
      <c r="P167"/>
      <c r="Q167"/>
      <c r="R167"/>
      <c r="S167"/>
      <c r="T167"/>
    </row>
    <row r="168" spans="1:20" s="14" customFormat="1" x14ac:dyDescent="0.25">
      <c r="A168" s="2" t="s">
        <v>79</v>
      </c>
      <c r="B168" s="491" t="s">
        <v>4078</v>
      </c>
      <c r="C168" s="2" t="s">
        <v>119</v>
      </c>
      <c r="D168" s="2">
        <v>0</v>
      </c>
      <c r="E168" s="3" t="s">
        <v>1626</v>
      </c>
      <c r="F168" s="270"/>
      <c r="L168" s="2"/>
      <c r="P168"/>
      <c r="Q168"/>
      <c r="R168"/>
      <c r="S168"/>
      <c r="T168"/>
    </row>
    <row r="169" spans="1:20" s="14" customFormat="1" x14ac:dyDescent="0.25">
      <c r="A169" s="2" t="s">
        <v>81</v>
      </c>
      <c r="B169" s="491" t="s">
        <v>125</v>
      </c>
      <c r="C169" s="2" t="s">
        <v>112</v>
      </c>
      <c r="D169" s="2">
        <v>-2</v>
      </c>
      <c r="E169" s="3" t="s">
        <v>1626</v>
      </c>
      <c r="F169" s="270"/>
      <c r="L169" s="2"/>
      <c r="P169"/>
      <c r="Q169"/>
      <c r="R169"/>
      <c r="S169"/>
      <c r="T169"/>
    </row>
    <row r="170" spans="1:20" s="14" customFormat="1" x14ac:dyDescent="0.25">
      <c r="A170" s="2" t="s">
        <v>83</v>
      </c>
      <c r="B170" s="491" t="s">
        <v>126</v>
      </c>
      <c r="C170" s="2" t="s">
        <v>112</v>
      </c>
      <c r="D170" s="2">
        <v>0</v>
      </c>
      <c r="E170" s="3" t="s">
        <v>1626</v>
      </c>
      <c r="F170" s="270"/>
      <c r="L170" s="2"/>
      <c r="P170"/>
      <c r="Q170"/>
      <c r="R170"/>
      <c r="S170"/>
      <c r="T170"/>
    </row>
    <row r="171" spans="1:20" s="14" customFormat="1" x14ac:dyDescent="0.25">
      <c r="A171" s="2" t="s">
        <v>85</v>
      </c>
      <c r="B171" s="491" t="s">
        <v>127</v>
      </c>
      <c r="C171" s="2" t="s">
        <v>112</v>
      </c>
      <c r="D171" s="2">
        <v>9</v>
      </c>
      <c r="E171" s="3" t="s">
        <v>1626</v>
      </c>
      <c r="F171" s="270"/>
      <c r="L171" s="2"/>
      <c r="P171"/>
      <c r="Q171"/>
      <c r="R171"/>
      <c r="S171"/>
      <c r="T171"/>
    </row>
    <row r="172" spans="1:20" s="14" customFormat="1" x14ac:dyDescent="0.25">
      <c r="A172" s="2" t="s">
        <v>87</v>
      </c>
      <c r="B172" s="491" t="s">
        <v>4082</v>
      </c>
      <c r="C172" s="2" t="s">
        <v>119</v>
      </c>
      <c r="D172" s="2">
        <v>-7</v>
      </c>
      <c r="E172" s="3" t="s">
        <v>1626</v>
      </c>
      <c r="F172" s="270"/>
      <c r="L172" s="2"/>
      <c r="P172"/>
      <c r="Q172"/>
      <c r="R172"/>
      <c r="S172"/>
      <c r="T172"/>
    </row>
    <row r="173" spans="1:20" s="14" customFormat="1" x14ac:dyDescent="0.25">
      <c r="A173" s="2" t="s">
        <v>91</v>
      </c>
      <c r="B173" s="491" t="s">
        <v>129</v>
      </c>
      <c r="C173" s="2" t="s">
        <v>112</v>
      </c>
      <c r="D173" s="2">
        <v>0</v>
      </c>
      <c r="E173" s="3" t="s">
        <v>1626</v>
      </c>
      <c r="F173" s="270"/>
      <c r="L173" s="2"/>
      <c r="P173"/>
      <c r="Q173"/>
      <c r="R173"/>
      <c r="S173"/>
      <c r="T173"/>
    </row>
    <row r="174" spans="1:20" s="14" customFormat="1" x14ac:dyDescent="0.25">
      <c r="A174" s="2" t="s">
        <v>92</v>
      </c>
      <c r="B174" s="491" t="s">
        <v>131</v>
      </c>
      <c r="C174" s="2" t="s">
        <v>112</v>
      </c>
      <c r="D174" s="2">
        <v>0</v>
      </c>
      <c r="E174" s="3" t="s">
        <v>1626</v>
      </c>
      <c r="F174" s="270"/>
      <c r="L174" s="2"/>
      <c r="P174"/>
      <c r="Q174"/>
      <c r="R174"/>
      <c r="S174"/>
      <c r="T174"/>
    </row>
    <row r="175" spans="1:20" s="14" customFormat="1" x14ac:dyDescent="0.25">
      <c r="A175" s="2" t="s">
        <v>93</v>
      </c>
      <c r="B175" s="491" t="s">
        <v>133</v>
      </c>
      <c r="C175" s="2" t="s">
        <v>112</v>
      </c>
      <c r="D175" s="2">
        <v>10</v>
      </c>
      <c r="E175" s="3" t="s">
        <v>1626</v>
      </c>
      <c r="F175" s="270"/>
      <c r="L175" s="2"/>
      <c r="P175"/>
      <c r="Q175"/>
      <c r="R175"/>
      <c r="S175"/>
      <c r="T175"/>
    </row>
    <row r="176" spans="1:20" s="14" customFormat="1" x14ac:dyDescent="0.25">
      <c r="A176" s="2" t="s">
        <v>96</v>
      </c>
      <c r="B176" s="491" t="s">
        <v>135</v>
      </c>
      <c r="C176" s="2" t="s">
        <v>136</v>
      </c>
      <c r="D176" s="2">
        <v>0</v>
      </c>
      <c r="E176" s="3" t="s">
        <v>1626</v>
      </c>
      <c r="F176" s="270"/>
      <c r="L176" s="2"/>
      <c r="P176"/>
      <c r="Q176"/>
      <c r="R176"/>
      <c r="S176"/>
      <c r="T176"/>
    </row>
    <row r="177" spans="1:20" s="14" customFormat="1" x14ac:dyDescent="0.25">
      <c r="A177" s="2" t="s">
        <v>97</v>
      </c>
      <c r="B177" s="491" t="s">
        <v>138</v>
      </c>
      <c r="C177" s="2" t="s">
        <v>136</v>
      </c>
      <c r="D177" s="2">
        <v>0</v>
      </c>
      <c r="E177" s="3" t="s">
        <v>1626</v>
      </c>
      <c r="F177" s="270"/>
      <c r="L177" s="2"/>
      <c r="P177"/>
      <c r="Q177"/>
      <c r="R177"/>
      <c r="S177"/>
      <c r="T177"/>
    </row>
    <row r="178" spans="1:20" s="14" customFormat="1" x14ac:dyDescent="0.25">
      <c r="A178" s="2" t="s">
        <v>98</v>
      </c>
      <c r="B178" s="491" t="s">
        <v>140</v>
      </c>
      <c r="C178" s="2" t="s">
        <v>136</v>
      </c>
      <c r="D178" s="2">
        <v>0</v>
      </c>
      <c r="E178" s="3" t="s">
        <v>1626</v>
      </c>
      <c r="F178" s="270"/>
      <c r="L178" s="2"/>
      <c r="P178"/>
      <c r="Q178"/>
      <c r="R178"/>
      <c r="S178"/>
      <c r="T178"/>
    </row>
    <row r="179" spans="1:20" s="14" customFormat="1" x14ac:dyDescent="0.25">
      <c r="A179" s="2" t="s">
        <v>99</v>
      </c>
      <c r="B179" s="491" t="s">
        <v>142</v>
      </c>
      <c r="C179" s="2" t="s">
        <v>136</v>
      </c>
      <c r="D179" s="2">
        <v>0</v>
      </c>
      <c r="E179" s="3" t="s">
        <v>1626</v>
      </c>
      <c r="F179" s="270"/>
      <c r="L179" s="2"/>
      <c r="P179"/>
      <c r="Q179"/>
      <c r="R179"/>
      <c r="S179"/>
      <c r="T179"/>
    </row>
    <row r="180" spans="1:20" s="14" customFormat="1" x14ac:dyDescent="0.25">
      <c r="A180" s="2" t="s">
        <v>102</v>
      </c>
      <c r="B180" s="491" t="s">
        <v>4002</v>
      </c>
      <c r="C180" s="2" t="s">
        <v>136</v>
      </c>
      <c r="D180" s="2">
        <v>0</v>
      </c>
      <c r="E180" s="3" t="s">
        <v>1626</v>
      </c>
      <c r="F180" s="270"/>
      <c r="L180" s="2"/>
      <c r="P180"/>
      <c r="Q180"/>
      <c r="R180"/>
      <c r="S180"/>
      <c r="T180"/>
    </row>
    <row r="181" spans="1:20" s="14" customFormat="1" x14ac:dyDescent="0.25">
      <c r="A181" s="2" t="s">
        <v>104</v>
      </c>
      <c r="B181" s="491" t="s">
        <v>145</v>
      </c>
      <c r="C181" s="2" t="s">
        <v>136</v>
      </c>
      <c r="D181" s="2">
        <v>0</v>
      </c>
      <c r="E181" s="3" t="s">
        <v>1626</v>
      </c>
      <c r="F181" s="270"/>
      <c r="L181" s="2"/>
      <c r="P181"/>
      <c r="Q181"/>
      <c r="R181"/>
      <c r="S181"/>
      <c r="T181"/>
    </row>
    <row r="182" spans="1:20" s="14" customFormat="1" x14ac:dyDescent="0.25">
      <c r="A182" s="2" t="s">
        <v>106</v>
      </c>
      <c r="B182" s="491" t="s">
        <v>4004</v>
      </c>
      <c r="C182" s="2" t="s">
        <v>136</v>
      </c>
      <c r="D182" s="2">
        <v>0</v>
      </c>
      <c r="E182" s="3" t="s">
        <v>1626</v>
      </c>
      <c r="F182" s="270"/>
      <c r="L182" s="2"/>
      <c r="P182"/>
      <c r="Q182"/>
      <c r="R182"/>
      <c r="S182"/>
      <c r="T182"/>
    </row>
    <row r="183" spans="1:20" s="14" customFormat="1" x14ac:dyDescent="0.25">
      <c r="A183" s="2" t="s">
        <v>110</v>
      </c>
      <c r="B183" s="491" t="s">
        <v>148</v>
      </c>
      <c r="C183" s="2" t="s">
        <v>112</v>
      </c>
      <c r="D183" s="2">
        <v>0</v>
      </c>
      <c r="E183" s="3" t="s">
        <v>1626</v>
      </c>
      <c r="F183" s="270"/>
      <c r="L183" s="2"/>
      <c r="P183"/>
      <c r="Q183"/>
      <c r="R183"/>
      <c r="S183"/>
      <c r="T183"/>
    </row>
    <row r="184" spans="1:20" s="14" customFormat="1" x14ac:dyDescent="0.25">
      <c r="A184" s="2" t="s">
        <v>128</v>
      </c>
      <c r="B184" s="491" t="s">
        <v>2265</v>
      </c>
      <c r="C184" s="2" t="s">
        <v>164</v>
      </c>
      <c r="D184" s="2">
        <v>0</v>
      </c>
      <c r="E184" s="3" t="s">
        <v>1626</v>
      </c>
      <c r="F184" s="270"/>
      <c r="L184" s="2"/>
      <c r="P184"/>
      <c r="Q184"/>
      <c r="R184"/>
      <c r="S184"/>
      <c r="T184"/>
    </row>
    <row r="185" spans="1:20" s="14" customFormat="1" x14ac:dyDescent="0.25">
      <c r="A185" s="2" t="s">
        <v>130</v>
      </c>
      <c r="B185" s="491" t="s">
        <v>163</v>
      </c>
      <c r="C185" s="2" t="s">
        <v>164</v>
      </c>
      <c r="D185" s="2">
        <v>0</v>
      </c>
      <c r="E185" s="3" t="s">
        <v>1626</v>
      </c>
      <c r="F185" s="270"/>
      <c r="L185" s="2"/>
      <c r="P185"/>
      <c r="Q185"/>
      <c r="R185"/>
      <c r="S185"/>
      <c r="T185"/>
    </row>
    <row r="186" spans="1:20" s="14" customFormat="1" x14ac:dyDescent="0.25">
      <c r="A186" s="2" t="s">
        <v>132</v>
      </c>
      <c r="B186" s="491" t="s">
        <v>166</v>
      </c>
      <c r="C186" s="2" t="s">
        <v>167</v>
      </c>
      <c r="D186" s="2">
        <v>0</v>
      </c>
      <c r="E186" s="3" t="s">
        <v>1626</v>
      </c>
      <c r="F186" s="270"/>
      <c r="L186" s="2"/>
      <c r="P186"/>
      <c r="Q186"/>
      <c r="R186"/>
      <c r="S186"/>
      <c r="T186"/>
    </row>
    <row r="187" spans="1:20" s="14" customFormat="1" x14ac:dyDescent="0.25">
      <c r="A187" s="2" t="s">
        <v>134</v>
      </c>
      <c r="B187" s="491" t="s">
        <v>168</v>
      </c>
      <c r="C187" s="2" t="s">
        <v>167</v>
      </c>
      <c r="D187" s="2">
        <v>-10</v>
      </c>
      <c r="E187" s="3" t="s">
        <v>1626</v>
      </c>
      <c r="F187" s="270"/>
      <c r="L187" s="2"/>
      <c r="P187"/>
      <c r="Q187"/>
      <c r="R187"/>
      <c r="S187"/>
      <c r="T187"/>
    </row>
    <row r="188" spans="1:20" s="14" customFormat="1" x14ac:dyDescent="0.25">
      <c r="A188" s="2" t="s">
        <v>137</v>
      </c>
      <c r="B188" s="491" t="s">
        <v>169</v>
      </c>
      <c r="C188" s="2" t="s">
        <v>167</v>
      </c>
      <c r="D188" s="2">
        <v>0</v>
      </c>
      <c r="E188" s="3" t="s">
        <v>1626</v>
      </c>
      <c r="F188" s="270"/>
      <c r="L188" s="2"/>
      <c r="P188"/>
      <c r="Q188"/>
      <c r="R188"/>
      <c r="S188"/>
      <c r="T188"/>
    </row>
    <row r="189" spans="1:20" s="14" customFormat="1" x14ac:dyDescent="0.25">
      <c r="A189" s="2" t="s">
        <v>139</v>
      </c>
      <c r="B189" s="491" t="s">
        <v>170</v>
      </c>
      <c r="C189" s="2" t="s">
        <v>167</v>
      </c>
      <c r="D189" s="2">
        <v>24</v>
      </c>
      <c r="E189" s="3" t="s">
        <v>1626</v>
      </c>
      <c r="F189" s="270"/>
      <c r="L189" s="2"/>
      <c r="P189"/>
      <c r="Q189"/>
      <c r="R189"/>
      <c r="S189"/>
      <c r="T189"/>
    </row>
    <row r="190" spans="1:20" s="14" customFormat="1" x14ac:dyDescent="0.25">
      <c r="A190" s="2" t="s">
        <v>141</v>
      </c>
      <c r="B190" s="491" t="s">
        <v>5864</v>
      </c>
      <c r="C190" s="2" t="s">
        <v>2792</v>
      </c>
      <c r="D190" s="2">
        <v>24</v>
      </c>
      <c r="E190" s="3" t="s">
        <v>1626</v>
      </c>
      <c r="F190" s="270"/>
      <c r="L190" s="2"/>
      <c r="P190"/>
      <c r="Q190"/>
      <c r="R190"/>
      <c r="S190"/>
      <c r="T190"/>
    </row>
    <row r="191" spans="1:20" s="14" customFormat="1" x14ac:dyDescent="0.25">
      <c r="A191" s="2" t="s">
        <v>143</v>
      </c>
      <c r="B191" s="491" t="s">
        <v>5865</v>
      </c>
      <c r="C191" s="2" t="s">
        <v>2792</v>
      </c>
      <c r="D191" s="2">
        <v>-48</v>
      </c>
      <c r="E191" s="3" t="s">
        <v>693</v>
      </c>
      <c r="F191" s="270"/>
      <c r="L191" s="2"/>
      <c r="P191"/>
      <c r="Q191"/>
      <c r="R191"/>
      <c r="S191"/>
      <c r="T191"/>
    </row>
    <row r="192" spans="1:20" s="14" customFormat="1" x14ac:dyDescent="0.25">
      <c r="A192" s="2" t="s">
        <v>144</v>
      </c>
      <c r="B192" s="491" t="s">
        <v>3177</v>
      </c>
      <c r="C192" s="2" t="s">
        <v>2792</v>
      </c>
      <c r="D192" s="2">
        <v>-2</v>
      </c>
      <c r="E192" s="3" t="s">
        <v>1486</v>
      </c>
      <c r="F192" s="270"/>
      <c r="L192" s="2"/>
      <c r="P192"/>
      <c r="Q192"/>
      <c r="R192"/>
      <c r="S192"/>
      <c r="T192"/>
    </row>
    <row r="193" spans="1:20" s="14" customFormat="1" x14ac:dyDescent="0.25">
      <c r="A193" s="2" t="s">
        <v>146</v>
      </c>
      <c r="B193" s="491" t="s">
        <v>2804</v>
      </c>
      <c r="C193" s="2" t="s">
        <v>2792</v>
      </c>
      <c r="D193" s="2">
        <v>0</v>
      </c>
      <c r="E193" s="3" t="s">
        <v>1626</v>
      </c>
      <c r="F193" s="270"/>
      <c r="L193" s="2"/>
      <c r="P193"/>
      <c r="Q193"/>
      <c r="R193"/>
      <c r="S193"/>
      <c r="T193"/>
    </row>
    <row r="194" spans="1:20" s="14" customFormat="1" x14ac:dyDescent="0.25">
      <c r="A194" s="2" t="s">
        <v>147</v>
      </c>
      <c r="B194" s="491" t="s">
        <v>2805</v>
      </c>
      <c r="C194" s="2" t="s">
        <v>2792</v>
      </c>
      <c r="D194" s="2">
        <v>0</v>
      </c>
      <c r="E194" s="3" t="s">
        <v>1626</v>
      </c>
      <c r="F194" s="270"/>
      <c r="L194" s="2"/>
      <c r="P194"/>
      <c r="Q194"/>
      <c r="R194"/>
      <c r="S194"/>
      <c r="T194"/>
    </row>
    <row r="195" spans="1:20" s="14" customFormat="1" x14ac:dyDescent="0.25">
      <c r="A195" s="2" t="s">
        <v>150</v>
      </c>
      <c r="B195" s="491" t="s">
        <v>2812</v>
      </c>
      <c r="C195" s="2" t="s">
        <v>2792</v>
      </c>
      <c r="D195" s="2">
        <v>168</v>
      </c>
      <c r="E195" s="3" t="s">
        <v>1626</v>
      </c>
      <c r="F195" s="270"/>
      <c r="L195" s="2"/>
      <c r="P195"/>
      <c r="Q195"/>
      <c r="R195"/>
      <c r="S195"/>
      <c r="T195"/>
    </row>
    <row r="196" spans="1:20" s="14" customFormat="1" x14ac:dyDescent="0.25">
      <c r="A196" s="2" t="s">
        <v>151</v>
      </c>
      <c r="B196" s="491" t="s">
        <v>2813</v>
      </c>
      <c r="C196" s="2" t="s">
        <v>2792</v>
      </c>
      <c r="D196" s="2">
        <v>0</v>
      </c>
      <c r="E196" s="3" t="s">
        <v>1626</v>
      </c>
      <c r="F196" s="270"/>
      <c r="L196" s="2"/>
      <c r="P196"/>
      <c r="Q196"/>
      <c r="R196"/>
      <c r="S196"/>
      <c r="T196"/>
    </row>
    <row r="197" spans="1:20" s="14" customFormat="1" x14ac:dyDescent="0.25">
      <c r="A197" s="2" t="s">
        <v>152</v>
      </c>
      <c r="B197" s="491" t="s">
        <v>2814</v>
      </c>
      <c r="C197" s="2" t="s">
        <v>2792</v>
      </c>
      <c r="D197" s="2">
        <v>48</v>
      </c>
      <c r="E197" s="3" t="s">
        <v>2755</v>
      </c>
      <c r="F197" s="270"/>
      <c r="L197" s="2"/>
      <c r="M197" s="14">
        <v>0</v>
      </c>
      <c r="P197"/>
      <c r="Q197"/>
      <c r="R197"/>
      <c r="S197"/>
      <c r="T197"/>
    </row>
    <row r="198" spans="1:20" s="14" customFormat="1" x14ac:dyDescent="0.25">
      <c r="A198" s="2" t="s">
        <v>153</v>
      </c>
      <c r="B198" s="491" t="s">
        <v>2815</v>
      </c>
      <c r="C198" s="2" t="s">
        <v>2792</v>
      </c>
      <c r="D198" s="2">
        <v>12</v>
      </c>
      <c r="E198" s="3" t="s">
        <v>2755</v>
      </c>
      <c r="F198" s="270"/>
      <c r="L198" s="2"/>
      <c r="M198" s="14">
        <v>0</v>
      </c>
      <c r="P198"/>
      <c r="Q198"/>
      <c r="R198"/>
      <c r="S198"/>
      <c r="T198"/>
    </row>
    <row r="199" spans="1:20" s="14" customFormat="1" x14ac:dyDescent="0.25">
      <c r="A199" s="2" t="s">
        <v>154</v>
      </c>
      <c r="B199" s="491" t="s">
        <v>2816</v>
      </c>
      <c r="C199" s="2" t="s">
        <v>2792</v>
      </c>
      <c r="D199" s="2">
        <v>0</v>
      </c>
      <c r="E199" s="3" t="s">
        <v>2755</v>
      </c>
      <c r="F199" s="270"/>
      <c r="L199" s="2"/>
      <c r="M199" s="14">
        <v>0</v>
      </c>
      <c r="P199"/>
      <c r="Q199"/>
      <c r="R199"/>
      <c r="S199"/>
      <c r="T199"/>
    </row>
    <row r="200" spans="1:20" s="14" customFormat="1" x14ac:dyDescent="0.25">
      <c r="A200" s="2" t="s">
        <v>155</v>
      </c>
      <c r="B200" s="491" t="s">
        <v>2817</v>
      </c>
      <c r="C200" s="2" t="s">
        <v>2792</v>
      </c>
      <c r="D200" s="2">
        <v>17</v>
      </c>
      <c r="E200" s="3" t="s">
        <v>2755</v>
      </c>
      <c r="F200" s="270"/>
      <c r="L200" s="2"/>
      <c r="M200" s="14">
        <v>17</v>
      </c>
      <c r="P200"/>
      <c r="Q200"/>
      <c r="R200"/>
      <c r="S200"/>
      <c r="T200"/>
    </row>
    <row r="201" spans="1:20" s="14" customFormat="1" x14ac:dyDescent="0.25">
      <c r="A201" s="2" t="s">
        <v>156</v>
      </c>
      <c r="B201" s="491" t="s">
        <v>2806</v>
      </c>
      <c r="C201" s="2" t="s">
        <v>2792</v>
      </c>
      <c r="D201" s="2">
        <v>24</v>
      </c>
      <c r="E201" s="3" t="s">
        <v>2755</v>
      </c>
      <c r="F201" s="270"/>
      <c r="L201" s="2"/>
      <c r="M201" s="14">
        <v>0</v>
      </c>
      <c r="P201"/>
      <c r="Q201"/>
      <c r="R201"/>
      <c r="S201"/>
      <c r="T201"/>
    </row>
    <row r="202" spans="1:20" s="14" customFormat="1" x14ac:dyDescent="0.25">
      <c r="A202" s="2" t="s">
        <v>157</v>
      </c>
      <c r="B202" s="491" t="s">
        <v>2142</v>
      </c>
      <c r="C202" s="2" t="s">
        <v>2792</v>
      </c>
      <c r="D202" s="2">
        <v>15</v>
      </c>
      <c r="E202" s="3" t="s">
        <v>2755</v>
      </c>
      <c r="F202" s="270"/>
      <c r="L202" s="2"/>
      <c r="M202" s="14">
        <v>15</v>
      </c>
      <c r="P202"/>
      <c r="Q202"/>
      <c r="R202"/>
      <c r="S202"/>
      <c r="T202"/>
    </row>
    <row r="203" spans="1:20" s="14" customFormat="1" x14ac:dyDescent="0.25">
      <c r="A203" s="2" t="s">
        <v>158</v>
      </c>
      <c r="B203" s="491" t="s">
        <v>2811</v>
      </c>
      <c r="C203" s="2" t="s">
        <v>2792</v>
      </c>
      <c r="D203" s="2">
        <v>20</v>
      </c>
      <c r="E203" s="3" t="s">
        <v>2755</v>
      </c>
      <c r="F203" s="270"/>
      <c r="L203" s="2"/>
      <c r="M203" s="14">
        <v>20</v>
      </c>
      <c r="P203"/>
      <c r="Q203"/>
      <c r="R203"/>
      <c r="S203"/>
      <c r="T203"/>
    </row>
    <row r="204" spans="1:20" s="14" customFormat="1" x14ac:dyDescent="0.25">
      <c r="A204" s="2" t="s">
        <v>159</v>
      </c>
      <c r="B204" s="491" t="s">
        <v>2807</v>
      </c>
      <c r="C204" s="2" t="s">
        <v>2792</v>
      </c>
      <c r="D204" s="2">
        <v>0</v>
      </c>
      <c r="E204" s="3" t="s">
        <v>2755</v>
      </c>
      <c r="F204" s="270"/>
      <c r="L204" s="2"/>
      <c r="M204" s="14">
        <v>0</v>
      </c>
      <c r="P204"/>
      <c r="Q204"/>
      <c r="R204"/>
      <c r="S204"/>
      <c r="T204"/>
    </row>
    <row r="205" spans="1:20" s="14" customFormat="1" x14ac:dyDescent="0.25">
      <c r="A205" s="2" t="s">
        <v>160</v>
      </c>
      <c r="B205" s="491" t="s">
        <v>2808</v>
      </c>
      <c r="C205" s="2" t="s">
        <v>2792</v>
      </c>
      <c r="D205" s="2">
        <v>24</v>
      </c>
      <c r="E205" s="3" t="s">
        <v>2755</v>
      </c>
      <c r="F205" s="270"/>
      <c r="L205" s="2"/>
      <c r="M205" s="14">
        <v>0</v>
      </c>
      <c r="P205"/>
      <c r="Q205"/>
      <c r="R205"/>
      <c r="S205"/>
      <c r="T205"/>
    </row>
    <row r="206" spans="1:20" s="14" customFormat="1" x14ac:dyDescent="0.25">
      <c r="A206" s="2" t="s">
        <v>161</v>
      </c>
      <c r="B206" s="491" t="s">
        <v>2809</v>
      </c>
      <c r="C206" s="2" t="s">
        <v>2792</v>
      </c>
      <c r="D206" s="2">
        <v>24</v>
      </c>
      <c r="E206" s="3" t="s">
        <v>2755</v>
      </c>
      <c r="F206" s="270"/>
      <c r="L206" s="2"/>
      <c r="M206" s="14">
        <v>0</v>
      </c>
      <c r="P206"/>
      <c r="Q206"/>
      <c r="R206"/>
      <c r="S206"/>
      <c r="T206"/>
    </row>
    <row r="207" spans="1:20" s="14" customFormat="1" x14ac:dyDescent="0.25">
      <c r="A207" s="2" t="s">
        <v>162</v>
      </c>
      <c r="B207" s="491" t="s">
        <v>1819</v>
      </c>
      <c r="C207" s="2" t="s">
        <v>2792</v>
      </c>
      <c r="D207" s="2">
        <v>0</v>
      </c>
      <c r="E207" s="3" t="s">
        <v>2755</v>
      </c>
      <c r="F207" s="270"/>
      <c r="L207" s="2"/>
      <c r="M207" s="14">
        <v>0</v>
      </c>
      <c r="P207"/>
      <c r="Q207"/>
      <c r="R207"/>
      <c r="S207"/>
      <c r="T207"/>
    </row>
    <row r="208" spans="1:20" s="14" customFormat="1" x14ac:dyDescent="0.25">
      <c r="A208" s="2" t="s">
        <v>165</v>
      </c>
      <c r="B208" s="491" t="s">
        <v>2810</v>
      </c>
      <c r="C208" s="2" t="s">
        <v>2792</v>
      </c>
      <c r="D208" s="2">
        <v>5</v>
      </c>
      <c r="E208" s="3" t="s">
        <v>2755</v>
      </c>
      <c r="F208" s="270"/>
      <c r="L208" s="2"/>
      <c r="M208" s="14">
        <v>5</v>
      </c>
      <c r="P208"/>
      <c r="Q208"/>
      <c r="R208"/>
      <c r="S208"/>
      <c r="T208"/>
    </row>
    <row r="209" spans="1:20" s="14" customFormat="1" x14ac:dyDescent="0.25">
      <c r="A209" s="2" t="s">
        <v>172</v>
      </c>
      <c r="B209" s="491" t="s">
        <v>4090</v>
      </c>
      <c r="C209" s="2" t="s">
        <v>112</v>
      </c>
      <c r="D209" s="2">
        <v>48</v>
      </c>
      <c r="E209" s="3" t="s">
        <v>2755</v>
      </c>
      <c r="F209" s="270"/>
      <c r="L209" s="2"/>
      <c r="M209" s="14">
        <v>48</v>
      </c>
      <c r="P209"/>
      <c r="Q209"/>
      <c r="R209"/>
      <c r="S209"/>
      <c r="T209"/>
    </row>
    <row r="210" spans="1:20" s="14" customFormat="1" x14ac:dyDescent="0.25">
      <c r="A210" s="2" t="s">
        <v>173</v>
      </c>
      <c r="B210" s="491" t="s">
        <v>4093</v>
      </c>
      <c r="C210" s="2" t="s">
        <v>3364</v>
      </c>
      <c r="D210" s="2">
        <v>48</v>
      </c>
      <c r="E210" s="3" t="s">
        <v>2755</v>
      </c>
      <c r="F210" s="270"/>
      <c r="L210" s="2"/>
      <c r="M210" s="14">
        <v>0</v>
      </c>
      <c r="P210"/>
      <c r="Q210"/>
      <c r="R210"/>
      <c r="S210"/>
      <c r="T210"/>
    </row>
    <row r="211" spans="1:20" s="14" customFormat="1" x14ac:dyDescent="0.25">
      <c r="A211" s="2" t="s">
        <v>174</v>
      </c>
      <c r="B211" s="491" t="s">
        <v>4091</v>
      </c>
      <c r="C211" s="2" t="s">
        <v>112</v>
      </c>
      <c r="D211" s="2">
        <v>0</v>
      </c>
      <c r="E211" s="3" t="s">
        <v>2755</v>
      </c>
      <c r="F211" s="270"/>
      <c r="L211" s="2"/>
      <c r="M211" s="14">
        <v>0</v>
      </c>
      <c r="P211"/>
      <c r="Q211"/>
      <c r="R211"/>
      <c r="S211"/>
      <c r="T211"/>
    </row>
    <row r="212" spans="1:20" s="14" customFormat="1" x14ac:dyDescent="0.25">
      <c r="A212" s="2" t="s">
        <v>175</v>
      </c>
      <c r="B212" s="491" t="s">
        <v>3363</v>
      </c>
      <c r="C212" s="2" t="s">
        <v>3364</v>
      </c>
      <c r="D212" s="2">
        <v>143</v>
      </c>
      <c r="E212" s="3" t="s">
        <v>2755</v>
      </c>
      <c r="F212" s="270"/>
      <c r="L212" s="2"/>
      <c r="M212" s="14">
        <v>0</v>
      </c>
      <c r="P212"/>
      <c r="Q212"/>
      <c r="R212"/>
      <c r="S212"/>
      <c r="T212"/>
    </row>
    <row r="213" spans="1:20" s="14" customFormat="1" x14ac:dyDescent="0.25">
      <c r="A213" s="2" t="s">
        <v>176</v>
      </c>
      <c r="B213" s="491" t="s">
        <v>4092</v>
      </c>
      <c r="C213" s="2" t="s">
        <v>112</v>
      </c>
      <c r="D213" s="2">
        <v>24</v>
      </c>
      <c r="E213" s="3" t="s">
        <v>2755</v>
      </c>
      <c r="F213" s="270"/>
      <c r="L213" s="2"/>
      <c r="M213" s="14">
        <v>0</v>
      </c>
      <c r="P213"/>
      <c r="Q213"/>
      <c r="R213"/>
      <c r="S213"/>
      <c r="T213"/>
    </row>
    <row r="214" spans="1:20" s="14" customFormat="1" x14ac:dyDescent="0.25">
      <c r="A214" s="2" t="s">
        <v>177</v>
      </c>
      <c r="B214" s="491" t="s">
        <v>187</v>
      </c>
      <c r="C214" s="2" t="s">
        <v>188</v>
      </c>
      <c r="D214" s="2">
        <v>23</v>
      </c>
      <c r="E214" s="3" t="s">
        <v>2755</v>
      </c>
      <c r="F214" s="270"/>
      <c r="L214" s="2"/>
      <c r="M214" s="14">
        <v>23</v>
      </c>
      <c r="P214"/>
      <c r="Q214"/>
      <c r="R214"/>
      <c r="S214"/>
      <c r="T214"/>
    </row>
    <row r="215" spans="1:20" s="14" customFormat="1" x14ac:dyDescent="0.25">
      <c r="A215" s="2" t="s">
        <v>178</v>
      </c>
      <c r="B215" s="491" t="s">
        <v>2823</v>
      </c>
      <c r="C215" s="2" t="s">
        <v>188</v>
      </c>
      <c r="D215" s="2">
        <v>36</v>
      </c>
      <c r="E215" s="3" t="s">
        <v>2755</v>
      </c>
      <c r="F215" s="270"/>
      <c r="L215" s="2"/>
      <c r="M215" s="14">
        <v>12</v>
      </c>
      <c r="P215"/>
      <c r="Q215"/>
      <c r="R215"/>
      <c r="S215"/>
      <c r="T215"/>
    </row>
    <row r="216" spans="1:20" s="14" customFormat="1" x14ac:dyDescent="0.25">
      <c r="A216" s="2" t="s">
        <v>179</v>
      </c>
      <c r="B216" s="491" t="s">
        <v>2301</v>
      </c>
      <c r="C216" s="2" t="s">
        <v>188</v>
      </c>
      <c r="D216" s="2">
        <v>240</v>
      </c>
      <c r="E216" s="3" t="s">
        <v>1626</v>
      </c>
      <c r="F216" s="270"/>
      <c r="L216" s="2"/>
      <c r="P216"/>
      <c r="Q216"/>
      <c r="R216"/>
      <c r="S216"/>
      <c r="T216"/>
    </row>
    <row r="217" spans="1:20" s="14" customFormat="1" x14ac:dyDescent="0.25">
      <c r="A217" s="2" t="s">
        <v>180</v>
      </c>
      <c r="B217" s="491" t="s">
        <v>2824</v>
      </c>
      <c r="C217" s="2" t="s">
        <v>188</v>
      </c>
      <c r="D217" s="2">
        <v>32</v>
      </c>
      <c r="E217" s="3" t="s">
        <v>1626</v>
      </c>
      <c r="F217" s="270"/>
      <c r="L217" s="2"/>
      <c r="P217"/>
      <c r="Q217"/>
      <c r="R217"/>
      <c r="S217"/>
      <c r="T217"/>
    </row>
    <row r="218" spans="1:20" s="14" customFormat="1" x14ac:dyDescent="0.25">
      <c r="A218" s="2" t="s">
        <v>181</v>
      </c>
      <c r="B218" s="491" t="s">
        <v>2825</v>
      </c>
      <c r="C218" s="2" t="s">
        <v>188</v>
      </c>
      <c r="D218" s="2">
        <v>0</v>
      </c>
      <c r="E218" s="3" t="s">
        <v>1626</v>
      </c>
      <c r="F218" s="270"/>
      <c r="L218" s="2"/>
      <c r="P218"/>
      <c r="Q218"/>
      <c r="R218"/>
      <c r="S218"/>
      <c r="T218"/>
    </row>
    <row r="219" spans="1:20" s="14" customFormat="1" x14ac:dyDescent="0.25">
      <c r="A219" s="2" t="s">
        <v>182</v>
      </c>
      <c r="B219" s="491" t="s">
        <v>2139</v>
      </c>
      <c r="C219" s="2" t="s">
        <v>2792</v>
      </c>
      <c r="D219" s="2">
        <v>48</v>
      </c>
      <c r="E219" s="3" t="s">
        <v>1626</v>
      </c>
      <c r="F219" s="270"/>
      <c r="L219" s="2"/>
      <c r="P219"/>
      <c r="Q219"/>
      <c r="R219"/>
      <c r="S219"/>
      <c r="T219"/>
    </row>
    <row r="220" spans="1:20" s="14" customFormat="1" x14ac:dyDescent="0.25">
      <c r="A220" s="2" t="s">
        <v>183</v>
      </c>
      <c r="B220" s="491" t="s">
        <v>4773</v>
      </c>
      <c r="C220" s="2" t="s">
        <v>2792</v>
      </c>
      <c r="D220" s="2">
        <v>48</v>
      </c>
      <c r="E220" s="3" t="s">
        <v>2755</v>
      </c>
      <c r="F220" s="270"/>
      <c r="L220" s="2"/>
      <c r="P220"/>
      <c r="Q220"/>
      <c r="R220"/>
      <c r="S220"/>
      <c r="T220"/>
    </row>
    <row r="221" spans="1:20" s="14" customFormat="1" x14ac:dyDescent="0.25">
      <c r="A221" s="2" t="s">
        <v>184</v>
      </c>
      <c r="B221" s="491" t="s">
        <v>194</v>
      </c>
      <c r="C221" s="2" t="s">
        <v>167</v>
      </c>
      <c r="D221" s="2">
        <v>0</v>
      </c>
      <c r="E221" s="3" t="s">
        <v>1486</v>
      </c>
      <c r="F221" s="270"/>
      <c r="L221" s="2"/>
      <c r="P221"/>
      <c r="Q221"/>
      <c r="R221"/>
      <c r="S221"/>
      <c r="T221"/>
    </row>
    <row r="222" spans="1:20" s="14" customFormat="1" x14ac:dyDescent="0.25">
      <c r="A222" s="2" t="s">
        <v>185</v>
      </c>
      <c r="B222" s="491" t="s">
        <v>197</v>
      </c>
      <c r="C222" s="2" t="s">
        <v>167</v>
      </c>
      <c r="D222" s="2">
        <v>0</v>
      </c>
      <c r="E222" s="3" t="s">
        <v>1486</v>
      </c>
      <c r="F222" s="270"/>
      <c r="L222" s="2"/>
      <c r="P222"/>
      <c r="Q222"/>
      <c r="R222"/>
      <c r="S222"/>
      <c r="T222"/>
    </row>
    <row r="223" spans="1:20" s="14" customFormat="1" x14ac:dyDescent="0.25">
      <c r="A223" s="2" t="s">
        <v>190</v>
      </c>
      <c r="B223" s="491" t="s">
        <v>4083</v>
      </c>
      <c r="C223" s="2" t="s">
        <v>119</v>
      </c>
      <c r="D223" s="2">
        <v>136</v>
      </c>
      <c r="E223" s="3" t="s">
        <v>1486</v>
      </c>
      <c r="F223" s="270"/>
      <c r="L223" s="2"/>
      <c r="P223"/>
      <c r="Q223"/>
      <c r="R223"/>
      <c r="S223"/>
      <c r="T223"/>
    </row>
    <row r="224" spans="1:20" s="14" customFormat="1" x14ac:dyDescent="0.25">
      <c r="A224" s="2" t="s">
        <v>191</v>
      </c>
      <c r="B224" s="491" t="s">
        <v>4079</v>
      </c>
      <c r="C224" s="2" t="s">
        <v>119</v>
      </c>
      <c r="D224" s="2">
        <v>24</v>
      </c>
      <c r="E224" s="3" t="s">
        <v>1486</v>
      </c>
      <c r="F224" s="270"/>
      <c r="L224" s="2"/>
      <c r="P224"/>
      <c r="Q224"/>
      <c r="R224"/>
      <c r="S224"/>
      <c r="T224"/>
    </row>
    <row r="225" spans="1:20" s="14" customFormat="1" x14ac:dyDescent="0.25">
      <c r="A225" s="2" t="s">
        <v>192</v>
      </c>
      <c r="B225" s="491" t="s">
        <v>227</v>
      </c>
      <c r="C225" s="2" t="s">
        <v>119</v>
      </c>
      <c r="D225" s="2">
        <v>0</v>
      </c>
      <c r="E225" s="3" t="s">
        <v>1486</v>
      </c>
      <c r="F225" s="270"/>
      <c r="L225" s="2"/>
      <c r="P225"/>
      <c r="Q225"/>
      <c r="R225"/>
      <c r="S225"/>
      <c r="T225"/>
    </row>
    <row r="226" spans="1:20" s="14" customFormat="1" x14ac:dyDescent="0.25">
      <c r="A226" s="2" t="s">
        <v>193</v>
      </c>
      <c r="B226" s="491" t="s">
        <v>229</v>
      </c>
      <c r="C226" s="2" t="s">
        <v>230</v>
      </c>
      <c r="D226" s="2">
        <v>0</v>
      </c>
      <c r="E226" s="3" t="s">
        <v>2755</v>
      </c>
      <c r="F226" s="270"/>
      <c r="L226" s="2"/>
      <c r="M226" s="14">
        <v>0</v>
      </c>
      <c r="P226"/>
      <c r="Q226"/>
      <c r="R226"/>
      <c r="S226"/>
      <c r="T226"/>
    </row>
    <row r="227" spans="1:20" s="14" customFormat="1" x14ac:dyDescent="0.25">
      <c r="A227" s="2" t="s">
        <v>196</v>
      </c>
      <c r="B227" s="491" t="s">
        <v>229</v>
      </c>
      <c r="C227" s="2" t="s">
        <v>230</v>
      </c>
      <c r="D227" s="2">
        <v>0</v>
      </c>
      <c r="E227" s="3" t="s">
        <v>2755</v>
      </c>
      <c r="F227" s="270"/>
      <c r="L227" s="2"/>
      <c r="M227" s="14">
        <v>0</v>
      </c>
      <c r="P227"/>
      <c r="Q227"/>
      <c r="R227"/>
      <c r="S227"/>
      <c r="T227"/>
    </row>
    <row r="228" spans="1:20" s="14" customFormat="1" x14ac:dyDescent="0.25">
      <c r="A228" s="2" t="s">
        <v>198</v>
      </c>
      <c r="B228" s="491" t="s">
        <v>2801</v>
      </c>
      <c r="C228" s="2" t="s">
        <v>2792</v>
      </c>
      <c r="D228" s="2">
        <v>48</v>
      </c>
      <c r="E228" s="3" t="s">
        <v>1626</v>
      </c>
      <c r="F228" s="270"/>
      <c r="L228" s="2"/>
      <c r="P228"/>
      <c r="Q228"/>
      <c r="R228"/>
      <c r="S228"/>
      <c r="T228"/>
    </row>
    <row r="229" spans="1:20" s="14" customFormat="1" x14ac:dyDescent="0.25">
      <c r="A229" s="2" t="s">
        <v>200</v>
      </c>
      <c r="B229" s="491" t="s">
        <v>2588</v>
      </c>
      <c r="C229" s="2" t="s">
        <v>2792</v>
      </c>
      <c r="D229" s="2">
        <v>49</v>
      </c>
      <c r="E229" s="3" t="s">
        <v>1626</v>
      </c>
      <c r="F229" s="270"/>
      <c r="L229" s="2"/>
      <c r="P229"/>
      <c r="Q229"/>
      <c r="R229"/>
      <c r="S229"/>
      <c r="T229"/>
    </row>
    <row r="230" spans="1:20" s="14" customFormat="1" x14ac:dyDescent="0.25">
      <c r="A230" s="2" t="s">
        <v>201</v>
      </c>
      <c r="B230" s="491" t="s">
        <v>235</v>
      </c>
      <c r="C230" s="2" t="s">
        <v>2792</v>
      </c>
      <c r="D230" s="2">
        <v>12</v>
      </c>
      <c r="E230" s="3" t="s">
        <v>1626</v>
      </c>
      <c r="F230" s="270"/>
      <c r="L230" s="2"/>
      <c r="P230"/>
      <c r="Q230"/>
      <c r="R230"/>
      <c r="S230"/>
      <c r="T230"/>
    </row>
    <row r="231" spans="1:20" s="14" customFormat="1" x14ac:dyDescent="0.25">
      <c r="A231" s="2" t="s">
        <v>202</v>
      </c>
      <c r="B231" s="491" t="s">
        <v>2802</v>
      </c>
      <c r="C231" s="2" t="s">
        <v>2792</v>
      </c>
      <c r="D231" s="2">
        <v>48</v>
      </c>
      <c r="E231" s="3" t="s">
        <v>1626</v>
      </c>
      <c r="F231" s="270"/>
      <c r="L231" s="2"/>
      <c r="P231"/>
      <c r="Q231"/>
      <c r="R231"/>
      <c r="S231"/>
      <c r="T231"/>
    </row>
    <row r="232" spans="1:20" s="14" customFormat="1" x14ac:dyDescent="0.25">
      <c r="A232" s="2" t="s">
        <v>203</v>
      </c>
      <c r="B232" s="491" t="s">
        <v>2803</v>
      </c>
      <c r="C232" s="2" t="s">
        <v>2792</v>
      </c>
      <c r="D232" s="2">
        <v>0</v>
      </c>
      <c r="E232" s="3" t="s">
        <v>1626</v>
      </c>
      <c r="F232" s="270"/>
      <c r="L232" s="2"/>
      <c r="P232"/>
      <c r="Q232"/>
      <c r="R232"/>
      <c r="S232"/>
      <c r="T232"/>
    </row>
    <row r="233" spans="1:20" s="14" customFormat="1" x14ac:dyDescent="0.25">
      <c r="A233" s="2" t="s">
        <v>204</v>
      </c>
      <c r="B233" s="491" t="s">
        <v>1689</v>
      </c>
      <c r="C233" s="2" t="s">
        <v>2792</v>
      </c>
      <c r="D233" s="2">
        <v>0</v>
      </c>
      <c r="E233" s="3" t="s">
        <v>1486</v>
      </c>
      <c r="F233" s="270"/>
      <c r="L233" s="2"/>
      <c r="P233"/>
      <c r="Q233"/>
      <c r="R233"/>
      <c r="S233"/>
      <c r="T233"/>
    </row>
    <row r="234" spans="1:20" s="14" customFormat="1" x14ac:dyDescent="0.25">
      <c r="A234" s="2" t="s">
        <v>205</v>
      </c>
      <c r="B234" s="491" t="s">
        <v>2826</v>
      </c>
      <c r="C234" s="2" t="s">
        <v>188</v>
      </c>
      <c r="D234" s="2">
        <v>36</v>
      </c>
      <c r="E234" s="3" t="s">
        <v>1486</v>
      </c>
      <c r="F234" s="270"/>
      <c r="L234" s="2"/>
      <c r="P234"/>
      <c r="Q234"/>
      <c r="R234"/>
      <c r="S234"/>
      <c r="T234"/>
    </row>
    <row r="235" spans="1:20" s="14" customFormat="1" x14ac:dyDescent="0.25">
      <c r="A235" s="2" t="s">
        <v>206</v>
      </c>
      <c r="B235" s="491" t="s">
        <v>2827</v>
      </c>
      <c r="C235" s="2" t="s">
        <v>188</v>
      </c>
      <c r="D235" s="2">
        <v>0</v>
      </c>
      <c r="E235" s="3" t="s">
        <v>2755</v>
      </c>
      <c r="F235" s="270"/>
      <c r="L235" s="2"/>
      <c r="M235" s="14">
        <v>0</v>
      </c>
      <c r="P235"/>
      <c r="Q235"/>
      <c r="R235"/>
      <c r="S235"/>
      <c r="T235"/>
    </row>
    <row r="236" spans="1:20" s="14" customFormat="1" x14ac:dyDescent="0.25">
      <c r="A236" s="2" t="s">
        <v>207</v>
      </c>
      <c r="B236" s="491" t="s">
        <v>2828</v>
      </c>
      <c r="C236" s="2" t="s">
        <v>188</v>
      </c>
      <c r="D236" s="2">
        <v>0</v>
      </c>
      <c r="E236" s="3" t="s">
        <v>2755</v>
      </c>
      <c r="F236" s="270"/>
      <c r="L236" s="2"/>
      <c r="M236" s="14">
        <v>0</v>
      </c>
      <c r="P236"/>
      <c r="Q236"/>
      <c r="R236"/>
      <c r="S236"/>
      <c r="T236"/>
    </row>
    <row r="237" spans="1:20" s="14" customFormat="1" x14ac:dyDescent="0.25">
      <c r="A237" s="2" t="s">
        <v>208</v>
      </c>
      <c r="B237" s="491" t="s">
        <v>2829</v>
      </c>
      <c r="C237" s="2" t="s">
        <v>188</v>
      </c>
      <c r="D237" s="2">
        <v>0</v>
      </c>
      <c r="E237" s="3" t="s">
        <v>2755</v>
      </c>
      <c r="F237" s="270"/>
      <c r="L237" s="2"/>
      <c r="M237" s="14">
        <v>0</v>
      </c>
      <c r="P237"/>
      <c r="Q237"/>
      <c r="R237"/>
      <c r="S237"/>
      <c r="T237"/>
    </row>
    <row r="238" spans="1:20" s="14" customFormat="1" x14ac:dyDescent="0.25">
      <c r="A238" s="2" t="s">
        <v>209</v>
      </c>
      <c r="B238" s="491" t="s">
        <v>2830</v>
      </c>
      <c r="C238" s="2" t="s">
        <v>188</v>
      </c>
      <c r="D238" s="2">
        <v>0</v>
      </c>
      <c r="E238" s="3" t="s">
        <v>2755</v>
      </c>
      <c r="F238" s="270"/>
      <c r="L238" s="2"/>
      <c r="M238" s="14">
        <v>0</v>
      </c>
      <c r="P238"/>
      <c r="Q238"/>
      <c r="R238"/>
      <c r="S238"/>
      <c r="T238"/>
    </row>
    <row r="239" spans="1:20" s="14" customFormat="1" x14ac:dyDescent="0.25">
      <c r="A239" s="2" t="s">
        <v>210</v>
      </c>
      <c r="B239" s="491" t="s">
        <v>2831</v>
      </c>
      <c r="C239" s="2" t="s">
        <v>188</v>
      </c>
      <c r="D239" s="2">
        <v>0</v>
      </c>
      <c r="E239" s="3" t="s">
        <v>2755</v>
      </c>
      <c r="F239" s="270"/>
      <c r="L239" s="2"/>
      <c r="M239" s="14">
        <v>0</v>
      </c>
      <c r="P239"/>
      <c r="Q239"/>
      <c r="R239"/>
      <c r="S239"/>
      <c r="T239"/>
    </row>
    <row r="240" spans="1:20" s="14" customFormat="1" x14ac:dyDescent="0.25">
      <c r="A240" s="2" t="s">
        <v>211</v>
      </c>
      <c r="B240" s="491" t="s">
        <v>2832</v>
      </c>
      <c r="C240" s="2" t="s">
        <v>188</v>
      </c>
      <c r="D240" s="2">
        <v>19</v>
      </c>
      <c r="E240" s="3" t="s">
        <v>2755</v>
      </c>
      <c r="F240" s="270"/>
      <c r="L240" s="2"/>
      <c r="M240" s="14">
        <v>19</v>
      </c>
      <c r="P240"/>
      <c r="Q240"/>
      <c r="R240"/>
      <c r="S240"/>
      <c r="T240"/>
    </row>
    <row r="241" spans="1:20" s="14" customFormat="1" x14ac:dyDescent="0.25">
      <c r="A241" s="2" t="s">
        <v>212</v>
      </c>
      <c r="B241" s="491" t="s">
        <v>2833</v>
      </c>
      <c r="C241" s="2" t="s">
        <v>188</v>
      </c>
      <c r="D241" s="2">
        <v>-12</v>
      </c>
      <c r="E241" s="3" t="s">
        <v>1486</v>
      </c>
      <c r="F241" s="270"/>
      <c r="L241" s="2"/>
      <c r="P241"/>
      <c r="Q241"/>
      <c r="R241"/>
      <c r="S241"/>
      <c r="T241"/>
    </row>
    <row r="242" spans="1:20" s="14" customFormat="1" x14ac:dyDescent="0.25">
      <c r="A242" s="2" t="s">
        <v>213</v>
      </c>
      <c r="B242" s="491" t="s">
        <v>2834</v>
      </c>
      <c r="C242" s="2" t="s">
        <v>188</v>
      </c>
      <c r="D242" s="2">
        <v>-4</v>
      </c>
      <c r="E242" s="3" t="s">
        <v>1486</v>
      </c>
      <c r="F242" s="270"/>
      <c r="L242" s="2"/>
      <c r="P242"/>
      <c r="Q242"/>
      <c r="R242"/>
      <c r="S242"/>
      <c r="T242"/>
    </row>
    <row r="243" spans="1:20" s="14" customFormat="1" x14ac:dyDescent="0.25">
      <c r="A243" s="2" t="s">
        <v>214</v>
      </c>
      <c r="B243" s="491" t="s">
        <v>2835</v>
      </c>
      <c r="C243" s="2" t="s">
        <v>188</v>
      </c>
      <c r="D243" s="2">
        <v>0</v>
      </c>
      <c r="E243" s="3" t="s">
        <v>1486</v>
      </c>
      <c r="F243" s="270"/>
      <c r="L243" s="2"/>
      <c r="P243"/>
      <c r="Q243"/>
      <c r="R243"/>
      <c r="S243"/>
      <c r="T243"/>
    </row>
    <row r="244" spans="1:20" s="14" customFormat="1" x14ac:dyDescent="0.25">
      <c r="A244" s="2" t="s">
        <v>215</v>
      </c>
      <c r="B244" s="491" t="s">
        <v>2836</v>
      </c>
      <c r="C244" s="2" t="s">
        <v>188</v>
      </c>
      <c r="D244" s="2">
        <v>0</v>
      </c>
      <c r="E244" s="3" t="s">
        <v>1486</v>
      </c>
      <c r="F244" s="270"/>
      <c r="L244" s="2"/>
      <c r="P244"/>
      <c r="Q244"/>
      <c r="R244"/>
      <c r="S244"/>
      <c r="T244"/>
    </row>
    <row r="245" spans="1:20" s="14" customFormat="1" x14ac:dyDescent="0.25">
      <c r="A245" s="2" t="s">
        <v>216</v>
      </c>
      <c r="B245" s="491" t="s">
        <v>2837</v>
      </c>
      <c r="C245" s="2" t="s">
        <v>188</v>
      </c>
      <c r="D245" s="2">
        <v>0</v>
      </c>
      <c r="E245" s="3" t="s">
        <v>1486</v>
      </c>
      <c r="F245" s="270"/>
      <c r="L245" s="2"/>
      <c r="P245"/>
      <c r="Q245"/>
      <c r="R245"/>
      <c r="S245"/>
      <c r="T245"/>
    </row>
    <row r="246" spans="1:20" s="14" customFormat="1" x14ac:dyDescent="0.25">
      <c r="A246" s="2" t="s">
        <v>217</v>
      </c>
      <c r="B246" s="491" t="s">
        <v>2838</v>
      </c>
      <c r="C246" s="2" t="s">
        <v>188</v>
      </c>
      <c r="D246" s="2">
        <v>0</v>
      </c>
      <c r="E246" s="3" t="s">
        <v>1486</v>
      </c>
      <c r="F246" s="270"/>
      <c r="L246" s="2"/>
      <c r="P246"/>
      <c r="Q246"/>
      <c r="R246"/>
      <c r="S246"/>
      <c r="T246"/>
    </row>
    <row r="247" spans="1:20" s="14" customFormat="1" x14ac:dyDescent="0.25">
      <c r="A247" s="2" t="s">
        <v>218</v>
      </c>
      <c r="B247" s="491" t="s">
        <v>2839</v>
      </c>
      <c r="C247" s="2" t="s">
        <v>188</v>
      </c>
      <c r="D247" s="2">
        <v>0</v>
      </c>
      <c r="E247" s="3" t="s">
        <v>1486</v>
      </c>
      <c r="F247" s="270"/>
      <c r="L247" s="2"/>
      <c r="P247"/>
      <c r="Q247"/>
      <c r="R247"/>
      <c r="S247"/>
      <c r="T247"/>
    </row>
    <row r="248" spans="1:20" s="14" customFormat="1" x14ac:dyDescent="0.25">
      <c r="A248" s="2" t="s">
        <v>219</v>
      </c>
      <c r="B248" s="491" t="s">
        <v>2840</v>
      </c>
      <c r="C248" s="2" t="s">
        <v>188</v>
      </c>
      <c r="D248" s="2">
        <v>12</v>
      </c>
      <c r="E248" s="3" t="s">
        <v>1486</v>
      </c>
      <c r="F248" s="270"/>
      <c r="L248" s="2"/>
      <c r="P248"/>
      <c r="Q248"/>
      <c r="R248"/>
      <c r="S248"/>
      <c r="T248"/>
    </row>
    <row r="249" spans="1:20" s="14" customFormat="1" x14ac:dyDescent="0.25">
      <c r="A249" s="2" t="s">
        <v>220</v>
      </c>
      <c r="B249" s="491" t="s">
        <v>255</v>
      </c>
      <c r="C249" s="2" t="s">
        <v>188</v>
      </c>
      <c r="D249" s="2">
        <v>12</v>
      </c>
      <c r="E249" s="3" t="s">
        <v>1486</v>
      </c>
      <c r="F249" s="270"/>
      <c r="L249" s="2"/>
      <c r="P249"/>
      <c r="Q249"/>
      <c r="R249"/>
      <c r="S249"/>
      <c r="T249"/>
    </row>
    <row r="250" spans="1:20" s="14" customFormat="1" x14ac:dyDescent="0.25">
      <c r="A250" s="2" t="s">
        <v>221</v>
      </c>
      <c r="B250" s="491" t="s">
        <v>255</v>
      </c>
      <c r="C250" s="2" t="s">
        <v>188</v>
      </c>
      <c r="D250" s="2">
        <v>0</v>
      </c>
      <c r="E250" s="3" t="s">
        <v>1486</v>
      </c>
      <c r="F250" s="270"/>
      <c r="L250" s="2"/>
      <c r="P250"/>
      <c r="Q250"/>
      <c r="R250"/>
      <c r="S250"/>
      <c r="T250"/>
    </row>
    <row r="251" spans="1:20" s="14" customFormat="1" x14ac:dyDescent="0.25">
      <c r="A251" s="2" t="s">
        <v>222</v>
      </c>
      <c r="B251" s="491" t="s">
        <v>2841</v>
      </c>
      <c r="C251" s="2" t="s">
        <v>188</v>
      </c>
      <c r="D251" s="2">
        <v>0</v>
      </c>
      <c r="E251" s="3" t="s">
        <v>1486</v>
      </c>
      <c r="F251" s="270"/>
      <c r="L251" s="2"/>
      <c r="P251"/>
      <c r="Q251"/>
      <c r="R251"/>
      <c r="S251"/>
      <c r="T251"/>
    </row>
    <row r="252" spans="1:20" s="14" customFormat="1" x14ac:dyDescent="0.25">
      <c r="A252" s="2" t="s">
        <v>223</v>
      </c>
      <c r="B252" s="491" t="s">
        <v>2842</v>
      </c>
      <c r="C252" s="2" t="s">
        <v>188</v>
      </c>
      <c r="D252" s="2">
        <v>0</v>
      </c>
      <c r="E252" s="3" t="s">
        <v>1486</v>
      </c>
      <c r="F252" s="270"/>
      <c r="L252" s="2"/>
      <c r="P252"/>
      <c r="Q252"/>
      <c r="R252"/>
      <c r="S252"/>
      <c r="T252"/>
    </row>
    <row r="253" spans="1:20" s="14" customFormat="1" x14ac:dyDescent="0.25">
      <c r="A253" s="2" t="s">
        <v>224</v>
      </c>
      <c r="B253" s="491" t="s">
        <v>2843</v>
      </c>
      <c r="C253" s="2" t="s">
        <v>188</v>
      </c>
      <c r="D253" s="2">
        <v>0</v>
      </c>
      <c r="E253" s="3" t="s">
        <v>1486</v>
      </c>
      <c r="F253" s="270"/>
      <c r="L253" s="2"/>
      <c r="P253"/>
      <c r="Q253"/>
      <c r="R253"/>
      <c r="S253"/>
      <c r="T253"/>
    </row>
    <row r="254" spans="1:20" s="14" customFormat="1" x14ac:dyDescent="0.25">
      <c r="A254" s="2" t="s">
        <v>225</v>
      </c>
      <c r="B254" s="491" t="s">
        <v>2844</v>
      </c>
      <c r="C254" s="2" t="s">
        <v>188</v>
      </c>
      <c r="D254" s="2">
        <v>6</v>
      </c>
      <c r="E254" s="3" t="s">
        <v>1486</v>
      </c>
      <c r="F254" s="270"/>
      <c r="L254" s="2"/>
      <c r="P254"/>
      <c r="Q254"/>
      <c r="R254"/>
      <c r="S254"/>
      <c r="T254"/>
    </row>
    <row r="255" spans="1:20" s="14" customFormat="1" x14ac:dyDescent="0.25">
      <c r="A255" s="2" t="s">
        <v>226</v>
      </c>
      <c r="B255" s="491" t="s">
        <v>2244</v>
      </c>
      <c r="C255" s="2" t="s">
        <v>1690</v>
      </c>
      <c r="D255" s="2">
        <v>126</v>
      </c>
      <c r="E255" s="3" t="s">
        <v>1486</v>
      </c>
      <c r="F255" s="270"/>
      <c r="L255" s="2"/>
      <c r="P255"/>
      <c r="Q255"/>
      <c r="R255"/>
      <c r="S255"/>
      <c r="T255"/>
    </row>
    <row r="256" spans="1:20" s="14" customFormat="1" x14ac:dyDescent="0.25">
      <c r="A256" s="2" t="s">
        <v>228</v>
      </c>
      <c r="B256" s="491" t="s">
        <v>4523</v>
      </c>
      <c r="C256" s="2" t="s">
        <v>1690</v>
      </c>
      <c r="D256" s="2">
        <v>144</v>
      </c>
      <c r="E256" s="3" t="s">
        <v>1626</v>
      </c>
      <c r="F256" s="270"/>
      <c r="L256" s="2"/>
      <c r="P256"/>
      <c r="Q256"/>
      <c r="R256"/>
      <c r="S256"/>
      <c r="T256"/>
    </row>
    <row r="257" spans="1:20" s="14" customFormat="1" x14ac:dyDescent="0.25">
      <c r="A257" s="2" t="s">
        <v>231</v>
      </c>
      <c r="B257" s="491" t="s">
        <v>2245</v>
      </c>
      <c r="C257" s="2" t="s">
        <v>1690</v>
      </c>
      <c r="D257" s="2">
        <v>48</v>
      </c>
      <c r="E257" s="3" t="s">
        <v>1486</v>
      </c>
      <c r="F257" s="270"/>
      <c r="L257" s="2"/>
      <c r="P257"/>
      <c r="Q257"/>
      <c r="R257"/>
      <c r="S257"/>
      <c r="T257"/>
    </row>
    <row r="258" spans="1:20" s="14" customFormat="1" x14ac:dyDescent="0.25">
      <c r="A258" s="2" t="s">
        <v>232</v>
      </c>
      <c r="B258" s="491" t="s">
        <v>2246</v>
      </c>
      <c r="C258" s="2" t="s">
        <v>1690</v>
      </c>
      <c r="D258" s="2">
        <v>36</v>
      </c>
      <c r="E258" s="3" t="s">
        <v>1486</v>
      </c>
      <c r="F258" s="270"/>
      <c r="L258" s="2"/>
      <c r="P258"/>
      <c r="Q258"/>
      <c r="R258"/>
      <c r="S258"/>
      <c r="T258"/>
    </row>
    <row r="259" spans="1:20" s="14" customFormat="1" x14ac:dyDescent="0.25">
      <c r="A259" s="2" t="s">
        <v>233</v>
      </c>
      <c r="B259" s="491" t="s">
        <v>2247</v>
      </c>
      <c r="C259" s="2" t="s">
        <v>1690</v>
      </c>
      <c r="D259" s="2">
        <v>48</v>
      </c>
      <c r="E259" s="3" t="s">
        <v>1486</v>
      </c>
      <c r="F259" s="270"/>
      <c r="L259" s="2"/>
      <c r="P259"/>
      <c r="Q259"/>
      <c r="R259"/>
      <c r="S259"/>
      <c r="T259"/>
    </row>
    <row r="260" spans="1:20" s="14" customFormat="1" x14ac:dyDescent="0.25">
      <c r="A260" s="2" t="s">
        <v>234</v>
      </c>
      <c r="B260" s="491" t="s">
        <v>268</v>
      </c>
      <c r="C260" s="2" t="s">
        <v>269</v>
      </c>
      <c r="D260" s="2">
        <v>0</v>
      </c>
      <c r="E260" s="3" t="s">
        <v>1486</v>
      </c>
      <c r="F260" s="270"/>
      <c r="L260" s="2"/>
      <c r="P260"/>
      <c r="Q260"/>
      <c r="R260"/>
      <c r="S260"/>
      <c r="T260"/>
    </row>
    <row r="261" spans="1:20" s="14" customFormat="1" x14ac:dyDescent="0.25">
      <c r="A261" s="2" t="s">
        <v>236</v>
      </c>
      <c r="B261" s="491" t="s">
        <v>271</v>
      </c>
      <c r="C261" s="2" t="s">
        <v>269</v>
      </c>
      <c r="D261" s="2">
        <v>0</v>
      </c>
      <c r="E261" s="3" t="s">
        <v>1486</v>
      </c>
      <c r="F261" s="270"/>
      <c r="L261" s="2"/>
      <c r="P261"/>
      <c r="Q261"/>
      <c r="R261"/>
      <c r="S261"/>
      <c r="T261"/>
    </row>
    <row r="262" spans="1:20" s="14" customFormat="1" x14ac:dyDescent="0.25">
      <c r="A262" s="2" t="s">
        <v>237</v>
      </c>
      <c r="B262" s="491" t="s">
        <v>273</v>
      </c>
      <c r="C262" s="2" t="s">
        <v>269</v>
      </c>
      <c r="D262" s="2">
        <v>132</v>
      </c>
      <c r="E262" s="3" t="s">
        <v>1626</v>
      </c>
      <c r="F262" s="270"/>
      <c r="L262" s="2"/>
      <c r="P262"/>
      <c r="Q262"/>
      <c r="R262"/>
      <c r="S262"/>
      <c r="T262"/>
    </row>
    <row r="263" spans="1:20" s="14" customFormat="1" x14ac:dyDescent="0.25">
      <c r="A263" s="2" t="s">
        <v>238</v>
      </c>
      <c r="B263" s="491" t="s">
        <v>275</v>
      </c>
      <c r="C263" s="2" t="s">
        <v>269</v>
      </c>
      <c r="D263" s="2">
        <v>24</v>
      </c>
      <c r="E263" s="3" t="s">
        <v>1626</v>
      </c>
      <c r="F263" s="270"/>
      <c r="L263" s="2"/>
      <c r="P263"/>
      <c r="Q263"/>
      <c r="R263"/>
      <c r="S263"/>
      <c r="T263"/>
    </row>
    <row r="264" spans="1:20" s="14" customFormat="1" x14ac:dyDescent="0.25">
      <c r="A264" s="2" t="s">
        <v>239</v>
      </c>
      <c r="B264" s="491" t="s">
        <v>277</v>
      </c>
      <c r="C264" s="2" t="s">
        <v>269</v>
      </c>
      <c r="D264" s="2">
        <v>36</v>
      </c>
      <c r="E264" s="3" t="s">
        <v>1626</v>
      </c>
      <c r="F264" s="270"/>
      <c r="L264" s="2"/>
      <c r="P264"/>
      <c r="Q264"/>
      <c r="R264"/>
      <c r="S264"/>
      <c r="T264"/>
    </row>
    <row r="265" spans="1:20" s="14" customFormat="1" x14ac:dyDescent="0.25">
      <c r="A265" s="2" t="s">
        <v>240</v>
      </c>
      <c r="B265" s="491" t="s">
        <v>279</v>
      </c>
      <c r="C265" s="2" t="s">
        <v>269</v>
      </c>
      <c r="D265" s="2">
        <v>60</v>
      </c>
      <c r="E265" s="3" t="s">
        <v>1626</v>
      </c>
      <c r="F265" s="270"/>
      <c r="L265" s="2"/>
      <c r="P265"/>
      <c r="Q265"/>
      <c r="R265"/>
      <c r="S265"/>
      <c r="T265"/>
    </row>
    <row r="266" spans="1:20" s="14" customFormat="1" x14ac:dyDescent="0.25">
      <c r="A266" s="2" t="s">
        <v>241</v>
      </c>
      <c r="B266" s="491" t="s">
        <v>281</v>
      </c>
      <c r="C266" s="2" t="s">
        <v>269</v>
      </c>
      <c r="D266" s="2">
        <v>24</v>
      </c>
      <c r="E266" s="3" t="s">
        <v>1626</v>
      </c>
      <c r="F266" s="270"/>
      <c r="L266" s="2"/>
      <c r="P266"/>
      <c r="Q266"/>
      <c r="R266"/>
      <c r="S266"/>
      <c r="T266"/>
    </row>
    <row r="267" spans="1:20" s="14" customFormat="1" x14ac:dyDescent="0.25">
      <c r="A267" s="2" t="s">
        <v>242</v>
      </c>
      <c r="B267" s="491" t="s">
        <v>283</v>
      </c>
      <c r="C267" s="2" t="s">
        <v>269</v>
      </c>
      <c r="D267" s="2">
        <v>0</v>
      </c>
      <c r="E267" s="3" t="s">
        <v>1626</v>
      </c>
      <c r="F267" s="270"/>
      <c r="L267" s="2"/>
      <c r="P267"/>
      <c r="Q267"/>
      <c r="R267"/>
      <c r="S267"/>
      <c r="T267"/>
    </row>
    <row r="268" spans="1:20" s="14" customFormat="1" x14ac:dyDescent="0.25">
      <c r="A268" s="2" t="s">
        <v>243</v>
      </c>
      <c r="B268" s="491" t="s">
        <v>284</v>
      </c>
      <c r="C268" s="2" t="s">
        <v>269</v>
      </c>
      <c r="D268" s="2">
        <v>0</v>
      </c>
      <c r="E268" s="3" t="s">
        <v>1626</v>
      </c>
      <c r="F268" s="270"/>
      <c r="L268" s="2"/>
      <c r="P268"/>
      <c r="Q268"/>
      <c r="R268"/>
      <c r="S268"/>
      <c r="T268"/>
    </row>
    <row r="269" spans="1:20" s="14" customFormat="1" x14ac:dyDescent="0.25">
      <c r="A269" s="2" t="s">
        <v>244</v>
      </c>
      <c r="B269" s="491" t="s">
        <v>285</v>
      </c>
      <c r="C269" s="2" t="s">
        <v>269</v>
      </c>
      <c r="D269" s="2">
        <v>0</v>
      </c>
      <c r="E269" s="3" t="s">
        <v>1626</v>
      </c>
      <c r="F269" s="270"/>
      <c r="L269" s="2"/>
      <c r="P269"/>
      <c r="Q269"/>
      <c r="R269"/>
      <c r="S269"/>
      <c r="T269"/>
    </row>
    <row r="270" spans="1:20" s="14" customFormat="1" x14ac:dyDescent="0.25">
      <c r="A270" s="2" t="s">
        <v>245</v>
      </c>
      <c r="B270" s="491" t="s">
        <v>287</v>
      </c>
      <c r="C270" s="2" t="s">
        <v>269</v>
      </c>
      <c r="D270" s="2">
        <v>0</v>
      </c>
      <c r="E270" s="3" t="s">
        <v>1626</v>
      </c>
      <c r="F270" s="270"/>
      <c r="L270" s="2"/>
      <c r="P270"/>
      <c r="Q270"/>
      <c r="R270"/>
      <c r="S270"/>
      <c r="T270"/>
    </row>
    <row r="271" spans="1:20" s="14" customFormat="1" x14ac:dyDescent="0.25">
      <c r="A271" s="2" t="s">
        <v>246</v>
      </c>
      <c r="B271" s="491" t="s">
        <v>289</v>
      </c>
      <c r="C271" s="2" t="s">
        <v>269</v>
      </c>
      <c r="D271" s="2">
        <v>0</v>
      </c>
      <c r="E271" s="3" t="s">
        <v>1626</v>
      </c>
      <c r="F271" s="270"/>
      <c r="L271" s="2"/>
      <c r="P271"/>
      <c r="Q271"/>
      <c r="R271"/>
      <c r="S271"/>
      <c r="T271"/>
    </row>
    <row r="272" spans="1:20" s="14" customFormat="1" x14ac:dyDescent="0.25">
      <c r="A272" s="2" t="s">
        <v>247</v>
      </c>
      <c r="B272" s="491" t="s">
        <v>291</v>
      </c>
      <c r="C272" s="2" t="s">
        <v>269</v>
      </c>
      <c r="D272" s="2">
        <v>0</v>
      </c>
      <c r="E272" s="3" t="s">
        <v>1626</v>
      </c>
      <c r="F272" s="270"/>
      <c r="L272" s="2"/>
      <c r="P272"/>
      <c r="Q272"/>
      <c r="R272"/>
      <c r="S272"/>
      <c r="T272"/>
    </row>
    <row r="273" spans="1:20" s="14" customFormat="1" x14ac:dyDescent="0.25">
      <c r="A273" s="2" t="s">
        <v>248</v>
      </c>
      <c r="B273" s="491" t="s">
        <v>293</v>
      </c>
      <c r="C273" s="2" t="s">
        <v>269</v>
      </c>
      <c r="D273" s="2">
        <v>0</v>
      </c>
      <c r="E273" s="3" t="s">
        <v>1626</v>
      </c>
      <c r="F273" s="270"/>
      <c r="L273" s="2"/>
      <c r="P273"/>
      <c r="Q273"/>
      <c r="R273"/>
      <c r="S273"/>
      <c r="T273"/>
    </row>
    <row r="274" spans="1:20" s="14" customFormat="1" x14ac:dyDescent="0.25">
      <c r="A274" s="2" t="s">
        <v>249</v>
      </c>
      <c r="B274" s="491" t="s">
        <v>295</v>
      </c>
      <c r="C274" s="2" t="s">
        <v>269</v>
      </c>
      <c r="D274" s="2">
        <v>0</v>
      </c>
      <c r="E274" s="3" t="s">
        <v>1626</v>
      </c>
      <c r="F274" s="270"/>
      <c r="L274" s="2"/>
      <c r="P274"/>
      <c r="Q274"/>
      <c r="R274"/>
      <c r="S274"/>
      <c r="T274"/>
    </row>
    <row r="275" spans="1:20" s="14" customFormat="1" x14ac:dyDescent="0.25">
      <c r="A275" s="2" t="s">
        <v>250</v>
      </c>
      <c r="B275" s="491" t="s">
        <v>297</v>
      </c>
      <c r="C275" s="2" t="s">
        <v>298</v>
      </c>
      <c r="D275" s="2">
        <v>0</v>
      </c>
      <c r="E275" s="3" t="s">
        <v>1626</v>
      </c>
      <c r="F275" s="270"/>
      <c r="L275" s="2"/>
      <c r="P275"/>
      <c r="Q275"/>
      <c r="R275"/>
      <c r="S275"/>
      <c r="T275"/>
    </row>
    <row r="276" spans="1:20" s="14" customFormat="1" x14ac:dyDescent="0.25">
      <c r="A276" s="2" t="s">
        <v>251</v>
      </c>
      <c r="B276" s="491" t="s">
        <v>300</v>
      </c>
      <c r="C276" s="2" t="s">
        <v>298</v>
      </c>
      <c r="D276" s="2">
        <v>0</v>
      </c>
      <c r="E276" s="3" t="s">
        <v>1626</v>
      </c>
      <c r="F276" s="270"/>
      <c r="L276" s="2"/>
      <c r="P276"/>
      <c r="Q276"/>
      <c r="R276"/>
      <c r="S276"/>
      <c r="T276"/>
    </row>
    <row r="277" spans="1:20" s="14" customFormat="1" x14ac:dyDescent="0.25">
      <c r="A277" s="2" t="s">
        <v>252</v>
      </c>
      <c r="B277" s="491" t="s">
        <v>302</v>
      </c>
      <c r="C277" s="2" t="s">
        <v>298</v>
      </c>
      <c r="D277" s="2">
        <v>0</v>
      </c>
      <c r="E277" s="3" t="s">
        <v>1626</v>
      </c>
      <c r="F277" s="270"/>
      <c r="L277" s="2"/>
      <c r="P277"/>
      <c r="Q277"/>
      <c r="R277"/>
      <c r="S277"/>
      <c r="T277"/>
    </row>
    <row r="278" spans="1:20" s="14" customFormat="1" x14ac:dyDescent="0.25">
      <c r="A278" s="2" t="s">
        <v>253</v>
      </c>
      <c r="B278" s="491" t="s">
        <v>304</v>
      </c>
      <c r="C278" s="2" t="s">
        <v>298</v>
      </c>
      <c r="D278" s="2">
        <v>0</v>
      </c>
      <c r="E278" s="3" t="s">
        <v>1626</v>
      </c>
      <c r="F278" s="270"/>
      <c r="L278" s="2"/>
      <c r="P278"/>
      <c r="Q278"/>
      <c r="R278"/>
      <c r="S278"/>
      <c r="T278"/>
    </row>
    <row r="279" spans="1:20" s="14" customFormat="1" x14ac:dyDescent="0.25">
      <c r="A279" s="2" t="s">
        <v>254</v>
      </c>
      <c r="B279" s="491" t="s">
        <v>2586</v>
      </c>
      <c r="C279" s="2" t="s">
        <v>2792</v>
      </c>
      <c r="D279" s="2">
        <v>48</v>
      </c>
      <c r="E279" s="3" t="s">
        <v>1626</v>
      </c>
      <c r="F279" s="270"/>
      <c r="L279" s="2"/>
      <c r="P279"/>
      <c r="Q279"/>
      <c r="R279"/>
      <c r="S279"/>
      <c r="T279"/>
    </row>
    <row r="280" spans="1:20" s="14" customFormat="1" x14ac:dyDescent="0.25">
      <c r="A280" s="2" t="s">
        <v>256</v>
      </c>
      <c r="B280" s="491" t="s">
        <v>2590</v>
      </c>
      <c r="C280" s="2" t="s">
        <v>2792</v>
      </c>
      <c r="D280" s="2">
        <v>389</v>
      </c>
      <c r="E280" s="3" t="s">
        <v>1626</v>
      </c>
      <c r="F280" s="270"/>
      <c r="L280" s="2"/>
      <c r="P280"/>
      <c r="Q280"/>
      <c r="R280"/>
      <c r="S280"/>
      <c r="T280"/>
    </row>
    <row r="281" spans="1:20" s="14" customFormat="1" x14ac:dyDescent="0.25">
      <c r="A281" s="2" t="s">
        <v>257</v>
      </c>
      <c r="B281" s="491" t="s">
        <v>2589</v>
      </c>
      <c r="C281" s="2" t="s">
        <v>2792</v>
      </c>
      <c r="D281" s="2">
        <v>216</v>
      </c>
      <c r="E281" s="3" t="s">
        <v>1626</v>
      </c>
      <c r="F281" s="270"/>
      <c r="L281" s="2"/>
      <c r="P281"/>
      <c r="Q281"/>
      <c r="R281"/>
      <c r="S281"/>
      <c r="T281"/>
    </row>
    <row r="282" spans="1:20" s="14" customFormat="1" x14ac:dyDescent="0.25">
      <c r="A282" s="2" t="s">
        <v>258</v>
      </c>
      <c r="B282" s="491" t="s">
        <v>2818</v>
      </c>
      <c r="C282" s="2" t="s">
        <v>2792</v>
      </c>
      <c r="D282" s="2">
        <v>68</v>
      </c>
      <c r="E282" s="3" t="s">
        <v>1626</v>
      </c>
      <c r="F282" s="270"/>
      <c r="L282" s="2"/>
      <c r="P282"/>
      <c r="Q282"/>
      <c r="R282"/>
      <c r="S282"/>
      <c r="T282"/>
    </row>
    <row r="283" spans="1:20" s="14" customFormat="1" x14ac:dyDescent="0.25">
      <c r="A283" s="2" t="s">
        <v>259</v>
      </c>
      <c r="B283" s="491" t="s">
        <v>2819</v>
      </c>
      <c r="C283" s="2" t="s">
        <v>2792</v>
      </c>
      <c r="D283" s="2">
        <v>132</v>
      </c>
      <c r="E283" s="3" t="s">
        <v>1626</v>
      </c>
      <c r="F283" s="270"/>
      <c r="L283" s="2"/>
      <c r="P283"/>
      <c r="Q283"/>
      <c r="R283"/>
      <c r="S283"/>
      <c r="T283"/>
    </row>
    <row r="284" spans="1:20" s="14" customFormat="1" x14ac:dyDescent="0.25">
      <c r="A284" s="2" t="s">
        <v>260</v>
      </c>
      <c r="B284" s="491" t="s">
        <v>2820</v>
      </c>
      <c r="C284" s="2" t="s">
        <v>2792</v>
      </c>
      <c r="D284" s="2">
        <v>154</v>
      </c>
      <c r="E284" s="3" t="s">
        <v>1626</v>
      </c>
      <c r="F284" s="270"/>
      <c r="L284" s="2"/>
      <c r="P284"/>
      <c r="Q284"/>
      <c r="R284"/>
      <c r="S284"/>
      <c r="T284"/>
    </row>
    <row r="285" spans="1:20" s="14" customFormat="1" x14ac:dyDescent="0.25">
      <c r="A285" s="2" t="s">
        <v>261</v>
      </c>
      <c r="B285" s="491" t="s">
        <v>2587</v>
      </c>
      <c r="C285" s="2" t="s">
        <v>2792</v>
      </c>
      <c r="D285" s="2">
        <v>216</v>
      </c>
      <c r="E285" s="3" t="s">
        <v>1626</v>
      </c>
      <c r="F285" s="270"/>
      <c r="L285" s="2"/>
      <c r="P285"/>
      <c r="Q285"/>
      <c r="R285"/>
      <c r="S285"/>
      <c r="T285"/>
    </row>
    <row r="286" spans="1:20" s="14" customFormat="1" x14ac:dyDescent="0.25">
      <c r="A286" s="2" t="s">
        <v>263</v>
      </c>
      <c r="B286" s="491" t="s">
        <v>2821</v>
      </c>
      <c r="C286" s="2" t="s">
        <v>2792</v>
      </c>
      <c r="D286" s="2">
        <v>87</v>
      </c>
      <c r="E286" s="3" t="s">
        <v>2755</v>
      </c>
      <c r="F286" s="270"/>
      <c r="L286" s="2"/>
      <c r="M286" s="14">
        <v>15</v>
      </c>
      <c r="P286"/>
      <c r="Q286"/>
      <c r="R286"/>
      <c r="S286"/>
      <c r="T286"/>
    </row>
    <row r="287" spans="1:20" s="14" customFormat="1" x14ac:dyDescent="0.25">
      <c r="A287" s="2" t="s">
        <v>264</v>
      </c>
      <c r="B287" s="491" t="s">
        <v>3168</v>
      </c>
      <c r="C287" s="2" t="s">
        <v>2792</v>
      </c>
      <c r="D287" s="2">
        <v>58</v>
      </c>
      <c r="E287" s="3" t="s">
        <v>2755</v>
      </c>
      <c r="F287" s="270"/>
      <c r="L287" s="2"/>
      <c r="M287" s="14">
        <v>10</v>
      </c>
      <c r="P287"/>
      <c r="Q287"/>
      <c r="R287"/>
      <c r="S287"/>
      <c r="T287"/>
    </row>
    <row r="288" spans="1:20" s="14" customFormat="1" x14ac:dyDescent="0.25">
      <c r="A288" s="2" t="s">
        <v>265</v>
      </c>
      <c r="B288" s="491" t="s">
        <v>308</v>
      </c>
      <c r="C288" s="2" t="s">
        <v>2792</v>
      </c>
      <c r="D288" s="2">
        <v>122</v>
      </c>
      <c r="E288" s="3" t="s">
        <v>2755</v>
      </c>
      <c r="F288" s="270"/>
      <c r="L288" s="2"/>
      <c r="M288" s="14">
        <v>2</v>
      </c>
      <c r="P288"/>
      <c r="Q288"/>
      <c r="R288"/>
      <c r="S288"/>
      <c r="T288"/>
    </row>
    <row r="289" spans="1:20" s="14" customFormat="1" x14ac:dyDescent="0.25">
      <c r="A289" s="2" t="s">
        <v>266</v>
      </c>
      <c r="B289" s="491" t="s">
        <v>318</v>
      </c>
      <c r="C289" s="2" t="s">
        <v>2792</v>
      </c>
      <c r="D289" s="2">
        <v>141</v>
      </c>
      <c r="E289" s="3" t="s">
        <v>2755</v>
      </c>
      <c r="F289" s="270"/>
      <c r="L289" s="2"/>
      <c r="M289" s="14">
        <v>21</v>
      </c>
      <c r="P289"/>
      <c r="Q289"/>
      <c r="R289"/>
      <c r="S289"/>
      <c r="T289"/>
    </row>
    <row r="290" spans="1:20" s="14" customFormat="1" x14ac:dyDescent="0.25">
      <c r="A290" s="2" t="s">
        <v>267</v>
      </c>
      <c r="B290" s="491" t="s">
        <v>3550</v>
      </c>
      <c r="C290" s="2" t="s">
        <v>2792</v>
      </c>
      <c r="D290" s="2">
        <v>32</v>
      </c>
      <c r="E290" s="3" t="s">
        <v>2755</v>
      </c>
      <c r="F290" s="270"/>
      <c r="L290" s="2"/>
      <c r="M290" s="14">
        <v>8</v>
      </c>
      <c r="P290"/>
      <c r="Q290"/>
      <c r="R290"/>
      <c r="S290"/>
      <c r="T290"/>
    </row>
    <row r="291" spans="1:20" s="14" customFormat="1" x14ac:dyDescent="0.25">
      <c r="A291" s="2" t="s">
        <v>270</v>
      </c>
      <c r="B291" s="491" t="s">
        <v>312</v>
      </c>
      <c r="C291" s="2" t="s">
        <v>2792</v>
      </c>
      <c r="D291" s="2">
        <v>72</v>
      </c>
      <c r="E291" s="3" t="s">
        <v>2755</v>
      </c>
      <c r="F291" s="270"/>
      <c r="L291" s="2"/>
      <c r="M291" s="14">
        <v>0</v>
      </c>
      <c r="P291"/>
      <c r="Q291"/>
      <c r="R291"/>
      <c r="S291"/>
      <c r="T291"/>
    </row>
    <row r="292" spans="1:20" s="14" customFormat="1" x14ac:dyDescent="0.25">
      <c r="A292" s="2" t="s">
        <v>272</v>
      </c>
      <c r="B292" s="491" t="s">
        <v>3170</v>
      </c>
      <c r="C292" s="2" t="s">
        <v>2792</v>
      </c>
      <c r="D292" s="2">
        <v>96</v>
      </c>
      <c r="E292" s="3" t="s">
        <v>2755</v>
      </c>
      <c r="F292" s="270"/>
      <c r="L292" s="2"/>
      <c r="M292" s="14">
        <v>0</v>
      </c>
      <c r="P292"/>
      <c r="Q292"/>
      <c r="R292"/>
      <c r="S292"/>
      <c r="T292"/>
    </row>
    <row r="293" spans="1:20" s="14" customFormat="1" x14ac:dyDescent="0.25">
      <c r="A293" s="2" t="s">
        <v>274</v>
      </c>
      <c r="B293" s="491" t="s">
        <v>3169</v>
      </c>
      <c r="C293" s="2" t="s">
        <v>2792</v>
      </c>
      <c r="D293" s="2">
        <v>0</v>
      </c>
      <c r="E293" s="3" t="s">
        <v>2755</v>
      </c>
      <c r="F293" s="270"/>
      <c r="L293" s="2"/>
      <c r="M293" s="14">
        <v>0</v>
      </c>
      <c r="P293"/>
      <c r="Q293"/>
      <c r="R293"/>
      <c r="S293"/>
      <c r="T293"/>
    </row>
    <row r="294" spans="1:20" s="14" customFormat="1" x14ac:dyDescent="0.25">
      <c r="A294" s="2" t="s">
        <v>276</v>
      </c>
      <c r="B294" s="491" t="s">
        <v>1687</v>
      </c>
      <c r="C294" s="2" t="s">
        <v>2792</v>
      </c>
      <c r="D294" s="2">
        <v>130</v>
      </c>
      <c r="E294" s="3" t="s">
        <v>2755</v>
      </c>
      <c r="F294" s="270"/>
      <c r="L294" s="2"/>
      <c r="M294" s="14">
        <v>0</v>
      </c>
      <c r="P294"/>
      <c r="Q294"/>
      <c r="R294"/>
      <c r="S294"/>
      <c r="T294"/>
    </row>
    <row r="295" spans="1:20" s="14" customFormat="1" x14ac:dyDescent="0.25">
      <c r="A295" s="2" t="s">
        <v>278</v>
      </c>
      <c r="B295" s="491" t="s">
        <v>1688</v>
      </c>
      <c r="C295" s="2" t="s">
        <v>2792</v>
      </c>
      <c r="D295" s="2">
        <v>40</v>
      </c>
      <c r="E295" s="3" t="s">
        <v>2755</v>
      </c>
      <c r="F295" s="270"/>
      <c r="L295" s="2"/>
      <c r="M295" s="14">
        <v>0</v>
      </c>
      <c r="P295"/>
      <c r="Q295"/>
      <c r="R295"/>
      <c r="S295"/>
      <c r="T295"/>
    </row>
    <row r="296" spans="1:20" s="14" customFormat="1" x14ac:dyDescent="0.25">
      <c r="A296" s="2" t="s">
        <v>280</v>
      </c>
      <c r="B296" s="491" t="s">
        <v>1818</v>
      </c>
      <c r="C296" s="2" t="s">
        <v>2792</v>
      </c>
      <c r="D296" s="2">
        <v>260</v>
      </c>
      <c r="E296" s="3" t="s">
        <v>2755</v>
      </c>
      <c r="F296" s="270"/>
      <c r="L296" s="2"/>
      <c r="M296" s="14">
        <v>0</v>
      </c>
      <c r="P296"/>
      <c r="Q296"/>
      <c r="R296"/>
      <c r="S296"/>
      <c r="T296"/>
    </row>
    <row r="297" spans="1:20" s="14" customFormat="1" x14ac:dyDescent="0.25">
      <c r="A297" s="2" t="s">
        <v>282</v>
      </c>
      <c r="B297" s="491" t="s">
        <v>327</v>
      </c>
      <c r="C297" s="2" t="s">
        <v>1693</v>
      </c>
      <c r="D297" s="2">
        <v>0</v>
      </c>
      <c r="E297" s="3" t="s">
        <v>2755</v>
      </c>
      <c r="F297" s="270"/>
      <c r="L297" s="2"/>
      <c r="M297" s="14">
        <v>0</v>
      </c>
      <c r="P297"/>
      <c r="Q297"/>
      <c r="R297"/>
      <c r="S297"/>
      <c r="T297"/>
    </row>
    <row r="298" spans="1:20" s="14" customFormat="1" x14ac:dyDescent="0.25">
      <c r="A298" s="2" t="s">
        <v>286</v>
      </c>
      <c r="B298" s="491" t="s">
        <v>331</v>
      </c>
      <c r="C298" s="2" t="s">
        <v>332</v>
      </c>
      <c r="D298" s="2">
        <v>0</v>
      </c>
      <c r="E298" s="3" t="s">
        <v>2755</v>
      </c>
      <c r="F298" s="270"/>
      <c r="L298" s="2"/>
      <c r="M298" s="14">
        <v>0</v>
      </c>
      <c r="P298"/>
      <c r="Q298"/>
      <c r="R298"/>
      <c r="S298"/>
      <c r="T298"/>
    </row>
    <row r="299" spans="1:20" s="14" customFormat="1" x14ac:dyDescent="0.25">
      <c r="A299" s="2" t="s">
        <v>288</v>
      </c>
      <c r="B299" s="491" t="s">
        <v>334</v>
      </c>
      <c r="C299" s="2" t="s">
        <v>332</v>
      </c>
      <c r="D299" s="2">
        <v>0</v>
      </c>
      <c r="E299" s="3" t="s">
        <v>2755</v>
      </c>
      <c r="F299" s="270"/>
      <c r="L299" s="2"/>
      <c r="M299" s="14">
        <v>0</v>
      </c>
      <c r="P299"/>
      <c r="Q299"/>
      <c r="R299"/>
      <c r="S299"/>
      <c r="T299"/>
    </row>
    <row r="300" spans="1:20" s="14" customFormat="1" x14ac:dyDescent="0.25">
      <c r="A300" s="2" t="s">
        <v>290</v>
      </c>
      <c r="B300" s="491" t="s">
        <v>336</v>
      </c>
      <c r="C300" s="2" t="s">
        <v>332</v>
      </c>
      <c r="D300" s="2">
        <v>0</v>
      </c>
      <c r="E300" s="3" t="s">
        <v>2755</v>
      </c>
      <c r="F300" s="270"/>
      <c r="L300" s="2"/>
      <c r="M300" s="14">
        <v>0</v>
      </c>
      <c r="P300"/>
      <c r="Q300"/>
      <c r="R300"/>
      <c r="S300"/>
      <c r="T300"/>
    </row>
    <row r="301" spans="1:20" s="14" customFormat="1" x14ac:dyDescent="0.25">
      <c r="A301" s="2" t="s">
        <v>292</v>
      </c>
      <c r="B301" s="491" t="s">
        <v>338</v>
      </c>
      <c r="C301" s="2" t="s">
        <v>332</v>
      </c>
      <c r="D301" s="2">
        <v>147</v>
      </c>
      <c r="E301" s="3" t="s">
        <v>2755</v>
      </c>
      <c r="F301" s="270"/>
      <c r="L301" s="2"/>
      <c r="M301" s="14">
        <v>7</v>
      </c>
      <c r="P301"/>
      <c r="Q301"/>
      <c r="R301"/>
      <c r="S301"/>
      <c r="T301"/>
    </row>
    <row r="302" spans="1:20" s="14" customFormat="1" x14ac:dyDescent="0.25">
      <c r="A302" s="2" t="s">
        <v>294</v>
      </c>
      <c r="B302" s="491" t="s">
        <v>340</v>
      </c>
      <c r="C302" s="2" t="s">
        <v>332</v>
      </c>
      <c r="D302" s="2">
        <v>35</v>
      </c>
      <c r="E302" s="3" t="s">
        <v>2755</v>
      </c>
      <c r="F302" s="270"/>
      <c r="L302" s="2"/>
      <c r="M302" s="14">
        <v>10</v>
      </c>
      <c r="P302"/>
      <c r="Q302"/>
      <c r="R302"/>
      <c r="S302"/>
      <c r="T302"/>
    </row>
    <row r="303" spans="1:20" s="14" customFormat="1" x14ac:dyDescent="0.25">
      <c r="A303" s="2" t="s">
        <v>296</v>
      </c>
      <c r="B303" s="491" t="s">
        <v>342</v>
      </c>
      <c r="C303" s="2" t="s">
        <v>112</v>
      </c>
      <c r="D303" s="2">
        <v>280</v>
      </c>
      <c r="E303" s="3" t="s">
        <v>2755</v>
      </c>
      <c r="F303" s="270"/>
      <c r="L303" s="2"/>
      <c r="M303" s="14">
        <v>0</v>
      </c>
      <c r="P303"/>
      <c r="Q303"/>
      <c r="R303"/>
      <c r="S303"/>
      <c r="T303"/>
    </row>
    <row r="304" spans="1:20" s="14" customFormat="1" x14ac:dyDescent="0.25">
      <c r="A304" s="2" t="s">
        <v>299</v>
      </c>
      <c r="B304" s="491" t="s">
        <v>344</v>
      </c>
      <c r="C304" s="2" t="s">
        <v>46</v>
      </c>
      <c r="D304" s="2">
        <v>12</v>
      </c>
      <c r="E304" s="3" t="s">
        <v>1546</v>
      </c>
      <c r="F304" s="270"/>
      <c r="L304" s="2"/>
      <c r="P304"/>
      <c r="Q304"/>
      <c r="R304"/>
      <c r="S304"/>
      <c r="T304"/>
    </row>
    <row r="305" spans="1:20" s="14" customFormat="1" x14ac:dyDescent="0.25">
      <c r="A305" s="2" t="s">
        <v>301</v>
      </c>
      <c r="B305" s="491" t="s">
        <v>346</v>
      </c>
      <c r="C305" s="2" t="s">
        <v>46</v>
      </c>
      <c r="D305" s="2">
        <v>0</v>
      </c>
      <c r="E305" s="3" t="s">
        <v>1626</v>
      </c>
      <c r="F305" s="270"/>
      <c r="L305" s="2"/>
      <c r="P305"/>
      <c r="Q305"/>
      <c r="R305"/>
      <c r="S305"/>
      <c r="T305"/>
    </row>
    <row r="306" spans="1:20" s="14" customFormat="1" x14ac:dyDescent="0.25">
      <c r="A306" s="2" t="s">
        <v>303</v>
      </c>
      <c r="B306" s="491" t="s">
        <v>348</v>
      </c>
      <c r="C306" s="2" t="s">
        <v>46</v>
      </c>
      <c r="D306" s="2">
        <v>0</v>
      </c>
      <c r="E306" s="3" t="s">
        <v>1626</v>
      </c>
      <c r="F306" s="270"/>
      <c r="L306" s="2"/>
      <c r="P306"/>
      <c r="Q306"/>
      <c r="R306"/>
      <c r="S306"/>
      <c r="T306"/>
    </row>
    <row r="307" spans="1:20" s="14" customFormat="1" x14ac:dyDescent="0.25">
      <c r="A307" s="2" t="s">
        <v>305</v>
      </c>
      <c r="B307" s="491" t="s">
        <v>350</v>
      </c>
      <c r="C307" s="2" t="s">
        <v>46</v>
      </c>
      <c r="D307" s="2">
        <v>0</v>
      </c>
      <c r="E307" s="3" t="s">
        <v>1626</v>
      </c>
      <c r="F307" s="270"/>
      <c r="L307" s="2"/>
      <c r="P307"/>
      <c r="Q307"/>
      <c r="R307"/>
      <c r="S307"/>
      <c r="T307"/>
    </row>
    <row r="308" spans="1:20" s="14" customFormat="1" x14ac:dyDescent="0.25">
      <c r="A308" s="2" t="s">
        <v>307</v>
      </c>
      <c r="B308" s="491" t="s">
        <v>352</v>
      </c>
      <c r="C308" s="2" t="s">
        <v>46</v>
      </c>
      <c r="D308" s="2">
        <v>0</v>
      </c>
      <c r="E308" s="3" t="s">
        <v>1626</v>
      </c>
      <c r="F308" s="270"/>
      <c r="L308" s="2"/>
      <c r="P308"/>
      <c r="Q308"/>
      <c r="R308"/>
      <c r="S308"/>
      <c r="T308"/>
    </row>
    <row r="309" spans="1:20" s="14" customFormat="1" x14ac:dyDescent="0.25">
      <c r="A309" s="2" t="s">
        <v>309</v>
      </c>
      <c r="B309" s="491" t="s">
        <v>354</v>
      </c>
      <c r="C309" s="2" t="s">
        <v>46</v>
      </c>
      <c r="D309" s="2">
        <v>0</v>
      </c>
      <c r="E309" s="3" t="s">
        <v>1626</v>
      </c>
      <c r="F309" s="270"/>
      <c r="L309" s="2"/>
      <c r="P309"/>
      <c r="Q309"/>
      <c r="R309"/>
      <c r="S309"/>
      <c r="T309"/>
    </row>
    <row r="310" spans="1:20" s="14" customFormat="1" x14ac:dyDescent="0.25">
      <c r="A310" s="2" t="s">
        <v>310</v>
      </c>
      <c r="B310" s="491" t="s">
        <v>356</v>
      </c>
      <c r="C310" s="2" t="s">
        <v>46</v>
      </c>
      <c r="D310" s="2">
        <v>0</v>
      </c>
      <c r="E310" s="3" t="s">
        <v>1626</v>
      </c>
      <c r="F310" s="270"/>
      <c r="L310" s="2"/>
      <c r="P310"/>
      <c r="Q310"/>
      <c r="R310"/>
      <c r="S310"/>
      <c r="T310"/>
    </row>
    <row r="311" spans="1:20" s="14" customFormat="1" x14ac:dyDescent="0.25">
      <c r="A311" s="2" t="s">
        <v>311</v>
      </c>
      <c r="B311" s="491" t="s">
        <v>2175</v>
      </c>
      <c r="C311" s="2" t="s">
        <v>359</v>
      </c>
      <c r="D311" s="2">
        <v>100</v>
      </c>
      <c r="E311" s="3" t="s">
        <v>1486</v>
      </c>
      <c r="F311" s="270"/>
      <c r="L311" s="2"/>
      <c r="P311"/>
      <c r="Q311"/>
      <c r="R311"/>
      <c r="S311"/>
      <c r="T311"/>
    </row>
    <row r="312" spans="1:20" s="14" customFormat="1" x14ac:dyDescent="0.25">
      <c r="A312" s="2" t="s">
        <v>313</v>
      </c>
      <c r="B312" s="491" t="s">
        <v>358</v>
      </c>
      <c r="C312" s="2" t="s">
        <v>359</v>
      </c>
      <c r="D312" s="2">
        <v>0</v>
      </c>
      <c r="E312" s="3" t="s">
        <v>1486</v>
      </c>
      <c r="F312" s="270"/>
      <c r="L312" s="2"/>
      <c r="P312"/>
      <c r="Q312"/>
      <c r="R312"/>
      <c r="S312"/>
      <c r="T312"/>
    </row>
    <row r="313" spans="1:20" s="14" customFormat="1" x14ac:dyDescent="0.25">
      <c r="A313" s="2" t="s">
        <v>314</v>
      </c>
      <c r="B313" s="491" t="s">
        <v>362</v>
      </c>
      <c r="C313" s="2" t="s">
        <v>359</v>
      </c>
      <c r="D313" s="2">
        <v>0</v>
      </c>
      <c r="E313" s="3" t="s">
        <v>1486</v>
      </c>
      <c r="F313" s="270"/>
      <c r="L313" s="2"/>
      <c r="P313"/>
      <c r="Q313"/>
      <c r="R313"/>
      <c r="S313"/>
      <c r="T313"/>
    </row>
    <row r="314" spans="1:20" s="14" customFormat="1" x14ac:dyDescent="0.25">
      <c r="A314" s="2" t="s">
        <v>315</v>
      </c>
      <c r="B314" s="491" t="s">
        <v>2581</v>
      </c>
      <c r="C314" s="2" t="s">
        <v>332</v>
      </c>
      <c r="D314" s="2">
        <v>0</v>
      </c>
      <c r="E314" s="3" t="s">
        <v>1486</v>
      </c>
      <c r="F314" s="270"/>
      <c r="L314" s="2"/>
      <c r="P314"/>
      <c r="Q314"/>
      <c r="R314"/>
      <c r="S314"/>
      <c r="T314"/>
    </row>
    <row r="315" spans="1:20" s="14" customFormat="1" x14ac:dyDescent="0.25">
      <c r="A315" s="2" t="s">
        <v>316</v>
      </c>
      <c r="B315" s="491" t="s">
        <v>2582</v>
      </c>
      <c r="C315" s="2" t="s">
        <v>332</v>
      </c>
      <c r="D315" s="2">
        <v>0</v>
      </c>
      <c r="E315" s="3" t="s">
        <v>1486</v>
      </c>
      <c r="F315" s="270"/>
      <c r="L315" s="2"/>
      <c r="P315"/>
      <c r="Q315"/>
      <c r="R315"/>
      <c r="S315"/>
      <c r="T315"/>
    </row>
    <row r="316" spans="1:20" s="14" customFormat="1" x14ac:dyDescent="0.25">
      <c r="A316" s="2" t="s">
        <v>317</v>
      </c>
      <c r="B316" s="491" t="s">
        <v>2536</v>
      </c>
      <c r="C316" s="2" t="s">
        <v>332</v>
      </c>
      <c r="D316" s="2">
        <v>0</v>
      </c>
      <c r="E316" s="3" t="s">
        <v>1486</v>
      </c>
      <c r="F316" s="270"/>
      <c r="L316" s="2"/>
      <c r="P316"/>
      <c r="Q316"/>
      <c r="R316"/>
      <c r="S316"/>
      <c r="T316"/>
    </row>
    <row r="317" spans="1:20" s="14" customFormat="1" x14ac:dyDescent="0.25">
      <c r="A317" s="2" t="s">
        <v>319</v>
      </c>
      <c r="B317" s="491" t="s">
        <v>2535</v>
      </c>
      <c r="C317" s="2" t="s">
        <v>332</v>
      </c>
      <c r="D317" s="2">
        <v>0</v>
      </c>
      <c r="E317" s="3" t="s">
        <v>1486</v>
      </c>
      <c r="F317" s="270"/>
      <c r="L317" s="2"/>
      <c r="P317"/>
      <c r="Q317"/>
      <c r="R317"/>
      <c r="S317"/>
      <c r="T317"/>
    </row>
    <row r="318" spans="1:20" s="14" customFormat="1" x14ac:dyDescent="0.25">
      <c r="A318" s="2" t="s">
        <v>320</v>
      </c>
      <c r="B318" s="491" t="s">
        <v>370</v>
      </c>
      <c r="C318" s="2" t="s">
        <v>371</v>
      </c>
      <c r="D318" s="2">
        <v>18</v>
      </c>
      <c r="E318" s="3" t="s">
        <v>693</v>
      </c>
      <c r="F318" s="270"/>
      <c r="L318" s="2"/>
      <c r="P318"/>
      <c r="Q318"/>
      <c r="R318"/>
      <c r="S318"/>
      <c r="T318"/>
    </row>
    <row r="319" spans="1:20" s="14" customFormat="1" x14ac:dyDescent="0.25">
      <c r="A319" s="2" t="s">
        <v>321</v>
      </c>
      <c r="B319" s="491" t="s">
        <v>373</v>
      </c>
      <c r="C319" s="2" t="s">
        <v>371</v>
      </c>
      <c r="D319" s="2">
        <v>0</v>
      </c>
      <c r="E319" s="3" t="s">
        <v>693</v>
      </c>
      <c r="F319" s="270"/>
      <c r="L319" s="2"/>
      <c r="P319"/>
      <c r="Q319"/>
      <c r="R319"/>
      <c r="S319"/>
      <c r="T319"/>
    </row>
    <row r="320" spans="1:20" s="14" customFormat="1" x14ac:dyDescent="0.25">
      <c r="A320" s="2" t="s">
        <v>322</v>
      </c>
      <c r="B320" s="491" t="s">
        <v>375</v>
      </c>
      <c r="C320" s="2" t="s">
        <v>371</v>
      </c>
      <c r="D320" s="2">
        <v>0</v>
      </c>
      <c r="E320" s="3" t="s">
        <v>693</v>
      </c>
      <c r="F320" s="270"/>
      <c r="L320" s="2"/>
      <c r="P320"/>
      <c r="Q320"/>
      <c r="R320"/>
      <c r="S320"/>
      <c r="T320"/>
    </row>
    <row r="321" spans="1:20" s="14" customFormat="1" x14ac:dyDescent="0.25">
      <c r="A321" s="2" t="s">
        <v>323</v>
      </c>
      <c r="B321" s="491" t="s">
        <v>377</v>
      </c>
      <c r="C321" s="2" t="s">
        <v>371</v>
      </c>
      <c r="D321" s="2">
        <v>0</v>
      </c>
      <c r="E321" s="3" t="s">
        <v>1626</v>
      </c>
      <c r="F321" s="270"/>
      <c r="L321" s="2"/>
      <c r="P321"/>
      <c r="Q321"/>
      <c r="R321"/>
      <c r="S321"/>
      <c r="T321"/>
    </row>
    <row r="322" spans="1:20" s="14" customFormat="1" x14ac:dyDescent="0.25">
      <c r="A322" s="2" t="s">
        <v>324</v>
      </c>
      <c r="B322" s="491" t="s">
        <v>379</v>
      </c>
      <c r="C322" s="2" t="s">
        <v>371</v>
      </c>
      <c r="D322" s="2">
        <v>0</v>
      </c>
      <c r="E322" s="3" t="s">
        <v>1626</v>
      </c>
      <c r="F322" s="270"/>
      <c r="L322" s="2"/>
      <c r="P322"/>
      <c r="Q322"/>
      <c r="R322"/>
      <c r="S322"/>
      <c r="T322"/>
    </row>
    <row r="323" spans="1:20" s="14" customFormat="1" x14ac:dyDescent="0.25">
      <c r="A323" s="2" t="s">
        <v>325</v>
      </c>
      <c r="B323" s="491" t="s">
        <v>381</v>
      </c>
      <c r="C323" s="2" t="s">
        <v>371</v>
      </c>
      <c r="D323" s="2">
        <v>0</v>
      </c>
      <c r="E323" s="3" t="s">
        <v>1626</v>
      </c>
      <c r="F323" s="270"/>
      <c r="L323" s="2"/>
      <c r="P323"/>
      <c r="Q323"/>
      <c r="R323"/>
      <c r="S323"/>
      <c r="T323"/>
    </row>
    <row r="324" spans="1:20" s="14" customFormat="1" x14ac:dyDescent="0.25">
      <c r="A324" s="2" t="s">
        <v>326</v>
      </c>
      <c r="B324" s="491" t="s">
        <v>383</v>
      </c>
      <c r="C324" s="2" t="s">
        <v>371</v>
      </c>
      <c r="D324" s="2">
        <v>0</v>
      </c>
      <c r="E324" s="3" t="s">
        <v>1626</v>
      </c>
      <c r="F324" s="270"/>
      <c r="L324" s="2"/>
      <c r="P324"/>
      <c r="Q324"/>
      <c r="R324"/>
      <c r="S324"/>
      <c r="T324"/>
    </row>
    <row r="325" spans="1:20" s="14" customFormat="1" x14ac:dyDescent="0.25">
      <c r="A325" s="2" t="s">
        <v>328</v>
      </c>
      <c r="B325" s="491" t="s">
        <v>385</v>
      </c>
      <c r="C325" s="2" t="s">
        <v>371</v>
      </c>
      <c r="D325" s="2">
        <v>0</v>
      </c>
      <c r="E325" s="3" t="s">
        <v>1626</v>
      </c>
      <c r="F325" s="270"/>
      <c r="L325" s="2"/>
      <c r="P325"/>
      <c r="Q325"/>
      <c r="R325"/>
      <c r="S325"/>
      <c r="T325"/>
    </row>
    <row r="326" spans="1:20" s="14" customFormat="1" x14ac:dyDescent="0.25">
      <c r="A326" s="2" t="s">
        <v>329</v>
      </c>
      <c r="B326" s="491" t="s">
        <v>387</v>
      </c>
      <c r="C326" s="2" t="s">
        <v>371</v>
      </c>
      <c r="D326" s="2">
        <v>0</v>
      </c>
      <c r="E326" s="3" t="s">
        <v>1626</v>
      </c>
      <c r="F326" s="270"/>
      <c r="L326" s="2"/>
      <c r="P326"/>
      <c r="Q326"/>
      <c r="R326"/>
      <c r="S326"/>
      <c r="T326"/>
    </row>
    <row r="327" spans="1:20" s="14" customFormat="1" x14ac:dyDescent="0.25">
      <c r="A327" s="2" t="s">
        <v>330</v>
      </c>
      <c r="B327" s="491" t="s">
        <v>389</v>
      </c>
      <c r="C327" s="2" t="s">
        <v>371</v>
      </c>
      <c r="D327" s="2">
        <v>0</v>
      </c>
      <c r="E327" s="3" t="s">
        <v>1626</v>
      </c>
      <c r="F327" s="270"/>
      <c r="L327" s="2"/>
      <c r="P327"/>
      <c r="Q327"/>
      <c r="R327"/>
      <c r="S327"/>
      <c r="T327"/>
    </row>
    <row r="328" spans="1:20" s="14" customFormat="1" x14ac:dyDescent="0.25">
      <c r="A328" s="2" t="s">
        <v>333</v>
      </c>
      <c r="B328" s="491" t="s">
        <v>391</v>
      </c>
      <c r="C328" s="2" t="s">
        <v>392</v>
      </c>
      <c r="D328" s="2">
        <v>0</v>
      </c>
      <c r="E328" s="3" t="s">
        <v>1626</v>
      </c>
      <c r="F328" s="270"/>
      <c r="L328" s="2"/>
      <c r="P328"/>
      <c r="Q328"/>
      <c r="R328"/>
      <c r="S328"/>
      <c r="T328"/>
    </row>
    <row r="329" spans="1:20" s="14" customFormat="1" x14ac:dyDescent="0.25">
      <c r="A329" s="2" t="s">
        <v>335</v>
      </c>
      <c r="B329" s="491" t="s">
        <v>395</v>
      </c>
      <c r="C329" s="2" t="s">
        <v>392</v>
      </c>
      <c r="D329" s="2">
        <v>0</v>
      </c>
      <c r="E329" s="3" t="s">
        <v>1626</v>
      </c>
      <c r="F329" s="270"/>
      <c r="L329" s="2"/>
      <c r="P329"/>
      <c r="Q329"/>
      <c r="R329"/>
      <c r="S329"/>
      <c r="T329"/>
    </row>
    <row r="330" spans="1:20" s="14" customFormat="1" x14ac:dyDescent="0.25">
      <c r="A330" s="2" t="s">
        <v>337</v>
      </c>
      <c r="B330" s="491" t="s">
        <v>397</v>
      </c>
      <c r="C330" s="2" t="s">
        <v>392</v>
      </c>
      <c r="D330" s="2">
        <v>0</v>
      </c>
      <c r="E330" s="3" t="s">
        <v>1626</v>
      </c>
      <c r="F330" s="270"/>
      <c r="L330" s="2"/>
      <c r="P330"/>
      <c r="Q330"/>
      <c r="R330"/>
      <c r="S330"/>
      <c r="T330"/>
    </row>
    <row r="331" spans="1:20" s="14" customFormat="1" x14ac:dyDescent="0.25">
      <c r="A331" s="2" t="s">
        <v>339</v>
      </c>
      <c r="B331" s="491" t="s">
        <v>399</v>
      </c>
      <c r="C331" s="2" t="s">
        <v>392</v>
      </c>
      <c r="D331" s="2">
        <v>0</v>
      </c>
      <c r="E331" s="3" t="s">
        <v>1626</v>
      </c>
      <c r="F331" s="270"/>
      <c r="L331" s="2"/>
      <c r="P331"/>
      <c r="Q331"/>
      <c r="R331"/>
      <c r="S331"/>
      <c r="T331"/>
    </row>
    <row r="332" spans="1:20" s="14" customFormat="1" x14ac:dyDescent="0.25">
      <c r="A332" s="2" t="s">
        <v>341</v>
      </c>
      <c r="B332" s="491" t="s">
        <v>401</v>
      </c>
      <c r="C332" s="2" t="s">
        <v>392</v>
      </c>
      <c r="D332" s="2">
        <v>0</v>
      </c>
      <c r="E332" s="3" t="s">
        <v>1626</v>
      </c>
      <c r="F332" s="270"/>
      <c r="L332" s="2"/>
      <c r="P332"/>
      <c r="Q332"/>
      <c r="R332"/>
      <c r="S332"/>
      <c r="T332"/>
    </row>
    <row r="333" spans="1:20" s="14" customFormat="1" x14ac:dyDescent="0.25">
      <c r="A333" s="2" t="s">
        <v>343</v>
      </c>
      <c r="B333" s="491" t="s">
        <v>403</v>
      </c>
      <c r="C333" s="2" t="s">
        <v>392</v>
      </c>
      <c r="D333" s="2">
        <v>0</v>
      </c>
      <c r="E333" s="3" t="s">
        <v>1626</v>
      </c>
      <c r="F333" s="270"/>
      <c r="L333" s="2"/>
      <c r="P333"/>
      <c r="Q333"/>
      <c r="R333"/>
      <c r="S333"/>
      <c r="T333"/>
    </row>
    <row r="334" spans="1:20" s="14" customFormat="1" x14ac:dyDescent="0.25">
      <c r="A334" s="2" t="s">
        <v>345</v>
      </c>
      <c r="B334" s="491" t="s">
        <v>405</v>
      </c>
      <c r="C334" s="2" t="s">
        <v>392</v>
      </c>
      <c r="D334" s="2">
        <v>0</v>
      </c>
      <c r="E334" s="3" t="s">
        <v>1626</v>
      </c>
      <c r="F334" s="270"/>
      <c r="L334" s="2"/>
      <c r="P334"/>
      <c r="Q334"/>
      <c r="R334"/>
      <c r="S334"/>
      <c r="T334"/>
    </row>
    <row r="335" spans="1:20" s="14" customFormat="1" x14ac:dyDescent="0.25">
      <c r="A335" s="2" t="s">
        <v>347</v>
      </c>
      <c r="B335" s="491" t="s">
        <v>745</v>
      </c>
      <c r="C335" s="2" t="s">
        <v>746</v>
      </c>
      <c r="D335" s="2">
        <v>0</v>
      </c>
      <c r="E335" s="3" t="s">
        <v>1626</v>
      </c>
      <c r="F335" s="270"/>
      <c r="L335" s="2"/>
      <c r="P335"/>
      <c r="Q335"/>
      <c r="R335"/>
      <c r="S335"/>
      <c r="T335"/>
    </row>
    <row r="336" spans="1:20" s="14" customFormat="1" x14ac:dyDescent="0.25">
      <c r="A336" s="2" t="s">
        <v>349</v>
      </c>
      <c r="B336" s="491" t="s">
        <v>748</v>
      </c>
      <c r="C336" s="2" t="s">
        <v>749</v>
      </c>
      <c r="D336" s="2">
        <v>0</v>
      </c>
      <c r="E336" s="3" t="s">
        <v>1626</v>
      </c>
      <c r="F336" s="270"/>
      <c r="L336" s="2"/>
      <c r="P336"/>
      <c r="Q336"/>
      <c r="R336"/>
      <c r="S336"/>
      <c r="T336"/>
    </row>
    <row r="337" spans="1:20" s="14" customFormat="1" x14ac:dyDescent="0.25">
      <c r="A337" s="2" t="s">
        <v>351</v>
      </c>
      <c r="B337" s="491" t="s">
        <v>186</v>
      </c>
      <c r="C337" s="2" t="s">
        <v>749</v>
      </c>
      <c r="D337" s="2">
        <v>0</v>
      </c>
      <c r="E337" s="3" t="s">
        <v>1626</v>
      </c>
      <c r="F337" s="270"/>
      <c r="L337" s="2"/>
      <c r="P337"/>
      <c r="Q337"/>
      <c r="R337"/>
      <c r="S337"/>
      <c r="T337"/>
    </row>
    <row r="338" spans="1:20" s="14" customFormat="1" x14ac:dyDescent="0.25">
      <c r="A338" s="2" t="s">
        <v>353</v>
      </c>
      <c r="B338" s="491" t="s">
        <v>752</v>
      </c>
      <c r="C338" s="2" t="s">
        <v>749</v>
      </c>
      <c r="D338" s="2">
        <v>0</v>
      </c>
      <c r="E338" s="3" t="s">
        <v>1626</v>
      </c>
      <c r="F338" s="270"/>
      <c r="L338" s="2"/>
      <c r="P338"/>
      <c r="Q338"/>
      <c r="R338"/>
      <c r="S338"/>
      <c r="T338"/>
    </row>
    <row r="339" spans="1:20" s="14" customFormat="1" x14ac:dyDescent="0.25">
      <c r="A339" s="2" t="s">
        <v>355</v>
      </c>
      <c r="B339" s="491" t="s">
        <v>754</v>
      </c>
      <c r="C339" s="2" t="s">
        <v>749</v>
      </c>
      <c r="D339" s="2">
        <v>0</v>
      </c>
      <c r="E339" s="3" t="s">
        <v>1626</v>
      </c>
      <c r="F339" s="270"/>
      <c r="L339" s="2"/>
      <c r="P339"/>
      <c r="Q339"/>
      <c r="R339"/>
      <c r="S339"/>
      <c r="T339"/>
    </row>
    <row r="340" spans="1:20" s="14" customFormat="1" x14ac:dyDescent="0.25">
      <c r="A340" s="2" t="s">
        <v>357</v>
      </c>
      <c r="B340" s="491" t="s">
        <v>756</v>
      </c>
      <c r="C340" s="2" t="s">
        <v>749</v>
      </c>
      <c r="D340" s="2">
        <v>0</v>
      </c>
      <c r="E340" s="3" t="s">
        <v>1626</v>
      </c>
      <c r="F340" s="270"/>
      <c r="L340" s="2"/>
      <c r="P340"/>
      <c r="Q340"/>
      <c r="R340"/>
      <c r="S340"/>
      <c r="T340"/>
    </row>
    <row r="341" spans="1:20" s="14" customFormat="1" x14ac:dyDescent="0.25">
      <c r="A341" s="2" t="s">
        <v>360</v>
      </c>
      <c r="B341" s="491" t="s">
        <v>3514</v>
      </c>
      <c r="C341" s="2" t="s">
        <v>409</v>
      </c>
      <c r="D341" s="2">
        <v>240</v>
      </c>
      <c r="E341" s="3" t="s">
        <v>1626</v>
      </c>
      <c r="F341" s="270"/>
      <c r="L341" s="2"/>
      <c r="P341"/>
      <c r="Q341"/>
      <c r="R341"/>
      <c r="S341"/>
      <c r="T341"/>
    </row>
    <row r="342" spans="1:20" s="14" customFormat="1" x14ac:dyDescent="0.25">
      <c r="A342" s="2" t="s">
        <v>361</v>
      </c>
      <c r="B342" s="491" t="s">
        <v>757</v>
      </c>
      <c r="C342" s="2" t="s">
        <v>749</v>
      </c>
      <c r="D342" s="2">
        <v>0</v>
      </c>
      <c r="E342" s="3" t="s">
        <v>1561</v>
      </c>
      <c r="F342" s="270"/>
      <c r="L342" s="2"/>
      <c r="P342"/>
      <c r="Q342"/>
      <c r="R342"/>
      <c r="S342"/>
      <c r="T342"/>
    </row>
    <row r="343" spans="1:20" s="14" customFormat="1" x14ac:dyDescent="0.25">
      <c r="A343" s="2" t="s">
        <v>363</v>
      </c>
      <c r="B343" s="491" t="s">
        <v>2404</v>
      </c>
      <c r="C343" s="2" t="s">
        <v>409</v>
      </c>
      <c r="D343" s="2">
        <v>49061.13</v>
      </c>
      <c r="E343" s="3" t="s">
        <v>1561</v>
      </c>
      <c r="F343" s="270"/>
      <c r="L343" s="2"/>
      <c r="P343"/>
      <c r="Q343"/>
      <c r="R343"/>
      <c r="S343"/>
      <c r="T343"/>
    </row>
    <row r="344" spans="1:20" s="14" customFormat="1" x14ac:dyDescent="0.25">
      <c r="A344" s="2" t="s">
        <v>365</v>
      </c>
      <c r="B344" s="491" t="s">
        <v>758</v>
      </c>
      <c r="C344" s="2" t="s">
        <v>749</v>
      </c>
      <c r="D344" s="2">
        <v>0</v>
      </c>
      <c r="E344" s="3" t="s">
        <v>1561</v>
      </c>
      <c r="F344" s="270"/>
      <c r="L344" s="2"/>
      <c r="P344"/>
      <c r="Q344"/>
      <c r="R344"/>
      <c r="S344"/>
      <c r="T344"/>
    </row>
    <row r="345" spans="1:20" s="14" customFormat="1" x14ac:dyDescent="0.25">
      <c r="A345" s="2" t="s">
        <v>366</v>
      </c>
      <c r="B345" s="491" t="s">
        <v>3515</v>
      </c>
      <c r="C345" s="2" t="s">
        <v>409</v>
      </c>
      <c r="D345" s="2">
        <v>0</v>
      </c>
      <c r="E345" s="3" t="s">
        <v>1561</v>
      </c>
      <c r="F345" s="270"/>
      <c r="L345" s="2"/>
      <c r="P345"/>
      <c r="Q345"/>
      <c r="R345"/>
      <c r="S345"/>
      <c r="T345"/>
    </row>
    <row r="346" spans="1:20" s="14" customFormat="1" x14ac:dyDescent="0.25">
      <c r="A346" s="2" t="s">
        <v>367</v>
      </c>
      <c r="B346" s="491" t="s">
        <v>759</v>
      </c>
      <c r="C346" s="2" t="s">
        <v>749</v>
      </c>
      <c r="D346" s="2">
        <v>0</v>
      </c>
      <c r="E346" s="3" t="s">
        <v>1561</v>
      </c>
      <c r="F346" s="270"/>
      <c r="L346" s="2"/>
      <c r="P346"/>
      <c r="Q346"/>
      <c r="R346"/>
      <c r="S346"/>
      <c r="T346"/>
    </row>
    <row r="347" spans="1:20" s="14" customFormat="1" x14ac:dyDescent="0.25">
      <c r="A347" s="2" t="s">
        <v>368</v>
      </c>
      <c r="B347" s="491" t="s">
        <v>3516</v>
      </c>
      <c r="C347" s="2" t="s">
        <v>409</v>
      </c>
      <c r="D347" s="2">
        <v>0</v>
      </c>
      <c r="E347" s="3" t="s">
        <v>1561</v>
      </c>
      <c r="F347" s="270"/>
      <c r="L347" s="2"/>
      <c r="P347"/>
      <c r="Q347"/>
      <c r="R347"/>
      <c r="S347"/>
      <c r="T347"/>
    </row>
    <row r="348" spans="1:20" s="14" customFormat="1" x14ac:dyDescent="0.25">
      <c r="A348" s="2" t="s">
        <v>369</v>
      </c>
      <c r="B348" s="491" t="s">
        <v>760</v>
      </c>
      <c r="C348" s="2" t="s">
        <v>749</v>
      </c>
      <c r="D348" s="2">
        <v>116</v>
      </c>
      <c r="E348" s="3" t="s">
        <v>1561</v>
      </c>
      <c r="F348" s="270"/>
      <c r="L348" s="2"/>
      <c r="P348"/>
      <c r="Q348"/>
      <c r="R348"/>
      <c r="S348"/>
      <c r="T348"/>
    </row>
    <row r="349" spans="1:20" s="14" customFormat="1" x14ac:dyDescent="0.25">
      <c r="A349" s="2" t="s">
        <v>372</v>
      </c>
      <c r="B349" s="491" t="s">
        <v>3517</v>
      </c>
      <c r="C349" s="2" t="s">
        <v>409</v>
      </c>
      <c r="D349" s="2">
        <v>0</v>
      </c>
      <c r="E349" s="3" t="s">
        <v>1561</v>
      </c>
      <c r="F349" s="270"/>
      <c r="L349" s="2"/>
      <c r="P349"/>
      <c r="Q349"/>
      <c r="R349"/>
      <c r="S349"/>
      <c r="T349"/>
    </row>
    <row r="350" spans="1:20" s="14" customFormat="1" x14ac:dyDescent="0.25">
      <c r="A350" s="2" t="s">
        <v>374</v>
      </c>
      <c r="B350" s="491" t="s">
        <v>761</v>
      </c>
      <c r="C350" s="2" t="s">
        <v>749</v>
      </c>
      <c r="D350" s="2">
        <v>72</v>
      </c>
      <c r="E350" s="3" t="s">
        <v>1561</v>
      </c>
      <c r="F350" s="270"/>
      <c r="L350" s="2"/>
      <c r="P350"/>
      <c r="Q350"/>
      <c r="R350"/>
      <c r="S350"/>
      <c r="T350"/>
    </row>
    <row r="351" spans="1:20" s="14" customFormat="1" x14ac:dyDescent="0.25">
      <c r="A351" s="2" t="s">
        <v>376</v>
      </c>
      <c r="B351" s="491" t="s">
        <v>3518</v>
      </c>
      <c r="C351" s="2" t="s">
        <v>409</v>
      </c>
      <c r="D351" s="2">
        <v>0</v>
      </c>
      <c r="E351" s="3" t="s">
        <v>1561</v>
      </c>
      <c r="F351" s="270"/>
      <c r="L351" s="2"/>
      <c r="P351"/>
      <c r="Q351"/>
      <c r="R351"/>
      <c r="S351"/>
      <c r="T351"/>
    </row>
    <row r="352" spans="1:20" s="14" customFormat="1" x14ac:dyDescent="0.25">
      <c r="A352" s="2" t="s">
        <v>378</v>
      </c>
      <c r="B352" s="491" t="s">
        <v>762</v>
      </c>
      <c r="C352" s="2" t="s">
        <v>749</v>
      </c>
      <c r="D352" s="2">
        <v>0</v>
      </c>
      <c r="E352" s="3" t="s">
        <v>1561</v>
      </c>
      <c r="F352" s="270"/>
      <c r="L352" s="2"/>
      <c r="P352"/>
      <c r="Q352"/>
      <c r="R352"/>
      <c r="S352"/>
      <c r="T352"/>
    </row>
    <row r="353" spans="1:20" s="14" customFormat="1" x14ac:dyDescent="0.25">
      <c r="A353" s="2" t="s">
        <v>380</v>
      </c>
      <c r="B353" s="491" t="s">
        <v>763</v>
      </c>
      <c r="C353" s="2" t="s">
        <v>749</v>
      </c>
      <c r="D353" s="2">
        <v>0</v>
      </c>
      <c r="E353" s="3" t="s">
        <v>1561</v>
      </c>
      <c r="F353" s="270"/>
      <c r="L353" s="2"/>
      <c r="P353"/>
      <c r="Q353"/>
      <c r="R353"/>
      <c r="S353"/>
      <c r="T353"/>
    </row>
    <row r="354" spans="1:20" s="14" customFormat="1" x14ac:dyDescent="0.25">
      <c r="A354" s="2" t="s">
        <v>382</v>
      </c>
      <c r="B354" s="491" t="s">
        <v>2458</v>
      </c>
      <c r="C354" s="2" t="s">
        <v>416</v>
      </c>
      <c r="D354" s="2">
        <v>72</v>
      </c>
      <c r="E354" s="3" t="s">
        <v>1561</v>
      </c>
      <c r="F354" s="270"/>
      <c r="L354" s="2"/>
      <c r="P354"/>
      <c r="Q354"/>
      <c r="R354"/>
      <c r="S354"/>
      <c r="T354"/>
    </row>
    <row r="355" spans="1:20" s="14" customFormat="1" x14ac:dyDescent="0.25">
      <c r="A355" s="2" t="s">
        <v>384</v>
      </c>
      <c r="B355" s="491" t="s">
        <v>2704</v>
      </c>
      <c r="C355" s="2" t="s">
        <v>749</v>
      </c>
      <c r="D355" s="2">
        <v>45</v>
      </c>
      <c r="E355" s="3" t="s">
        <v>1561</v>
      </c>
      <c r="F355" s="270"/>
      <c r="L355" s="2"/>
      <c r="P355"/>
      <c r="Q355"/>
      <c r="R355"/>
      <c r="S355"/>
      <c r="T355"/>
    </row>
    <row r="356" spans="1:20" s="14" customFormat="1" x14ac:dyDescent="0.25">
      <c r="A356" s="2" t="s">
        <v>386</v>
      </c>
      <c r="B356" s="491" t="s">
        <v>3521</v>
      </c>
      <c r="C356" s="2" t="s">
        <v>416</v>
      </c>
      <c r="D356" s="2">
        <v>0</v>
      </c>
      <c r="E356" s="3" t="s">
        <v>1561</v>
      </c>
      <c r="F356" s="270"/>
      <c r="L356" s="2"/>
      <c r="P356"/>
      <c r="Q356"/>
      <c r="R356"/>
      <c r="S356"/>
      <c r="T356"/>
    </row>
    <row r="357" spans="1:20" s="14" customFormat="1" x14ac:dyDescent="0.25">
      <c r="A357" s="2" t="s">
        <v>388</v>
      </c>
      <c r="B357" s="491" t="s">
        <v>2705</v>
      </c>
      <c r="C357" s="2" t="s">
        <v>749</v>
      </c>
      <c r="D357" s="2">
        <v>30</v>
      </c>
      <c r="E357" s="3" t="s">
        <v>1561</v>
      </c>
      <c r="F357" s="270"/>
      <c r="L357" s="2"/>
      <c r="P357"/>
      <c r="Q357"/>
      <c r="R357"/>
      <c r="S357"/>
      <c r="T357"/>
    </row>
    <row r="358" spans="1:20" s="14" customFormat="1" x14ac:dyDescent="0.25">
      <c r="A358" s="2" t="s">
        <v>390</v>
      </c>
      <c r="B358" s="491" t="s">
        <v>3522</v>
      </c>
      <c r="C358" s="2" t="s">
        <v>416</v>
      </c>
      <c r="D358" s="2">
        <v>0</v>
      </c>
      <c r="E358" s="3" t="s">
        <v>1561</v>
      </c>
      <c r="F358" s="270"/>
      <c r="L358" s="2"/>
      <c r="P358"/>
      <c r="Q358"/>
      <c r="R358"/>
      <c r="S358"/>
      <c r="T358"/>
    </row>
    <row r="359" spans="1:20" s="14" customFormat="1" x14ac:dyDescent="0.25">
      <c r="A359" s="2" t="s">
        <v>394</v>
      </c>
      <c r="B359" s="491" t="s">
        <v>764</v>
      </c>
      <c r="C359" s="2" t="s">
        <v>749</v>
      </c>
      <c r="D359" s="2">
        <v>0</v>
      </c>
      <c r="E359" s="3" t="s">
        <v>1561</v>
      </c>
      <c r="F359" s="270"/>
      <c r="L359" s="2"/>
      <c r="P359"/>
      <c r="Q359"/>
      <c r="R359"/>
      <c r="S359"/>
      <c r="T359"/>
    </row>
    <row r="360" spans="1:20" s="14" customFormat="1" x14ac:dyDescent="0.25">
      <c r="A360" s="2" t="s">
        <v>396</v>
      </c>
      <c r="B360" s="491" t="s">
        <v>3523</v>
      </c>
      <c r="C360" s="2" t="s">
        <v>416</v>
      </c>
      <c r="D360" s="2">
        <v>0</v>
      </c>
      <c r="E360" s="3" t="s">
        <v>1561</v>
      </c>
      <c r="F360" s="270"/>
      <c r="L360" s="2"/>
      <c r="P360"/>
      <c r="Q360"/>
      <c r="R360"/>
      <c r="S360"/>
      <c r="T360"/>
    </row>
    <row r="361" spans="1:20" s="14" customFormat="1" x14ac:dyDescent="0.25">
      <c r="A361" s="2" t="s">
        <v>398</v>
      </c>
      <c r="B361" s="491" t="s">
        <v>765</v>
      </c>
      <c r="C361" s="2" t="s">
        <v>749</v>
      </c>
      <c r="D361" s="2">
        <v>0</v>
      </c>
      <c r="E361" s="3" t="s">
        <v>1561</v>
      </c>
      <c r="F361" s="270"/>
      <c r="L361" s="2"/>
      <c r="P361"/>
      <c r="Q361"/>
      <c r="R361"/>
      <c r="S361"/>
      <c r="T361"/>
    </row>
    <row r="362" spans="1:20" s="14" customFormat="1" x14ac:dyDescent="0.25">
      <c r="A362" s="2" t="s">
        <v>400</v>
      </c>
      <c r="B362" s="491" t="s">
        <v>3524</v>
      </c>
      <c r="C362" s="2" t="s">
        <v>421</v>
      </c>
      <c r="D362" s="2">
        <v>15</v>
      </c>
      <c r="E362" s="3" t="s">
        <v>1561</v>
      </c>
      <c r="F362" s="270"/>
      <c r="L362" s="2"/>
      <c r="P362"/>
      <c r="Q362"/>
      <c r="R362"/>
      <c r="S362"/>
      <c r="T362"/>
    </row>
    <row r="363" spans="1:20" s="14" customFormat="1" x14ac:dyDescent="0.25">
      <c r="A363" s="2" t="s">
        <v>402</v>
      </c>
      <c r="B363" s="491" t="s">
        <v>766</v>
      </c>
      <c r="C363" s="2" t="s">
        <v>749</v>
      </c>
      <c r="D363" s="2">
        <v>0</v>
      </c>
      <c r="E363" s="3" t="s">
        <v>1561</v>
      </c>
      <c r="F363" s="270"/>
      <c r="L363" s="2"/>
      <c r="P363"/>
      <c r="Q363"/>
      <c r="R363"/>
      <c r="S363"/>
      <c r="T363"/>
    </row>
    <row r="364" spans="1:20" s="14" customFormat="1" x14ac:dyDescent="0.25">
      <c r="A364" s="2" t="s">
        <v>404</v>
      </c>
      <c r="B364" s="491" t="s">
        <v>3525</v>
      </c>
      <c r="C364" s="2" t="s">
        <v>421</v>
      </c>
      <c r="D364" s="2">
        <v>0</v>
      </c>
      <c r="E364" s="3" t="s">
        <v>1561</v>
      </c>
      <c r="F364" s="270"/>
      <c r="L364" s="2"/>
      <c r="P364"/>
      <c r="Q364"/>
      <c r="R364"/>
      <c r="S364"/>
      <c r="T364"/>
    </row>
    <row r="365" spans="1:20" s="14" customFormat="1" x14ac:dyDescent="0.25">
      <c r="A365" s="2" t="s">
        <v>744</v>
      </c>
      <c r="B365" s="491" t="s">
        <v>767</v>
      </c>
      <c r="C365" s="2" t="s">
        <v>749</v>
      </c>
      <c r="D365" s="2">
        <v>0</v>
      </c>
      <c r="E365" s="3" t="s">
        <v>1561</v>
      </c>
      <c r="F365" s="270"/>
      <c r="L365" s="2"/>
      <c r="P365"/>
      <c r="Q365"/>
      <c r="R365"/>
      <c r="S365"/>
      <c r="T365"/>
    </row>
    <row r="366" spans="1:20" s="14" customFormat="1" x14ac:dyDescent="0.25">
      <c r="A366" s="2" t="s">
        <v>747</v>
      </c>
      <c r="B366" s="491" t="s">
        <v>3526</v>
      </c>
      <c r="C366" s="2" t="s">
        <v>421</v>
      </c>
      <c r="D366" s="2">
        <v>0</v>
      </c>
      <c r="E366" s="3" t="s">
        <v>1561</v>
      </c>
      <c r="F366" s="270"/>
      <c r="L366" s="2"/>
      <c r="P366"/>
      <c r="Q366"/>
      <c r="R366"/>
      <c r="S366"/>
      <c r="T366"/>
    </row>
    <row r="367" spans="1:20" s="14" customFormat="1" x14ac:dyDescent="0.25">
      <c r="A367" s="2" t="s">
        <v>750</v>
      </c>
      <c r="B367" s="491" t="s">
        <v>3527</v>
      </c>
      <c r="C367" s="2" t="s">
        <v>421</v>
      </c>
      <c r="D367" s="2">
        <v>0</v>
      </c>
      <c r="E367" s="3" t="s">
        <v>1561</v>
      </c>
      <c r="F367" s="270"/>
      <c r="L367" s="2"/>
      <c r="P367"/>
      <c r="Q367"/>
      <c r="R367"/>
      <c r="S367"/>
      <c r="T367"/>
    </row>
    <row r="368" spans="1:20" s="14" customFormat="1" x14ac:dyDescent="0.25">
      <c r="A368" s="2" t="s">
        <v>751</v>
      </c>
      <c r="B368" s="491" t="s">
        <v>768</v>
      </c>
      <c r="C368" s="2" t="s">
        <v>749</v>
      </c>
      <c r="D368" s="2">
        <v>0</v>
      </c>
      <c r="E368" s="3" t="s">
        <v>1561</v>
      </c>
      <c r="F368" s="270"/>
      <c r="L368" s="2"/>
      <c r="P368"/>
      <c r="Q368"/>
      <c r="R368"/>
      <c r="S368"/>
      <c r="T368"/>
    </row>
    <row r="369" spans="1:20" s="14" customFormat="1" x14ac:dyDescent="0.25">
      <c r="A369" s="2" t="s">
        <v>753</v>
      </c>
      <c r="B369" s="491" t="s">
        <v>3528</v>
      </c>
      <c r="C369" s="2" t="s">
        <v>426</v>
      </c>
      <c r="D369" s="2">
        <v>0</v>
      </c>
      <c r="E369" s="3" t="s">
        <v>1561</v>
      </c>
      <c r="F369" s="270"/>
      <c r="L369" s="2"/>
      <c r="P369"/>
      <c r="Q369"/>
      <c r="R369"/>
      <c r="S369"/>
      <c r="T369"/>
    </row>
    <row r="370" spans="1:20" s="14" customFormat="1" x14ac:dyDescent="0.25">
      <c r="A370" s="2" t="s">
        <v>755</v>
      </c>
      <c r="B370" s="491" t="s">
        <v>769</v>
      </c>
      <c r="C370" s="2" t="s">
        <v>749</v>
      </c>
      <c r="D370" s="2">
        <v>48</v>
      </c>
      <c r="E370" s="3" t="s">
        <v>1561</v>
      </c>
      <c r="F370" s="270"/>
      <c r="L370" s="2"/>
      <c r="P370"/>
      <c r="Q370"/>
      <c r="R370"/>
      <c r="S370"/>
      <c r="T370"/>
    </row>
    <row r="371" spans="1:20" s="14" customFormat="1" x14ac:dyDescent="0.25">
      <c r="A371" s="2" t="s">
        <v>408</v>
      </c>
      <c r="B371" s="491" t="s">
        <v>3529</v>
      </c>
      <c r="C371" s="2" t="s">
        <v>426</v>
      </c>
      <c r="D371" s="2">
        <v>12</v>
      </c>
      <c r="E371" s="3" t="s">
        <v>1561</v>
      </c>
      <c r="F371" s="270"/>
      <c r="L371" s="2"/>
      <c r="P371"/>
      <c r="Q371"/>
      <c r="R371"/>
      <c r="S371"/>
      <c r="T371"/>
    </row>
    <row r="372" spans="1:20" s="14" customFormat="1" x14ac:dyDescent="0.25">
      <c r="A372" s="2" t="s">
        <v>410</v>
      </c>
      <c r="B372" s="491" t="s">
        <v>770</v>
      </c>
      <c r="C372" s="2" t="s">
        <v>749</v>
      </c>
      <c r="D372" s="2">
        <v>0</v>
      </c>
      <c r="E372" s="3" t="s">
        <v>1561</v>
      </c>
      <c r="F372" s="270"/>
      <c r="L372" s="2"/>
      <c r="P372"/>
      <c r="Q372"/>
      <c r="R372"/>
      <c r="S372"/>
      <c r="T372"/>
    </row>
    <row r="373" spans="1:20" s="14" customFormat="1" x14ac:dyDescent="0.25">
      <c r="A373" s="2" t="s">
        <v>411</v>
      </c>
      <c r="B373" s="491" t="s">
        <v>3530</v>
      </c>
      <c r="C373" s="2" t="s">
        <v>426</v>
      </c>
      <c r="D373" s="2">
        <v>-1</v>
      </c>
      <c r="E373" s="3" t="s">
        <v>1561</v>
      </c>
      <c r="F373" s="270"/>
      <c r="L373" s="2"/>
      <c r="P373"/>
      <c r="Q373"/>
      <c r="R373"/>
      <c r="S373"/>
      <c r="T373"/>
    </row>
    <row r="374" spans="1:20" s="14" customFormat="1" x14ac:dyDescent="0.25">
      <c r="A374" s="2" t="s">
        <v>412</v>
      </c>
      <c r="B374" s="491" t="s">
        <v>3538</v>
      </c>
      <c r="C374" s="2" t="s">
        <v>426</v>
      </c>
      <c r="D374" s="2">
        <v>6</v>
      </c>
      <c r="E374" s="3" t="s">
        <v>1561</v>
      </c>
      <c r="F374" s="270"/>
      <c r="L374" s="2"/>
      <c r="P374"/>
      <c r="Q374"/>
      <c r="R374"/>
      <c r="S374"/>
      <c r="T374"/>
    </row>
    <row r="375" spans="1:20" s="14" customFormat="1" x14ac:dyDescent="0.25">
      <c r="A375" s="2" t="s">
        <v>413</v>
      </c>
      <c r="B375" s="491" t="s">
        <v>771</v>
      </c>
      <c r="C375" s="2" t="s">
        <v>749</v>
      </c>
      <c r="D375" s="2">
        <v>0</v>
      </c>
      <c r="E375" s="3" t="s">
        <v>1561</v>
      </c>
      <c r="F375" s="270"/>
      <c r="L375" s="2"/>
      <c r="P375"/>
      <c r="Q375"/>
      <c r="R375"/>
      <c r="S375"/>
      <c r="T375"/>
    </row>
    <row r="376" spans="1:20" s="14" customFormat="1" x14ac:dyDescent="0.25">
      <c r="A376" s="2" t="s">
        <v>414</v>
      </c>
      <c r="B376" s="491" t="s">
        <v>3531</v>
      </c>
      <c r="C376" s="2" t="s">
        <v>426</v>
      </c>
      <c r="D376" s="2">
        <v>12</v>
      </c>
      <c r="E376" s="3" t="s">
        <v>1561</v>
      </c>
      <c r="F376" s="270"/>
      <c r="L376" s="2"/>
      <c r="P376"/>
      <c r="Q376"/>
      <c r="R376"/>
      <c r="S376"/>
      <c r="T376"/>
    </row>
    <row r="377" spans="1:20" s="14" customFormat="1" x14ac:dyDescent="0.25">
      <c r="A377" s="2" t="s">
        <v>415</v>
      </c>
      <c r="B377" s="491" t="s">
        <v>3532</v>
      </c>
      <c r="C377" s="2" t="s">
        <v>426</v>
      </c>
      <c r="D377" s="2">
        <v>0</v>
      </c>
      <c r="E377" s="3" t="s">
        <v>1561</v>
      </c>
      <c r="F377" s="270"/>
      <c r="L377" s="2"/>
      <c r="P377"/>
      <c r="Q377"/>
      <c r="R377"/>
      <c r="S377"/>
      <c r="T377"/>
    </row>
    <row r="378" spans="1:20" s="14" customFormat="1" x14ac:dyDescent="0.25">
      <c r="A378" s="2" t="s">
        <v>417</v>
      </c>
      <c r="B378" s="491" t="s">
        <v>772</v>
      </c>
      <c r="C378" s="2" t="s">
        <v>749</v>
      </c>
      <c r="D378" s="2">
        <v>12</v>
      </c>
      <c r="E378" s="3" t="s">
        <v>1561</v>
      </c>
      <c r="F378" s="270"/>
      <c r="L378" s="2"/>
      <c r="P378"/>
      <c r="Q378"/>
      <c r="R378"/>
      <c r="S378"/>
      <c r="T378"/>
    </row>
    <row r="379" spans="1:20" s="14" customFormat="1" x14ac:dyDescent="0.25">
      <c r="A379" s="2" t="s">
        <v>418</v>
      </c>
      <c r="B379" s="491" t="s">
        <v>3533</v>
      </c>
      <c r="C379" s="2" t="s">
        <v>426</v>
      </c>
      <c r="D379" s="2">
        <v>0</v>
      </c>
      <c r="E379" s="3" t="s">
        <v>1561</v>
      </c>
      <c r="F379" s="270"/>
      <c r="L379" s="2"/>
      <c r="P379"/>
      <c r="Q379"/>
      <c r="R379"/>
      <c r="S379"/>
      <c r="T379"/>
    </row>
    <row r="380" spans="1:20" s="14" customFormat="1" x14ac:dyDescent="0.25">
      <c r="A380" s="2" t="s">
        <v>419</v>
      </c>
      <c r="B380" s="491" t="s">
        <v>773</v>
      </c>
      <c r="C380" s="2" t="s">
        <v>749</v>
      </c>
      <c r="D380" s="2">
        <v>0</v>
      </c>
      <c r="E380" s="3" t="s">
        <v>1561</v>
      </c>
      <c r="F380" s="270"/>
      <c r="L380" s="2"/>
      <c r="P380"/>
      <c r="Q380"/>
      <c r="R380"/>
      <c r="S380"/>
      <c r="T380"/>
    </row>
    <row r="381" spans="1:20" s="14" customFormat="1" x14ac:dyDescent="0.25">
      <c r="A381" s="2" t="s">
        <v>420</v>
      </c>
      <c r="B381" s="491" t="s">
        <v>3534</v>
      </c>
      <c r="C381" s="2" t="s">
        <v>426</v>
      </c>
      <c r="D381" s="2">
        <v>0</v>
      </c>
      <c r="E381" s="3" t="s">
        <v>1561</v>
      </c>
      <c r="F381" s="270"/>
      <c r="L381" s="2"/>
      <c r="P381"/>
      <c r="Q381"/>
      <c r="R381"/>
      <c r="S381"/>
      <c r="T381"/>
    </row>
    <row r="382" spans="1:20" s="14" customFormat="1" x14ac:dyDescent="0.25">
      <c r="A382" s="2" t="s">
        <v>422</v>
      </c>
      <c r="B382" s="491" t="s">
        <v>774</v>
      </c>
      <c r="C382" s="2" t="s">
        <v>749</v>
      </c>
      <c r="D382" s="2">
        <v>0</v>
      </c>
      <c r="E382" s="3" t="s">
        <v>1561</v>
      </c>
      <c r="F382" s="270"/>
      <c r="L382" s="2"/>
      <c r="P382"/>
      <c r="Q382"/>
      <c r="R382"/>
      <c r="S382"/>
      <c r="T382"/>
    </row>
    <row r="383" spans="1:20" s="14" customFormat="1" x14ac:dyDescent="0.25">
      <c r="A383" s="2" t="s">
        <v>423</v>
      </c>
      <c r="B383" s="491" t="s">
        <v>3535</v>
      </c>
      <c r="C383" s="2" t="s">
        <v>426</v>
      </c>
      <c r="D383" s="2">
        <v>0</v>
      </c>
      <c r="E383" s="3" t="s">
        <v>1561</v>
      </c>
      <c r="F383" s="270"/>
      <c r="L383" s="2"/>
      <c r="P383"/>
      <c r="Q383"/>
      <c r="R383"/>
      <c r="S383"/>
      <c r="T383"/>
    </row>
    <row r="384" spans="1:20" s="14" customFormat="1" x14ac:dyDescent="0.25">
      <c r="A384" s="2" t="s">
        <v>424</v>
      </c>
      <c r="B384" s="491" t="s">
        <v>775</v>
      </c>
      <c r="C384" s="2" t="s">
        <v>749</v>
      </c>
      <c r="D384" s="2">
        <v>0</v>
      </c>
      <c r="E384" s="3" t="s">
        <v>1561</v>
      </c>
      <c r="F384" s="270"/>
      <c r="L384" s="2"/>
      <c r="P384"/>
      <c r="Q384"/>
      <c r="R384"/>
      <c r="S384"/>
      <c r="T384"/>
    </row>
    <row r="385" spans="1:20" s="14" customFormat="1" x14ac:dyDescent="0.25">
      <c r="A385" s="2" t="s">
        <v>425</v>
      </c>
      <c r="B385" s="491" t="s">
        <v>776</v>
      </c>
      <c r="C385" s="2" t="s">
        <v>749</v>
      </c>
      <c r="D385" s="2">
        <v>0</v>
      </c>
      <c r="E385" s="3" t="s">
        <v>1561</v>
      </c>
      <c r="F385" s="270"/>
      <c r="L385" s="2"/>
      <c r="P385"/>
      <c r="Q385"/>
      <c r="R385"/>
      <c r="S385"/>
      <c r="T385"/>
    </row>
    <row r="386" spans="1:20" s="14" customFormat="1" x14ac:dyDescent="0.25">
      <c r="A386" s="2" t="s">
        <v>427</v>
      </c>
      <c r="B386" s="491" t="s">
        <v>3536</v>
      </c>
      <c r="C386" s="2" t="s">
        <v>426</v>
      </c>
      <c r="D386" s="2">
        <v>0</v>
      </c>
      <c r="E386" s="3" t="s">
        <v>1561</v>
      </c>
      <c r="F386" s="270"/>
      <c r="L386" s="2"/>
      <c r="P386"/>
      <c r="Q386"/>
      <c r="R386"/>
      <c r="S386"/>
      <c r="T386"/>
    </row>
    <row r="387" spans="1:20" s="14" customFormat="1" x14ac:dyDescent="0.25">
      <c r="A387" s="2" t="s">
        <v>428</v>
      </c>
      <c r="B387" s="491" t="s">
        <v>3537</v>
      </c>
      <c r="C387" s="2" t="s">
        <v>426</v>
      </c>
      <c r="D387" s="2">
        <v>0</v>
      </c>
      <c r="E387" s="3" t="s">
        <v>1561</v>
      </c>
      <c r="F387" s="270"/>
      <c r="L387" s="2"/>
      <c r="P387"/>
      <c r="Q387"/>
      <c r="R387"/>
      <c r="S387"/>
      <c r="T387"/>
    </row>
    <row r="388" spans="1:20" s="14" customFormat="1" x14ac:dyDescent="0.25">
      <c r="A388" s="2" t="s">
        <v>429</v>
      </c>
      <c r="B388" s="491" t="s">
        <v>777</v>
      </c>
      <c r="C388" s="2" t="s">
        <v>749</v>
      </c>
      <c r="D388" s="2">
        <v>0</v>
      </c>
      <c r="E388" s="3" t="s">
        <v>1561</v>
      </c>
      <c r="F388" s="270"/>
      <c r="L388" s="2"/>
      <c r="P388"/>
      <c r="Q388"/>
      <c r="R388"/>
      <c r="S388"/>
      <c r="T388"/>
    </row>
    <row r="389" spans="1:20" s="14" customFormat="1" x14ac:dyDescent="0.25">
      <c r="A389" s="2" t="s">
        <v>430</v>
      </c>
      <c r="B389" s="491" t="s">
        <v>2700</v>
      </c>
      <c r="C389" s="2" t="s">
        <v>426</v>
      </c>
      <c r="D389" s="2">
        <v>12</v>
      </c>
      <c r="E389" s="3" t="s">
        <v>1561</v>
      </c>
      <c r="F389" s="270"/>
      <c r="L389" s="2"/>
      <c r="P389"/>
      <c r="Q389"/>
      <c r="R389"/>
      <c r="S389"/>
      <c r="T389"/>
    </row>
    <row r="390" spans="1:20" s="14" customFormat="1" x14ac:dyDescent="0.25">
      <c r="A390" s="2" t="s">
        <v>431</v>
      </c>
      <c r="B390" s="491" t="s">
        <v>778</v>
      </c>
      <c r="C390" s="2" t="s">
        <v>749</v>
      </c>
      <c r="D390" s="2">
        <v>0</v>
      </c>
      <c r="E390" s="3" t="s">
        <v>1561</v>
      </c>
      <c r="F390" s="270"/>
      <c r="L390" s="2"/>
      <c r="P390"/>
      <c r="Q390"/>
      <c r="R390"/>
      <c r="S390"/>
      <c r="T390"/>
    </row>
    <row r="391" spans="1:20" s="14" customFormat="1" x14ac:dyDescent="0.25">
      <c r="A391" s="2" t="s">
        <v>432</v>
      </c>
      <c r="B391" s="491" t="s">
        <v>779</v>
      </c>
      <c r="C391" s="2" t="s">
        <v>749</v>
      </c>
      <c r="D391" s="2">
        <v>0</v>
      </c>
      <c r="E391" s="3" t="s">
        <v>1561</v>
      </c>
      <c r="F391" s="270"/>
      <c r="L391" s="2"/>
      <c r="P391"/>
      <c r="Q391"/>
      <c r="R391"/>
      <c r="S391"/>
      <c r="T391"/>
    </row>
    <row r="392" spans="1:20" s="14" customFormat="1" x14ac:dyDescent="0.25">
      <c r="A392" s="2" t="s">
        <v>433</v>
      </c>
      <c r="B392" s="491" t="s">
        <v>3540</v>
      </c>
      <c r="C392" s="2" t="s">
        <v>3539</v>
      </c>
      <c r="D392" s="2">
        <v>0</v>
      </c>
      <c r="E392" s="3" t="s">
        <v>1561</v>
      </c>
      <c r="F392" s="270"/>
      <c r="L392" s="2"/>
      <c r="P392"/>
      <c r="Q392"/>
      <c r="R392"/>
      <c r="S392"/>
      <c r="T392"/>
    </row>
    <row r="393" spans="1:20" s="14" customFormat="1" x14ac:dyDescent="0.25">
      <c r="A393" s="2" t="s">
        <v>434</v>
      </c>
      <c r="B393" s="491" t="s">
        <v>780</v>
      </c>
      <c r="C393" s="2" t="s">
        <v>749</v>
      </c>
      <c r="D393" s="2">
        <v>0</v>
      </c>
      <c r="E393" s="3" t="s">
        <v>1561</v>
      </c>
      <c r="F393" s="270"/>
      <c r="L393" s="2"/>
      <c r="P393"/>
      <c r="Q393"/>
      <c r="R393"/>
      <c r="S393"/>
      <c r="T393"/>
    </row>
    <row r="394" spans="1:20" s="14" customFormat="1" x14ac:dyDescent="0.25">
      <c r="A394" s="2" t="s">
        <v>435</v>
      </c>
      <c r="B394" s="491" t="s">
        <v>438</v>
      </c>
      <c r="C394" s="2" t="s">
        <v>439</v>
      </c>
      <c r="D394" s="2">
        <v>0</v>
      </c>
      <c r="E394" s="3" t="s">
        <v>1561</v>
      </c>
      <c r="F394" s="270"/>
      <c r="L394" s="2"/>
      <c r="P394"/>
      <c r="Q394"/>
      <c r="R394"/>
      <c r="S394"/>
      <c r="T394"/>
    </row>
    <row r="395" spans="1:20" s="14" customFormat="1" x14ac:dyDescent="0.25">
      <c r="A395" s="2" t="s">
        <v>436</v>
      </c>
      <c r="B395" s="491" t="s">
        <v>781</v>
      </c>
      <c r="C395" s="2" t="s">
        <v>749</v>
      </c>
      <c r="D395" s="2">
        <v>0</v>
      </c>
      <c r="E395" s="3" t="s">
        <v>1561</v>
      </c>
      <c r="F395" s="270"/>
      <c r="L395" s="2"/>
      <c r="P395"/>
      <c r="Q395"/>
      <c r="R395"/>
      <c r="S395"/>
      <c r="T395"/>
    </row>
    <row r="396" spans="1:20" s="14" customFormat="1" x14ac:dyDescent="0.25">
      <c r="A396" s="2" t="s">
        <v>437</v>
      </c>
      <c r="B396" s="491" t="s">
        <v>441</v>
      </c>
      <c r="C396" s="2" t="s">
        <v>439</v>
      </c>
      <c r="D396" s="2">
        <v>8</v>
      </c>
      <c r="E396" s="3" t="s">
        <v>1561</v>
      </c>
      <c r="F396" s="270"/>
      <c r="L396" s="2"/>
      <c r="P396"/>
      <c r="Q396"/>
      <c r="R396"/>
      <c r="S396"/>
      <c r="T396"/>
    </row>
    <row r="397" spans="1:20" s="14" customFormat="1" x14ac:dyDescent="0.25">
      <c r="A397" s="2" t="s">
        <v>440</v>
      </c>
      <c r="B397" s="491" t="s">
        <v>443</v>
      </c>
      <c r="C397" s="2" t="s">
        <v>439</v>
      </c>
      <c r="D397" s="2">
        <v>0</v>
      </c>
      <c r="E397" s="3" t="s">
        <v>1561</v>
      </c>
      <c r="F397" s="270"/>
      <c r="L397" s="2"/>
      <c r="P397"/>
      <c r="Q397"/>
      <c r="R397"/>
      <c r="S397"/>
      <c r="T397"/>
    </row>
    <row r="398" spans="1:20" s="14" customFormat="1" x14ac:dyDescent="0.25">
      <c r="A398" s="2" t="s">
        <v>442</v>
      </c>
      <c r="B398" s="491" t="s">
        <v>5892</v>
      </c>
      <c r="C398" s="2" t="s">
        <v>782</v>
      </c>
      <c r="D398" s="2">
        <v>0</v>
      </c>
      <c r="E398" s="3" t="s">
        <v>1561</v>
      </c>
      <c r="F398" s="270"/>
      <c r="L398" s="2"/>
      <c r="P398"/>
      <c r="Q398"/>
      <c r="R398"/>
      <c r="S398"/>
      <c r="T398"/>
    </row>
    <row r="399" spans="1:20" s="14" customFormat="1" x14ac:dyDescent="0.25">
      <c r="A399" s="2" t="s">
        <v>444</v>
      </c>
      <c r="B399" s="491" t="s">
        <v>445</v>
      </c>
      <c r="C399" s="2" t="s">
        <v>439</v>
      </c>
      <c r="D399" s="2">
        <v>0</v>
      </c>
      <c r="E399" s="3" t="s">
        <v>1561</v>
      </c>
      <c r="F399" s="270"/>
      <c r="L399" s="2"/>
      <c r="P399"/>
      <c r="Q399"/>
      <c r="R399"/>
      <c r="S399"/>
      <c r="T399"/>
    </row>
    <row r="400" spans="1:20" s="14" customFormat="1" x14ac:dyDescent="0.25">
      <c r="A400" s="2" t="s">
        <v>446</v>
      </c>
      <c r="B400" s="491" t="s">
        <v>2173</v>
      </c>
      <c r="C400" s="2" t="s">
        <v>782</v>
      </c>
      <c r="D400" s="2">
        <v>0</v>
      </c>
      <c r="E400" s="3" t="s">
        <v>1561</v>
      </c>
      <c r="F400" s="270"/>
      <c r="L400" s="2"/>
      <c r="P400"/>
      <c r="Q400"/>
      <c r="R400"/>
      <c r="S400"/>
      <c r="T400"/>
    </row>
    <row r="401" spans="1:20" s="14" customFormat="1" x14ac:dyDescent="0.25">
      <c r="A401" s="2" t="s">
        <v>448</v>
      </c>
      <c r="B401" s="491" t="s">
        <v>447</v>
      </c>
      <c r="C401" s="2" t="s">
        <v>439</v>
      </c>
      <c r="D401" s="2">
        <v>0</v>
      </c>
      <c r="E401" s="3" t="s">
        <v>1561</v>
      </c>
      <c r="F401" s="270"/>
      <c r="L401" s="2"/>
      <c r="P401"/>
      <c r="Q401"/>
      <c r="R401"/>
      <c r="S401"/>
      <c r="T401"/>
    </row>
    <row r="402" spans="1:20" s="14" customFormat="1" x14ac:dyDescent="0.25">
      <c r="A402" s="2" t="s">
        <v>450</v>
      </c>
      <c r="B402" s="491" t="s">
        <v>5893</v>
      </c>
      <c r="C402" s="2" t="s">
        <v>782</v>
      </c>
      <c r="D402" s="2">
        <v>0</v>
      </c>
      <c r="E402" s="3" t="s">
        <v>1561</v>
      </c>
      <c r="F402" s="270"/>
      <c r="L402" s="2"/>
      <c r="P402"/>
      <c r="Q402"/>
      <c r="R402"/>
      <c r="S402"/>
      <c r="T402"/>
    </row>
    <row r="403" spans="1:20" s="14" customFormat="1" x14ac:dyDescent="0.25">
      <c r="A403" s="2" t="s">
        <v>452</v>
      </c>
      <c r="B403" s="491" t="s">
        <v>5894</v>
      </c>
      <c r="C403" s="2" t="s">
        <v>782</v>
      </c>
      <c r="D403" s="2">
        <v>24</v>
      </c>
      <c r="E403" s="3" t="s">
        <v>1561</v>
      </c>
      <c r="F403" s="270"/>
      <c r="L403" s="2"/>
      <c r="P403"/>
      <c r="Q403"/>
      <c r="R403"/>
      <c r="S403"/>
      <c r="T403"/>
    </row>
    <row r="404" spans="1:20" s="14" customFormat="1" x14ac:dyDescent="0.25">
      <c r="A404" s="2" t="s">
        <v>454</v>
      </c>
      <c r="B404" s="491" t="s">
        <v>449</v>
      </c>
      <c r="C404" s="2" t="s">
        <v>439</v>
      </c>
      <c r="D404" s="2">
        <v>0</v>
      </c>
      <c r="E404" s="3" t="s">
        <v>1561</v>
      </c>
      <c r="F404" s="270"/>
      <c r="L404" s="2"/>
      <c r="P404"/>
      <c r="Q404"/>
      <c r="R404"/>
      <c r="S404"/>
      <c r="T404"/>
    </row>
    <row r="405" spans="1:20" s="14" customFormat="1" x14ac:dyDescent="0.25">
      <c r="A405" s="2" t="s">
        <v>457</v>
      </c>
      <c r="B405" s="491" t="s">
        <v>451</v>
      </c>
      <c r="C405" s="2" t="s">
        <v>439</v>
      </c>
      <c r="D405" s="2">
        <v>0</v>
      </c>
      <c r="E405" s="3" t="s">
        <v>1561</v>
      </c>
      <c r="F405" s="270"/>
      <c r="L405" s="2"/>
      <c r="P405"/>
      <c r="Q405"/>
      <c r="R405"/>
      <c r="S405"/>
      <c r="T405"/>
    </row>
    <row r="406" spans="1:20" s="14" customFormat="1" x14ac:dyDescent="0.25">
      <c r="A406" s="2" t="s">
        <v>460</v>
      </c>
      <c r="B406" s="491" t="s">
        <v>453</v>
      </c>
      <c r="C406" s="2" t="s">
        <v>439</v>
      </c>
      <c r="D406" s="2">
        <v>0</v>
      </c>
      <c r="E406" s="3" t="s">
        <v>1561</v>
      </c>
      <c r="F406" s="270"/>
      <c r="L406" s="2"/>
      <c r="P406"/>
      <c r="Q406"/>
      <c r="R406"/>
      <c r="S406"/>
      <c r="T406"/>
    </row>
    <row r="407" spans="1:20" s="14" customFormat="1" x14ac:dyDescent="0.25">
      <c r="A407" s="2" t="s">
        <v>462</v>
      </c>
      <c r="B407" s="491" t="s">
        <v>455</v>
      </c>
      <c r="C407" s="2" t="s">
        <v>439</v>
      </c>
      <c r="D407" s="2">
        <v>-1</v>
      </c>
      <c r="E407" s="3" t="s">
        <v>1561</v>
      </c>
      <c r="F407" s="270"/>
      <c r="L407" s="2"/>
      <c r="P407"/>
      <c r="Q407"/>
      <c r="R407"/>
      <c r="S407"/>
      <c r="T407"/>
    </row>
    <row r="408" spans="1:20" s="14" customFormat="1" x14ac:dyDescent="0.25">
      <c r="A408" s="2" t="s">
        <v>463</v>
      </c>
      <c r="B408" s="491" t="s">
        <v>5895</v>
      </c>
      <c r="C408" s="2" t="s">
        <v>782</v>
      </c>
      <c r="D408" s="2">
        <v>37</v>
      </c>
      <c r="E408" s="3" t="s">
        <v>1561</v>
      </c>
      <c r="F408" s="270"/>
      <c r="L408" s="2"/>
      <c r="P408"/>
      <c r="Q408"/>
      <c r="R408"/>
      <c r="S408"/>
      <c r="T408"/>
    </row>
    <row r="409" spans="1:20" s="14" customFormat="1" x14ac:dyDescent="0.25">
      <c r="A409" s="2" t="s">
        <v>464</v>
      </c>
      <c r="B409" s="491" t="s">
        <v>456</v>
      </c>
      <c r="C409" s="2" t="s">
        <v>439</v>
      </c>
      <c r="D409" s="2">
        <v>-3</v>
      </c>
      <c r="E409" s="3" t="s">
        <v>1561</v>
      </c>
      <c r="F409" s="270"/>
      <c r="L409" s="2"/>
      <c r="P409"/>
      <c r="Q409"/>
      <c r="R409"/>
      <c r="S409"/>
      <c r="T409"/>
    </row>
    <row r="410" spans="1:20" s="14" customFormat="1" x14ac:dyDescent="0.25">
      <c r="A410" s="2" t="s">
        <v>465</v>
      </c>
      <c r="B410" s="491" t="s">
        <v>458</v>
      </c>
      <c r="C410" s="2" t="s">
        <v>459</v>
      </c>
      <c r="D410" s="2">
        <v>12</v>
      </c>
      <c r="E410" s="3" t="s">
        <v>1561</v>
      </c>
      <c r="F410" s="270"/>
      <c r="L410" s="2"/>
      <c r="P410"/>
      <c r="Q410"/>
      <c r="R410"/>
      <c r="S410"/>
      <c r="T410"/>
    </row>
    <row r="411" spans="1:20" s="14" customFormat="1" x14ac:dyDescent="0.25">
      <c r="A411" s="2" t="s">
        <v>466</v>
      </c>
      <c r="B411" s="491" t="s">
        <v>5896</v>
      </c>
      <c r="C411" s="2" t="s">
        <v>782</v>
      </c>
      <c r="D411" s="2">
        <v>24</v>
      </c>
      <c r="E411" s="3" t="s">
        <v>1561</v>
      </c>
      <c r="F411" s="270"/>
      <c r="L411" s="2"/>
      <c r="P411"/>
      <c r="Q411"/>
      <c r="R411"/>
      <c r="S411"/>
      <c r="T411"/>
    </row>
    <row r="412" spans="1:20" s="14" customFormat="1" x14ac:dyDescent="0.25">
      <c r="A412" s="2" t="s">
        <v>467</v>
      </c>
      <c r="B412" s="491" t="s">
        <v>3105</v>
      </c>
      <c r="C412" s="2" t="s">
        <v>461</v>
      </c>
      <c r="D412" s="2">
        <v>0</v>
      </c>
      <c r="E412" s="3" t="s">
        <v>1561</v>
      </c>
      <c r="F412" s="270"/>
      <c r="L412" s="2"/>
      <c r="P412"/>
      <c r="Q412"/>
      <c r="R412"/>
      <c r="S412"/>
      <c r="T412"/>
    </row>
    <row r="413" spans="1:20" s="14" customFormat="1" x14ac:dyDescent="0.25">
      <c r="A413" s="2" t="s">
        <v>468</v>
      </c>
      <c r="B413" s="491" t="s">
        <v>5897</v>
      </c>
      <c r="C413" s="2" t="s">
        <v>782</v>
      </c>
      <c r="D413" s="2">
        <v>0</v>
      </c>
      <c r="E413" s="3" t="s">
        <v>1561</v>
      </c>
      <c r="F413" s="270"/>
      <c r="L413" s="2"/>
      <c r="P413"/>
      <c r="Q413"/>
      <c r="R413"/>
      <c r="S413"/>
      <c r="T413"/>
    </row>
    <row r="414" spans="1:20" s="14" customFormat="1" x14ac:dyDescent="0.25">
      <c r="A414" s="2" t="s">
        <v>469</v>
      </c>
      <c r="B414" s="491" t="s">
        <v>3136</v>
      </c>
      <c r="C414" s="2" t="s">
        <v>461</v>
      </c>
      <c r="D414" s="2">
        <v>0</v>
      </c>
      <c r="E414" s="3" t="s">
        <v>1561</v>
      </c>
      <c r="F414" s="270"/>
      <c r="L414" s="2"/>
      <c r="P414"/>
      <c r="Q414"/>
      <c r="R414"/>
      <c r="S414"/>
      <c r="T414"/>
    </row>
    <row r="415" spans="1:20" s="14" customFormat="1" x14ac:dyDescent="0.25">
      <c r="A415" s="2" t="s">
        <v>470</v>
      </c>
      <c r="B415" s="491" t="s">
        <v>784</v>
      </c>
      <c r="C415" s="2" t="s">
        <v>782</v>
      </c>
      <c r="D415" s="2">
        <v>-1</v>
      </c>
      <c r="E415" s="3" t="s">
        <v>1561</v>
      </c>
      <c r="F415" s="270"/>
      <c r="L415" s="2"/>
      <c r="P415"/>
      <c r="Q415"/>
      <c r="R415"/>
      <c r="S415"/>
      <c r="T415"/>
    </row>
    <row r="416" spans="1:20" s="14" customFormat="1" x14ac:dyDescent="0.25">
      <c r="A416" s="2" t="s">
        <v>471</v>
      </c>
      <c r="B416" s="491" t="s">
        <v>3108</v>
      </c>
      <c r="C416" s="2" t="s">
        <v>461</v>
      </c>
      <c r="D416" s="2">
        <v>0</v>
      </c>
      <c r="E416" s="3" t="s">
        <v>1561</v>
      </c>
      <c r="F416" s="270"/>
      <c r="L416" s="2"/>
      <c r="P416"/>
      <c r="Q416"/>
      <c r="R416"/>
      <c r="S416"/>
      <c r="T416"/>
    </row>
    <row r="417" spans="1:20" s="14" customFormat="1" x14ac:dyDescent="0.25">
      <c r="A417" s="2" t="s">
        <v>472</v>
      </c>
      <c r="B417" s="491" t="s">
        <v>3109</v>
      </c>
      <c r="C417" s="2" t="s">
        <v>461</v>
      </c>
      <c r="D417" s="2">
        <v>0</v>
      </c>
      <c r="E417" s="3" t="s">
        <v>1561</v>
      </c>
      <c r="F417" s="270"/>
      <c r="L417" s="2"/>
      <c r="P417"/>
      <c r="Q417"/>
      <c r="R417"/>
      <c r="S417"/>
      <c r="T417"/>
    </row>
    <row r="418" spans="1:20" s="14" customFormat="1" x14ac:dyDescent="0.25">
      <c r="A418" s="2" t="s">
        <v>473</v>
      </c>
      <c r="B418" s="491" t="s">
        <v>5898</v>
      </c>
      <c r="C418" s="2" t="s">
        <v>782</v>
      </c>
      <c r="D418" s="2">
        <v>24</v>
      </c>
      <c r="E418" s="3" t="s">
        <v>1561</v>
      </c>
      <c r="F418" s="270"/>
      <c r="L418" s="2"/>
      <c r="P418"/>
      <c r="Q418"/>
      <c r="R418"/>
      <c r="S418"/>
      <c r="T418"/>
    </row>
    <row r="419" spans="1:20" s="14" customFormat="1" x14ac:dyDescent="0.25">
      <c r="A419" s="2" t="s">
        <v>474</v>
      </c>
      <c r="B419" s="491" t="s">
        <v>3110</v>
      </c>
      <c r="C419" s="2" t="s">
        <v>461</v>
      </c>
      <c r="D419" s="2">
        <v>0</v>
      </c>
      <c r="E419" s="3" t="s">
        <v>1570</v>
      </c>
      <c r="F419" s="270"/>
      <c r="L419" s="2"/>
      <c r="P419"/>
      <c r="Q419"/>
      <c r="R419"/>
      <c r="S419"/>
      <c r="T419"/>
    </row>
    <row r="420" spans="1:20" s="14" customFormat="1" x14ac:dyDescent="0.25">
      <c r="A420" s="2" t="s">
        <v>475</v>
      </c>
      <c r="B420" s="491" t="s">
        <v>785</v>
      </c>
      <c r="C420" s="2" t="s">
        <v>782</v>
      </c>
      <c r="D420" s="2">
        <v>12</v>
      </c>
      <c r="E420" s="3" t="s">
        <v>1561</v>
      </c>
      <c r="F420" s="270"/>
      <c r="L420" s="2"/>
      <c r="P420"/>
      <c r="Q420"/>
      <c r="R420"/>
      <c r="S420"/>
      <c r="T420"/>
    </row>
    <row r="421" spans="1:20" s="14" customFormat="1" x14ac:dyDescent="0.25">
      <c r="A421" s="2" t="s">
        <v>476</v>
      </c>
      <c r="B421" s="491" t="s">
        <v>3107</v>
      </c>
      <c r="C421" s="2" t="s">
        <v>461</v>
      </c>
      <c r="D421" s="2">
        <v>0</v>
      </c>
      <c r="E421" s="3" t="s">
        <v>1570</v>
      </c>
      <c r="F421" s="270"/>
      <c r="L421" s="2"/>
      <c r="P421"/>
      <c r="Q421"/>
      <c r="R421"/>
      <c r="S421"/>
      <c r="T421"/>
    </row>
    <row r="422" spans="1:20" s="14" customFormat="1" x14ac:dyDescent="0.25">
      <c r="A422" s="2" t="s">
        <v>477</v>
      </c>
      <c r="B422" s="491" t="s">
        <v>786</v>
      </c>
      <c r="C422" s="2" t="s">
        <v>782</v>
      </c>
      <c r="D422" s="2">
        <v>2</v>
      </c>
      <c r="E422" s="3" t="s">
        <v>1561</v>
      </c>
      <c r="F422" s="270"/>
      <c r="L422" s="2"/>
      <c r="P422"/>
      <c r="Q422"/>
      <c r="R422"/>
      <c r="S422"/>
      <c r="T422"/>
    </row>
    <row r="423" spans="1:20" s="14" customFormat="1" x14ac:dyDescent="0.25">
      <c r="A423" s="2" t="s">
        <v>478</v>
      </c>
      <c r="B423" s="491" t="s">
        <v>3135</v>
      </c>
      <c r="C423" s="2" t="s">
        <v>461</v>
      </c>
      <c r="D423" s="2">
        <v>0</v>
      </c>
      <c r="E423" s="3" t="s">
        <v>1570</v>
      </c>
      <c r="F423" s="270"/>
      <c r="L423" s="2"/>
      <c r="P423"/>
      <c r="Q423"/>
      <c r="R423"/>
      <c r="S423"/>
      <c r="T423"/>
    </row>
    <row r="424" spans="1:20" s="14" customFormat="1" x14ac:dyDescent="0.25">
      <c r="A424" s="2" t="s">
        <v>479</v>
      </c>
      <c r="B424" s="491" t="s">
        <v>787</v>
      </c>
      <c r="C424" s="2" t="s">
        <v>782</v>
      </c>
      <c r="D424" s="2">
        <v>0</v>
      </c>
      <c r="E424" s="3" t="s">
        <v>1570</v>
      </c>
      <c r="F424" s="270"/>
      <c r="L424" s="2"/>
      <c r="P424"/>
      <c r="Q424"/>
      <c r="R424"/>
      <c r="S424"/>
      <c r="T424"/>
    </row>
    <row r="425" spans="1:20" s="14" customFormat="1" x14ac:dyDescent="0.25">
      <c r="A425" s="2" t="s">
        <v>480</v>
      </c>
      <c r="B425" s="491" t="s">
        <v>3111</v>
      </c>
      <c r="C425" s="2" t="s">
        <v>461</v>
      </c>
      <c r="D425" s="2">
        <v>0</v>
      </c>
      <c r="E425" s="3" t="s">
        <v>1561</v>
      </c>
      <c r="F425" s="270"/>
      <c r="L425" s="2"/>
      <c r="P425"/>
      <c r="Q425"/>
      <c r="R425"/>
      <c r="S425"/>
      <c r="T425"/>
    </row>
    <row r="426" spans="1:20" s="14" customFormat="1" x14ac:dyDescent="0.25">
      <c r="A426" s="2" t="s">
        <v>481</v>
      </c>
      <c r="B426" s="491" t="s">
        <v>5899</v>
      </c>
      <c r="C426" s="2" t="s">
        <v>782</v>
      </c>
      <c r="D426" s="2">
        <v>-38</v>
      </c>
      <c r="E426" s="3" t="s">
        <v>1570</v>
      </c>
      <c r="F426" s="270"/>
      <c r="L426" s="2"/>
      <c r="P426"/>
      <c r="Q426"/>
      <c r="R426"/>
      <c r="S426"/>
      <c r="T426"/>
    </row>
    <row r="427" spans="1:20" s="14" customFormat="1" x14ac:dyDescent="0.25">
      <c r="A427" s="2" t="s">
        <v>482</v>
      </c>
      <c r="B427" s="491" t="s">
        <v>3105</v>
      </c>
      <c r="C427" s="2" t="s">
        <v>461</v>
      </c>
      <c r="D427" s="2">
        <v>0</v>
      </c>
      <c r="E427" s="3" t="s">
        <v>1561</v>
      </c>
      <c r="F427" s="270"/>
      <c r="L427" s="2"/>
      <c r="P427"/>
      <c r="Q427"/>
      <c r="R427"/>
      <c r="S427"/>
      <c r="T427"/>
    </row>
    <row r="428" spans="1:20" s="14" customFormat="1" x14ac:dyDescent="0.25">
      <c r="A428" s="2" t="s">
        <v>483</v>
      </c>
      <c r="B428" s="491" t="s">
        <v>5900</v>
      </c>
      <c r="C428" s="2" t="s">
        <v>782</v>
      </c>
      <c r="D428" s="2">
        <v>36</v>
      </c>
      <c r="E428" s="3" t="s">
        <v>1570</v>
      </c>
      <c r="F428" s="270"/>
      <c r="L428" s="2"/>
      <c r="P428"/>
      <c r="Q428"/>
      <c r="R428"/>
      <c r="S428"/>
      <c r="T428"/>
    </row>
    <row r="429" spans="1:20" s="14" customFormat="1" x14ac:dyDescent="0.25">
      <c r="A429" s="2" t="s">
        <v>484</v>
      </c>
      <c r="B429" s="491" t="s">
        <v>3112</v>
      </c>
      <c r="C429" s="2" t="s">
        <v>461</v>
      </c>
      <c r="D429" s="2">
        <v>51</v>
      </c>
      <c r="E429" s="3" t="s">
        <v>1561</v>
      </c>
      <c r="F429" s="270"/>
      <c r="L429" s="2"/>
      <c r="P429"/>
      <c r="Q429"/>
      <c r="R429"/>
      <c r="S429"/>
      <c r="T429"/>
    </row>
    <row r="430" spans="1:20" s="14" customFormat="1" x14ac:dyDescent="0.25">
      <c r="A430" s="2" t="s">
        <v>485</v>
      </c>
      <c r="B430" s="491" t="s">
        <v>788</v>
      </c>
      <c r="C430" s="2" t="s">
        <v>782</v>
      </c>
      <c r="D430" s="2">
        <v>0</v>
      </c>
      <c r="E430" s="3" t="s">
        <v>1570</v>
      </c>
      <c r="F430" s="270"/>
      <c r="L430" s="2"/>
      <c r="P430"/>
      <c r="Q430"/>
      <c r="R430"/>
      <c r="S430"/>
      <c r="T430"/>
    </row>
    <row r="431" spans="1:20" s="14" customFormat="1" x14ac:dyDescent="0.25">
      <c r="A431" s="2" t="s">
        <v>486</v>
      </c>
      <c r="B431" s="491" t="s">
        <v>3113</v>
      </c>
      <c r="C431" s="2" t="s">
        <v>461</v>
      </c>
      <c r="D431" s="2">
        <v>0</v>
      </c>
      <c r="E431" s="3" t="s">
        <v>1561</v>
      </c>
      <c r="F431" s="270"/>
      <c r="L431" s="2"/>
      <c r="P431"/>
      <c r="Q431"/>
      <c r="R431"/>
      <c r="S431"/>
      <c r="T431"/>
    </row>
    <row r="432" spans="1:20" s="14" customFormat="1" x14ac:dyDescent="0.25">
      <c r="A432" s="2" t="s">
        <v>487</v>
      </c>
      <c r="B432" s="491" t="s">
        <v>3680</v>
      </c>
      <c r="C432" s="2" t="s">
        <v>782</v>
      </c>
      <c r="D432" s="2">
        <v>0</v>
      </c>
      <c r="E432" s="3" t="s">
        <v>1570</v>
      </c>
      <c r="F432" s="270"/>
      <c r="L432" s="2"/>
      <c r="P432"/>
      <c r="Q432"/>
      <c r="R432"/>
      <c r="S432"/>
      <c r="T432"/>
    </row>
    <row r="433" spans="1:20" s="14" customFormat="1" x14ac:dyDescent="0.25">
      <c r="A433" s="2" t="s">
        <v>488</v>
      </c>
      <c r="B433" s="491" t="s">
        <v>3114</v>
      </c>
      <c r="C433" s="2" t="s">
        <v>461</v>
      </c>
      <c r="D433" s="2">
        <v>0</v>
      </c>
      <c r="E433" s="3" t="s">
        <v>1561</v>
      </c>
      <c r="F433" s="270"/>
      <c r="L433" s="2"/>
      <c r="P433"/>
      <c r="Q433"/>
      <c r="R433"/>
      <c r="S433"/>
      <c r="T433"/>
    </row>
    <row r="434" spans="1:20" s="14" customFormat="1" x14ac:dyDescent="0.25">
      <c r="A434" s="2" t="s">
        <v>489</v>
      </c>
      <c r="B434" s="491" t="s">
        <v>789</v>
      </c>
      <c r="C434" s="2" t="s">
        <v>782</v>
      </c>
      <c r="D434" s="2">
        <v>0</v>
      </c>
      <c r="E434" s="3" t="s">
        <v>1570</v>
      </c>
      <c r="F434" s="270"/>
      <c r="L434" s="2"/>
      <c r="P434"/>
      <c r="Q434"/>
      <c r="R434"/>
      <c r="S434"/>
      <c r="T434"/>
    </row>
    <row r="435" spans="1:20" s="14" customFormat="1" x14ac:dyDescent="0.25">
      <c r="A435" s="2" t="s">
        <v>490</v>
      </c>
      <c r="B435" s="491" t="s">
        <v>3115</v>
      </c>
      <c r="C435" s="2" t="s">
        <v>461</v>
      </c>
      <c r="D435" s="2">
        <v>12</v>
      </c>
      <c r="E435" s="3" t="s">
        <v>1561</v>
      </c>
      <c r="F435" s="270"/>
      <c r="L435" s="2"/>
      <c r="P435"/>
      <c r="Q435"/>
      <c r="R435"/>
      <c r="S435"/>
      <c r="T435"/>
    </row>
    <row r="436" spans="1:20" s="14" customFormat="1" x14ac:dyDescent="0.25">
      <c r="A436" s="2" t="s">
        <v>491</v>
      </c>
      <c r="B436" s="491" t="s">
        <v>790</v>
      </c>
      <c r="C436" s="2" t="s">
        <v>782</v>
      </c>
      <c r="D436" s="2">
        <v>0</v>
      </c>
      <c r="E436" s="3" t="s">
        <v>1570</v>
      </c>
      <c r="F436" s="270"/>
      <c r="L436" s="2"/>
      <c r="P436"/>
      <c r="Q436"/>
      <c r="R436"/>
      <c r="S436"/>
      <c r="T436"/>
    </row>
    <row r="437" spans="1:20" s="14" customFormat="1" x14ac:dyDescent="0.25">
      <c r="A437" s="2" t="s">
        <v>492</v>
      </c>
      <c r="B437" s="491" t="s">
        <v>3137</v>
      </c>
      <c r="C437" s="2" t="s">
        <v>461</v>
      </c>
      <c r="D437" s="2">
        <v>0</v>
      </c>
      <c r="E437" s="3" t="s">
        <v>1561</v>
      </c>
      <c r="F437" s="270"/>
      <c r="L437" s="2"/>
      <c r="P437"/>
      <c r="Q437"/>
      <c r="R437"/>
      <c r="S437"/>
      <c r="T437"/>
    </row>
    <row r="438" spans="1:20" s="14" customFormat="1" x14ac:dyDescent="0.25">
      <c r="A438" s="2" t="s">
        <v>493</v>
      </c>
      <c r="B438" s="491" t="s">
        <v>5901</v>
      </c>
      <c r="C438" s="2" t="s">
        <v>782</v>
      </c>
      <c r="D438" s="2">
        <v>12</v>
      </c>
      <c r="E438" s="3" t="s">
        <v>1570</v>
      </c>
      <c r="F438" s="270"/>
      <c r="L438" s="2"/>
      <c r="P438"/>
      <c r="Q438"/>
      <c r="R438"/>
      <c r="S438"/>
      <c r="T438"/>
    </row>
    <row r="439" spans="1:20" s="14" customFormat="1" x14ac:dyDescent="0.25">
      <c r="A439" s="2" t="s">
        <v>494</v>
      </c>
      <c r="B439" s="491" t="s">
        <v>3116</v>
      </c>
      <c r="C439" s="2" t="s">
        <v>461</v>
      </c>
      <c r="D439" s="2">
        <v>6</v>
      </c>
      <c r="E439" s="3" t="s">
        <v>1561</v>
      </c>
      <c r="F439" s="270"/>
      <c r="L439" s="2"/>
      <c r="P439"/>
      <c r="Q439"/>
      <c r="R439"/>
      <c r="S439"/>
      <c r="T439"/>
    </row>
    <row r="440" spans="1:20" s="14" customFormat="1" x14ac:dyDescent="0.25">
      <c r="A440" s="2" t="s">
        <v>495</v>
      </c>
      <c r="B440" s="491" t="s">
        <v>3679</v>
      </c>
      <c r="C440" s="2" t="s">
        <v>782</v>
      </c>
      <c r="D440" s="2">
        <v>12</v>
      </c>
      <c r="E440" s="3" t="s">
        <v>1570</v>
      </c>
      <c r="F440" s="270"/>
      <c r="L440" s="2"/>
      <c r="P440"/>
      <c r="Q440"/>
      <c r="R440"/>
      <c r="S440"/>
      <c r="T440"/>
    </row>
    <row r="441" spans="1:20" s="14" customFormat="1" x14ac:dyDescent="0.25">
      <c r="A441" s="2" t="s">
        <v>496</v>
      </c>
      <c r="B441" s="491" t="s">
        <v>3159</v>
      </c>
      <c r="C441" s="2" t="s">
        <v>461</v>
      </c>
      <c r="D441" s="2">
        <v>0</v>
      </c>
      <c r="E441" s="3" t="s">
        <v>1561</v>
      </c>
      <c r="F441" s="270"/>
      <c r="L441" s="2"/>
      <c r="P441"/>
      <c r="Q441"/>
      <c r="R441"/>
      <c r="S441"/>
      <c r="T441"/>
    </row>
    <row r="442" spans="1:20" s="14" customFormat="1" x14ac:dyDescent="0.25">
      <c r="A442" s="2" t="s">
        <v>497</v>
      </c>
      <c r="B442" s="491" t="s">
        <v>3681</v>
      </c>
      <c r="C442" s="2" t="s">
        <v>782</v>
      </c>
      <c r="D442" s="2">
        <v>0</v>
      </c>
      <c r="E442" s="3" t="s">
        <v>1570</v>
      </c>
      <c r="F442" s="270"/>
      <c r="L442" s="2"/>
      <c r="P442"/>
      <c r="Q442"/>
      <c r="R442"/>
      <c r="S442"/>
      <c r="T442"/>
    </row>
    <row r="443" spans="1:20" s="14" customFormat="1" x14ac:dyDescent="0.25">
      <c r="A443" s="2" t="s">
        <v>498</v>
      </c>
      <c r="B443" s="491" t="s">
        <v>3160</v>
      </c>
      <c r="C443" s="2" t="s">
        <v>461</v>
      </c>
      <c r="D443" s="2">
        <v>0</v>
      </c>
      <c r="E443" s="3" t="s">
        <v>1561</v>
      </c>
      <c r="F443" s="270"/>
      <c r="L443" s="2"/>
      <c r="P443"/>
      <c r="Q443"/>
      <c r="R443"/>
      <c r="S443"/>
      <c r="T443"/>
    </row>
    <row r="444" spans="1:20" s="14" customFormat="1" x14ac:dyDescent="0.25">
      <c r="A444" s="2" t="s">
        <v>499</v>
      </c>
      <c r="B444" s="491" t="s">
        <v>791</v>
      </c>
      <c r="C444" s="2" t="s">
        <v>782</v>
      </c>
      <c r="D444" s="2">
        <v>100</v>
      </c>
      <c r="E444" s="3" t="s">
        <v>1570</v>
      </c>
      <c r="F444" s="270"/>
      <c r="L444" s="2"/>
      <c r="P444"/>
      <c r="Q444"/>
      <c r="R444"/>
      <c r="S444"/>
      <c r="T444"/>
    </row>
    <row r="445" spans="1:20" s="14" customFormat="1" x14ac:dyDescent="0.25">
      <c r="A445" s="2" t="s">
        <v>500</v>
      </c>
      <c r="B445" s="491" t="s">
        <v>3158</v>
      </c>
      <c r="C445" s="2" t="s">
        <v>461</v>
      </c>
      <c r="D445" s="2">
        <v>0</v>
      </c>
      <c r="E445" s="3" t="s">
        <v>1561</v>
      </c>
      <c r="F445" s="270"/>
      <c r="L445" s="2"/>
      <c r="P445"/>
      <c r="Q445"/>
      <c r="R445"/>
      <c r="S445"/>
      <c r="T445"/>
    </row>
    <row r="446" spans="1:20" s="14" customFormat="1" x14ac:dyDescent="0.25">
      <c r="A446" s="2" t="s">
        <v>501</v>
      </c>
      <c r="B446" s="491" t="s">
        <v>3403</v>
      </c>
      <c r="C446" s="2" t="s">
        <v>835</v>
      </c>
      <c r="D446" s="2">
        <v>0</v>
      </c>
      <c r="E446" s="3" t="s">
        <v>1570</v>
      </c>
      <c r="F446" s="270"/>
      <c r="L446" s="2"/>
      <c r="P446"/>
      <c r="Q446"/>
      <c r="R446"/>
      <c r="S446"/>
      <c r="T446"/>
    </row>
    <row r="447" spans="1:20" s="14" customFormat="1" x14ac:dyDescent="0.25">
      <c r="A447" s="2" t="s">
        <v>502</v>
      </c>
      <c r="B447" s="491" t="s">
        <v>3157</v>
      </c>
      <c r="C447" s="2" t="s">
        <v>461</v>
      </c>
      <c r="D447" s="2">
        <v>6</v>
      </c>
      <c r="E447" s="3" t="s">
        <v>1561</v>
      </c>
      <c r="F447" s="270"/>
      <c r="L447" s="2"/>
      <c r="P447"/>
      <c r="Q447"/>
      <c r="R447"/>
      <c r="S447"/>
      <c r="T447"/>
    </row>
    <row r="448" spans="1:20" s="14" customFormat="1" x14ac:dyDescent="0.25">
      <c r="A448" s="2" t="s">
        <v>503</v>
      </c>
      <c r="B448" s="491" t="s">
        <v>3117</v>
      </c>
      <c r="C448" s="2" t="s">
        <v>461</v>
      </c>
      <c r="D448" s="2">
        <v>0</v>
      </c>
      <c r="E448" s="3" t="s">
        <v>1570</v>
      </c>
      <c r="F448" s="270"/>
      <c r="L448" s="2"/>
      <c r="P448"/>
      <c r="Q448"/>
      <c r="R448"/>
      <c r="S448"/>
      <c r="T448"/>
    </row>
    <row r="449" spans="1:20" s="14" customFormat="1" x14ac:dyDescent="0.25">
      <c r="A449" s="2" t="s">
        <v>504</v>
      </c>
      <c r="B449" s="491" t="s">
        <v>3138</v>
      </c>
      <c r="C449" s="2" t="s">
        <v>461</v>
      </c>
      <c r="D449" s="2">
        <v>6</v>
      </c>
      <c r="E449" s="3" t="s">
        <v>1561</v>
      </c>
      <c r="F449" s="270"/>
      <c r="L449" s="2"/>
      <c r="P449"/>
      <c r="Q449"/>
      <c r="R449"/>
      <c r="S449"/>
      <c r="T449"/>
    </row>
    <row r="450" spans="1:20" s="14" customFormat="1" x14ac:dyDescent="0.25">
      <c r="A450" s="2" t="s">
        <v>505</v>
      </c>
      <c r="B450" s="491" t="s">
        <v>3118</v>
      </c>
      <c r="C450" s="2" t="s">
        <v>461</v>
      </c>
      <c r="D450" s="2">
        <v>0</v>
      </c>
      <c r="E450" s="3" t="s">
        <v>1570</v>
      </c>
      <c r="F450" s="270"/>
      <c r="L450" s="2"/>
      <c r="P450"/>
      <c r="Q450"/>
      <c r="R450"/>
      <c r="S450"/>
      <c r="T450"/>
    </row>
    <row r="451" spans="1:20" s="14" customFormat="1" x14ac:dyDescent="0.25">
      <c r="A451" s="2" t="s">
        <v>506</v>
      </c>
      <c r="B451" s="491" t="s">
        <v>3139</v>
      </c>
      <c r="C451" s="2" t="s">
        <v>461</v>
      </c>
      <c r="D451" s="2">
        <v>0</v>
      </c>
      <c r="E451" s="3" t="s">
        <v>1561</v>
      </c>
      <c r="F451" s="270"/>
      <c r="L451" s="2"/>
      <c r="P451"/>
      <c r="Q451"/>
      <c r="R451"/>
      <c r="S451"/>
      <c r="T451"/>
    </row>
    <row r="452" spans="1:20" s="14" customFormat="1" x14ac:dyDescent="0.25">
      <c r="A452" s="2" t="s">
        <v>507</v>
      </c>
      <c r="B452" s="491" t="s">
        <v>3119</v>
      </c>
      <c r="C452" s="2" t="s">
        <v>461</v>
      </c>
      <c r="D452" s="2">
        <v>0</v>
      </c>
      <c r="E452" s="3" t="s">
        <v>1570</v>
      </c>
      <c r="F452" s="270"/>
      <c r="L452" s="2"/>
      <c r="P452"/>
      <c r="Q452"/>
      <c r="R452"/>
      <c r="S452"/>
      <c r="T452"/>
    </row>
    <row r="453" spans="1:20" s="14" customFormat="1" x14ac:dyDescent="0.25">
      <c r="A453" s="2" t="s">
        <v>508</v>
      </c>
      <c r="B453" s="491" t="s">
        <v>3148</v>
      </c>
      <c r="C453" s="2" t="s">
        <v>461</v>
      </c>
      <c r="D453" s="2">
        <v>-81</v>
      </c>
      <c r="E453" s="3" t="s">
        <v>834</v>
      </c>
      <c r="F453" s="270"/>
      <c r="L453" s="2"/>
      <c r="P453"/>
      <c r="Q453"/>
      <c r="R453"/>
      <c r="S453"/>
      <c r="T453"/>
    </row>
    <row r="454" spans="1:20" s="14" customFormat="1" x14ac:dyDescent="0.25">
      <c r="A454" s="2" t="s">
        <v>509</v>
      </c>
      <c r="B454" s="491" t="s">
        <v>3149</v>
      </c>
      <c r="C454" s="2" t="s">
        <v>461</v>
      </c>
      <c r="D454" s="2">
        <v>0</v>
      </c>
      <c r="E454" s="3" t="s">
        <v>1570</v>
      </c>
      <c r="F454" s="270"/>
      <c r="L454" s="2"/>
      <c r="P454"/>
      <c r="Q454"/>
      <c r="R454"/>
      <c r="S454"/>
      <c r="T454"/>
    </row>
    <row r="455" spans="1:20" s="14" customFormat="1" x14ac:dyDescent="0.25">
      <c r="A455" s="2" t="s">
        <v>510</v>
      </c>
      <c r="B455" s="491" t="s">
        <v>3144</v>
      </c>
      <c r="C455" s="2" t="s">
        <v>461</v>
      </c>
      <c r="D455" s="2">
        <v>0</v>
      </c>
      <c r="E455" s="3" t="s">
        <v>1570</v>
      </c>
      <c r="F455" s="270"/>
      <c r="L455" s="2"/>
      <c r="P455"/>
      <c r="Q455"/>
      <c r="R455"/>
      <c r="S455"/>
      <c r="T455"/>
    </row>
    <row r="456" spans="1:20" s="14" customFormat="1" x14ac:dyDescent="0.25">
      <c r="A456" s="2" t="s">
        <v>511</v>
      </c>
      <c r="B456" s="491" t="s">
        <v>3145</v>
      </c>
      <c r="C456" s="2" t="s">
        <v>461</v>
      </c>
      <c r="D456" s="2">
        <v>100</v>
      </c>
      <c r="E456" s="3" t="s">
        <v>1570</v>
      </c>
      <c r="F456" s="270"/>
      <c r="L456" s="2"/>
      <c r="P456"/>
      <c r="Q456"/>
      <c r="R456"/>
      <c r="S456"/>
      <c r="T456"/>
    </row>
    <row r="457" spans="1:20" s="14" customFormat="1" x14ac:dyDescent="0.25">
      <c r="A457" s="2" t="s">
        <v>512</v>
      </c>
      <c r="B457" s="491" t="s">
        <v>3147</v>
      </c>
      <c r="C457" s="2" t="s">
        <v>461</v>
      </c>
      <c r="D457" s="2">
        <v>0</v>
      </c>
      <c r="E457" s="3" t="s">
        <v>1570</v>
      </c>
      <c r="F457" s="270"/>
      <c r="L457" s="2"/>
      <c r="P457"/>
      <c r="Q457"/>
      <c r="R457"/>
      <c r="S457"/>
      <c r="T457"/>
    </row>
    <row r="458" spans="1:20" s="14" customFormat="1" x14ac:dyDescent="0.25">
      <c r="A458" s="2" t="s">
        <v>513</v>
      </c>
      <c r="B458" s="491" t="s">
        <v>3146</v>
      </c>
      <c r="C458" s="2" t="s">
        <v>461</v>
      </c>
      <c r="D458" s="2">
        <v>0</v>
      </c>
      <c r="E458" s="3" t="s">
        <v>1570</v>
      </c>
      <c r="F458" s="270"/>
      <c r="L458" s="2"/>
      <c r="P458"/>
      <c r="Q458"/>
      <c r="R458"/>
      <c r="S458"/>
      <c r="T458"/>
    </row>
    <row r="459" spans="1:20" s="14" customFormat="1" x14ac:dyDescent="0.25">
      <c r="A459" s="2" t="s">
        <v>514</v>
      </c>
      <c r="B459" s="491" t="s">
        <v>3120</v>
      </c>
      <c r="C459" s="2" t="s">
        <v>461</v>
      </c>
      <c r="D459" s="2">
        <v>11</v>
      </c>
      <c r="E459" s="3" t="s">
        <v>1570</v>
      </c>
      <c r="F459" s="270"/>
      <c r="L459" s="2"/>
      <c r="P459"/>
      <c r="Q459"/>
      <c r="R459"/>
      <c r="S459"/>
      <c r="T459"/>
    </row>
    <row r="460" spans="1:20" s="14" customFormat="1" x14ac:dyDescent="0.25">
      <c r="A460" s="2" t="s">
        <v>515</v>
      </c>
      <c r="B460" s="491" t="s">
        <v>3140</v>
      </c>
      <c r="C460" s="2" t="s">
        <v>461</v>
      </c>
      <c r="D460" s="2">
        <v>0</v>
      </c>
      <c r="E460" s="3" t="s">
        <v>1570</v>
      </c>
      <c r="F460" s="270"/>
      <c r="L460" s="2"/>
      <c r="P460"/>
      <c r="Q460"/>
      <c r="R460"/>
      <c r="S460"/>
      <c r="T460"/>
    </row>
    <row r="461" spans="1:20" s="14" customFormat="1" x14ac:dyDescent="0.25">
      <c r="A461" s="2" t="s">
        <v>516</v>
      </c>
      <c r="B461" s="491" t="s">
        <v>3122</v>
      </c>
      <c r="C461" s="2" t="s">
        <v>461</v>
      </c>
      <c r="D461" s="2">
        <v>0</v>
      </c>
      <c r="E461" s="3" t="s">
        <v>1570</v>
      </c>
      <c r="F461" s="270"/>
      <c r="L461" s="2"/>
      <c r="P461"/>
      <c r="Q461"/>
      <c r="R461"/>
      <c r="S461"/>
      <c r="T461"/>
    </row>
    <row r="462" spans="1:20" s="14" customFormat="1" x14ac:dyDescent="0.25">
      <c r="A462" s="2" t="s">
        <v>519</v>
      </c>
      <c r="B462" s="491" t="s">
        <v>3141</v>
      </c>
      <c r="C462" s="2" t="s">
        <v>461</v>
      </c>
      <c r="D462" s="2">
        <v>0</v>
      </c>
      <c r="E462" s="3" t="s">
        <v>1570</v>
      </c>
      <c r="F462" s="270"/>
      <c r="L462" s="2"/>
      <c r="P462"/>
      <c r="Q462"/>
      <c r="R462"/>
      <c r="S462"/>
      <c r="T462"/>
    </row>
    <row r="463" spans="1:20" s="14" customFormat="1" x14ac:dyDescent="0.25">
      <c r="A463" s="2" t="s">
        <v>521</v>
      </c>
      <c r="B463" s="491" t="s">
        <v>3123</v>
      </c>
      <c r="C463" s="2" t="s">
        <v>461</v>
      </c>
      <c r="D463" s="2">
        <v>0</v>
      </c>
      <c r="E463" s="3" t="s">
        <v>1570</v>
      </c>
      <c r="F463" s="270"/>
      <c r="L463" s="2"/>
      <c r="P463"/>
      <c r="Q463"/>
      <c r="R463"/>
      <c r="S463"/>
      <c r="T463"/>
    </row>
    <row r="464" spans="1:20" s="14" customFormat="1" x14ac:dyDescent="0.25">
      <c r="A464" s="2" t="s">
        <v>523</v>
      </c>
      <c r="B464" s="491" t="s">
        <v>3121</v>
      </c>
      <c r="C464" s="2" t="s">
        <v>461</v>
      </c>
      <c r="D464" s="2">
        <v>0</v>
      </c>
      <c r="E464" s="3" t="s">
        <v>1570</v>
      </c>
      <c r="F464" s="270"/>
      <c r="L464" s="2"/>
      <c r="P464"/>
      <c r="Q464"/>
      <c r="R464"/>
      <c r="S464"/>
      <c r="T464"/>
    </row>
    <row r="465" spans="1:20" s="14" customFormat="1" x14ac:dyDescent="0.25">
      <c r="A465" s="2" t="s">
        <v>525</v>
      </c>
      <c r="B465" s="491" t="s">
        <v>3150</v>
      </c>
      <c r="C465" s="2" t="s">
        <v>461</v>
      </c>
      <c r="D465" s="2">
        <v>0</v>
      </c>
      <c r="E465" s="3" t="s">
        <v>1570</v>
      </c>
      <c r="F465" s="270"/>
      <c r="L465" s="2"/>
      <c r="P465"/>
      <c r="Q465"/>
      <c r="R465"/>
      <c r="S465"/>
      <c r="T465"/>
    </row>
    <row r="466" spans="1:20" s="14" customFormat="1" x14ac:dyDescent="0.25">
      <c r="A466" s="2" t="s">
        <v>527</v>
      </c>
      <c r="B466" s="491" t="s">
        <v>3151</v>
      </c>
      <c r="C466" s="2" t="s">
        <v>461</v>
      </c>
      <c r="D466" s="2">
        <v>0</v>
      </c>
      <c r="E466" s="3" t="s">
        <v>1570</v>
      </c>
      <c r="F466" s="270"/>
      <c r="L466" s="2"/>
      <c r="P466"/>
      <c r="Q466"/>
      <c r="R466"/>
      <c r="S466"/>
      <c r="T466"/>
    </row>
    <row r="467" spans="1:20" s="14" customFormat="1" x14ac:dyDescent="0.25">
      <c r="A467" s="2" t="s">
        <v>529</v>
      </c>
      <c r="B467" s="491" t="s">
        <v>3124</v>
      </c>
      <c r="C467" s="2" t="s">
        <v>461</v>
      </c>
      <c r="D467" s="2">
        <v>0</v>
      </c>
      <c r="E467" s="3" t="s">
        <v>1570</v>
      </c>
      <c r="F467" s="270"/>
      <c r="L467" s="2"/>
      <c r="P467"/>
      <c r="Q467"/>
      <c r="R467"/>
      <c r="S467"/>
      <c r="T467"/>
    </row>
    <row r="468" spans="1:20" s="14" customFormat="1" x14ac:dyDescent="0.25">
      <c r="A468" s="2" t="s">
        <v>531</v>
      </c>
      <c r="B468" s="491" t="s">
        <v>3152</v>
      </c>
      <c r="C468" s="2" t="s">
        <v>461</v>
      </c>
      <c r="D468" s="2">
        <v>0</v>
      </c>
      <c r="E468" s="3" t="s">
        <v>1570</v>
      </c>
      <c r="F468" s="270"/>
      <c r="L468" s="2"/>
      <c r="P468"/>
      <c r="Q468"/>
      <c r="R468"/>
      <c r="S468"/>
      <c r="T468"/>
    </row>
    <row r="469" spans="1:20" s="14" customFormat="1" x14ac:dyDescent="0.25">
      <c r="A469" s="2" t="s">
        <v>533</v>
      </c>
      <c r="B469" s="491" t="s">
        <v>3154</v>
      </c>
      <c r="C469" s="2" t="s">
        <v>461</v>
      </c>
      <c r="D469" s="2">
        <v>0</v>
      </c>
      <c r="E469" s="3" t="s">
        <v>1570</v>
      </c>
      <c r="F469" s="270"/>
      <c r="L469" s="2"/>
      <c r="P469"/>
      <c r="Q469"/>
      <c r="R469"/>
      <c r="S469"/>
      <c r="T469"/>
    </row>
    <row r="470" spans="1:20" s="14" customFormat="1" x14ac:dyDescent="0.25">
      <c r="A470" s="2" t="s">
        <v>535</v>
      </c>
      <c r="B470" s="491" t="s">
        <v>3155</v>
      </c>
      <c r="C470" s="2" t="s">
        <v>461</v>
      </c>
      <c r="D470" s="2">
        <v>0</v>
      </c>
      <c r="E470" s="3" t="s">
        <v>1570</v>
      </c>
      <c r="F470" s="270"/>
      <c r="L470" s="2"/>
      <c r="P470"/>
      <c r="Q470"/>
      <c r="R470"/>
      <c r="S470"/>
      <c r="T470"/>
    </row>
    <row r="471" spans="1:20" s="14" customFormat="1" x14ac:dyDescent="0.25">
      <c r="A471" s="2" t="s">
        <v>537</v>
      </c>
      <c r="B471" s="491" t="s">
        <v>3126</v>
      </c>
      <c r="C471" s="2" t="s">
        <v>461</v>
      </c>
      <c r="D471" s="2">
        <v>0</v>
      </c>
      <c r="E471" s="3" t="s">
        <v>1570</v>
      </c>
      <c r="F471" s="270"/>
      <c r="L471" s="2"/>
      <c r="P471"/>
      <c r="Q471"/>
      <c r="R471"/>
      <c r="S471"/>
      <c r="T471"/>
    </row>
    <row r="472" spans="1:20" s="14" customFormat="1" x14ac:dyDescent="0.25">
      <c r="A472" s="2" t="s">
        <v>540</v>
      </c>
      <c r="B472" s="491" t="s">
        <v>3142</v>
      </c>
      <c r="C472" s="2" t="s">
        <v>461</v>
      </c>
      <c r="D472" s="2">
        <v>0</v>
      </c>
      <c r="E472" s="3" t="s">
        <v>1570</v>
      </c>
      <c r="F472" s="270"/>
      <c r="L472" s="2"/>
      <c r="P472"/>
      <c r="Q472"/>
      <c r="R472"/>
      <c r="S472"/>
      <c r="T472"/>
    </row>
    <row r="473" spans="1:20" s="14" customFormat="1" x14ac:dyDescent="0.25">
      <c r="A473" s="2" t="s">
        <v>541</v>
      </c>
      <c r="B473" s="491" t="s">
        <v>3125</v>
      </c>
      <c r="C473" s="2" t="s">
        <v>461</v>
      </c>
      <c r="D473" s="2">
        <v>0</v>
      </c>
      <c r="E473" s="3" t="s">
        <v>1570</v>
      </c>
      <c r="F473" s="270"/>
      <c r="L473" s="2"/>
      <c r="P473"/>
      <c r="Q473"/>
      <c r="R473"/>
      <c r="S473"/>
      <c r="T473"/>
    </row>
    <row r="474" spans="1:20" s="14" customFormat="1" x14ac:dyDescent="0.25">
      <c r="A474" s="2" t="s">
        <v>543</v>
      </c>
      <c r="B474" s="491" t="s">
        <v>3127</v>
      </c>
      <c r="C474" s="2" t="s">
        <v>461</v>
      </c>
      <c r="D474" s="2">
        <v>0</v>
      </c>
      <c r="E474" s="3" t="s">
        <v>1570</v>
      </c>
      <c r="F474" s="270"/>
      <c r="L474" s="2"/>
      <c r="P474"/>
      <c r="Q474"/>
      <c r="R474"/>
      <c r="S474"/>
      <c r="T474"/>
    </row>
    <row r="475" spans="1:20" s="14" customFormat="1" x14ac:dyDescent="0.25">
      <c r="A475" s="2" t="s">
        <v>544</v>
      </c>
      <c r="B475" s="491" t="s">
        <v>3161</v>
      </c>
      <c r="C475" s="2" t="s">
        <v>461</v>
      </c>
      <c r="D475" s="2">
        <v>0</v>
      </c>
      <c r="E475" s="3" t="s">
        <v>1570</v>
      </c>
      <c r="F475" s="270"/>
      <c r="L475" s="2"/>
      <c r="P475"/>
      <c r="Q475"/>
      <c r="R475"/>
      <c r="S475"/>
      <c r="T475"/>
    </row>
    <row r="476" spans="1:20" s="14" customFormat="1" x14ac:dyDescent="0.25">
      <c r="A476" s="2" t="s">
        <v>547</v>
      </c>
      <c r="B476" s="491" t="s">
        <v>3153</v>
      </c>
      <c r="C476" s="2" t="s">
        <v>461</v>
      </c>
      <c r="D476" s="2">
        <v>0</v>
      </c>
      <c r="E476" s="3" t="s">
        <v>1570</v>
      </c>
      <c r="F476" s="270"/>
      <c r="L476" s="2"/>
      <c r="P476"/>
      <c r="Q476"/>
      <c r="R476"/>
      <c r="S476"/>
      <c r="T476"/>
    </row>
    <row r="477" spans="1:20" s="14" customFormat="1" x14ac:dyDescent="0.25">
      <c r="A477" s="2" t="s">
        <v>549</v>
      </c>
      <c r="B477" s="491" t="s">
        <v>3106</v>
      </c>
      <c r="C477" s="2" t="s">
        <v>461</v>
      </c>
      <c r="D477" s="2">
        <v>0</v>
      </c>
      <c r="E477" s="3" t="s">
        <v>1570</v>
      </c>
      <c r="F477" s="270"/>
      <c r="L477" s="2"/>
      <c r="P477"/>
      <c r="Q477"/>
      <c r="R477"/>
      <c r="S477"/>
      <c r="T477"/>
    </row>
    <row r="478" spans="1:20" s="14" customFormat="1" x14ac:dyDescent="0.25">
      <c r="A478" s="2" t="s">
        <v>551</v>
      </c>
      <c r="B478" s="491" t="s">
        <v>3128</v>
      </c>
      <c r="C478" s="2" t="s">
        <v>461</v>
      </c>
      <c r="D478" s="2">
        <v>0</v>
      </c>
      <c r="E478" s="3" t="s">
        <v>1570</v>
      </c>
      <c r="F478" s="270"/>
      <c r="L478" s="2"/>
      <c r="P478"/>
      <c r="Q478"/>
      <c r="R478"/>
      <c r="S478"/>
      <c r="T478"/>
    </row>
    <row r="479" spans="1:20" s="14" customFormat="1" x14ac:dyDescent="0.25">
      <c r="A479" s="2" t="s">
        <v>553</v>
      </c>
      <c r="B479" s="491" t="s">
        <v>3129</v>
      </c>
      <c r="C479" s="2" t="s">
        <v>461</v>
      </c>
      <c r="D479" s="2">
        <v>0</v>
      </c>
      <c r="E479" s="3" t="s">
        <v>1570</v>
      </c>
      <c r="F479" s="270"/>
      <c r="L479" s="2"/>
      <c r="P479"/>
      <c r="Q479"/>
      <c r="R479"/>
      <c r="S479"/>
      <c r="T479"/>
    </row>
    <row r="480" spans="1:20" s="14" customFormat="1" x14ac:dyDescent="0.25">
      <c r="A480" s="2" t="s">
        <v>555</v>
      </c>
      <c r="B480" s="491" t="s">
        <v>3132</v>
      </c>
      <c r="C480" s="2" t="s">
        <v>461</v>
      </c>
      <c r="D480" s="2">
        <v>0</v>
      </c>
      <c r="E480" s="3" t="s">
        <v>1570</v>
      </c>
      <c r="F480" s="270"/>
      <c r="L480" s="2"/>
      <c r="P480"/>
      <c r="Q480"/>
      <c r="R480"/>
      <c r="S480"/>
      <c r="T480"/>
    </row>
    <row r="481" spans="1:20" s="14" customFormat="1" x14ac:dyDescent="0.25">
      <c r="A481" s="2" t="s">
        <v>557</v>
      </c>
      <c r="B481" s="491" t="s">
        <v>3130</v>
      </c>
      <c r="C481" s="2" t="s">
        <v>461</v>
      </c>
      <c r="D481" s="2">
        <v>0</v>
      </c>
      <c r="E481" s="3" t="s">
        <v>1570</v>
      </c>
      <c r="F481" s="270"/>
      <c r="L481" s="2"/>
      <c r="P481"/>
      <c r="Q481"/>
      <c r="R481"/>
      <c r="S481"/>
      <c r="T481"/>
    </row>
    <row r="482" spans="1:20" s="14" customFormat="1" x14ac:dyDescent="0.25">
      <c r="A482" s="2" t="s">
        <v>559</v>
      </c>
      <c r="B482" s="491" t="s">
        <v>3143</v>
      </c>
      <c r="C482" s="2" t="s">
        <v>461</v>
      </c>
      <c r="D482" s="2">
        <v>0</v>
      </c>
      <c r="E482" s="3" t="s">
        <v>1570</v>
      </c>
      <c r="F482" s="270"/>
      <c r="L482" s="2"/>
      <c r="P482"/>
      <c r="Q482"/>
      <c r="R482"/>
      <c r="S482"/>
      <c r="T482"/>
    </row>
    <row r="483" spans="1:20" s="14" customFormat="1" x14ac:dyDescent="0.25">
      <c r="A483" s="2" t="s">
        <v>561</v>
      </c>
      <c r="B483" s="491" t="s">
        <v>3133</v>
      </c>
      <c r="C483" s="2" t="s">
        <v>461</v>
      </c>
      <c r="D483" s="2">
        <v>0</v>
      </c>
      <c r="E483" s="3" t="s">
        <v>1570</v>
      </c>
      <c r="F483" s="270"/>
      <c r="L483" s="2"/>
      <c r="P483"/>
      <c r="Q483"/>
      <c r="R483"/>
      <c r="S483"/>
      <c r="T483"/>
    </row>
    <row r="484" spans="1:20" s="14" customFormat="1" x14ac:dyDescent="0.25">
      <c r="A484" s="2" t="s">
        <v>563</v>
      </c>
      <c r="B484" s="491" t="s">
        <v>3131</v>
      </c>
      <c r="C484" s="2" t="s">
        <v>461</v>
      </c>
      <c r="D484" s="2">
        <v>0</v>
      </c>
      <c r="E484" s="3" t="s">
        <v>1570</v>
      </c>
      <c r="F484" s="270"/>
      <c r="L484" s="2"/>
      <c r="P484"/>
      <c r="Q484"/>
      <c r="R484"/>
      <c r="S484"/>
      <c r="T484"/>
    </row>
    <row r="485" spans="1:20" s="14" customFormat="1" x14ac:dyDescent="0.25">
      <c r="A485" s="2" t="s">
        <v>565</v>
      </c>
      <c r="B485" s="491" t="s">
        <v>3134</v>
      </c>
      <c r="C485" s="2" t="s">
        <v>461</v>
      </c>
      <c r="D485" s="2">
        <v>0</v>
      </c>
      <c r="E485" s="3" t="s">
        <v>1570</v>
      </c>
      <c r="F485" s="270"/>
      <c r="L485" s="2"/>
      <c r="P485"/>
      <c r="Q485"/>
      <c r="R485"/>
      <c r="S485"/>
      <c r="T485"/>
    </row>
    <row r="486" spans="1:20" s="14" customFormat="1" x14ac:dyDescent="0.25">
      <c r="A486" s="2" t="s">
        <v>567</v>
      </c>
      <c r="B486" s="491" t="s">
        <v>3156</v>
      </c>
      <c r="C486" s="2" t="s">
        <v>461</v>
      </c>
      <c r="D486" s="2">
        <v>50</v>
      </c>
      <c r="E486" s="3" t="s">
        <v>1570</v>
      </c>
      <c r="F486" s="270"/>
      <c r="L486" s="2"/>
      <c r="P486"/>
      <c r="Q486"/>
      <c r="R486"/>
      <c r="S486"/>
      <c r="T486"/>
    </row>
    <row r="487" spans="1:20" s="14" customFormat="1" x14ac:dyDescent="0.25">
      <c r="A487" s="2" t="s">
        <v>569</v>
      </c>
      <c r="B487" s="491" t="s">
        <v>517</v>
      </c>
      <c r="C487" s="2" t="s">
        <v>518</v>
      </c>
      <c r="D487" s="2">
        <v>0</v>
      </c>
      <c r="E487" s="3" t="s">
        <v>1570</v>
      </c>
      <c r="F487" s="270"/>
      <c r="L487" s="2"/>
      <c r="P487"/>
      <c r="Q487"/>
      <c r="R487"/>
      <c r="S487"/>
      <c r="T487"/>
    </row>
    <row r="488" spans="1:20" s="14" customFormat="1" x14ac:dyDescent="0.25">
      <c r="A488" s="2" t="s">
        <v>660</v>
      </c>
      <c r="B488" s="491" t="s">
        <v>520</v>
      </c>
      <c r="C488" s="2" t="s">
        <v>518</v>
      </c>
      <c r="D488" s="2">
        <v>50</v>
      </c>
      <c r="E488" s="3" t="s">
        <v>1570</v>
      </c>
      <c r="F488" s="270"/>
      <c r="L488" s="2"/>
      <c r="P488"/>
      <c r="Q488"/>
      <c r="R488"/>
      <c r="S488"/>
      <c r="T488"/>
    </row>
    <row r="489" spans="1:20" s="14" customFormat="1" x14ac:dyDescent="0.25">
      <c r="A489" s="2" t="s">
        <v>662</v>
      </c>
      <c r="B489" s="491" t="s">
        <v>522</v>
      </c>
      <c r="C489" s="2" t="s">
        <v>518</v>
      </c>
      <c r="D489" s="2">
        <v>0</v>
      </c>
      <c r="E489" s="3" t="s">
        <v>1570</v>
      </c>
      <c r="F489" s="270"/>
      <c r="L489" s="2"/>
      <c r="P489"/>
      <c r="Q489"/>
      <c r="R489"/>
      <c r="S489"/>
      <c r="T489"/>
    </row>
    <row r="490" spans="1:20" s="14" customFormat="1" x14ac:dyDescent="0.25">
      <c r="A490" s="2" t="s">
        <v>663</v>
      </c>
      <c r="B490" s="491" t="s">
        <v>524</v>
      </c>
      <c r="C490" s="2" t="s">
        <v>518</v>
      </c>
      <c r="D490" s="2">
        <v>0</v>
      </c>
      <c r="E490" s="3" t="s">
        <v>1570</v>
      </c>
      <c r="F490" s="270"/>
      <c r="L490" s="2"/>
      <c r="P490"/>
      <c r="Q490"/>
      <c r="R490"/>
      <c r="S490"/>
      <c r="T490"/>
    </row>
    <row r="491" spans="1:20" s="14" customFormat="1" x14ac:dyDescent="0.25">
      <c r="A491" s="2" t="s">
        <v>665</v>
      </c>
      <c r="B491" s="491" t="s">
        <v>526</v>
      </c>
      <c r="C491" s="2" t="s">
        <v>518</v>
      </c>
      <c r="D491" s="2">
        <v>0</v>
      </c>
      <c r="E491" s="3" t="s">
        <v>1570</v>
      </c>
      <c r="F491" s="270"/>
      <c r="L491" s="2"/>
      <c r="P491"/>
      <c r="Q491"/>
      <c r="R491"/>
      <c r="S491"/>
      <c r="T491"/>
    </row>
    <row r="492" spans="1:20" s="14" customFormat="1" x14ac:dyDescent="0.25">
      <c r="A492" s="2" t="s">
        <v>666</v>
      </c>
      <c r="B492" s="491" t="s">
        <v>528</v>
      </c>
      <c r="C492" s="2" t="s">
        <v>518</v>
      </c>
      <c r="D492" s="2">
        <v>0</v>
      </c>
      <c r="E492" s="3" t="s">
        <v>1570</v>
      </c>
      <c r="F492" s="270"/>
      <c r="L492" s="2"/>
      <c r="P492"/>
      <c r="Q492"/>
      <c r="R492"/>
      <c r="S492"/>
      <c r="T492"/>
    </row>
    <row r="493" spans="1:20" s="14" customFormat="1" x14ac:dyDescent="0.25">
      <c r="A493" s="2" t="s">
        <v>667</v>
      </c>
      <c r="B493" s="491" t="s">
        <v>530</v>
      </c>
      <c r="C493" s="2" t="s">
        <v>518</v>
      </c>
      <c r="D493" s="2">
        <v>0</v>
      </c>
      <c r="E493" s="3" t="s">
        <v>1570</v>
      </c>
      <c r="F493" s="270"/>
      <c r="L493" s="2"/>
      <c r="P493"/>
      <c r="Q493"/>
      <c r="R493"/>
      <c r="S493"/>
      <c r="T493"/>
    </row>
    <row r="494" spans="1:20" s="14" customFormat="1" x14ac:dyDescent="0.25">
      <c r="A494" s="2" t="s">
        <v>668</v>
      </c>
      <c r="B494" s="491" t="s">
        <v>532</v>
      </c>
      <c r="C494" s="2" t="s">
        <v>518</v>
      </c>
      <c r="D494" s="2">
        <v>0</v>
      </c>
      <c r="E494" s="3" t="s">
        <v>1570</v>
      </c>
      <c r="F494" s="270"/>
      <c r="L494" s="2"/>
      <c r="P494"/>
      <c r="Q494"/>
      <c r="R494"/>
      <c r="S494"/>
      <c r="T494"/>
    </row>
    <row r="495" spans="1:20" s="14" customFormat="1" x14ac:dyDescent="0.25">
      <c r="A495" s="2" t="s">
        <v>669</v>
      </c>
      <c r="B495" s="491" t="s">
        <v>2441</v>
      </c>
      <c r="C495" s="2" t="s">
        <v>534</v>
      </c>
      <c r="D495" s="2">
        <v>0</v>
      </c>
      <c r="E495" s="3" t="s">
        <v>1570</v>
      </c>
      <c r="F495" s="270"/>
      <c r="L495" s="2"/>
      <c r="P495"/>
      <c r="Q495"/>
      <c r="R495"/>
      <c r="S495"/>
      <c r="T495"/>
    </row>
    <row r="496" spans="1:20" s="14" customFormat="1" x14ac:dyDescent="0.25">
      <c r="A496" s="2" t="s">
        <v>670</v>
      </c>
      <c r="B496" s="491" t="s">
        <v>536</v>
      </c>
      <c r="C496" s="2" t="s">
        <v>534</v>
      </c>
      <c r="D496" s="2">
        <v>0</v>
      </c>
      <c r="E496" s="3" t="s">
        <v>1570</v>
      </c>
      <c r="F496" s="270"/>
      <c r="L496" s="2"/>
      <c r="P496"/>
      <c r="Q496"/>
      <c r="R496"/>
      <c r="S496"/>
      <c r="T496"/>
    </row>
    <row r="497" spans="1:20" s="14" customFormat="1" x14ac:dyDescent="0.25">
      <c r="A497" s="2" t="s">
        <v>672</v>
      </c>
      <c r="B497" s="491" t="s">
        <v>538</v>
      </c>
      <c r="C497" s="2" t="s">
        <v>539</v>
      </c>
      <c r="D497" s="2">
        <v>0</v>
      </c>
      <c r="E497" s="3" t="s">
        <v>1570</v>
      </c>
      <c r="F497" s="270"/>
      <c r="L497" s="2"/>
      <c r="P497"/>
      <c r="Q497"/>
      <c r="R497"/>
      <c r="S497"/>
      <c r="T497"/>
    </row>
    <row r="498" spans="1:20" s="14" customFormat="1" x14ac:dyDescent="0.25">
      <c r="A498" s="2" t="s">
        <v>673</v>
      </c>
      <c r="B498" s="491" t="s">
        <v>2470</v>
      </c>
      <c r="C498" s="2" t="s">
        <v>539</v>
      </c>
      <c r="D498" s="2">
        <v>0</v>
      </c>
      <c r="E498" s="3" t="s">
        <v>1570</v>
      </c>
      <c r="F498" s="270"/>
      <c r="L498" s="2"/>
      <c r="P498"/>
      <c r="Q498"/>
      <c r="R498"/>
      <c r="S498"/>
      <c r="T498"/>
    </row>
    <row r="499" spans="1:20" s="14" customFormat="1" x14ac:dyDescent="0.25">
      <c r="A499" s="2" t="s">
        <v>675</v>
      </c>
      <c r="B499" s="491" t="s">
        <v>542</v>
      </c>
      <c r="C499" s="2" t="s">
        <v>539</v>
      </c>
      <c r="D499" s="2">
        <v>0</v>
      </c>
      <c r="E499" s="3" t="s">
        <v>1570</v>
      </c>
      <c r="F499" s="270"/>
      <c r="L499" s="2"/>
      <c r="P499"/>
      <c r="Q499"/>
      <c r="R499"/>
      <c r="S499"/>
      <c r="T499"/>
    </row>
    <row r="500" spans="1:20" s="14" customFormat="1" x14ac:dyDescent="0.25">
      <c r="A500" s="2" t="s">
        <v>676</v>
      </c>
      <c r="B500" s="491" t="s">
        <v>2427</v>
      </c>
      <c r="C500" s="2" t="s">
        <v>539</v>
      </c>
      <c r="D500" s="2">
        <v>-17</v>
      </c>
      <c r="E500" s="3" t="s">
        <v>1570</v>
      </c>
      <c r="F500" s="270"/>
      <c r="L500" s="2"/>
      <c r="P500"/>
      <c r="Q500"/>
      <c r="R500"/>
      <c r="S500"/>
      <c r="T500"/>
    </row>
    <row r="501" spans="1:20" s="14" customFormat="1" x14ac:dyDescent="0.25">
      <c r="A501" s="2" t="s">
        <v>677</v>
      </c>
      <c r="B501" s="491" t="s">
        <v>545</v>
      </c>
      <c r="C501" s="2" t="s">
        <v>546</v>
      </c>
      <c r="D501" s="2">
        <v>48</v>
      </c>
      <c r="E501" s="3" t="s">
        <v>1570</v>
      </c>
      <c r="F501" s="270"/>
      <c r="L501" s="2"/>
      <c r="P501"/>
      <c r="Q501"/>
      <c r="R501"/>
      <c r="S501"/>
      <c r="T501"/>
    </row>
    <row r="502" spans="1:20" s="14" customFormat="1" x14ac:dyDescent="0.25">
      <c r="A502" s="2" t="s">
        <v>679</v>
      </c>
      <c r="B502" s="491" t="s">
        <v>548</v>
      </c>
      <c r="C502" s="2" t="s">
        <v>546</v>
      </c>
      <c r="D502" s="2">
        <v>-24</v>
      </c>
      <c r="E502" s="3" t="s">
        <v>1570</v>
      </c>
      <c r="F502" s="270"/>
      <c r="L502" s="2"/>
      <c r="P502"/>
      <c r="Q502"/>
      <c r="R502"/>
      <c r="S502"/>
      <c r="T502"/>
    </row>
    <row r="503" spans="1:20" s="14" customFormat="1" x14ac:dyDescent="0.25">
      <c r="A503" s="2" t="s">
        <v>680</v>
      </c>
      <c r="B503" s="491" t="s">
        <v>550</v>
      </c>
      <c r="C503" s="2" t="s">
        <v>546</v>
      </c>
      <c r="D503" s="2">
        <v>0</v>
      </c>
      <c r="E503" s="3" t="s">
        <v>1570</v>
      </c>
      <c r="F503" s="270"/>
      <c r="L503" s="2"/>
      <c r="P503"/>
      <c r="Q503"/>
      <c r="R503"/>
      <c r="S503"/>
      <c r="T503"/>
    </row>
    <row r="504" spans="1:20" s="14" customFormat="1" x14ac:dyDescent="0.25">
      <c r="A504" s="2" t="s">
        <v>681</v>
      </c>
      <c r="B504" s="491" t="s">
        <v>552</v>
      </c>
      <c r="C504" s="2" t="s">
        <v>546</v>
      </c>
      <c r="D504" s="2">
        <v>-1</v>
      </c>
      <c r="E504" s="3" t="s">
        <v>1570</v>
      </c>
      <c r="F504" s="270"/>
      <c r="L504" s="2"/>
      <c r="P504"/>
      <c r="Q504"/>
      <c r="R504"/>
      <c r="S504"/>
      <c r="T504"/>
    </row>
    <row r="505" spans="1:20" s="14" customFormat="1" x14ac:dyDescent="0.25">
      <c r="A505" s="2" t="s">
        <v>683</v>
      </c>
      <c r="B505" s="491" t="s">
        <v>554</v>
      </c>
      <c r="C505" s="2" t="s">
        <v>546</v>
      </c>
      <c r="D505" s="2">
        <v>24</v>
      </c>
      <c r="E505" s="3" t="s">
        <v>1570</v>
      </c>
      <c r="F505" s="270"/>
      <c r="L505" s="2"/>
      <c r="P505"/>
      <c r="Q505"/>
      <c r="R505"/>
      <c r="S505"/>
      <c r="T505"/>
    </row>
    <row r="506" spans="1:20" s="14" customFormat="1" x14ac:dyDescent="0.25">
      <c r="A506" s="2" t="s">
        <v>685</v>
      </c>
      <c r="B506" s="491" t="s">
        <v>556</v>
      </c>
      <c r="C506" s="2" t="s">
        <v>539</v>
      </c>
      <c r="D506" s="2">
        <v>0</v>
      </c>
      <c r="E506" s="3" t="s">
        <v>1570</v>
      </c>
      <c r="F506" s="270"/>
      <c r="L506" s="2"/>
      <c r="P506"/>
      <c r="Q506"/>
      <c r="R506"/>
      <c r="S506"/>
      <c r="T506"/>
    </row>
    <row r="507" spans="1:20" s="14" customFormat="1" x14ac:dyDescent="0.25">
      <c r="A507" s="2" t="s">
        <v>687</v>
      </c>
      <c r="B507" s="491" t="s">
        <v>558</v>
      </c>
      <c r="C507" s="2" t="s">
        <v>539</v>
      </c>
      <c r="D507" s="2">
        <v>-7</v>
      </c>
      <c r="E507" s="3" t="s">
        <v>1570</v>
      </c>
      <c r="F507" s="270"/>
      <c r="L507" s="2"/>
      <c r="P507"/>
      <c r="Q507"/>
      <c r="R507"/>
      <c r="S507"/>
      <c r="T507"/>
    </row>
    <row r="508" spans="1:20" s="14" customFormat="1" x14ac:dyDescent="0.25">
      <c r="A508" s="2" t="s">
        <v>688</v>
      </c>
      <c r="B508" s="491" t="s">
        <v>560</v>
      </c>
      <c r="C508" s="2" t="s">
        <v>539</v>
      </c>
      <c r="D508" s="2">
        <v>24</v>
      </c>
      <c r="E508" s="3" t="s">
        <v>1570</v>
      </c>
      <c r="F508" s="270"/>
      <c r="L508" s="2"/>
      <c r="P508"/>
      <c r="Q508"/>
      <c r="R508"/>
      <c r="S508"/>
      <c r="T508"/>
    </row>
    <row r="509" spans="1:20" s="14" customFormat="1" x14ac:dyDescent="0.25">
      <c r="A509" s="2" t="s">
        <v>689</v>
      </c>
      <c r="B509" s="491" t="s">
        <v>562</v>
      </c>
      <c r="C509" s="2" t="s">
        <v>539</v>
      </c>
      <c r="D509" s="2">
        <v>12</v>
      </c>
      <c r="E509" s="3" t="s">
        <v>1570</v>
      </c>
      <c r="F509" s="270"/>
      <c r="L509" s="2"/>
      <c r="P509"/>
      <c r="Q509"/>
      <c r="R509"/>
      <c r="S509"/>
      <c r="T509"/>
    </row>
    <row r="510" spans="1:20" s="14" customFormat="1" x14ac:dyDescent="0.25">
      <c r="A510" s="2" t="s">
        <v>690</v>
      </c>
      <c r="B510" s="491" t="s">
        <v>564</v>
      </c>
      <c r="C510" s="2" t="s">
        <v>539</v>
      </c>
      <c r="D510" s="2">
        <v>0</v>
      </c>
      <c r="E510" s="3" t="s">
        <v>1570</v>
      </c>
      <c r="F510" s="270"/>
      <c r="L510" s="2"/>
      <c r="P510"/>
      <c r="Q510"/>
      <c r="R510"/>
      <c r="S510"/>
      <c r="T510"/>
    </row>
    <row r="511" spans="1:20" s="14" customFormat="1" x14ac:dyDescent="0.25">
      <c r="A511" s="2" t="s">
        <v>691</v>
      </c>
      <c r="B511" s="491" t="s">
        <v>566</v>
      </c>
      <c r="C511" s="2" t="s">
        <v>539</v>
      </c>
      <c r="D511" s="2">
        <v>0</v>
      </c>
      <c r="E511" s="3" t="s">
        <v>1570</v>
      </c>
      <c r="F511" s="270"/>
      <c r="L511" s="2"/>
      <c r="P511"/>
      <c r="Q511"/>
      <c r="R511"/>
      <c r="S511"/>
      <c r="T511"/>
    </row>
    <row r="512" spans="1:20" s="14" customFormat="1" x14ac:dyDescent="0.25">
      <c r="A512" s="2" t="s">
        <v>732</v>
      </c>
      <c r="B512" s="491" t="s">
        <v>568</v>
      </c>
      <c r="C512" s="2" t="s">
        <v>546</v>
      </c>
      <c r="D512" s="2">
        <v>0</v>
      </c>
      <c r="E512" s="3" t="s">
        <v>1570</v>
      </c>
      <c r="F512" s="270"/>
      <c r="L512" s="2"/>
      <c r="P512"/>
      <c r="Q512"/>
      <c r="R512"/>
      <c r="S512"/>
      <c r="T512"/>
    </row>
    <row r="513" spans="1:20" s="14" customFormat="1" x14ac:dyDescent="0.25">
      <c r="A513" s="2" t="s">
        <v>735</v>
      </c>
      <c r="B513" s="491" t="s">
        <v>570</v>
      </c>
      <c r="C513" s="2" t="s">
        <v>546</v>
      </c>
      <c r="D513" s="2">
        <v>0</v>
      </c>
      <c r="E513" s="3" t="s">
        <v>1570</v>
      </c>
      <c r="F513" s="270"/>
      <c r="L513" s="2"/>
      <c r="P513"/>
      <c r="Q513"/>
      <c r="R513"/>
      <c r="S513"/>
      <c r="T513"/>
    </row>
    <row r="514" spans="1:20" s="14" customFormat="1" x14ac:dyDescent="0.25">
      <c r="A514" s="2" t="s">
        <v>736</v>
      </c>
      <c r="B514" s="491" t="s">
        <v>2406</v>
      </c>
      <c r="C514" s="2" t="s">
        <v>661</v>
      </c>
      <c r="D514" s="2">
        <v>240</v>
      </c>
      <c r="E514" s="3" t="s">
        <v>1570</v>
      </c>
      <c r="F514" s="270"/>
      <c r="L514" s="2"/>
      <c r="P514"/>
      <c r="Q514"/>
      <c r="R514"/>
      <c r="S514"/>
      <c r="T514"/>
    </row>
    <row r="515" spans="1:20" s="14" customFormat="1" x14ac:dyDescent="0.25">
      <c r="A515" s="2" t="s">
        <v>737</v>
      </c>
      <c r="B515" s="491" t="s">
        <v>2416</v>
      </c>
      <c r="C515" s="2" t="s">
        <v>661</v>
      </c>
      <c r="D515" s="2">
        <v>0</v>
      </c>
      <c r="E515" s="3" t="s">
        <v>1570</v>
      </c>
      <c r="F515" s="270"/>
      <c r="L515" s="2"/>
      <c r="P515"/>
      <c r="Q515"/>
      <c r="R515"/>
      <c r="S515"/>
      <c r="T515"/>
    </row>
    <row r="516" spans="1:20" s="14" customFormat="1" x14ac:dyDescent="0.25">
      <c r="A516" s="2" t="s">
        <v>738</v>
      </c>
      <c r="B516" s="491" t="s">
        <v>664</v>
      </c>
      <c r="C516" s="2" t="s">
        <v>661</v>
      </c>
      <c r="D516" s="2">
        <v>0</v>
      </c>
      <c r="E516" s="3" t="s">
        <v>1570</v>
      </c>
      <c r="F516" s="270"/>
      <c r="L516" s="2"/>
      <c r="P516"/>
      <c r="Q516"/>
      <c r="R516"/>
      <c r="S516"/>
      <c r="T516"/>
    </row>
    <row r="517" spans="1:20" s="14" customFormat="1" x14ac:dyDescent="0.25">
      <c r="A517" s="2" t="s">
        <v>739</v>
      </c>
      <c r="B517" s="491" t="s">
        <v>3667</v>
      </c>
      <c r="C517" s="2" t="s">
        <v>661</v>
      </c>
      <c r="D517" s="2">
        <v>96</v>
      </c>
      <c r="E517" s="3" t="s">
        <v>1570</v>
      </c>
      <c r="F517" s="270"/>
      <c r="L517" s="2"/>
      <c r="P517"/>
      <c r="Q517"/>
      <c r="R517"/>
      <c r="S517"/>
      <c r="T517"/>
    </row>
    <row r="518" spans="1:20" s="14" customFormat="1" x14ac:dyDescent="0.25">
      <c r="A518" s="2" t="s">
        <v>740</v>
      </c>
      <c r="B518" s="491" t="s">
        <v>3551</v>
      </c>
      <c r="C518" s="2" t="s">
        <v>661</v>
      </c>
      <c r="D518" s="2">
        <v>0</v>
      </c>
      <c r="E518" s="3" t="s">
        <v>1570</v>
      </c>
      <c r="F518" s="270"/>
      <c r="L518" s="2"/>
      <c r="P518"/>
      <c r="Q518"/>
      <c r="R518"/>
      <c r="S518"/>
      <c r="T518"/>
    </row>
    <row r="519" spans="1:20" s="14" customFormat="1" x14ac:dyDescent="0.25">
      <c r="A519" s="2" t="s">
        <v>741</v>
      </c>
      <c r="B519" s="491" t="s">
        <v>3553</v>
      </c>
      <c r="C519" s="2" t="s">
        <v>661</v>
      </c>
      <c r="D519" s="2">
        <v>0</v>
      </c>
      <c r="E519" s="3" t="s">
        <v>1570</v>
      </c>
      <c r="F519" s="270"/>
      <c r="L519" s="2"/>
      <c r="P519"/>
      <c r="Q519"/>
      <c r="R519"/>
      <c r="S519"/>
      <c r="T519"/>
    </row>
    <row r="520" spans="1:20" s="14" customFormat="1" x14ac:dyDescent="0.25">
      <c r="A520" s="2" t="s">
        <v>742</v>
      </c>
      <c r="B520" s="491" t="s">
        <v>3552</v>
      </c>
      <c r="C520" s="2" t="s">
        <v>661</v>
      </c>
      <c r="D520" s="2">
        <v>0</v>
      </c>
      <c r="E520" s="3" t="s">
        <v>1570</v>
      </c>
      <c r="F520" s="270"/>
      <c r="L520" s="2"/>
      <c r="P520"/>
      <c r="Q520"/>
      <c r="R520"/>
      <c r="S520"/>
      <c r="T520"/>
    </row>
    <row r="521" spans="1:20" s="14" customFormat="1" x14ac:dyDescent="0.25">
      <c r="A521" s="2" t="s">
        <v>743</v>
      </c>
      <c r="B521" s="491" t="s">
        <v>3556</v>
      </c>
      <c r="C521" s="2" t="s">
        <v>661</v>
      </c>
      <c r="D521" s="2">
        <v>11</v>
      </c>
      <c r="E521" s="3" t="s">
        <v>1739</v>
      </c>
      <c r="F521" s="270"/>
      <c r="L521" s="2"/>
      <c r="P521"/>
      <c r="Q521"/>
      <c r="R521"/>
      <c r="S521"/>
      <c r="T521"/>
    </row>
    <row r="522" spans="1:20" s="14" customFormat="1" x14ac:dyDescent="0.25">
      <c r="A522" s="2" t="s">
        <v>1540</v>
      </c>
      <c r="B522" s="491" t="s">
        <v>671</v>
      </c>
      <c r="C522" s="2" t="s">
        <v>661</v>
      </c>
      <c r="D522" s="2">
        <v>24</v>
      </c>
      <c r="E522" s="3" t="s">
        <v>1739</v>
      </c>
      <c r="F522" s="270"/>
      <c r="L522" s="2"/>
      <c r="P522"/>
      <c r="Q522"/>
      <c r="R522"/>
      <c r="S522"/>
      <c r="T522"/>
    </row>
    <row r="523" spans="1:20" s="14" customFormat="1" x14ac:dyDescent="0.25">
      <c r="A523" s="2" t="s">
        <v>1541</v>
      </c>
      <c r="B523" s="491" t="s">
        <v>3554</v>
      </c>
      <c r="C523" s="2" t="s">
        <v>661</v>
      </c>
      <c r="D523" s="2">
        <v>0</v>
      </c>
      <c r="E523" s="3" t="s">
        <v>1739</v>
      </c>
      <c r="F523" s="270"/>
      <c r="L523" s="2"/>
      <c r="P523"/>
      <c r="Q523"/>
      <c r="R523"/>
      <c r="S523"/>
      <c r="T523"/>
    </row>
    <row r="524" spans="1:20" s="14" customFormat="1" x14ac:dyDescent="0.25">
      <c r="A524" s="2" t="s">
        <v>1542</v>
      </c>
      <c r="B524" s="491" t="s">
        <v>674</v>
      </c>
      <c r="C524" s="2" t="s">
        <v>661</v>
      </c>
      <c r="D524" s="2">
        <v>24</v>
      </c>
      <c r="E524" s="3" t="s">
        <v>1739</v>
      </c>
      <c r="F524" s="270"/>
      <c r="L524" s="2"/>
      <c r="P524"/>
      <c r="Q524"/>
      <c r="R524"/>
      <c r="S524"/>
      <c r="T524"/>
    </row>
    <row r="525" spans="1:20" s="14" customFormat="1" x14ac:dyDescent="0.25">
      <c r="A525" s="2" t="s">
        <v>1634</v>
      </c>
      <c r="B525" s="491" t="s">
        <v>3555</v>
      </c>
      <c r="C525" s="2" t="s">
        <v>661</v>
      </c>
      <c r="D525" s="2">
        <v>33</v>
      </c>
      <c r="E525" s="3" t="s">
        <v>1739</v>
      </c>
      <c r="F525" s="270"/>
      <c r="L525" s="2"/>
      <c r="P525"/>
      <c r="Q525"/>
      <c r="R525"/>
      <c r="S525"/>
      <c r="T525"/>
    </row>
    <row r="526" spans="1:20" s="14" customFormat="1" x14ac:dyDescent="0.25">
      <c r="A526" s="2" t="s">
        <v>1635</v>
      </c>
      <c r="B526" s="491" t="s">
        <v>3557</v>
      </c>
      <c r="C526" s="2" t="s">
        <v>661</v>
      </c>
      <c r="D526" s="2">
        <v>19</v>
      </c>
      <c r="E526" s="3" t="s">
        <v>1739</v>
      </c>
      <c r="F526" s="270"/>
      <c r="L526" s="2"/>
      <c r="P526"/>
      <c r="Q526"/>
      <c r="R526"/>
      <c r="S526"/>
      <c r="T526"/>
    </row>
    <row r="527" spans="1:20" s="14" customFormat="1" x14ac:dyDescent="0.25">
      <c r="A527" s="2" t="s">
        <v>1636</v>
      </c>
      <c r="B527" s="491" t="s">
        <v>678</v>
      </c>
      <c r="C527" s="2" t="s">
        <v>661</v>
      </c>
      <c r="D527" s="2">
        <v>-42</v>
      </c>
      <c r="E527" s="3" t="s">
        <v>1739</v>
      </c>
      <c r="F527" s="270"/>
      <c r="L527" s="2"/>
      <c r="P527"/>
      <c r="Q527"/>
      <c r="R527"/>
      <c r="S527"/>
      <c r="T527"/>
    </row>
    <row r="528" spans="1:20" s="14" customFormat="1" x14ac:dyDescent="0.25">
      <c r="A528" s="2" t="s">
        <v>1637</v>
      </c>
      <c r="B528" s="491" t="s">
        <v>678</v>
      </c>
      <c r="C528" s="2" t="s">
        <v>661</v>
      </c>
      <c r="D528" s="2">
        <v>0</v>
      </c>
      <c r="E528" s="3" t="s">
        <v>1739</v>
      </c>
      <c r="F528" s="270"/>
      <c r="L528" s="2"/>
      <c r="P528"/>
      <c r="Q528"/>
      <c r="R528"/>
      <c r="S528"/>
      <c r="T528"/>
    </row>
    <row r="529" spans="1:20" s="14" customFormat="1" x14ac:dyDescent="0.25">
      <c r="A529" s="2" t="s">
        <v>1648</v>
      </c>
      <c r="B529" s="491" t="s">
        <v>678</v>
      </c>
      <c r="C529" s="2" t="s">
        <v>661</v>
      </c>
      <c r="D529" s="2">
        <v>0</v>
      </c>
      <c r="E529" s="3" t="s">
        <v>1739</v>
      </c>
      <c r="F529" s="270"/>
      <c r="L529" s="2"/>
      <c r="P529"/>
      <c r="Q529"/>
      <c r="R529"/>
      <c r="S529"/>
      <c r="T529"/>
    </row>
    <row r="530" spans="1:20" s="14" customFormat="1" x14ac:dyDescent="0.25">
      <c r="A530" s="2" t="s">
        <v>1649</v>
      </c>
      <c r="B530" s="491" t="s">
        <v>682</v>
      </c>
      <c r="C530" s="2" t="s">
        <v>661</v>
      </c>
      <c r="D530" s="2">
        <v>6</v>
      </c>
      <c r="E530" s="3" t="s">
        <v>1739</v>
      </c>
      <c r="F530" s="270"/>
      <c r="L530" s="2"/>
      <c r="P530"/>
      <c r="Q530"/>
      <c r="R530"/>
      <c r="S530"/>
      <c r="T530"/>
    </row>
    <row r="531" spans="1:20" s="14" customFormat="1" x14ac:dyDescent="0.25">
      <c r="A531" s="2" t="s">
        <v>1650</v>
      </c>
      <c r="B531" s="491" t="s">
        <v>684</v>
      </c>
      <c r="C531" s="2" t="s">
        <v>661</v>
      </c>
      <c r="D531" s="2">
        <v>0</v>
      </c>
      <c r="E531" s="3" t="s">
        <v>1739</v>
      </c>
      <c r="F531" s="270"/>
      <c r="L531" s="2"/>
      <c r="P531"/>
      <c r="Q531"/>
      <c r="R531"/>
      <c r="S531"/>
      <c r="T531"/>
    </row>
    <row r="532" spans="1:20" s="14" customFormat="1" x14ac:dyDescent="0.25">
      <c r="A532" s="2" t="s">
        <v>1651</v>
      </c>
      <c r="B532" s="491" t="s">
        <v>686</v>
      </c>
      <c r="C532" s="2" t="s">
        <v>661</v>
      </c>
      <c r="D532" s="2">
        <v>59</v>
      </c>
      <c r="E532" s="3" t="s">
        <v>1739</v>
      </c>
      <c r="F532" s="270"/>
      <c r="J532" s="14">
        <v>24</v>
      </c>
      <c r="L532" s="2"/>
      <c r="P532"/>
      <c r="Q532"/>
      <c r="R532"/>
      <c r="S532"/>
      <c r="T532"/>
    </row>
    <row r="533" spans="1:20" s="14" customFormat="1" x14ac:dyDescent="0.25">
      <c r="A533" s="2" t="s">
        <v>1682</v>
      </c>
      <c r="B533" s="491" t="s">
        <v>5866</v>
      </c>
      <c r="C533" s="2" t="s">
        <v>661</v>
      </c>
      <c r="D533" s="2">
        <v>0</v>
      </c>
      <c r="E533" s="3" t="s">
        <v>1739</v>
      </c>
      <c r="F533" s="270"/>
      <c r="L533" s="2"/>
      <c r="P533"/>
      <c r="Q533"/>
      <c r="R533"/>
      <c r="S533"/>
      <c r="T533"/>
    </row>
    <row r="534" spans="1:20" s="14" customFormat="1" x14ac:dyDescent="0.25">
      <c r="A534" s="2" t="s">
        <v>1683</v>
      </c>
      <c r="B534" s="491" t="s">
        <v>5867</v>
      </c>
      <c r="C534" s="2" t="s">
        <v>661</v>
      </c>
      <c r="D534" s="2">
        <v>0</v>
      </c>
      <c r="E534" s="3" t="s">
        <v>1739</v>
      </c>
      <c r="F534" s="270"/>
      <c r="L534" s="2"/>
      <c r="P534"/>
      <c r="Q534"/>
      <c r="R534"/>
      <c r="S534"/>
      <c r="T534"/>
    </row>
    <row r="535" spans="1:20" s="14" customFormat="1" x14ac:dyDescent="0.25">
      <c r="A535" s="2" t="s">
        <v>1684</v>
      </c>
      <c r="B535" s="491" t="s">
        <v>2302</v>
      </c>
      <c r="C535" s="2" t="s">
        <v>661</v>
      </c>
      <c r="D535" s="2">
        <v>48</v>
      </c>
      <c r="E535" s="3" t="s">
        <v>1739</v>
      </c>
      <c r="F535" s="270"/>
      <c r="L535" s="2"/>
      <c r="P535"/>
      <c r="Q535"/>
      <c r="R535"/>
      <c r="S535"/>
      <c r="T535"/>
    </row>
    <row r="536" spans="1:20" s="14" customFormat="1" x14ac:dyDescent="0.25">
      <c r="A536" s="2" t="s">
        <v>1685</v>
      </c>
      <c r="B536" s="491" t="s">
        <v>2666</v>
      </c>
      <c r="C536" s="2" t="s">
        <v>661</v>
      </c>
      <c r="D536" s="2">
        <v>48</v>
      </c>
      <c r="E536" s="3" t="s">
        <v>1739</v>
      </c>
      <c r="F536" s="270"/>
      <c r="L536" s="2"/>
      <c r="P536"/>
      <c r="Q536"/>
      <c r="R536"/>
      <c r="S536"/>
      <c r="T536"/>
    </row>
    <row r="537" spans="1:20" s="14" customFormat="1" x14ac:dyDescent="0.25">
      <c r="A537" s="2" t="s">
        <v>1686</v>
      </c>
      <c r="B537" s="491" t="s">
        <v>2300</v>
      </c>
      <c r="C537" s="2" t="s">
        <v>661</v>
      </c>
      <c r="D537" s="2">
        <v>72</v>
      </c>
      <c r="E537" s="3" t="s">
        <v>1739</v>
      </c>
      <c r="F537" s="270"/>
      <c r="L537" s="2"/>
      <c r="P537"/>
      <c r="Q537"/>
      <c r="R537"/>
      <c r="S537"/>
      <c r="T537"/>
    </row>
    <row r="538" spans="1:20" s="14" customFormat="1" x14ac:dyDescent="0.25">
      <c r="A538" s="2" t="s">
        <v>1691</v>
      </c>
      <c r="B538" s="491" t="s">
        <v>1742</v>
      </c>
      <c r="C538" s="2" t="s">
        <v>733</v>
      </c>
      <c r="D538" s="2">
        <v>0</v>
      </c>
      <c r="E538" s="3" t="s">
        <v>1739</v>
      </c>
      <c r="F538" s="270"/>
      <c r="L538" s="2"/>
      <c r="P538"/>
      <c r="Q538"/>
      <c r="R538"/>
      <c r="S538"/>
      <c r="T538"/>
    </row>
    <row r="539" spans="1:20" s="14" customFormat="1" x14ac:dyDescent="0.25">
      <c r="A539" s="2" t="s">
        <v>1702</v>
      </c>
      <c r="B539" s="491" t="s">
        <v>1743</v>
      </c>
      <c r="C539" s="2" t="s">
        <v>733</v>
      </c>
      <c r="D539" s="2">
        <v>0</v>
      </c>
      <c r="E539" s="3" t="s">
        <v>1739</v>
      </c>
      <c r="F539" s="270"/>
      <c r="L539" s="2"/>
      <c r="P539"/>
      <c r="Q539"/>
      <c r="R539"/>
      <c r="S539"/>
      <c r="T539"/>
    </row>
    <row r="540" spans="1:20" s="14" customFormat="1" x14ac:dyDescent="0.25">
      <c r="A540" s="2" t="s">
        <v>1703</v>
      </c>
      <c r="B540" s="491" t="s">
        <v>1738</v>
      </c>
      <c r="C540" s="2" t="s">
        <v>733</v>
      </c>
      <c r="D540" s="2">
        <v>-15</v>
      </c>
      <c r="E540" s="3" t="s">
        <v>1739</v>
      </c>
      <c r="F540" s="270"/>
      <c r="L540" s="2"/>
      <c r="P540"/>
      <c r="Q540"/>
      <c r="R540"/>
      <c r="S540"/>
      <c r="T540"/>
    </row>
    <row r="541" spans="1:20" s="14" customFormat="1" x14ac:dyDescent="0.25">
      <c r="A541" s="2" t="s">
        <v>1704</v>
      </c>
      <c r="B541" s="491" t="s">
        <v>2718</v>
      </c>
      <c r="C541" s="2" t="s">
        <v>733</v>
      </c>
      <c r="D541" s="2">
        <v>-12</v>
      </c>
      <c r="E541" s="3" t="s">
        <v>1739</v>
      </c>
      <c r="F541" s="270"/>
      <c r="L541" s="2"/>
      <c r="P541"/>
      <c r="Q541"/>
      <c r="R541"/>
      <c r="S541"/>
      <c r="T541"/>
    </row>
    <row r="542" spans="1:20" s="14" customFormat="1" x14ac:dyDescent="0.25">
      <c r="A542" s="2" t="s">
        <v>1705</v>
      </c>
      <c r="B542" s="491" t="s">
        <v>1744</v>
      </c>
      <c r="C542" s="2" t="s">
        <v>733</v>
      </c>
      <c r="D542" s="2">
        <v>-26</v>
      </c>
      <c r="E542" s="3" t="s">
        <v>1739</v>
      </c>
      <c r="F542" s="270"/>
      <c r="L542" s="2"/>
      <c r="P542"/>
      <c r="Q542"/>
      <c r="R542"/>
      <c r="S542"/>
      <c r="T542"/>
    </row>
    <row r="543" spans="1:20" s="14" customFormat="1" x14ac:dyDescent="0.25">
      <c r="A543" s="2" t="s">
        <v>1706</v>
      </c>
      <c r="B543" s="491" t="s">
        <v>1745</v>
      </c>
      <c r="C543" s="2" t="s">
        <v>733</v>
      </c>
      <c r="D543" s="2">
        <v>-48</v>
      </c>
      <c r="E543" s="3" t="s">
        <v>1739</v>
      </c>
      <c r="F543" s="270"/>
      <c r="L543" s="2"/>
      <c r="P543"/>
      <c r="Q543"/>
      <c r="R543"/>
      <c r="S543"/>
      <c r="T543"/>
    </row>
    <row r="544" spans="1:20" s="14" customFormat="1" x14ac:dyDescent="0.25">
      <c r="A544" s="2" t="s">
        <v>1707</v>
      </c>
      <c r="B544" s="491" t="s">
        <v>2520</v>
      </c>
      <c r="C544" s="2" t="s">
        <v>733</v>
      </c>
      <c r="D544" s="2">
        <v>-3</v>
      </c>
      <c r="E544" s="3" t="s">
        <v>1739</v>
      </c>
      <c r="F544" s="270"/>
      <c r="L544" s="2"/>
      <c r="P544"/>
      <c r="Q544"/>
      <c r="R544"/>
      <c r="S544"/>
      <c r="T544"/>
    </row>
    <row r="545" spans="1:20" s="14" customFormat="1" x14ac:dyDescent="0.25">
      <c r="A545" s="2" t="s">
        <v>1708</v>
      </c>
      <c r="B545" s="491" t="s">
        <v>1746</v>
      </c>
      <c r="C545" s="2" t="s">
        <v>733</v>
      </c>
      <c r="D545" s="2">
        <v>0</v>
      </c>
      <c r="E545" s="3" t="s">
        <v>1739</v>
      </c>
      <c r="F545" s="270"/>
      <c r="L545" s="2"/>
      <c r="P545"/>
      <c r="Q545"/>
      <c r="R545"/>
      <c r="S545"/>
      <c r="T545"/>
    </row>
    <row r="546" spans="1:20" s="14" customFormat="1" x14ac:dyDescent="0.25">
      <c r="A546" s="2" t="s">
        <v>1709</v>
      </c>
      <c r="B546" s="491" t="s">
        <v>1747</v>
      </c>
      <c r="C546" s="2" t="s">
        <v>733</v>
      </c>
      <c r="D546" s="2">
        <v>0</v>
      </c>
      <c r="E546" s="3" t="s">
        <v>1739</v>
      </c>
      <c r="F546" s="270"/>
      <c r="L546" s="2"/>
      <c r="P546"/>
      <c r="Q546"/>
      <c r="R546"/>
      <c r="S546"/>
      <c r="T546"/>
    </row>
    <row r="547" spans="1:20" s="14" customFormat="1" x14ac:dyDescent="0.25">
      <c r="A547" s="2" t="s">
        <v>1710</v>
      </c>
      <c r="B547" s="491" t="s">
        <v>2521</v>
      </c>
      <c r="C547" s="2" t="s">
        <v>733</v>
      </c>
      <c r="D547" s="2">
        <v>0</v>
      </c>
      <c r="E547" s="3" t="s">
        <v>1739</v>
      </c>
      <c r="F547" s="270"/>
      <c r="L547" s="2"/>
      <c r="P547"/>
      <c r="Q547"/>
      <c r="R547"/>
      <c r="S547"/>
      <c r="T547"/>
    </row>
    <row r="548" spans="1:20" s="14" customFormat="1" x14ac:dyDescent="0.25">
      <c r="A548" s="2" t="s">
        <v>1711</v>
      </c>
      <c r="B548" s="491" t="s">
        <v>2361</v>
      </c>
      <c r="C548" s="2" t="s">
        <v>1539</v>
      </c>
      <c r="D548" s="2">
        <v>-3</v>
      </c>
      <c r="E548" s="3" t="s">
        <v>1524</v>
      </c>
      <c r="F548" s="270"/>
      <c r="L548" s="2"/>
      <c r="P548"/>
      <c r="Q548"/>
      <c r="R548"/>
      <c r="S548"/>
      <c r="T548"/>
    </row>
    <row r="549" spans="1:20" s="14" customFormat="1" x14ac:dyDescent="0.25">
      <c r="A549" s="2" t="s">
        <v>1712</v>
      </c>
      <c r="B549" s="491" t="s">
        <v>2362</v>
      </c>
      <c r="C549" s="2" t="s">
        <v>1539</v>
      </c>
      <c r="D549" s="2">
        <v>12</v>
      </c>
      <c r="E549" s="3" t="s">
        <v>1524</v>
      </c>
      <c r="F549" s="270"/>
      <c r="L549" s="2"/>
      <c r="P549"/>
      <c r="Q549"/>
      <c r="R549"/>
      <c r="S549"/>
      <c r="T549"/>
    </row>
    <row r="550" spans="1:20" s="14" customFormat="1" x14ac:dyDescent="0.25">
      <c r="A550" s="2" t="s">
        <v>1719</v>
      </c>
      <c r="B550" s="491" t="s">
        <v>2365</v>
      </c>
      <c r="C550" s="2" t="s">
        <v>1539</v>
      </c>
      <c r="D550" s="2">
        <v>6</v>
      </c>
      <c r="E550" s="3" t="s">
        <v>1524</v>
      </c>
      <c r="F550" s="270"/>
      <c r="L550" s="2"/>
      <c r="P550"/>
      <c r="Q550"/>
      <c r="R550"/>
      <c r="S550"/>
      <c r="T550"/>
    </row>
    <row r="551" spans="1:20" s="14" customFormat="1" x14ac:dyDescent="0.25">
      <c r="A551" s="2" t="s">
        <v>1720</v>
      </c>
      <c r="B551" s="491" t="s">
        <v>1628</v>
      </c>
      <c r="C551" s="2" t="s">
        <v>1629</v>
      </c>
      <c r="D551" s="2">
        <v>0</v>
      </c>
      <c r="E551" s="3" t="s">
        <v>1739</v>
      </c>
      <c r="F551" s="270"/>
      <c r="L551" s="2"/>
      <c r="P551"/>
      <c r="Q551"/>
      <c r="R551"/>
      <c r="S551"/>
      <c r="T551"/>
    </row>
    <row r="552" spans="1:20" s="14" customFormat="1" x14ac:dyDescent="0.25">
      <c r="A552" s="2" t="s">
        <v>1721</v>
      </c>
      <c r="B552" s="491" t="s">
        <v>1630</v>
      </c>
      <c r="C552" s="2" t="s">
        <v>1629</v>
      </c>
      <c r="D552" s="2">
        <v>0</v>
      </c>
      <c r="E552" s="3" t="s">
        <v>1739</v>
      </c>
      <c r="F552" s="270"/>
      <c r="L552" s="2"/>
      <c r="P552"/>
      <c r="Q552"/>
      <c r="R552"/>
      <c r="S552"/>
      <c r="T552"/>
    </row>
    <row r="553" spans="1:20" s="14" customFormat="1" x14ac:dyDescent="0.25">
      <c r="A553" s="2" t="s">
        <v>1723</v>
      </c>
      <c r="B553" s="491" t="s">
        <v>1631</v>
      </c>
      <c r="C553" s="2" t="s">
        <v>1632</v>
      </c>
      <c r="D553" s="2">
        <v>0</v>
      </c>
      <c r="E553" s="3" t="s">
        <v>1739</v>
      </c>
      <c r="F553" s="270"/>
      <c r="L553" s="2"/>
      <c r="P553"/>
      <c r="Q553"/>
      <c r="R553"/>
      <c r="S553"/>
      <c r="T553"/>
    </row>
    <row r="554" spans="1:20" s="14" customFormat="1" x14ac:dyDescent="0.25">
      <c r="A554" s="2" t="s">
        <v>1724</v>
      </c>
      <c r="B554" s="491" t="s">
        <v>1633</v>
      </c>
      <c r="C554" s="2" t="s">
        <v>1632</v>
      </c>
      <c r="D554" s="2">
        <v>24</v>
      </c>
      <c r="E554" s="3" t="s">
        <v>1739</v>
      </c>
      <c r="F554" s="270"/>
      <c r="L554" s="2"/>
      <c r="P554"/>
      <c r="Q554"/>
      <c r="R554"/>
      <c r="S554"/>
      <c r="T554"/>
    </row>
    <row r="555" spans="1:20" s="14" customFormat="1" x14ac:dyDescent="0.25">
      <c r="A555" s="2" t="s">
        <v>1734</v>
      </c>
      <c r="B555" s="491" t="s">
        <v>1673</v>
      </c>
      <c r="C555" s="2" t="s">
        <v>1674</v>
      </c>
      <c r="D555" s="2">
        <v>6</v>
      </c>
      <c r="E555" s="3" t="s">
        <v>1524</v>
      </c>
      <c r="F555" s="270"/>
      <c r="H555" s="14">
        <v>1</v>
      </c>
      <c r="K555" s="14">
        <v>6</v>
      </c>
      <c r="L555" s="2"/>
      <c r="P555"/>
      <c r="Q555"/>
      <c r="R555"/>
      <c r="S555"/>
      <c r="T555"/>
    </row>
    <row r="556" spans="1:20" s="14" customFormat="1" x14ac:dyDescent="0.25">
      <c r="A556" s="2" t="s">
        <v>1735</v>
      </c>
      <c r="B556" s="491" t="s">
        <v>1675</v>
      </c>
      <c r="C556" s="2" t="s">
        <v>1674</v>
      </c>
      <c r="D556" s="2">
        <v>9</v>
      </c>
      <c r="E556" s="3" t="s">
        <v>1524</v>
      </c>
      <c r="F556" s="270"/>
      <c r="H556" s="14">
        <v>7</v>
      </c>
      <c r="K556" s="14">
        <v>7</v>
      </c>
      <c r="L556" s="2"/>
      <c r="P556"/>
      <c r="Q556"/>
      <c r="R556"/>
      <c r="S556"/>
      <c r="T556"/>
    </row>
    <row r="557" spans="1:20" s="14" customFormat="1" x14ac:dyDescent="0.25">
      <c r="A557" s="2" t="s">
        <v>1786</v>
      </c>
      <c r="B557" s="491" t="s">
        <v>1676</v>
      </c>
      <c r="C557" s="2" t="s">
        <v>1677</v>
      </c>
      <c r="D557" s="2">
        <v>4</v>
      </c>
      <c r="E557" s="3" t="s">
        <v>1524</v>
      </c>
      <c r="F557" s="270"/>
      <c r="H557" s="14">
        <v>3</v>
      </c>
      <c r="K557" s="14">
        <v>5</v>
      </c>
      <c r="L557" s="2"/>
      <c r="P557"/>
      <c r="Q557"/>
      <c r="R557"/>
      <c r="S557"/>
      <c r="T557"/>
    </row>
    <row r="558" spans="1:20" s="14" customFormat="1" x14ac:dyDescent="0.25">
      <c r="A558" s="2" t="s">
        <v>1787</v>
      </c>
      <c r="B558" s="491" t="s">
        <v>1678</v>
      </c>
      <c r="C558" s="2" t="s">
        <v>1679</v>
      </c>
      <c r="D558" s="2">
        <v>48</v>
      </c>
      <c r="E558" s="3" t="s">
        <v>1626</v>
      </c>
      <c r="F558" s="270"/>
      <c r="L558" s="2"/>
      <c r="P558"/>
      <c r="Q558"/>
      <c r="R558"/>
      <c r="S558"/>
      <c r="T558"/>
    </row>
    <row r="559" spans="1:20" s="14" customFormat="1" x14ac:dyDescent="0.25">
      <c r="A559" s="2" t="s">
        <v>1788</v>
      </c>
      <c r="B559" s="491" t="s">
        <v>1680</v>
      </c>
      <c r="C559" s="2" t="s">
        <v>1681</v>
      </c>
      <c r="D559" s="2">
        <v>48</v>
      </c>
      <c r="E559" s="3" t="s">
        <v>1626</v>
      </c>
      <c r="F559" s="270"/>
      <c r="L559" s="2"/>
      <c r="P559"/>
      <c r="Q559"/>
      <c r="R559"/>
      <c r="S559"/>
      <c r="T559"/>
    </row>
    <row r="560" spans="1:20" s="14" customFormat="1" x14ac:dyDescent="0.25">
      <c r="A560" s="2" t="s">
        <v>1789</v>
      </c>
      <c r="B560" s="491" t="s">
        <v>2248</v>
      </c>
      <c r="C560" s="2" t="s">
        <v>1690</v>
      </c>
      <c r="D560" s="2">
        <v>108</v>
      </c>
      <c r="E560" s="3" t="s">
        <v>1626</v>
      </c>
      <c r="F560" s="270"/>
      <c r="L560" s="2"/>
      <c r="P560"/>
      <c r="Q560"/>
      <c r="R560"/>
      <c r="S560"/>
      <c r="T560"/>
    </row>
    <row r="561" spans="1:20" s="14" customFormat="1" x14ac:dyDescent="0.25">
      <c r="A561" s="2" t="s">
        <v>1790</v>
      </c>
      <c r="B561" s="491" t="s">
        <v>1692</v>
      </c>
      <c r="C561" s="2" t="s">
        <v>1693</v>
      </c>
      <c r="D561" s="2">
        <v>42</v>
      </c>
      <c r="E561" s="3" t="s">
        <v>1626</v>
      </c>
      <c r="F561" s="270"/>
      <c r="L561" s="2"/>
      <c r="P561"/>
      <c r="Q561"/>
      <c r="R561"/>
      <c r="S561"/>
      <c r="T561"/>
    </row>
    <row r="562" spans="1:20" s="14" customFormat="1" x14ac:dyDescent="0.25">
      <c r="A562" s="2" t="s">
        <v>1791</v>
      </c>
      <c r="B562" s="491" t="s">
        <v>1694</v>
      </c>
      <c r="C562" s="2" t="s">
        <v>3682</v>
      </c>
      <c r="D562" s="2">
        <v>-2</v>
      </c>
      <c r="E562" s="3" t="s">
        <v>1561</v>
      </c>
      <c r="F562" s="270"/>
      <c r="L562" s="2"/>
      <c r="P562"/>
      <c r="Q562"/>
      <c r="R562"/>
      <c r="S562"/>
      <c r="T562"/>
    </row>
    <row r="563" spans="1:20" s="14" customFormat="1" x14ac:dyDescent="0.25">
      <c r="A563" s="2" t="s">
        <v>1792</v>
      </c>
      <c r="B563" s="491" t="s">
        <v>1695</v>
      </c>
      <c r="C563" s="2" t="s">
        <v>3404</v>
      </c>
      <c r="D563" s="2">
        <v>0</v>
      </c>
      <c r="E563" s="3" t="s">
        <v>1561</v>
      </c>
      <c r="F563" s="270"/>
      <c r="L563" s="2"/>
      <c r="P563"/>
      <c r="Q563"/>
      <c r="R563"/>
      <c r="S563"/>
      <c r="T563"/>
    </row>
    <row r="564" spans="1:20" s="14" customFormat="1" x14ac:dyDescent="0.25">
      <c r="A564" s="2" t="s">
        <v>1793</v>
      </c>
      <c r="B564" s="491" t="s">
        <v>1696</v>
      </c>
      <c r="C564" s="2" t="s">
        <v>3481</v>
      </c>
      <c r="D564" s="2">
        <v>190</v>
      </c>
      <c r="E564" s="3" t="s">
        <v>1561</v>
      </c>
      <c r="F564" s="270"/>
      <c r="L564" s="2"/>
      <c r="P564"/>
      <c r="Q564"/>
      <c r="R564"/>
      <c r="S564"/>
      <c r="T564"/>
    </row>
    <row r="565" spans="1:20" s="14" customFormat="1" x14ac:dyDescent="0.25">
      <c r="A565" s="2" t="s">
        <v>1794</v>
      </c>
      <c r="B565" s="491" t="s">
        <v>1697</v>
      </c>
      <c r="C565" s="2" t="s">
        <v>1880</v>
      </c>
      <c r="D565" s="2">
        <v>107</v>
      </c>
      <c r="E565" s="3" t="s">
        <v>1561</v>
      </c>
      <c r="F565" s="270"/>
      <c r="L565" s="2"/>
      <c r="P565"/>
      <c r="Q565"/>
      <c r="R565"/>
      <c r="S565"/>
      <c r="T565"/>
    </row>
    <row r="566" spans="1:20" s="14" customFormat="1" x14ac:dyDescent="0.25">
      <c r="A566" s="2" t="s">
        <v>1795</v>
      </c>
      <c r="B566" s="491" t="s">
        <v>2137</v>
      </c>
      <c r="C566" s="2" t="s">
        <v>2138</v>
      </c>
      <c r="D566" s="2">
        <v>789</v>
      </c>
      <c r="E566" s="3" t="s">
        <v>1561</v>
      </c>
      <c r="F566" s="270"/>
      <c r="L566" s="2"/>
      <c r="P566"/>
      <c r="Q566"/>
      <c r="R566"/>
      <c r="S566"/>
      <c r="T566"/>
    </row>
    <row r="567" spans="1:20" s="14" customFormat="1" x14ac:dyDescent="0.25">
      <c r="A567" s="2" t="s">
        <v>1796</v>
      </c>
      <c r="B567" s="491" t="s">
        <v>1698</v>
      </c>
      <c r="C567" s="2" t="s">
        <v>1693</v>
      </c>
      <c r="D567" s="2">
        <v>12</v>
      </c>
      <c r="E567" s="3" t="s">
        <v>1626</v>
      </c>
      <c r="F567" s="270"/>
      <c r="L567" s="2"/>
      <c r="P567"/>
      <c r="Q567"/>
      <c r="R567"/>
      <c r="S567"/>
      <c r="T567"/>
    </row>
    <row r="568" spans="1:20" s="14" customFormat="1" x14ac:dyDescent="0.25">
      <c r="A568" s="2" t="s">
        <v>1797</v>
      </c>
      <c r="B568" s="491" t="s">
        <v>1699</v>
      </c>
      <c r="C568" s="2" t="s">
        <v>1693</v>
      </c>
      <c r="D568" s="2">
        <v>10</v>
      </c>
      <c r="E568" s="3" t="s">
        <v>1546</v>
      </c>
      <c r="F568" s="270"/>
      <c r="L568" s="2"/>
      <c r="P568"/>
      <c r="Q568"/>
      <c r="R568"/>
      <c r="S568"/>
      <c r="T568"/>
    </row>
    <row r="569" spans="1:20" s="14" customFormat="1" x14ac:dyDescent="0.25">
      <c r="A569" s="2" t="s">
        <v>1798</v>
      </c>
      <c r="B569" s="491" t="s">
        <v>1700</v>
      </c>
      <c r="C569" s="2" t="s">
        <v>1693</v>
      </c>
      <c r="D569" s="2">
        <v>15</v>
      </c>
      <c r="E569" s="3" t="s">
        <v>1546</v>
      </c>
      <c r="F569" s="270"/>
      <c r="L569" s="2"/>
      <c r="P569"/>
      <c r="Q569"/>
      <c r="R569"/>
      <c r="S569"/>
      <c r="T569"/>
    </row>
    <row r="570" spans="1:20" s="14" customFormat="1" x14ac:dyDescent="0.25">
      <c r="A570" s="2" t="s">
        <v>1799</v>
      </c>
      <c r="B570" s="491" t="s">
        <v>4327</v>
      </c>
      <c r="C570" s="2" t="s">
        <v>4328</v>
      </c>
      <c r="D570" s="2">
        <v>-3</v>
      </c>
      <c r="E570" s="3" t="s">
        <v>1546</v>
      </c>
      <c r="F570" s="270"/>
      <c r="L570" s="2"/>
      <c r="P570"/>
      <c r="Q570"/>
      <c r="R570"/>
      <c r="S570"/>
      <c r="T570"/>
    </row>
    <row r="571" spans="1:20" s="14" customFormat="1" x14ac:dyDescent="0.25">
      <c r="A571" s="2" t="s">
        <v>1800</v>
      </c>
      <c r="B571" s="491" t="s">
        <v>1701</v>
      </c>
      <c r="C571" s="2" t="s">
        <v>1693</v>
      </c>
      <c r="D571" s="2">
        <v>-4</v>
      </c>
      <c r="E571" s="3" t="s">
        <v>3480</v>
      </c>
      <c r="F571" s="270"/>
      <c r="L571" s="2"/>
      <c r="P571"/>
      <c r="Q571"/>
      <c r="R571"/>
      <c r="S571"/>
      <c r="T571"/>
    </row>
    <row r="572" spans="1:20" s="14" customFormat="1" x14ac:dyDescent="0.25">
      <c r="A572" s="2" t="s">
        <v>1801</v>
      </c>
      <c r="B572" s="491" t="s">
        <v>2410</v>
      </c>
      <c r="C572" s="2" t="s">
        <v>1674</v>
      </c>
      <c r="D572" s="2">
        <v>-3</v>
      </c>
      <c r="E572" s="3" t="s">
        <v>1546</v>
      </c>
      <c r="F572" s="270"/>
      <c r="L572" s="2"/>
      <c r="P572"/>
      <c r="Q572"/>
      <c r="R572"/>
      <c r="S572"/>
      <c r="T572"/>
    </row>
    <row r="573" spans="1:20" s="14" customFormat="1" x14ac:dyDescent="0.25">
      <c r="A573" s="2" t="s">
        <v>1802</v>
      </c>
      <c r="B573" s="491" t="s">
        <v>1715</v>
      </c>
      <c r="C573" s="2" t="s">
        <v>1716</v>
      </c>
      <c r="D573" s="2">
        <v>193</v>
      </c>
      <c r="E573" s="3" t="s">
        <v>1546</v>
      </c>
      <c r="F573" s="270"/>
      <c r="L573" s="2"/>
      <c r="P573"/>
      <c r="Q573"/>
      <c r="R573"/>
      <c r="S573"/>
      <c r="T573"/>
    </row>
    <row r="574" spans="1:20" s="14" customFormat="1" x14ac:dyDescent="0.25">
      <c r="A574" s="2" t="s">
        <v>1803</v>
      </c>
      <c r="B574" s="491" t="s">
        <v>1717</v>
      </c>
      <c r="C574" s="2" t="s">
        <v>1718</v>
      </c>
      <c r="D574" s="2">
        <v>100</v>
      </c>
      <c r="E574" s="3" t="s">
        <v>1546</v>
      </c>
      <c r="F574" s="270"/>
      <c r="L574" s="2"/>
      <c r="P574"/>
      <c r="Q574"/>
      <c r="R574"/>
      <c r="S574"/>
      <c r="T574"/>
    </row>
    <row r="575" spans="1:20" s="14" customFormat="1" x14ac:dyDescent="0.25">
      <c r="A575" s="2" t="s">
        <v>1804</v>
      </c>
      <c r="B575" s="491" t="s">
        <v>1722</v>
      </c>
      <c r="C575" s="2" t="s">
        <v>1693</v>
      </c>
      <c r="D575" s="2">
        <v>27</v>
      </c>
      <c r="E575" s="3" t="s">
        <v>1546</v>
      </c>
      <c r="F575" s="270"/>
      <c r="L575" s="2"/>
      <c r="P575"/>
      <c r="Q575"/>
      <c r="R575"/>
      <c r="S575"/>
      <c r="T575"/>
    </row>
    <row r="576" spans="1:20" s="14" customFormat="1" x14ac:dyDescent="0.25">
      <c r="A576" s="2" t="s">
        <v>1805</v>
      </c>
      <c r="B576" s="491" t="s">
        <v>1725</v>
      </c>
      <c r="C576" s="2" t="s">
        <v>1690</v>
      </c>
      <c r="D576" s="2">
        <v>1</v>
      </c>
      <c r="E576" s="3" t="s">
        <v>1546</v>
      </c>
      <c r="F576" s="270"/>
      <c r="L576" s="2"/>
      <c r="P576"/>
      <c r="Q576"/>
      <c r="R576"/>
      <c r="S576"/>
      <c r="T576"/>
    </row>
    <row r="577" spans="1:20" s="14" customFormat="1" x14ac:dyDescent="0.25">
      <c r="A577" s="2" t="s">
        <v>1806</v>
      </c>
      <c r="B577" s="491" t="s">
        <v>6001</v>
      </c>
      <c r="C577" s="2" t="s">
        <v>1690</v>
      </c>
      <c r="D577" s="2">
        <v>48</v>
      </c>
      <c r="E577" s="3" t="s">
        <v>1626</v>
      </c>
      <c r="F577" s="270"/>
      <c r="L577" s="2"/>
      <c r="P577"/>
      <c r="Q577"/>
      <c r="R577"/>
      <c r="S577"/>
      <c r="T577"/>
    </row>
    <row r="578" spans="1:20" s="14" customFormat="1" x14ac:dyDescent="0.25">
      <c r="A578" s="2" t="s">
        <v>1807</v>
      </c>
      <c r="B578" s="491" t="s">
        <v>1893</v>
      </c>
      <c r="C578" s="2" t="s">
        <v>1726</v>
      </c>
      <c r="D578" s="2">
        <v>1</v>
      </c>
      <c r="E578" s="3" t="s">
        <v>1546</v>
      </c>
      <c r="F578" s="270"/>
      <c r="L578" s="2"/>
      <c r="P578"/>
      <c r="Q578"/>
      <c r="R578"/>
      <c r="S578"/>
      <c r="T578"/>
    </row>
    <row r="579" spans="1:20" s="14" customFormat="1" x14ac:dyDescent="0.25">
      <c r="A579" s="2" t="s">
        <v>1808</v>
      </c>
      <c r="B579" s="491" t="s">
        <v>1727</v>
      </c>
      <c r="C579" s="2" t="s">
        <v>1728</v>
      </c>
      <c r="D579" s="2">
        <v>74</v>
      </c>
      <c r="E579" s="3" t="s">
        <v>1561</v>
      </c>
      <c r="F579" s="270"/>
      <c r="L579" s="2"/>
      <c r="P579"/>
      <c r="Q579"/>
      <c r="R579"/>
      <c r="S579"/>
      <c r="T579"/>
    </row>
    <row r="580" spans="1:20" s="14" customFormat="1" x14ac:dyDescent="0.25">
      <c r="A580" s="2" t="s">
        <v>1809</v>
      </c>
      <c r="B580" s="491" t="s">
        <v>1729</v>
      </c>
      <c r="C580" s="2" t="s">
        <v>1730</v>
      </c>
      <c r="D580" s="2">
        <v>2270</v>
      </c>
      <c r="E580" s="3" t="s">
        <v>1561</v>
      </c>
      <c r="F580" s="270"/>
      <c r="L580" s="2"/>
      <c r="P580"/>
      <c r="Q580"/>
      <c r="R580"/>
      <c r="S580"/>
      <c r="T580"/>
    </row>
    <row r="581" spans="1:20" s="14" customFormat="1" x14ac:dyDescent="0.25">
      <c r="A581" s="2" t="s">
        <v>1810</v>
      </c>
      <c r="B581" s="491" t="s">
        <v>5868</v>
      </c>
      <c r="C581" s="2" t="s">
        <v>1731</v>
      </c>
      <c r="D581" s="2">
        <v>60</v>
      </c>
      <c r="E581" s="3" t="s">
        <v>1576</v>
      </c>
      <c r="F581" s="270"/>
      <c r="L581" s="2"/>
      <c r="P581"/>
      <c r="Q581"/>
      <c r="R581"/>
      <c r="S581"/>
      <c r="T581"/>
    </row>
    <row r="582" spans="1:20" s="14" customFormat="1" x14ac:dyDescent="0.25">
      <c r="A582" s="2" t="s">
        <v>1811</v>
      </c>
      <c r="B582" s="491" t="s">
        <v>1732</v>
      </c>
      <c r="C582" s="2" t="s">
        <v>1733</v>
      </c>
      <c r="D582" s="2">
        <v>0</v>
      </c>
      <c r="E582" s="3" t="s">
        <v>1563</v>
      </c>
      <c r="F582" s="270"/>
      <c r="K582" s="14">
        <v>0</v>
      </c>
      <c r="L582" s="2"/>
      <c r="M582" s="14">
        <v>0</v>
      </c>
      <c r="P582"/>
      <c r="Q582"/>
      <c r="R582"/>
      <c r="S582"/>
      <c r="T582"/>
    </row>
    <row r="583" spans="1:20" s="14" customFormat="1" x14ac:dyDescent="0.25">
      <c r="A583" s="2" t="s">
        <v>4195</v>
      </c>
      <c r="B583" s="491" t="s">
        <v>4196</v>
      </c>
      <c r="C583" s="2" t="s">
        <v>3616</v>
      </c>
      <c r="D583" s="2">
        <v>42</v>
      </c>
      <c r="E583" s="3" t="s">
        <v>1626</v>
      </c>
      <c r="F583" s="270"/>
      <c r="L583" s="2"/>
      <c r="P583"/>
      <c r="Q583"/>
      <c r="R583"/>
      <c r="S583"/>
      <c r="T583"/>
    </row>
    <row r="584" spans="1:20" s="14" customFormat="1" x14ac:dyDescent="0.25">
      <c r="A584" s="2" t="s">
        <v>4197</v>
      </c>
      <c r="B584" s="491" t="s">
        <v>4188</v>
      </c>
      <c r="C584" s="2" t="s">
        <v>3616</v>
      </c>
      <c r="D584" s="2">
        <v>403</v>
      </c>
      <c r="E584" s="3" t="s">
        <v>1626</v>
      </c>
      <c r="F584" s="270"/>
      <c r="L584" s="2"/>
      <c r="P584"/>
      <c r="Q584"/>
      <c r="R584"/>
      <c r="S584"/>
      <c r="T584"/>
    </row>
    <row r="585" spans="1:20" s="14" customFormat="1" x14ac:dyDescent="0.25">
      <c r="A585" s="2" t="s">
        <v>4201</v>
      </c>
      <c r="B585" s="491" t="s">
        <v>4202</v>
      </c>
      <c r="C585" s="2" t="s">
        <v>2786</v>
      </c>
      <c r="D585" s="2">
        <v>-201</v>
      </c>
      <c r="E585" s="3" t="s">
        <v>1577</v>
      </c>
      <c r="F585" s="270"/>
      <c r="L585" s="2"/>
      <c r="P585"/>
      <c r="Q585"/>
      <c r="R585"/>
      <c r="S585"/>
      <c r="T585"/>
    </row>
    <row r="586" spans="1:20" s="14" customFormat="1" x14ac:dyDescent="0.25">
      <c r="A586" s="2" t="s">
        <v>4218</v>
      </c>
      <c r="B586" s="491" t="s">
        <v>4219</v>
      </c>
      <c r="C586" s="2" t="s">
        <v>3950</v>
      </c>
      <c r="D586" s="2">
        <v>85</v>
      </c>
      <c r="E586" s="3" t="s">
        <v>1576</v>
      </c>
      <c r="F586" s="270"/>
      <c r="L586" s="2"/>
      <c r="P586"/>
      <c r="Q586"/>
      <c r="R586"/>
      <c r="S586"/>
      <c r="T586"/>
    </row>
    <row r="587" spans="1:20" s="14" customFormat="1" x14ac:dyDescent="0.25">
      <c r="A587" s="2" t="s">
        <v>4226</v>
      </c>
      <c r="B587" s="491" t="s">
        <v>4227</v>
      </c>
      <c r="C587" s="2" t="s">
        <v>1504</v>
      </c>
      <c r="D587" s="2">
        <v>12</v>
      </c>
      <c r="E587" s="3" t="s">
        <v>1576</v>
      </c>
      <c r="F587" s="270"/>
      <c r="L587" s="2"/>
      <c r="P587"/>
      <c r="Q587"/>
      <c r="R587"/>
      <c r="S587"/>
      <c r="T587"/>
    </row>
    <row r="588" spans="1:20" s="14" customFormat="1" x14ac:dyDescent="0.25">
      <c r="A588" s="2" t="s">
        <v>4230</v>
      </c>
      <c r="B588" s="491" t="s">
        <v>4231</v>
      </c>
      <c r="C588" s="2" t="s">
        <v>1504</v>
      </c>
      <c r="D588" s="2">
        <v>-5</v>
      </c>
      <c r="E588" s="3" t="s">
        <v>1576</v>
      </c>
      <c r="F588" s="270"/>
      <c r="L588" s="2"/>
      <c r="P588"/>
      <c r="Q588"/>
      <c r="R588"/>
      <c r="S588"/>
      <c r="T588"/>
    </row>
    <row r="589" spans="1:20" s="14" customFormat="1" x14ac:dyDescent="0.25">
      <c r="A589" s="2" t="s">
        <v>4232</v>
      </c>
      <c r="B589" s="491" t="s">
        <v>4233</v>
      </c>
      <c r="C589" s="2" t="s">
        <v>1504</v>
      </c>
      <c r="D589" s="2"/>
      <c r="E589" s="3" t="s">
        <v>1562</v>
      </c>
      <c r="F589" s="270"/>
      <c r="L589" s="2"/>
      <c r="P589"/>
      <c r="Q589"/>
      <c r="R589"/>
      <c r="S589"/>
      <c r="T589"/>
    </row>
    <row r="590" spans="1:20" s="14" customFormat="1" x14ac:dyDescent="0.25">
      <c r="A590" s="2" t="s">
        <v>4235</v>
      </c>
      <c r="B590" s="491" t="s">
        <v>4236</v>
      </c>
      <c r="C590" s="2" t="s">
        <v>1504</v>
      </c>
      <c r="D590" s="2"/>
      <c r="E590" s="3" t="s">
        <v>1562</v>
      </c>
      <c r="F590" s="270"/>
      <c r="L590" s="2"/>
      <c r="P590"/>
      <c r="Q590"/>
      <c r="R590"/>
      <c r="S590"/>
      <c r="T590"/>
    </row>
    <row r="591" spans="1:20" s="14" customFormat="1" x14ac:dyDescent="0.25">
      <c r="A591" s="2" t="s">
        <v>4238</v>
      </c>
      <c r="B591" s="491" t="s">
        <v>4239</v>
      </c>
      <c r="C591" s="2" t="s">
        <v>4240</v>
      </c>
      <c r="D591" s="2">
        <v>18</v>
      </c>
      <c r="E591" s="3" t="s">
        <v>1561</v>
      </c>
      <c r="F591" s="270"/>
      <c r="L591" s="2"/>
      <c r="P591"/>
      <c r="Q591"/>
      <c r="R591"/>
      <c r="S591"/>
      <c r="T591"/>
    </row>
    <row r="592" spans="1:20" s="14" customFormat="1" x14ac:dyDescent="0.25">
      <c r="A592" s="2" t="s">
        <v>4245</v>
      </c>
      <c r="B592" s="491" t="s">
        <v>4246</v>
      </c>
      <c r="C592" s="2" t="s">
        <v>1879</v>
      </c>
      <c r="D592" s="2">
        <v>31</v>
      </c>
      <c r="E592" s="3" t="s">
        <v>1645</v>
      </c>
      <c r="F592" s="270"/>
      <c r="L592" s="2"/>
      <c r="P592"/>
      <c r="Q592"/>
      <c r="R592"/>
      <c r="S592"/>
      <c r="T592"/>
    </row>
    <row r="593" spans="1:20" s="14" customFormat="1" x14ac:dyDescent="0.25">
      <c r="A593" s="2" t="s">
        <v>4259</v>
      </c>
      <c r="B593" s="491" t="s">
        <v>4260</v>
      </c>
      <c r="C593" s="2" t="s">
        <v>4261</v>
      </c>
      <c r="D593" s="2" t="s">
        <v>4234</v>
      </c>
      <c r="E593" s="3" t="s">
        <v>4221</v>
      </c>
      <c r="F593" s="270"/>
      <c r="L593" s="2"/>
      <c r="P593"/>
      <c r="Q593"/>
      <c r="R593"/>
      <c r="S593"/>
      <c r="T593"/>
    </row>
    <row r="594" spans="1:20" s="14" customFormat="1" x14ac:dyDescent="0.25">
      <c r="A594" s="2" t="s">
        <v>4265</v>
      </c>
      <c r="B594" s="491" t="s">
        <v>4270</v>
      </c>
      <c r="C594" s="2" t="s">
        <v>4266</v>
      </c>
      <c r="D594" s="2">
        <v>1</v>
      </c>
      <c r="E594" s="3" t="s">
        <v>4221</v>
      </c>
      <c r="F594" s="270"/>
      <c r="L594" s="2"/>
      <c r="P594"/>
      <c r="Q594"/>
      <c r="R594"/>
      <c r="S594"/>
      <c r="T594"/>
    </row>
    <row r="595" spans="1:20" s="14" customFormat="1" x14ac:dyDescent="0.25">
      <c r="A595" s="2" t="s">
        <v>4267</v>
      </c>
      <c r="B595" s="491" t="s">
        <v>4268</v>
      </c>
      <c r="C595" s="2" t="s">
        <v>4269</v>
      </c>
      <c r="D595" s="2">
        <v>1</v>
      </c>
      <c r="E595" s="3" t="s">
        <v>4221</v>
      </c>
      <c r="F595" s="270"/>
      <c r="L595" s="2"/>
      <c r="P595"/>
      <c r="Q595"/>
      <c r="R595"/>
      <c r="S595"/>
      <c r="T595"/>
    </row>
    <row r="596" spans="1:20" s="14" customFormat="1" x14ac:dyDescent="0.25">
      <c r="A596" s="2" t="s">
        <v>4274</v>
      </c>
      <c r="B596" s="491" t="s">
        <v>4275</v>
      </c>
      <c r="C596" s="2" t="s">
        <v>4276</v>
      </c>
      <c r="D596" s="2"/>
      <c r="E596" s="3" t="s">
        <v>4221</v>
      </c>
      <c r="F596" s="270"/>
      <c r="L596" s="2"/>
      <c r="P596"/>
      <c r="Q596"/>
      <c r="R596"/>
      <c r="S596"/>
      <c r="T596"/>
    </row>
    <row r="597" spans="1:20" s="14" customFormat="1" x14ac:dyDescent="0.25">
      <c r="A597" s="2" t="s">
        <v>4302</v>
      </c>
      <c r="B597" s="491" t="s">
        <v>4303</v>
      </c>
      <c r="C597" s="2" t="s">
        <v>1646</v>
      </c>
      <c r="D597" s="2" t="s">
        <v>4237</v>
      </c>
      <c r="E597" s="3" t="s">
        <v>4221</v>
      </c>
      <c r="F597" s="270"/>
      <c r="L597" s="2"/>
      <c r="P597"/>
      <c r="Q597"/>
      <c r="R597"/>
      <c r="S597"/>
      <c r="T597"/>
    </row>
    <row r="598" spans="1:20" s="14" customFormat="1" x14ac:dyDescent="0.25">
      <c r="A598" s="2" t="s">
        <v>4304</v>
      </c>
      <c r="B598" s="491" t="s">
        <v>5567</v>
      </c>
      <c r="C598" s="2" t="s">
        <v>1646</v>
      </c>
      <c r="D598" s="2">
        <v>2</v>
      </c>
      <c r="E598" s="3" t="s">
        <v>2950</v>
      </c>
      <c r="F598" s="270"/>
      <c r="L598" s="2"/>
      <c r="P598"/>
      <c r="Q598"/>
      <c r="R598"/>
      <c r="S598"/>
      <c r="T598"/>
    </row>
    <row r="599" spans="1:20" s="14" customFormat="1" x14ac:dyDescent="0.25">
      <c r="A599" s="2" t="s">
        <v>4305</v>
      </c>
      <c r="B599" s="491" t="s">
        <v>4307</v>
      </c>
      <c r="C599" s="2" t="s">
        <v>4309</v>
      </c>
      <c r="D599" s="2"/>
      <c r="E599" s="3" t="s">
        <v>1739</v>
      </c>
      <c r="F599" s="270"/>
      <c r="L599" s="2"/>
      <c r="P599"/>
      <c r="Q599"/>
      <c r="R599"/>
      <c r="S599"/>
      <c r="T599"/>
    </row>
    <row r="600" spans="1:20" s="14" customFormat="1" x14ac:dyDescent="0.25">
      <c r="A600" s="2" t="s">
        <v>4306</v>
      </c>
      <c r="B600" s="491" t="s">
        <v>4318</v>
      </c>
      <c r="C600" s="2" t="s">
        <v>4319</v>
      </c>
      <c r="D600" s="2">
        <v>48</v>
      </c>
      <c r="E600" s="3" t="s">
        <v>1546</v>
      </c>
      <c r="F600" s="270"/>
      <c r="L600" s="2"/>
      <c r="P600"/>
      <c r="Q600"/>
      <c r="R600"/>
      <c r="S600"/>
      <c r="T600"/>
    </row>
    <row r="601" spans="1:20" s="14" customFormat="1" x14ac:dyDescent="0.25">
      <c r="A601" s="2" t="s">
        <v>4308</v>
      </c>
      <c r="B601" s="491" t="s">
        <v>4321</v>
      </c>
      <c r="C601" s="2" t="s">
        <v>4319</v>
      </c>
      <c r="D601" s="2">
        <v>13</v>
      </c>
      <c r="E601" s="3" t="s">
        <v>1546</v>
      </c>
      <c r="F601" s="270"/>
      <c r="L601" s="2"/>
      <c r="P601"/>
      <c r="Q601"/>
      <c r="R601"/>
      <c r="S601"/>
      <c r="T601"/>
    </row>
    <row r="602" spans="1:20" s="14" customFormat="1" x14ac:dyDescent="0.25">
      <c r="A602" s="2" t="s">
        <v>4317</v>
      </c>
      <c r="B602" s="491" t="s">
        <v>4494</v>
      </c>
      <c r="C602" s="2" t="s">
        <v>4336</v>
      </c>
      <c r="D602" s="2">
        <v>2162</v>
      </c>
      <c r="E602" s="3" t="s">
        <v>4334</v>
      </c>
      <c r="F602" s="270"/>
      <c r="L602" s="2"/>
      <c r="P602"/>
      <c r="Q602"/>
      <c r="R602"/>
      <c r="S602"/>
      <c r="T602"/>
    </row>
    <row r="603" spans="1:20" s="14" customFormat="1" x14ac:dyDescent="0.25">
      <c r="A603" s="2" t="s">
        <v>4320</v>
      </c>
      <c r="B603" s="491" t="s">
        <v>4843</v>
      </c>
      <c r="C603" s="2" t="s">
        <v>4085</v>
      </c>
      <c r="D603" s="2">
        <v>36</v>
      </c>
      <c r="E603" s="3" t="s">
        <v>1626</v>
      </c>
      <c r="F603" s="270"/>
      <c r="L603" s="2"/>
      <c r="P603"/>
      <c r="Q603"/>
      <c r="R603"/>
      <c r="S603"/>
      <c r="T603"/>
    </row>
    <row r="604" spans="1:20" s="14" customFormat="1" x14ac:dyDescent="0.25">
      <c r="A604" s="2" t="s">
        <v>4335</v>
      </c>
      <c r="B604" s="491" t="s">
        <v>1813</v>
      </c>
      <c r="C604" s="2" t="s">
        <v>1814</v>
      </c>
      <c r="D604" s="2">
        <v>10</v>
      </c>
      <c r="E604" s="3" t="s">
        <v>1645</v>
      </c>
      <c r="F604" s="270"/>
      <c r="L604" s="2"/>
      <c r="P604"/>
      <c r="Q604"/>
      <c r="R604"/>
      <c r="S604"/>
      <c r="T604"/>
    </row>
    <row r="605" spans="1:20" s="14" customFormat="1" x14ac:dyDescent="0.25">
      <c r="A605" s="2" t="s">
        <v>4337</v>
      </c>
      <c r="B605" s="491" t="s">
        <v>1816</v>
      </c>
      <c r="C605" s="2" t="s">
        <v>1817</v>
      </c>
      <c r="D605" s="2"/>
      <c r="E605" s="3" t="s">
        <v>1645</v>
      </c>
      <c r="F605" s="270"/>
      <c r="L605" s="2"/>
      <c r="P605"/>
      <c r="Q605"/>
      <c r="R605"/>
      <c r="S605"/>
      <c r="T605"/>
    </row>
    <row r="606" spans="1:20" s="14" customFormat="1" x14ac:dyDescent="0.25">
      <c r="A606" s="2" t="s">
        <v>4350</v>
      </c>
      <c r="B606" s="491" t="s">
        <v>4351</v>
      </c>
      <c r="C606" s="2" t="s">
        <v>2680</v>
      </c>
      <c r="D606" s="2">
        <v>6</v>
      </c>
      <c r="E606" s="3" t="s">
        <v>1576</v>
      </c>
      <c r="F606" s="270"/>
      <c r="L606" s="2"/>
      <c r="P606"/>
      <c r="Q606"/>
      <c r="R606"/>
      <c r="S606"/>
      <c r="T606"/>
    </row>
    <row r="607" spans="1:20" s="14" customFormat="1" x14ac:dyDescent="0.25">
      <c r="A607" s="2" t="s">
        <v>4414</v>
      </c>
      <c r="B607" s="491" t="s">
        <v>4415</v>
      </c>
      <c r="C607" s="2" t="s">
        <v>1504</v>
      </c>
      <c r="D607" s="2">
        <v>120</v>
      </c>
      <c r="E607" s="3" t="s">
        <v>4410</v>
      </c>
      <c r="F607" s="270"/>
      <c r="L607" s="2"/>
      <c r="P607"/>
      <c r="Q607"/>
      <c r="R607"/>
      <c r="S607"/>
      <c r="T607"/>
    </row>
    <row r="608" spans="1:20" s="14" customFormat="1" x14ac:dyDescent="0.25">
      <c r="A608" s="2" t="s">
        <v>4416</v>
      </c>
      <c r="B608" s="491" t="s">
        <v>4417</v>
      </c>
      <c r="C608" s="2" t="s">
        <v>1504</v>
      </c>
      <c r="D608" s="2">
        <v>408</v>
      </c>
      <c r="E608" s="3" t="s">
        <v>4410</v>
      </c>
      <c r="F608" s="270"/>
      <c r="L608" s="2"/>
      <c r="P608"/>
      <c r="Q608"/>
      <c r="R608"/>
      <c r="S608"/>
      <c r="T608"/>
    </row>
    <row r="609" spans="1:20" s="14" customFormat="1" x14ac:dyDescent="0.25">
      <c r="A609" s="2" t="s">
        <v>4418</v>
      </c>
      <c r="B609" s="491" t="s">
        <v>4419</v>
      </c>
      <c r="C609" s="2" t="s">
        <v>1504</v>
      </c>
      <c r="D609" s="2">
        <v>48</v>
      </c>
      <c r="E609" s="3" t="s">
        <v>4410</v>
      </c>
      <c r="F609" s="270"/>
      <c r="L609" s="2"/>
      <c r="P609"/>
      <c r="Q609"/>
      <c r="R609"/>
      <c r="S609"/>
      <c r="T609"/>
    </row>
    <row r="610" spans="1:20" s="14" customFormat="1" x14ac:dyDescent="0.25">
      <c r="A610" s="2" t="s">
        <v>4420</v>
      </c>
      <c r="B610" s="491" t="s">
        <v>4421</v>
      </c>
      <c r="C610" s="2" t="s">
        <v>1504</v>
      </c>
      <c r="D610" s="2">
        <v>682</v>
      </c>
      <c r="E610" s="3" t="s">
        <v>4410</v>
      </c>
      <c r="F610" s="270"/>
      <c r="L610" s="2"/>
      <c r="P610"/>
      <c r="Q610"/>
      <c r="R610"/>
      <c r="S610"/>
      <c r="T610"/>
    </row>
    <row r="611" spans="1:20" s="14" customFormat="1" x14ac:dyDescent="0.25">
      <c r="A611" s="2" t="s">
        <v>4422</v>
      </c>
      <c r="B611" s="491" t="s">
        <v>4423</v>
      </c>
      <c r="C611" s="2" t="s">
        <v>1504</v>
      </c>
      <c r="D611" s="2">
        <v>980</v>
      </c>
      <c r="E611" s="3" t="s">
        <v>4410</v>
      </c>
      <c r="F611" s="270"/>
      <c r="L611" s="2"/>
      <c r="P611"/>
      <c r="Q611"/>
      <c r="R611"/>
      <c r="S611"/>
      <c r="T611"/>
    </row>
    <row r="612" spans="1:20" s="14" customFormat="1" x14ac:dyDescent="0.25">
      <c r="A612" s="2" t="s">
        <v>4424</v>
      </c>
      <c r="B612" s="491" t="s">
        <v>4425</v>
      </c>
      <c r="C612" s="2" t="s">
        <v>1504</v>
      </c>
      <c r="D612" s="2">
        <v>120</v>
      </c>
      <c r="E612" s="3" t="s">
        <v>4410</v>
      </c>
      <c r="F612" s="270"/>
      <c r="L612" s="2"/>
      <c r="P612"/>
      <c r="Q612"/>
      <c r="R612"/>
      <c r="S612"/>
      <c r="T612"/>
    </row>
    <row r="613" spans="1:20" s="14" customFormat="1" x14ac:dyDescent="0.25">
      <c r="A613" s="2" t="s">
        <v>4459</v>
      </c>
      <c r="B613" s="491" t="s">
        <v>4460</v>
      </c>
      <c r="C613" s="2" t="s">
        <v>4461</v>
      </c>
      <c r="D613" s="2">
        <v>9</v>
      </c>
      <c r="E613" s="3" t="s">
        <v>1576</v>
      </c>
      <c r="F613" s="270"/>
      <c r="L613" s="2"/>
      <c r="P613"/>
      <c r="Q613"/>
      <c r="R613"/>
      <c r="S613"/>
      <c r="T613"/>
    </row>
    <row r="614" spans="1:20" s="14" customFormat="1" x14ac:dyDescent="0.25">
      <c r="A614" s="2" t="s">
        <v>4502</v>
      </c>
      <c r="B614" s="491" t="s">
        <v>4503</v>
      </c>
      <c r="C614" s="2" t="s">
        <v>4504</v>
      </c>
      <c r="D614" s="2">
        <v>2</v>
      </c>
      <c r="E614" s="3" t="s">
        <v>1576</v>
      </c>
      <c r="F614" s="270"/>
      <c r="L614" s="2"/>
      <c r="P614"/>
      <c r="Q614"/>
      <c r="R614"/>
      <c r="S614"/>
      <c r="T614"/>
    </row>
    <row r="615" spans="1:20" s="14" customFormat="1" x14ac:dyDescent="0.25">
      <c r="A615" s="2" t="s">
        <v>4509</v>
      </c>
      <c r="B615" s="491" t="s">
        <v>4510</v>
      </c>
      <c r="C615" s="2" t="s">
        <v>4511</v>
      </c>
      <c r="D615" s="2">
        <v>4</v>
      </c>
      <c r="E615" s="3" t="s">
        <v>2944</v>
      </c>
      <c r="F615" s="270"/>
      <c r="L615" s="2"/>
      <c r="P615"/>
      <c r="Q615"/>
      <c r="R615"/>
      <c r="S615"/>
      <c r="T615"/>
    </row>
    <row r="616" spans="1:20" s="14" customFormat="1" x14ac:dyDescent="0.25">
      <c r="A616" s="2" t="s">
        <v>4512</v>
      </c>
      <c r="B616" s="491" t="s">
        <v>4513</v>
      </c>
      <c r="C616" s="2" t="s">
        <v>4511</v>
      </c>
      <c r="D616" s="2"/>
      <c r="E616" s="3" t="s">
        <v>2944</v>
      </c>
      <c r="F616" s="270"/>
      <c r="L616" s="2"/>
      <c r="P616"/>
      <c r="Q616"/>
      <c r="R616"/>
      <c r="S616"/>
      <c r="T616"/>
    </row>
    <row r="617" spans="1:20" s="14" customFormat="1" x14ac:dyDescent="0.25">
      <c r="A617" s="2" t="s">
        <v>4529</v>
      </c>
      <c r="B617" s="491" t="s">
        <v>4530</v>
      </c>
      <c r="C617" s="2" t="s">
        <v>1646</v>
      </c>
      <c r="D617" s="2">
        <v>2</v>
      </c>
      <c r="E617" s="3" t="s">
        <v>1645</v>
      </c>
      <c r="F617" s="270"/>
      <c r="L617" s="2"/>
      <c r="P617"/>
      <c r="Q617"/>
      <c r="R617"/>
      <c r="S617"/>
      <c r="T617"/>
    </row>
    <row r="618" spans="1:20" s="14" customFormat="1" x14ac:dyDescent="0.25">
      <c r="A618" s="2" t="s">
        <v>4531</v>
      </c>
      <c r="B618" s="491" t="s">
        <v>4532</v>
      </c>
      <c r="C618" s="2" t="s">
        <v>1646</v>
      </c>
      <c r="D618" s="2"/>
      <c r="E618" s="3" t="s">
        <v>1645</v>
      </c>
      <c r="F618" s="270"/>
      <c r="L618" s="2"/>
      <c r="P618"/>
      <c r="Q618"/>
      <c r="R618"/>
      <c r="S618"/>
      <c r="T618"/>
    </row>
    <row r="619" spans="1:20" s="14" customFormat="1" x14ac:dyDescent="0.25">
      <c r="A619" s="2" t="s">
        <v>4533</v>
      </c>
      <c r="B619" s="491" t="s">
        <v>4534</v>
      </c>
      <c r="C619" s="2" t="s">
        <v>1646</v>
      </c>
      <c r="D619" s="2"/>
      <c r="E619" s="3" t="s">
        <v>1645</v>
      </c>
      <c r="F619" s="270"/>
      <c r="L619" s="2"/>
      <c r="P619"/>
      <c r="Q619"/>
      <c r="R619"/>
      <c r="S619"/>
      <c r="T619"/>
    </row>
    <row r="620" spans="1:20" s="14" customFormat="1" x14ac:dyDescent="0.25">
      <c r="A620" s="2" t="s">
        <v>4535</v>
      </c>
      <c r="B620" s="491" t="s">
        <v>4536</v>
      </c>
      <c r="C620" s="2" t="s">
        <v>1646</v>
      </c>
      <c r="D620" s="2"/>
      <c r="E620" s="3" t="s">
        <v>1645</v>
      </c>
      <c r="F620" s="270"/>
      <c r="L620" s="2"/>
      <c r="P620"/>
      <c r="Q620"/>
      <c r="R620"/>
      <c r="S620"/>
      <c r="T620"/>
    </row>
    <row r="621" spans="1:20" s="14" customFormat="1" x14ac:dyDescent="0.25">
      <c r="A621" s="2" t="s">
        <v>4537</v>
      </c>
      <c r="B621" s="491" t="s">
        <v>4538</v>
      </c>
      <c r="C621" s="2" t="s">
        <v>1646</v>
      </c>
      <c r="D621" s="2"/>
      <c r="E621" s="3" t="s">
        <v>1645</v>
      </c>
      <c r="F621" s="270"/>
      <c r="L621" s="2"/>
      <c r="P621"/>
      <c r="Q621"/>
      <c r="R621"/>
      <c r="S621"/>
      <c r="T621"/>
    </row>
    <row r="622" spans="1:20" s="14" customFormat="1" x14ac:dyDescent="0.25">
      <c r="A622" s="2" t="s">
        <v>4539</v>
      </c>
      <c r="B622" s="491" t="s">
        <v>4540</v>
      </c>
      <c r="C622" s="2" t="s">
        <v>1646</v>
      </c>
      <c r="D622" s="2"/>
      <c r="E622" s="3" t="s">
        <v>1645</v>
      </c>
      <c r="F622" s="270"/>
      <c r="L622" s="2"/>
      <c r="P622"/>
      <c r="Q622"/>
      <c r="R622"/>
      <c r="S622"/>
      <c r="T622"/>
    </row>
    <row r="623" spans="1:20" s="14" customFormat="1" x14ac:dyDescent="0.25">
      <c r="A623" s="2" t="s">
        <v>4566</v>
      </c>
      <c r="B623" s="491" t="s">
        <v>4567</v>
      </c>
      <c r="C623" s="2" t="s">
        <v>3713</v>
      </c>
      <c r="D623" s="2"/>
      <c r="E623" s="3" t="s">
        <v>3726</v>
      </c>
      <c r="F623" s="270"/>
      <c r="L623" s="2"/>
      <c r="P623"/>
      <c r="Q623"/>
      <c r="R623"/>
      <c r="S623"/>
      <c r="T623"/>
    </row>
    <row r="624" spans="1:20" s="14" customFormat="1" x14ac:dyDescent="0.25">
      <c r="A624" s="2" t="s">
        <v>4634</v>
      </c>
      <c r="B624" s="491" t="s">
        <v>4635</v>
      </c>
      <c r="C624" s="2" t="s">
        <v>4636</v>
      </c>
      <c r="D624" s="2">
        <v>90</v>
      </c>
      <c r="E624" s="3" t="s">
        <v>4629</v>
      </c>
      <c r="F624" s="270"/>
      <c r="L624" s="2"/>
      <c r="P624"/>
      <c r="Q624"/>
      <c r="R624"/>
      <c r="S624"/>
      <c r="T624"/>
    </row>
    <row r="625" spans="1:20" s="14" customFormat="1" x14ac:dyDescent="0.25">
      <c r="A625" s="2" t="s">
        <v>4637</v>
      </c>
      <c r="B625" s="491" t="s">
        <v>4638</v>
      </c>
      <c r="C625" s="2" t="s">
        <v>4636</v>
      </c>
      <c r="D625" s="2">
        <v>500</v>
      </c>
      <c r="E625" s="3" t="s">
        <v>4629</v>
      </c>
      <c r="F625" s="270"/>
      <c r="L625" s="2"/>
      <c r="P625"/>
      <c r="Q625"/>
      <c r="R625"/>
      <c r="S625"/>
      <c r="T625"/>
    </row>
    <row r="626" spans="1:20" s="14" customFormat="1" x14ac:dyDescent="0.25">
      <c r="A626" s="2" t="s">
        <v>4639</v>
      </c>
      <c r="B626" s="491" t="s">
        <v>4640</v>
      </c>
      <c r="C626" s="2" t="s">
        <v>4636</v>
      </c>
      <c r="D626" s="2">
        <v>20</v>
      </c>
      <c r="E626" s="3" t="s">
        <v>4629</v>
      </c>
      <c r="F626" s="270"/>
      <c r="L626" s="2"/>
      <c r="P626"/>
      <c r="Q626"/>
      <c r="R626"/>
      <c r="S626"/>
      <c r="T626"/>
    </row>
    <row r="627" spans="1:20" s="14" customFormat="1" x14ac:dyDescent="0.25">
      <c r="A627" s="2" t="s">
        <v>4641</v>
      </c>
      <c r="B627" s="491" t="s">
        <v>4642</v>
      </c>
      <c r="C627" s="2" t="s">
        <v>4636</v>
      </c>
      <c r="D627" s="2">
        <v>550</v>
      </c>
      <c r="E627" s="3" t="s">
        <v>4629</v>
      </c>
      <c r="F627" s="270"/>
      <c r="L627" s="2"/>
      <c r="P627"/>
      <c r="Q627"/>
      <c r="R627"/>
      <c r="S627"/>
      <c r="T627"/>
    </row>
    <row r="628" spans="1:20" s="14" customFormat="1" x14ac:dyDescent="0.25">
      <c r="A628" s="2" t="s">
        <v>4643</v>
      </c>
      <c r="B628" s="491" t="s">
        <v>4644</v>
      </c>
      <c r="C628" s="2" t="s">
        <v>4636</v>
      </c>
      <c r="D628" s="2">
        <v>10</v>
      </c>
      <c r="E628" s="3" t="s">
        <v>4629</v>
      </c>
      <c r="F628" s="270"/>
      <c r="L628" s="2"/>
      <c r="P628"/>
      <c r="Q628"/>
      <c r="R628"/>
      <c r="S628"/>
      <c r="T628"/>
    </row>
    <row r="629" spans="1:20" s="14" customFormat="1" x14ac:dyDescent="0.25">
      <c r="A629" s="2" t="s">
        <v>4645</v>
      </c>
      <c r="B629" s="491" t="s">
        <v>4646</v>
      </c>
      <c r="C629" s="2" t="s">
        <v>4636</v>
      </c>
      <c r="D629" s="2">
        <v>150</v>
      </c>
      <c r="E629" s="3" t="s">
        <v>4629</v>
      </c>
      <c r="F629" s="270"/>
      <c r="L629" s="2"/>
      <c r="P629"/>
      <c r="Q629"/>
      <c r="R629"/>
      <c r="S629"/>
      <c r="T629"/>
    </row>
    <row r="630" spans="1:20" s="14" customFormat="1" x14ac:dyDescent="0.25">
      <c r="A630" s="2" t="s">
        <v>4647</v>
      </c>
      <c r="B630" s="491" t="s">
        <v>4648</v>
      </c>
      <c r="C630" s="2" t="s">
        <v>4636</v>
      </c>
      <c r="D630" s="2"/>
      <c r="E630" s="3" t="s">
        <v>4629</v>
      </c>
      <c r="F630" s="270"/>
      <c r="L630" s="2"/>
      <c r="P630"/>
      <c r="Q630"/>
      <c r="R630"/>
      <c r="S630"/>
      <c r="T630"/>
    </row>
    <row r="631" spans="1:20" s="14" customFormat="1" x14ac:dyDescent="0.25">
      <c r="A631" s="2" t="s">
        <v>4649</v>
      </c>
      <c r="B631" s="491" t="s">
        <v>4650</v>
      </c>
      <c r="C631" s="2" t="s">
        <v>4636</v>
      </c>
      <c r="D631" s="2"/>
      <c r="E631" s="3" t="s">
        <v>4629</v>
      </c>
      <c r="F631" s="270"/>
      <c r="L631" s="2"/>
      <c r="P631"/>
      <c r="Q631"/>
      <c r="R631"/>
      <c r="S631"/>
      <c r="T631"/>
    </row>
    <row r="632" spans="1:20" s="14" customFormat="1" x14ac:dyDescent="0.25">
      <c r="A632" s="2" t="s">
        <v>4651</v>
      </c>
      <c r="B632" s="491" t="s">
        <v>4652</v>
      </c>
      <c r="C632" s="2" t="s">
        <v>4653</v>
      </c>
      <c r="D632" s="2">
        <v>130</v>
      </c>
      <c r="E632" s="3" t="s">
        <v>4629</v>
      </c>
      <c r="F632" s="270"/>
      <c r="L632" s="2"/>
      <c r="P632"/>
      <c r="Q632"/>
      <c r="R632"/>
      <c r="S632"/>
      <c r="T632"/>
    </row>
    <row r="633" spans="1:20" s="14" customFormat="1" x14ac:dyDescent="0.25">
      <c r="A633" s="2" t="s">
        <v>4654</v>
      </c>
      <c r="B633" s="491" t="s">
        <v>5306</v>
      </c>
      <c r="C633" s="2" t="s">
        <v>4636</v>
      </c>
      <c r="D633" s="2">
        <v>100</v>
      </c>
      <c r="E633" s="3" t="s">
        <v>4629</v>
      </c>
      <c r="F633" s="270"/>
      <c r="L633" s="2"/>
      <c r="P633"/>
      <c r="Q633"/>
      <c r="R633"/>
      <c r="S633"/>
      <c r="T633"/>
    </row>
    <row r="634" spans="1:20" s="14" customFormat="1" x14ac:dyDescent="0.25">
      <c r="A634" s="2" t="s">
        <v>4655</v>
      </c>
      <c r="B634" s="491" t="s">
        <v>4656</v>
      </c>
      <c r="C634" s="2" t="s">
        <v>4636</v>
      </c>
      <c r="D634" s="2">
        <v>80</v>
      </c>
      <c r="E634" s="3" t="s">
        <v>4629</v>
      </c>
      <c r="F634" s="270"/>
      <c r="L634" s="2"/>
      <c r="P634"/>
      <c r="Q634"/>
      <c r="R634"/>
      <c r="S634"/>
      <c r="T634"/>
    </row>
    <row r="635" spans="1:20" s="14" customFormat="1" x14ac:dyDescent="0.25">
      <c r="A635" s="2" t="s">
        <v>4657</v>
      </c>
      <c r="B635" s="491" t="s">
        <v>4658</v>
      </c>
      <c r="C635" s="2" t="s">
        <v>4636</v>
      </c>
      <c r="D635" s="2">
        <v>80</v>
      </c>
      <c r="E635" s="3" t="s">
        <v>4629</v>
      </c>
      <c r="F635" s="270"/>
      <c r="L635" s="2"/>
      <c r="P635"/>
      <c r="Q635"/>
      <c r="R635"/>
      <c r="S635"/>
      <c r="T635"/>
    </row>
    <row r="636" spans="1:20" s="14" customFormat="1" x14ac:dyDescent="0.25">
      <c r="A636" s="2" t="s">
        <v>4659</v>
      </c>
      <c r="B636" s="491" t="s">
        <v>4660</v>
      </c>
      <c r="C636" s="2" t="s">
        <v>4636</v>
      </c>
      <c r="D636" s="2"/>
      <c r="E636" s="3" t="s">
        <v>4629</v>
      </c>
      <c r="F636" s="270"/>
      <c r="L636" s="2"/>
      <c r="P636"/>
      <c r="Q636"/>
      <c r="R636"/>
      <c r="S636"/>
      <c r="T636"/>
    </row>
    <row r="637" spans="1:20" s="14" customFormat="1" x14ac:dyDescent="0.25">
      <c r="A637" s="2" t="s">
        <v>4663</v>
      </c>
      <c r="B637" s="491" t="s">
        <v>5307</v>
      </c>
      <c r="C637" s="2" t="s">
        <v>4636</v>
      </c>
      <c r="D637" s="2">
        <v>40</v>
      </c>
      <c r="E637" s="3" t="s">
        <v>4629</v>
      </c>
      <c r="F637" s="270"/>
      <c r="L637" s="2"/>
      <c r="P637"/>
      <c r="Q637"/>
      <c r="R637"/>
      <c r="S637"/>
      <c r="T637"/>
    </row>
    <row r="638" spans="1:20" s="14" customFormat="1" x14ac:dyDescent="0.25">
      <c r="A638" s="2" t="s">
        <v>4664</v>
      </c>
      <c r="B638" s="491" t="s">
        <v>5016</v>
      </c>
      <c r="C638" s="2" t="s">
        <v>2783</v>
      </c>
      <c r="D638" s="2">
        <v>180</v>
      </c>
      <c r="E638" s="3" t="s">
        <v>4767</v>
      </c>
      <c r="F638" s="270"/>
      <c r="L638" s="2"/>
      <c r="P638"/>
      <c r="Q638"/>
      <c r="R638"/>
      <c r="S638"/>
      <c r="T638"/>
    </row>
    <row r="639" spans="1:20" s="14" customFormat="1" x14ac:dyDescent="0.25">
      <c r="A639" s="2" t="s">
        <v>4665</v>
      </c>
      <c r="B639" s="491" t="s">
        <v>4666</v>
      </c>
      <c r="C639" s="2" t="s">
        <v>4636</v>
      </c>
      <c r="D639" s="2">
        <v>60</v>
      </c>
      <c r="E639" s="3" t="s">
        <v>4629</v>
      </c>
      <c r="F639" s="270"/>
      <c r="L639" s="2"/>
      <c r="P639"/>
      <c r="Q639"/>
      <c r="R639"/>
      <c r="S639"/>
      <c r="T639"/>
    </row>
    <row r="640" spans="1:20" s="14" customFormat="1" x14ac:dyDescent="0.25">
      <c r="A640" s="2" t="s">
        <v>4667</v>
      </c>
      <c r="B640" s="491" t="s">
        <v>5541</v>
      </c>
      <c r="C640" s="2" t="s">
        <v>4668</v>
      </c>
      <c r="D640" s="2">
        <v>144</v>
      </c>
      <c r="E640" s="3" t="s">
        <v>4767</v>
      </c>
      <c r="F640" s="270"/>
      <c r="L640" s="2"/>
      <c r="P640"/>
      <c r="Q640"/>
      <c r="R640"/>
      <c r="S640"/>
      <c r="T640"/>
    </row>
    <row r="641" spans="1:20" s="14" customFormat="1" x14ac:dyDescent="0.25">
      <c r="A641" s="2" t="s">
        <v>4670</v>
      </c>
      <c r="B641" s="491" t="s">
        <v>4671</v>
      </c>
      <c r="C641" s="2" t="s">
        <v>4636</v>
      </c>
      <c r="D641" s="2">
        <v>12</v>
      </c>
      <c r="E641" s="3" t="s">
        <v>4629</v>
      </c>
      <c r="F641" s="270"/>
      <c r="L641" s="2"/>
      <c r="P641"/>
      <c r="Q641"/>
      <c r="R641"/>
      <c r="S641"/>
      <c r="T641"/>
    </row>
    <row r="642" spans="1:20" s="14" customFormat="1" x14ac:dyDescent="0.25">
      <c r="A642" s="2" t="s">
        <v>4672</v>
      </c>
      <c r="B642" s="491" t="s">
        <v>4673</v>
      </c>
      <c r="C642" s="2" t="s">
        <v>4674</v>
      </c>
      <c r="D642" s="2">
        <v>12</v>
      </c>
      <c r="E642" s="3" t="s">
        <v>4629</v>
      </c>
      <c r="F642" s="270"/>
      <c r="L642" s="2"/>
      <c r="P642"/>
      <c r="Q642"/>
      <c r="R642"/>
      <c r="S642"/>
      <c r="T642"/>
    </row>
    <row r="643" spans="1:20" s="14" customFormat="1" x14ac:dyDescent="0.25">
      <c r="A643" s="2" t="s">
        <v>4675</v>
      </c>
      <c r="B643" s="491" t="s">
        <v>4669</v>
      </c>
      <c r="C643" s="2" t="s">
        <v>4636</v>
      </c>
      <c r="D643" s="2"/>
      <c r="E643" s="3" t="s">
        <v>4629</v>
      </c>
      <c r="F643" s="270"/>
      <c r="L643" s="2"/>
      <c r="P643"/>
      <c r="Q643"/>
      <c r="R643"/>
      <c r="S643"/>
      <c r="T643"/>
    </row>
    <row r="644" spans="1:20" s="14" customFormat="1" x14ac:dyDescent="0.25">
      <c r="A644" s="2" t="s">
        <v>4676</v>
      </c>
      <c r="B644" s="491" t="s">
        <v>4677</v>
      </c>
      <c r="C644" s="2" t="s">
        <v>1504</v>
      </c>
      <c r="D644" s="2">
        <v>7.1</v>
      </c>
      <c r="E644" s="3" t="s">
        <v>4221</v>
      </c>
      <c r="F644" s="270"/>
      <c r="L644" s="2"/>
      <c r="P644"/>
      <c r="Q644"/>
      <c r="R644"/>
      <c r="S644"/>
      <c r="T644"/>
    </row>
    <row r="645" spans="1:20" s="14" customFormat="1" x14ac:dyDescent="0.25">
      <c r="A645" s="2" t="s">
        <v>4678</v>
      </c>
      <c r="B645" s="491" t="s">
        <v>4679</v>
      </c>
      <c r="C645" s="2" t="s">
        <v>1504</v>
      </c>
      <c r="D645" s="2" t="s">
        <v>4680</v>
      </c>
      <c r="E645" s="3" t="s">
        <v>4221</v>
      </c>
      <c r="F645" s="270"/>
      <c r="L645" s="2"/>
      <c r="P645"/>
      <c r="Q645"/>
      <c r="R645"/>
      <c r="S645"/>
      <c r="T645"/>
    </row>
    <row r="646" spans="1:20" s="14" customFormat="1" x14ac:dyDescent="0.25">
      <c r="A646" s="2" t="s">
        <v>4694</v>
      </c>
      <c r="B646" s="491" t="s">
        <v>4695</v>
      </c>
      <c r="C646" s="2" t="s">
        <v>1504</v>
      </c>
      <c r="D646" s="2">
        <v>46</v>
      </c>
      <c r="E646" s="3" t="s">
        <v>4410</v>
      </c>
      <c r="F646" s="270"/>
      <c r="L646" s="2"/>
      <c r="P646"/>
      <c r="Q646"/>
      <c r="R646"/>
      <c r="S646"/>
      <c r="T646"/>
    </row>
    <row r="647" spans="1:20" s="14" customFormat="1" x14ac:dyDescent="0.25">
      <c r="A647" s="2" t="s">
        <v>4704</v>
      </c>
      <c r="B647" s="491" t="s">
        <v>4860</v>
      </c>
      <c r="C647" s="2" t="s">
        <v>4705</v>
      </c>
      <c r="D647" s="2"/>
      <c r="E647" s="3" t="s">
        <v>4701</v>
      </c>
      <c r="F647" s="270"/>
      <c r="L647" s="2"/>
      <c r="P647"/>
      <c r="Q647"/>
      <c r="R647"/>
      <c r="S647"/>
      <c r="T647"/>
    </row>
    <row r="648" spans="1:20" s="14" customFormat="1" x14ac:dyDescent="0.25">
      <c r="A648" s="2" t="s">
        <v>4719</v>
      </c>
      <c r="B648" s="491" t="s">
        <v>4797</v>
      </c>
      <c r="C648" s="2" t="s">
        <v>4720</v>
      </c>
      <c r="D648" s="2">
        <v>10</v>
      </c>
      <c r="E648" s="3" t="s">
        <v>1570</v>
      </c>
      <c r="F648" s="270"/>
      <c r="L648" s="2"/>
      <c r="P648"/>
      <c r="Q648"/>
      <c r="R648"/>
      <c r="S648"/>
      <c r="T648"/>
    </row>
    <row r="649" spans="1:20" s="14" customFormat="1" x14ac:dyDescent="0.25">
      <c r="A649" s="2" t="s">
        <v>4721</v>
      </c>
      <c r="B649" s="491" t="s">
        <v>4798</v>
      </c>
      <c r="C649" s="2" t="s">
        <v>4720</v>
      </c>
      <c r="D649" s="2"/>
      <c r="E649" s="3" t="s">
        <v>1570</v>
      </c>
      <c r="F649" s="270"/>
      <c r="L649" s="2"/>
      <c r="P649"/>
      <c r="Q649"/>
      <c r="R649"/>
      <c r="S649"/>
      <c r="T649"/>
    </row>
    <row r="650" spans="1:20" s="14" customFormat="1" x14ac:dyDescent="0.25">
      <c r="A650" s="2" t="s">
        <v>4722</v>
      </c>
      <c r="B650" s="491" t="s">
        <v>4799</v>
      </c>
      <c r="C650" s="2" t="s">
        <v>4720</v>
      </c>
      <c r="D650" s="2"/>
      <c r="E650" s="3" t="s">
        <v>1570</v>
      </c>
      <c r="F650" s="270"/>
      <c r="L650" s="2"/>
      <c r="P650"/>
      <c r="Q650"/>
      <c r="R650"/>
      <c r="S650"/>
      <c r="T650"/>
    </row>
    <row r="651" spans="1:20" s="14" customFormat="1" x14ac:dyDescent="0.25">
      <c r="A651" s="2" t="s">
        <v>4723</v>
      </c>
      <c r="B651" s="491" t="s">
        <v>4724</v>
      </c>
      <c r="C651" s="2" t="s">
        <v>4720</v>
      </c>
      <c r="D651" s="2"/>
      <c r="E651" s="3" t="s">
        <v>1570</v>
      </c>
      <c r="F651" s="270"/>
      <c r="L651" s="2"/>
      <c r="P651"/>
      <c r="Q651"/>
      <c r="R651"/>
      <c r="S651"/>
      <c r="T651"/>
    </row>
    <row r="652" spans="1:20" s="14" customFormat="1" x14ac:dyDescent="0.25">
      <c r="A652" s="2" t="s">
        <v>4769</v>
      </c>
      <c r="B652" s="491" t="s">
        <v>5438</v>
      </c>
      <c r="C652" s="2" t="s">
        <v>4636</v>
      </c>
      <c r="D652" s="2">
        <v>500</v>
      </c>
      <c r="E652" s="3" t="s">
        <v>4767</v>
      </c>
      <c r="F652" s="270"/>
      <c r="L652" s="2"/>
      <c r="P652"/>
      <c r="Q652"/>
      <c r="R652"/>
      <c r="S652"/>
      <c r="T652"/>
    </row>
    <row r="653" spans="1:20" s="14" customFormat="1" x14ac:dyDescent="0.25">
      <c r="A653" s="2" t="s">
        <v>4770</v>
      </c>
      <c r="B653" s="491" t="s">
        <v>5437</v>
      </c>
      <c r="C653" s="2" t="s">
        <v>4636</v>
      </c>
      <c r="D653" s="2">
        <v>530</v>
      </c>
      <c r="E653" s="3" t="s">
        <v>4767</v>
      </c>
      <c r="F653" s="270"/>
      <c r="L653" s="2"/>
      <c r="P653"/>
      <c r="Q653"/>
      <c r="R653"/>
      <c r="S653"/>
      <c r="T653"/>
    </row>
    <row r="654" spans="1:20" s="14" customFormat="1" x14ac:dyDescent="0.25">
      <c r="A654" s="2" t="s">
        <v>4771</v>
      </c>
      <c r="B654" s="491" t="s">
        <v>5434</v>
      </c>
      <c r="C654" s="2" t="s">
        <v>4636</v>
      </c>
      <c r="D654" s="2">
        <v>2020</v>
      </c>
      <c r="E654" s="3" t="s">
        <v>4767</v>
      </c>
      <c r="F654" s="270"/>
      <c r="L654" s="2"/>
      <c r="P654"/>
      <c r="Q654"/>
      <c r="R654"/>
      <c r="S654"/>
      <c r="T654"/>
    </row>
    <row r="655" spans="1:20" s="14" customFormat="1" x14ac:dyDescent="0.25">
      <c r="A655" s="2" t="s">
        <v>4775</v>
      </c>
      <c r="B655" s="491" t="s">
        <v>5435</v>
      </c>
      <c r="C655" s="2" t="s">
        <v>4636</v>
      </c>
      <c r="D655" s="2">
        <v>10</v>
      </c>
      <c r="E655" s="3" t="s">
        <v>4767</v>
      </c>
      <c r="F655" s="270"/>
      <c r="L655" s="2"/>
      <c r="P655"/>
      <c r="Q655"/>
      <c r="R655"/>
      <c r="S655"/>
      <c r="T655"/>
    </row>
    <row r="656" spans="1:20" s="14" customFormat="1" x14ac:dyDescent="0.25">
      <c r="A656" s="2" t="s">
        <v>4776</v>
      </c>
      <c r="B656" s="491" t="s">
        <v>5436</v>
      </c>
      <c r="C656" s="2" t="s">
        <v>4636</v>
      </c>
      <c r="D656" s="2">
        <v>10</v>
      </c>
      <c r="E656" s="3" t="s">
        <v>4767</v>
      </c>
      <c r="F656" s="270"/>
      <c r="L656" s="2"/>
      <c r="P656"/>
      <c r="Q656"/>
      <c r="R656"/>
      <c r="S656"/>
      <c r="T656"/>
    </row>
    <row r="657" spans="1:20" s="14" customFormat="1" x14ac:dyDescent="0.25">
      <c r="A657" s="2" t="s">
        <v>4777</v>
      </c>
      <c r="B657" s="491" t="s">
        <v>4778</v>
      </c>
      <c r="C657" s="2" t="s">
        <v>4636</v>
      </c>
      <c r="D657" s="2">
        <v>117</v>
      </c>
      <c r="E657" s="3" t="s">
        <v>4767</v>
      </c>
      <c r="F657" s="270"/>
      <c r="L657" s="2"/>
      <c r="P657"/>
      <c r="Q657"/>
      <c r="R657"/>
      <c r="S657"/>
      <c r="T657"/>
    </row>
    <row r="658" spans="1:20" s="14" customFormat="1" x14ac:dyDescent="0.25">
      <c r="A658" s="2" t="s">
        <v>4779</v>
      </c>
      <c r="B658" s="491" t="s">
        <v>4780</v>
      </c>
      <c r="C658" s="2" t="s">
        <v>1817</v>
      </c>
      <c r="D658" s="2">
        <v>96</v>
      </c>
      <c r="E658" s="3" t="s">
        <v>4767</v>
      </c>
      <c r="F658" s="270"/>
      <c r="L658" s="2"/>
      <c r="P658"/>
      <c r="Q658"/>
      <c r="R658"/>
      <c r="S658"/>
      <c r="T658"/>
    </row>
    <row r="659" spans="1:20" s="14" customFormat="1" x14ac:dyDescent="0.25">
      <c r="A659" s="2" t="s">
        <v>4781</v>
      </c>
      <c r="B659" s="491" t="s">
        <v>4782</v>
      </c>
      <c r="C659" s="2" t="s">
        <v>4636</v>
      </c>
      <c r="D659" s="2">
        <v>18</v>
      </c>
      <c r="E659" s="3" t="s">
        <v>4767</v>
      </c>
      <c r="F659" s="270"/>
      <c r="L659" s="2"/>
      <c r="P659"/>
      <c r="Q659"/>
      <c r="R659"/>
      <c r="S659"/>
      <c r="T659"/>
    </row>
    <row r="660" spans="1:20" s="14" customFormat="1" x14ac:dyDescent="0.25">
      <c r="A660" s="2" t="s">
        <v>4783</v>
      </c>
      <c r="B660" s="491" t="s">
        <v>4784</v>
      </c>
      <c r="C660" s="2" t="s">
        <v>4636</v>
      </c>
      <c r="D660" s="2">
        <v>6</v>
      </c>
      <c r="E660" s="3" t="s">
        <v>4767</v>
      </c>
      <c r="F660" s="270"/>
      <c r="L660" s="2"/>
      <c r="P660"/>
      <c r="Q660"/>
      <c r="R660"/>
      <c r="S660"/>
      <c r="T660"/>
    </row>
    <row r="661" spans="1:20" s="14" customFormat="1" x14ac:dyDescent="0.25">
      <c r="A661" s="2" t="s">
        <v>4814</v>
      </c>
      <c r="B661" s="491" t="s">
        <v>4828</v>
      </c>
      <c r="C661" s="2" t="s">
        <v>4815</v>
      </c>
      <c r="D661" s="2"/>
      <c r="E661" s="3" t="s">
        <v>1739</v>
      </c>
      <c r="F661" s="270"/>
      <c r="L661" s="2"/>
      <c r="P661"/>
      <c r="Q661"/>
      <c r="R661"/>
      <c r="S661"/>
      <c r="T661"/>
    </row>
    <row r="662" spans="1:20" s="14" customFormat="1" x14ac:dyDescent="0.25">
      <c r="A662" s="2" t="s">
        <v>4816</v>
      </c>
      <c r="B662" s="491" t="s">
        <v>5902</v>
      </c>
      <c r="C662" s="2" t="s">
        <v>4815</v>
      </c>
      <c r="D662" s="2"/>
      <c r="E662" s="3" t="s">
        <v>1739</v>
      </c>
      <c r="F662" s="270"/>
      <c r="L662" s="2"/>
      <c r="P662"/>
      <c r="Q662"/>
      <c r="R662"/>
      <c r="S662"/>
      <c r="T662"/>
    </row>
    <row r="663" spans="1:20" s="14" customFormat="1" x14ac:dyDescent="0.25">
      <c r="A663" s="2" t="s">
        <v>4817</v>
      </c>
      <c r="B663" s="491" t="s">
        <v>4818</v>
      </c>
      <c r="C663" s="2" t="s">
        <v>4815</v>
      </c>
      <c r="D663" s="2"/>
      <c r="E663" s="3" t="s">
        <v>1739</v>
      </c>
      <c r="F663" s="270"/>
      <c r="L663" s="2"/>
      <c r="P663"/>
      <c r="Q663"/>
      <c r="R663"/>
      <c r="S663"/>
      <c r="T663"/>
    </row>
    <row r="664" spans="1:20" s="14" customFormat="1" x14ac:dyDescent="0.25">
      <c r="A664" s="2" t="s">
        <v>4819</v>
      </c>
      <c r="B664" s="491" t="s">
        <v>4820</v>
      </c>
      <c r="C664" s="2" t="s">
        <v>4815</v>
      </c>
      <c r="D664" s="2"/>
      <c r="E664" s="3" t="s">
        <v>1739</v>
      </c>
      <c r="F664" s="270"/>
      <c r="L664" s="2"/>
      <c r="P664"/>
      <c r="Q664"/>
      <c r="R664"/>
      <c r="S664"/>
      <c r="T664"/>
    </row>
    <row r="665" spans="1:20" s="14" customFormat="1" x14ac:dyDescent="0.25">
      <c r="A665" s="2" t="s">
        <v>4821</v>
      </c>
      <c r="B665" s="491" t="s">
        <v>4829</v>
      </c>
      <c r="C665" s="2" t="s">
        <v>4815</v>
      </c>
      <c r="D665" s="2"/>
      <c r="E665" s="3" t="s">
        <v>1739</v>
      </c>
      <c r="F665" s="270"/>
      <c r="L665" s="2"/>
      <c r="P665"/>
      <c r="Q665"/>
      <c r="R665"/>
      <c r="S665"/>
      <c r="T665"/>
    </row>
    <row r="666" spans="1:20" s="14" customFormat="1" x14ac:dyDescent="0.25">
      <c r="A666" s="2" t="s">
        <v>4822</v>
      </c>
      <c r="B666" s="491" t="s">
        <v>4830</v>
      </c>
      <c r="C666" s="2" t="s">
        <v>4815</v>
      </c>
      <c r="D666" s="2"/>
      <c r="E666" s="3" t="s">
        <v>1739</v>
      </c>
      <c r="F666" s="270"/>
      <c r="L666" s="2"/>
      <c r="P666"/>
      <c r="Q666"/>
      <c r="R666"/>
      <c r="S666"/>
      <c r="T666"/>
    </row>
    <row r="667" spans="1:20" s="14" customFormat="1" x14ac:dyDescent="0.25">
      <c r="A667" s="2" t="s">
        <v>4823</v>
      </c>
      <c r="B667" s="491" t="s">
        <v>5903</v>
      </c>
      <c r="C667" s="2" t="s">
        <v>4815</v>
      </c>
      <c r="D667" s="2"/>
      <c r="E667" s="3" t="s">
        <v>1739</v>
      </c>
      <c r="F667" s="270"/>
      <c r="L667" s="2"/>
      <c r="P667"/>
      <c r="Q667"/>
      <c r="R667"/>
      <c r="S667"/>
      <c r="T667"/>
    </row>
    <row r="668" spans="1:20" s="14" customFormat="1" x14ac:dyDescent="0.25">
      <c r="A668" s="2" t="s">
        <v>4824</v>
      </c>
      <c r="B668" s="491" t="s">
        <v>4825</v>
      </c>
      <c r="C668" s="2" t="s">
        <v>4815</v>
      </c>
      <c r="D668" s="2"/>
      <c r="E668" s="3" t="s">
        <v>1739</v>
      </c>
      <c r="F668" s="270"/>
      <c r="L668" s="2"/>
      <c r="P668"/>
      <c r="Q668"/>
      <c r="R668"/>
      <c r="S668"/>
      <c r="T668"/>
    </row>
    <row r="669" spans="1:20" s="14" customFormat="1" x14ac:dyDescent="0.25">
      <c r="A669" s="2" t="s">
        <v>4826</v>
      </c>
      <c r="B669" s="491" t="s">
        <v>4831</v>
      </c>
      <c r="C669" s="2" t="s">
        <v>4815</v>
      </c>
      <c r="D669" s="2"/>
      <c r="E669" s="3" t="s">
        <v>1739</v>
      </c>
      <c r="F669" s="270"/>
      <c r="L669" s="2"/>
      <c r="P669"/>
      <c r="Q669"/>
      <c r="R669"/>
      <c r="S669"/>
      <c r="T669"/>
    </row>
    <row r="670" spans="1:20" s="14" customFormat="1" x14ac:dyDescent="0.25">
      <c r="A670" s="2" t="s">
        <v>4827</v>
      </c>
      <c r="B670" s="491" t="s">
        <v>5904</v>
      </c>
      <c r="C670" s="2" t="s">
        <v>4815</v>
      </c>
      <c r="D670" s="2"/>
      <c r="E670" s="3" t="s">
        <v>1739</v>
      </c>
      <c r="F670" s="270"/>
      <c r="L670" s="2"/>
      <c r="P670"/>
      <c r="Q670"/>
      <c r="R670"/>
      <c r="S670"/>
      <c r="T670"/>
    </row>
    <row r="671" spans="1:20" s="14" customFormat="1" x14ac:dyDescent="0.25">
      <c r="A671" s="2" t="s">
        <v>4856</v>
      </c>
      <c r="B671" s="491" t="s">
        <v>4857</v>
      </c>
      <c r="C671" s="2" t="s">
        <v>2786</v>
      </c>
      <c r="D671" s="2">
        <v>24</v>
      </c>
      <c r="E671" s="3" t="s">
        <v>1561</v>
      </c>
      <c r="F671" s="270"/>
      <c r="L671" s="2"/>
      <c r="P671"/>
      <c r="Q671"/>
      <c r="R671"/>
      <c r="S671"/>
      <c r="T671"/>
    </row>
    <row r="672" spans="1:20" s="14" customFormat="1" x14ac:dyDescent="0.25">
      <c r="A672" s="2" t="s">
        <v>4858</v>
      </c>
      <c r="B672" s="491" t="s">
        <v>4859</v>
      </c>
      <c r="C672" s="2" t="s">
        <v>2786</v>
      </c>
      <c r="D672" s="2"/>
      <c r="E672" s="3" t="s">
        <v>1561</v>
      </c>
      <c r="F672" s="270"/>
      <c r="L672" s="2"/>
      <c r="P672"/>
      <c r="Q672"/>
      <c r="R672"/>
      <c r="S672"/>
      <c r="T672"/>
    </row>
    <row r="673" spans="1:20" s="14" customFormat="1" x14ac:dyDescent="0.25">
      <c r="A673" s="2" t="s">
        <v>4887</v>
      </c>
      <c r="B673" s="491" t="s">
        <v>4888</v>
      </c>
      <c r="C673" s="2" t="s">
        <v>4889</v>
      </c>
      <c r="D673" s="2" t="s">
        <v>4890</v>
      </c>
      <c r="E673" s="3" t="s">
        <v>4883</v>
      </c>
      <c r="F673" s="270"/>
      <c r="L673" s="2"/>
      <c r="P673"/>
      <c r="Q673"/>
      <c r="R673"/>
      <c r="S673"/>
      <c r="T673"/>
    </row>
    <row r="674" spans="1:20" s="14" customFormat="1" x14ac:dyDescent="0.25">
      <c r="A674" s="2" t="s">
        <v>4921</v>
      </c>
      <c r="B674" s="491" t="s">
        <v>4922</v>
      </c>
      <c r="C674" s="2" t="s">
        <v>4889</v>
      </c>
      <c r="D674" s="2"/>
      <c r="E674" s="3" t="s">
        <v>4883</v>
      </c>
      <c r="F674" s="270"/>
      <c r="L674" s="2"/>
      <c r="P674"/>
      <c r="Q674"/>
      <c r="R674"/>
      <c r="S674"/>
      <c r="T674"/>
    </row>
    <row r="675" spans="1:20" s="14" customFormat="1" x14ac:dyDescent="0.25">
      <c r="A675" s="2" t="s">
        <v>4923</v>
      </c>
      <c r="B675" s="491" t="s">
        <v>5439</v>
      </c>
      <c r="C675" s="2" t="s">
        <v>4636</v>
      </c>
      <c r="D675" s="2">
        <v>25</v>
      </c>
      <c r="E675" s="3" t="s">
        <v>4767</v>
      </c>
      <c r="F675" s="270"/>
      <c r="L675" s="2"/>
      <c r="P675"/>
      <c r="Q675"/>
      <c r="R675"/>
      <c r="S675"/>
      <c r="T675"/>
    </row>
    <row r="676" spans="1:20" s="14" customFormat="1" x14ac:dyDescent="0.25">
      <c r="A676" s="2" t="s">
        <v>4924</v>
      </c>
      <c r="B676" s="491" t="s">
        <v>4928</v>
      </c>
      <c r="C676" s="2" t="s">
        <v>4925</v>
      </c>
      <c r="D676" s="2">
        <v>10</v>
      </c>
      <c r="E676" s="3" t="s">
        <v>1626</v>
      </c>
      <c r="F676" s="270"/>
      <c r="L676" s="2"/>
      <c r="P676"/>
      <c r="Q676"/>
      <c r="R676"/>
      <c r="S676"/>
      <c r="T676"/>
    </row>
    <row r="677" spans="1:20" s="14" customFormat="1" x14ac:dyDescent="0.25">
      <c r="A677" s="2" t="s">
        <v>4926</v>
      </c>
      <c r="B677" s="491" t="s">
        <v>4927</v>
      </c>
      <c r="C677" s="2" t="s">
        <v>4925</v>
      </c>
      <c r="D677" s="2"/>
      <c r="E677" s="3" t="s">
        <v>1626</v>
      </c>
      <c r="F677" s="270"/>
      <c r="L677" s="2"/>
      <c r="P677"/>
      <c r="Q677"/>
      <c r="R677"/>
      <c r="S677"/>
      <c r="T677"/>
    </row>
    <row r="678" spans="1:20" s="14" customFormat="1" x14ac:dyDescent="0.25">
      <c r="A678" s="2" t="s">
        <v>4959</v>
      </c>
      <c r="B678" s="491" t="s">
        <v>4960</v>
      </c>
      <c r="C678" s="2" t="s">
        <v>4961</v>
      </c>
      <c r="D678" s="2">
        <v>50</v>
      </c>
      <c r="E678" s="3" t="s">
        <v>1546</v>
      </c>
      <c r="F678" s="270"/>
      <c r="L678" s="2"/>
      <c r="P678"/>
      <c r="Q678"/>
      <c r="R678"/>
      <c r="S678"/>
      <c r="T678"/>
    </row>
    <row r="679" spans="1:20" s="14" customFormat="1" x14ac:dyDescent="0.25">
      <c r="A679" s="2" t="s">
        <v>4975</v>
      </c>
      <c r="B679" s="491" t="s">
        <v>4976</v>
      </c>
      <c r="C679" s="2" t="s">
        <v>3669</v>
      </c>
      <c r="D679" s="2"/>
      <c r="E679" s="3" t="s">
        <v>1546</v>
      </c>
      <c r="F679" s="270"/>
      <c r="L679" s="2"/>
      <c r="P679"/>
      <c r="Q679"/>
      <c r="R679"/>
      <c r="S679"/>
      <c r="T679"/>
    </row>
    <row r="680" spans="1:20" s="14" customFormat="1" x14ac:dyDescent="0.25">
      <c r="A680" s="2" t="s">
        <v>4979</v>
      </c>
      <c r="B680" s="491" t="s">
        <v>5011</v>
      </c>
      <c r="C680" s="2" t="s">
        <v>4980</v>
      </c>
      <c r="D680" s="2">
        <v>4</v>
      </c>
      <c r="E680" s="3" t="s">
        <v>4977</v>
      </c>
      <c r="F680" s="270"/>
      <c r="L680" s="2"/>
      <c r="P680"/>
      <c r="Q680"/>
      <c r="R680"/>
      <c r="S680"/>
      <c r="T680"/>
    </row>
    <row r="681" spans="1:20" s="14" customFormat="1" x14ac:dyDescent="0.25">
      <c r="A681" s="2" t="s">
        <v>4981</v>
      </c>
      <c r="B681" s="491" t="s">
        <v>4982</v>
      </c>
      <c r="C681" s="2" t="s">
        <v>4980</v>
      </c>
      <c r="D681" s="2">
        <v>24</v>
      </c>
      <c r="E681" s="3" t="s">
        <v>4977</v>
      </c>
      <c r="F681" s="270"/>
      <c r="L681" s="2"/>
      <c r="P681"/>
      <c r="Q681"/>
      <c r="R681"/>
      <c r="S681"/>
      <c r="T681"/>
    </row>
    <row r="682" spans="1:20" s="14" customFormat="1" x14ac:dyDescent="0.25">
      <c r="A682" s="2" t="s">
        <v>4983</v>
      </c>
      <c r="B682" s="491" t="s">
        <v>4984</v>
      </c>
      <c r="C682" s="2" t="s">
        <v>4985</v>
      </c>
      <c r="D682" s="2"/>
      <c r="E682" s="3" t="s">
        <v>4977</v>
      </c>
      <c r="F682" s="270"/>
      <c r="L682" s="2"/>
      <c r="P682"/>
      <c r="Q682"/>
      <c r="R682"/>
      <c r="S682"/>
      <c r="T682"/>
    </row>
    <row r="683" spans="1:20" s="14" customFormat="1" x14ac:dyDescent="0.25">
      <c r="A683" s="2" t="s">
        <v>4986</v>
      </c>
      <c r="B683" s="491" t="s">
        <v>4987</v>
      </c>
      <c r="C683" s="2" t="s">
        <v>4980</v>
      </c>
      <c r="D683" s="2">
        <v>48</v>
      </c>
      <c r="E683" s="3" t="s">
        <v>4977</v>
      </c>
      <c r="F683" s="270"/>
      <c r="L683" s="2"/>
      <c r="P683"/>
      <c r="Q683"/>
      <c r="R683"/>
      <c r="S683"/>
      <c r="T683"/>
    </row>
    <row r="684" spans="1:20" s="14" customFormat="1" x14ac:dyDescent="0.25">
      <c r="A684" s="2" t="s">
        <v>4988</v>
      </c>
      <c r="B684" s="491" t="s">
        <v>4989</v>
      </c>
      <c r="C684" s="2" t="s">
        <v>4990</v>
      </c>
      <c r="D684" s="2">
        <v>60</v>
      </c>
      <c r="E684" s="3" t="s">
        <v>4977</v>
      </c>
      <c r="F684" s="270"/>
      <c r="L684" s="2"/>
      <c r="P684"/>
      <c r="Q684"/>
      <c r="R684"/>
      <c r="S684"/>
      <c r="T684"/>
    </row>
    <row r="685" spans="1:20" s="14" customFormat="1" x14ac:dyDescent="0.25">
      <c r="A685" s="2" t="s">
        <v>4991</v>
      </c>
      <c r="B685" s="491" t="s">
        <v>5012</v>
      </c>
      <c r="C685" s="2" t="s">
        <v>4980</v>
      </c>
      <c r="D685" s="2">
        <v>144</v>
      </c>
      <c r="E685" s="3" t="s">
        <v>4977</v>
      </c>
      <c r="F685" s="270"/>
      <c r="L685" s="2"/>
      <c r="P685"/>
      <c r="Q685"/>
      <c r="R685"/>
      <c r="S685"/>
      <c r="T685"/>
    </row>
    <row r="686" spans="1:20" s="14" customFormat="1" x14ac:dyDescent="0.25">
      <c r="A686" s="2" t="s">
        <v>4992</v>
      </c>
      <c r="B686" s="491" t="s">
        <v>4993</v>
      </c>
      <c r="C686" s="2" t="s">
        <v>4980</v>
      </c>
      <c r="D686" s="2">
        <v>96</v>
      </c>
      <c r="E686" s="3" t="s">
        <v>4977</v>
      </c>
      <c r="F686" s="270"/>
      <c r="L686" s="2"/>
      <c r="P686"/>
      <c r="Q686"/>
      <c r="R686"/>
      <c r="S686"/>
      <c r="T686"/>
    </row>
    <row r="687" spans="1:20" s="14" customFormat="1" x14ac:dyDescent="0.25">
      <c r="A687" s="2" t="s">
        <v>4994</v>
      </c>
      <c r="B687" s="491" t="s">
        <v>4995</v>
      </c>
      <c r="C687" s="2" t="s">
        <v>4980</v>
      </c>
      <c r="D687" s="2"/>
      <c r="E687" s="3" t="s">
        <v>4977</v>
      </c>
      <c r="F687" s="270"/>
      <c r="L687" s="2"/>
      <c r="P687"/>
      <c r="Q687"/>
      <c r="R687"/>
      <c r="S687"/>
      <c r="T687"/>
    </row>
    <row r="688" spans="1:20" s="14" customFormat="1" x14ac:dyDescent="0.25">
      <c r="A688" s="2" t="s">
        <v>4996</v>
      </c>
      <c r="B688" s="491" t="s">
        <v>4997</v>
      </c>
      <c r="C688" s="2" t="s">
        <v>4980</v>
      </c>
      <c r="D688" s="2">
        <v>48</v>
      </c>
      <c r="E688" s="3" t="s">
        <v>4977</v>
      </c>
      <c r="F688" s="270"/>
      <c r="L688" s="2"/>
      <c r="P688"/>
      <c r="Q688"/>
      <c r="R688"/>
      <c r="S688"/>
      <c r="T688"/>
    </row>
    <row r="689" spans="1:20" s="14" customFormat="1" x14ac:dyDescent="0.25">
      <c r="A689" s="2" t="s">
        <v>4998</v>
      </c>
      <c r="B689" s="491" t="s">
        <v>4999</v>
      </c>
      <c r="C689" s="2" t="s">
        <v>4980</v>
      </c>
      <c r="D689" s="2"/>
      <c r="E689" s="3" t="s">
        <v>4977</v>
      </c>
      <c r="F689" s="270"/>
      <c r="L689" s="2"/>
      <c r="P689"/>
      <c r="Q689"/>
      <c r="R689"/>
      <c r="S689"/>
      <c r="T689"/>
    </row>
    <row r="690" spans="1:20" s="14" customFormat="1" x14ac:dyDescent="0.25">
      <c r="A690" s="2" t="s">
        <v>5000</v>
      </c>
      <c r="B690" s="491" t="s">
        <v>5341</v>
      </c>
      <c r="C690" s="2" t="s">
        <v>4980</v>
      </c>
      <c r="D690" s="2">
        <v>36</v>
      </c>
      <c r="E690" s="3" t="s">
        <v>4977</v>
      </c>
      <c r="F690" s="270"/>
      <c r="L690" s="2"/>
      <c r="P690"/>
      <c r="Q690"/>
      <c r="R690"/>
      <c r="S690"/>
      <c r="T690"/>
    </row>
    <row r="691" spans="1:20" s="14" customFormat="1" x14ac:dyDescent="0.25">
      <c r="A691" s="2" t="s">
        <v>5001</v>
      </c>
      <c r="B691" s="491" t="s">
        <v>5002</v>
      </c>
      <c r="C691" s="2" t="s">
        <v>4980</v>
      </c>
      <c r="D691" s="2"/>
      <c r="E691" s="3" t="s">
        <v>4977</v>
      </c>
      <c r="F691" s="270"/>
      <c r="L691" s="2"/>
      <c r="P691"/>
      <c r="Q691"/>
      <c r="R691"/>
      <c r="S691"/>
      <c r="T691"/>
    </row>
    <row r="692" spans="1:20" s="14" customFormat="1" x14ac:dyDescent="0.25">
      <c r="A692" s="2" t="s">
        <v>5003</v>
      </c>
      <c r="B692" s="491" t="s">
        <v>5004</v>
      </c>
      <c r="C692" s="2" t="s">
        <v>4980</v>
      </c>
      <c r="D692" s="2"/>
      <c r="E692" s="3" t="s">
        <v>4977</v>
      </c>
      <c r="F692" s="270"/>
      <c r="L692" s="2"/>
      <c r="P692"/>
      <c r="Q692"/>
      <c r="R692"/>
      <c r="S692"/>
      <c r="T692"/>
    </row>
    <row r="693" spans="1:20" s="14" customFormat="1" x14ac:dyDescent="0.25">
      <c r="A693" s="2" t="s">
        <v>5005</v>
      </c>
      <c r="B693" s="491" t="s">
        <v>5006</v>
      </c>
      <c r="C693" s="2" t="s">
        <v>4980</v>
      </c>
      <c r="D693" s="2">
        <v>12</v>
      </c>
      <c r="E693" s="3" t="s">
        <v>4977</v>
      </c>
      <c r="F693" s="270"/>
      <c r="L693" s="2"/>
      <c r="P693"/>
      <c r="Q693"/>
      <c r="R693"/>
      <c r="S693"/>
      <c r="T693"/>
    </row>
    <row r="694" spans="1:20" s="14" customFormat="1" x14ac:dyDescent="0.25">
      <c r="A694" s="2" t="s">
        <v>5007</v>
      </c>
      <c r="B694" s="491" t="s">
        <v>5008</v>
      </c>
      <c r="C694" s="2" t="s">
        <v>4980</v>
      </c>
      <c r="D694" s="2">
        <v>144</v>
      </c>
      <c r="E694" s="3" t="s">
        <v>4977</v>
      </c>
      <c r="F694" s="270"/>
      <c r="L694" s="2"/>
      <c r="P694"/>
      <c r="Q694"/>
      <c r="R694"/>
      <c r="S694"/>
      <c r="T694"/>
    </row>
    <row r="695" spans="1:20" s="14" customFormat="1" x14ac:dyDescent="0.25">
      <c r="A695" s="2" t="s">
        <v>5009</v>
      </c>
      <c r="B695" s="491" t="s">
        <v>5010</v>
      </c>
      <c r="C695" s="2" t="s">
        <v>4980</v>
      </c>
      <c r="D695" s="2">
        <v>12</v>
      </c>
      <c r="E695" s="3" t="s">
        <v>4977</v>
      </c>
      <c r="F695" s="270"/>
      <c r="L695" s="2"/>
      <c r="P695"/>
      <c r="Q695"/>
      <c r="R695"/>
      <c r="S695"/>
      <c r="T695"/>
    </row>
    <row r="696" spans="1:20" s="14" customFormat="1" x14ac:dyDescent="0.25">
      <c r="A696" s="2" t="s">
        <v>5013</v>
      </c>
      <c r="B696" s="491" t="s">
        <v>5014</v>
      </c>
      <c r="C696" s="2" t="s">
        <v>4980</v>
      </c>
      <c r="D696" s="2"/>
      <c r="E696" s="3" t="s">
        <v>4977</v>
      </c>
      <c r="F696" s="270"/>
      <c r="L696" s="2"/>
      <c r="P696"/>
      <c r="Q696"/>
      <c r="R696"/>
      <c r="S696"/>
      <c r="T696"/>
    </row>
    <row r="697" spans="1:20" s="14" customFormat="1" x14ac:dyDescent="0.25">
      <c r="A697" s="2" t="s">
        <v>5015</v>
      </c>
      <c r="B697" s="491" t="s">
        <v>4984</v>
      </c>
      <c r="C697" s="2" t="s">
        <v>4980</v>
      </c>
      <c r="D697" s="2"/>
      <c r="E697" s="3" t="s">
        <v>4977</v>
      </c>
      <c r="F697" s="270"/>
      <c r="L697" s="2"/>
      <c r="P697"/>
      <c r="Q697"/>
      <c r="R697"/>
      <c r="S697"/>
      <c r="T697"/>
    </row>
    <row r="698" spans="1:20" s="14" customFormat="1" x14ac:dyDescent="0.25">
      <c r="A698" s="2" t="s">
        <v>5017</v>
      </c>
      <c r="B698" s="491" t="s">
        <v>5021</v>
      </c>
      <c r="C698" s="2" t="s">
        <v>5018</v>
      </c>
      <c r="D698" s="2"/>
      <c r="E698" s="3" t="s">
        <v>1576</v>
      </c>
      <c r="F698" s="270"/>
      <c r="L698" s="2"/>
      <c r="P698"/>
      <c r="Q698"/>
      <c r="R698"/>
      <c r="S698"/>
      <c r="T698"/>
    </row>
    <row r="699" spans="1:20" s="14" customFormat="1" x14ac:dyDescent="0.25">
      <c r="A699" s="2" t="s">
        <v>5019</v>
      </c>
      <c r="B699" s="491" t="s">
        <v>5020</v>
      </c>
      <c r="C699" s="2" t="s">
        <v>5018</v>
      </c>
      <c r="D699" s="2"/>
      <c r="E699" s="3" t="s">
        <v>1576</v>
      </c>
      <c r="F699" s="270"/>
      <c r="L699" s="2"/>
      <c r="P699"/>
      <c r="Q699"/>
      <c r="R699"/>
      <c r="S699"/>
      <c r="T699"/>
    </row>
    <row r="700" spans="1:20" s="14" customFormat="1" x14ac:dyDescent="0.25">
      <c r="A700" s="2" t="s">
        <v>5025</v>
      </c>
      <c r="B700" s="491" t="s">
        <v>5049</v>
      </c>
      <c r="C700" s="2" t="s">
        <v>5026</v>
      </c>
      <c r="D700" s="2"/>
      <c r="E700" s="3" t="s">
        <v>5022</v>
      </c>
      <c r="F700" s="270"/>
      <c r="L700" s="2"/>
      <c r="P700"/>
      <c r="Q700"/>
      <c r="R700"/>
      <c r="S700"/>
      <c r="T700"/>
    </row>
    <row r="701" spans="1:20" s="14" customFormat="1" x14ac:dyDescent="0.25">
      <c r="A701" s="2" t="s">
        <v>5027</v>
      </c>
      <c r="B701" s="491" t="s">
        <v>5028</v>
      </c>
      <c r="C701" s="2" t="s">
        <v>5029</v>
      </c>
      <c r="D701" s="2"/>
      <c r="E701" s="3" t="s">
        <v>5022</v>
      </c>
      <c r="F701" s="270"/>
      <c r="L701" s="2"/>
      <c r="P701"/>
      <c r="Q701"/>
      <c r="R701"/>
      <c r="S701"/>
      <c r="T701"/>
    </row>
    <row r="702" spans="1:20" s="14" customFormat="1" x14ac:dyDescent="0.25">
      <c r="A702" s="2" t="s">
        <v>5030</v>
      </c>
      <c r="B702" s="491" t="s">
        <v>5031</v>
      </c>
      <c r="C702" s="2" t="s">
        <v>5026</v>
      </c>
      <c r="D702" s="2"/>
      <c r="E702" s="3" t="s">
        <v>5022</v>
      </c>
      <c r="F702" s="270"/>
      <c r="L702" s="2"/>
      <c r="P702"/>
      <c r="Q702"/>
      <c r="R702"/>
      <c r="S702"/>
      <c r="T702"/>
    </row>
    <row r="703" spans="1:20" s="14" customFormat="1" x14ac:dyDescent="0.25">
      <c r="A703" s="2" t="s">
        <v>5032</v>
      </c>
      <c r="B703" s="491" t="s">
        <v>5033</v>
      </c>
      <c r="C703" s="2" t="s">
        <v>5026</v>
      </c>
      <c r="D703" s="2"/>
      <c r="E703" s="3" t="s">
        <v>5022</v>
      </c>
      <c r="F703" s="270"/>
      <c r="L703" s="2"/>
      <c r="P703"/>
      <c r="Q703"/>
      <c r="R703"/>
      <c r="S703"/>
      <c r="T703"/>
    </row>
    <row r="704" spans="1:20" s="14" customFormat="1" x14ac:dyDescent="0.25">
      <c r="A704" s="2" t="s">
        <v>5034</v>
      </c>
      <c r="B704" s="491" t="s">
        <v>5035</v>
      </c>
      <c r="C704" s="2" t="s">
        <v>5026</v>
      </c>
      <c r="D704" s="2"/>
      <c r="E704" s="3" t="s">
        <v>5022</v>
      </c>
      <c r="F704" s="270"/>
      <c r="L704" s="2"/>
      <c r="P704"/>
      <c r="Q704"/>
      <c r="R704"/>
      <c r="S704"/>
      <c r="T704"/>
    </row>
    <row r="705" spans="1:20" s="14" customFormat="1" x14ac:dyDescent="0.25">
      <c r="A705" s="2" t="s">
        <v>5036</v>
      </c>
      <c r="B705" s="491" t="s">
        <v>5037</v>
      </c>
      <c r="C705" s="2" t="s">
        <v>5026</v>
      </c>
      <c r="D705" s="2"/>
      <c r="E705" s="3" t="s">
        <v>5022</v>
      </c>
      <c r="F705" s="270"/>
      <c r="L705" s="2"/>
      <c r="P705"/>
      <c r="Q705"/>
      <c r="R705"/>
      <c r="S705"/>
      <c r="T705"/>
    </row>
    <row r="706" spans="1:20" s="14" customFormat="1" x14ac:dyDescent="0.25">
      <c r="A706" s="2" t="s">
        <v>5038</v>
      </c>
      <c r="B706" s="491" t="s">
        <v>5039</v>
      </c>
      <c r="C706" s="2" t="s">
        <v>5026</v>
      </c>
      <c r="D706" s="2"/>
      <c r="E706" s="3" t="s">
        <v>5022</v>
      </c>
      <c r="F706" s="270"/>
      <c r="L706" s="2"/>
      <c r="P706"/>
      <c r="Q706"/>
      <c r="R706"/>
      <c r="S706"/>
      <c r="T706"/>
    </row>
    <row r="707" spans="1:20" s="14" customFormat="1" x14ac:dyDescent="0.25">
      <c r="A707" s="2" t="s">
        <v>5040</v>
      </c>
      <c r="B707" s="491" t="s">
        <v>5041</v>
      </c>
      <c r="C707" s="2" t="s">
        <v>5026</v>
      </c>
      <c r="D707" s="2"/>
      <c r="E707" s="3" t="s">
        <v>5022</v>
      </c>
      <c r="F707" s="270"/>
      <c r="L707" s="2"/>
      <c r="P707"/>
      <c r="Q707"/>
      <c r="R707"/>
      <c r="S707"/>
      <c r="T707"/>
    </row>
    <row r="708" spans="1:20" s="14" customFormat="1" x14ac:dyDescent="0.25">
      <c r="A708" s="2" t="s">
        <v>5042</v>
      </c>
      <c r="B708" s="491" t="s">
        <v>5043</v>
      </c>
      <c r="C708" s="2" t="s">
        <v>5044</v>
      </c>
      <c r="D708" s="2"/>
      <c r="E708" s="3" t="s">
        <v>5022</v>
      </c>
      <c r="F708" s="270"/>
      <c r="L708" s="2"/>
      <c r="P708"/>
      <c r="Q708"/>
      <c r="R708"/>
      <c r="S708"/>
      <c r="T708"/>
    </row>
    <row r="709" spans="1:20" s="14" customFormat="1" x14ac:dyDescent="0.25">
      <c r="A709" s="2" t="s">
        <v>5045</v>
      </c>
      <c r="B709" s="491" t="s">
        <v>5046</v>
      </c>
      <c r="C709" s="2" t="s">
        <v>5026</v>
      </c>
      <c r="D709" s="2"/>
      <c r="E709" s="3" t="s">
        <v>5022</v>
      </c>
      <c r="F709" s="270"/>
      <c r="L709" s="2"/>
      <c r="P709"/>
      <c r="Q709"/>
      <c r="R709"/>
      <c r="S709"/>
      <c r="T709"/>
    </row>
    <row r="710" spans="1:20" s="14" customFormat="1" x14ac:dyDescent="0.25">
      <c r="A710" s="2" t="s">
        <v>5047</v>
      </c>
      <c r="B710" s="491" t="s">
        <v>5048</v>
      </c>
      <c r="C710" s="2" t="s">
        <v>5026</v>
      </c>
      <c r="D710" s="2"/>
      <c r="E710" s="3" t="s">
        <v>5022</v>
      </c>
      <c r="F710" s="270"/>
      <c r="L710" s="2"/>
      <c r="P710"/>
      <c r="Q710"/>
      <c r="R710"/>
      <c r="S710"/>
      <c r="T710"/>
    </row>
    <row r="711" spans="1:20" s="14" customFormat="1" x14ac:dyDescent="0.25">
      <c r="A711" s="2" t="s">
        <v>5051</v>
      </c>
      <c r="B711" s="491" t="s">
        <v>5052</v>
      </c>
      <c r="C711" s="2" t="s">
        <v>5053</v>
      </c>
      <c r="D711" s="2"/>
      <c r="E711" s="3" t="s">
        <v>1576</v>
      </c>
      <c r="F711" s="270"/>
      <c r="L711" s="2"/>
      <c r="P711"/>
      <c r="Q711"/>
      <c r="R711"/>
      <c r="S711"/>
      <c r="T711"/>
    </row>
    <row r="712" spans="1:20" s="14" customFormat="1" x14ac:dyDescent="0.25">
      <c r="A712" s="2" t="s">
        <v>5054</v>
      </c>
      <c r="B712" s="491" t="s">
        <v>5055</v>
      </c>
      <c r="C712" s="2" t="s">
        <v>4461</v>
      </c>
      <c r="D712" s="2"/>
      <c r="E712" s="3" t="s">
        <v>1576</v>
      </c>
      <c r="F712" s="270"/>
      <c r="L712" s="2"/>
      <c r="P712"/>
      <c r="Q712"/>
      <c r="R712"/>
      <c r="S712"/>
      <c r="T712"/>
    </row>
    <row r="713" spans="1:20" s="14" customFormat="1" x14ac:dyDescent="0.25">
      <c r="A713" s="2" t="s">
        <v>5070</v>
      </c>
      <c r="B713" s="491" t="s">
        <v>5071</v>
      </c>
      <c r="C713" s="2" t="s">
        <v>4705</v>
      </c>
      <c r="D713" s="2"/>
      <c r="E713" s="3" t="s">
        <v>4774</v>
      </c>
      <c r="F713" s="270"/>
      <c r="L713" s="2"/>
      <c r="P713"/>
      <c r="Q713"/>
      <c r="R713"/>
      <c r="S713"/>
      <c r="T713"/>
    </row>
    <row r="714" spans="1:20" s="14" customFormat="1" x14ac:dyDescent="0.25">
      <c r="A714" s="2" t="s">
        <v>5081</v>
      </c>
      <c r="B714" s="491" t="s">
        <v>5242</v>
      </c>
      <c r="C714" s="2" t="s">
        <v>4570</v>
      </c>
      <c r="D714" s="2">
        <v>40</v>
      </c>
      <c r="E714" s="3" t="s">
        <v>1563</v>
      </c>
      <c r="F714" s="270"/>
      <c r="L714" s="2"/>
      <c r="P714"/>
      <c r="Q714"/>
      <c r="R714"/>
      <c r="S714"/>
      <c r="T714"/>
    </row>
    <row r="715" spans="1:20" s="14" customFormat="1" x14ac:dyDescent="0.25">
      <c r="A715" s="2" t="s">
        <v>5101</v>
      </c>
      <c r="B715" s="491" t="s">
        <v>5102</v>
      </c>
      <c r="C715" s="2" t="s">
        <v>5103</v>
      </c>
      <c r="D715" s="2">
        <v>96</v>
      </c>
      <c r="E715" s="3" t="s">
        <v>5104</v>
      </c>
      <c r="F715" s="270"/>
      <c r="L715" s="2"/>
      <c r="P715"/>
      <c r="Q715"/>
      <c r="R715"/>
      <c r="S715"/>
      <c r="T715"/>
    </row>
    <row r="716" spans="1:20" s="14" customFormat="1" x14ac:dyDescent="0.25">
      <c r="A716" s="2" t="s">
        <v>5114</v>
      </c>
      <c r="B716" s="491" t="s">
        <v>5115</v>
      </c>
      <c r="C716" s="2" t="s">
        <v>5116</v>
      </c>
      <c r="D716" s="2">
        <v>40</v>
      </c>
      <c r="E716" s="3" t="s">
        <v>1576</v>
      </c>
      <c r="F716" s="270"/>
      <c r="L716" s="2"/>
      <c r="P716"/>
      <c r="Q716"/>
      <c r="R716"/>
      <c r="S716"/>
      <c r="T716"/>
    </row>
    <row r="717" spans="1:20" s="14" customFormat="1" x14ac:dyDescent="0.25">
      <c r="A717" s="2" t="s">
        <v>5117</v>
      </c>
      <c r="B717" s="491" t="s">
        <v>5118</v>
      </c>
      <c r="C717" s="2" t="s">
        <v>5116</v>
      </c>
      <c r="D717" s="2">
        <v>40</v>
      </c>
      <c r="E717" s="3" t="s">
        <v>1576</v>
      </c>
      <c r="F717" s="270"/>
      <c r="L717" s="2"/>
      <c r="P717"/>
      <c r="Q717"/>
      <c r="R717"/>
      <c r="S717"/>
      <c r="T717"/>
    </row>
    <row r="718" spans="1:20" s="14" customFormat="1" x14ac:dyDescent="0.25">
      <c r="A718" s="2" t="s">
        <v>5131</v>
      </c>
      <c r="B718" s="491" t="s">
        <v>5132</v>
      </c>
      <c r="C718" s="2" t="s">
        <v>5116</v>
      </c>
      <c r="D718" s="2"/>
      <c r="E718" s="3" t="s">
        <v>1576</v>
      </c>
      <c r="F718" s="270"/>
      <c r="L718" s="2"/>
      <c r="P718"/>
      <c r="Q718"/>
      <c r="R718"/>
      <c r="S718"/>
      <c r="T718"/>
    </row>
    <row r="719" spans="1:20" s="14" customFormat="1" x14ac:dyDescent="0.25">
      <c r="A719" s="2" t="s">
        <v>5133</v>
      </c>
      <c r="B719" s="491" t="s">
        <v>5134</v>
      </c>
      <c r="C719" s="2" t="s">
        <v>5116</v>
      </c>
      <c r="D719" s="2">
        <v>20</v>
      </c>
      <c r="E719" s="3" t="s">
        <v>1576</v>
      </c>
      <c r="F719" s="270"/>
      <c r="L719" s="2"/>
      <c r="P719"/>
      <c r="Q719"/>
      <c r="R719"/>
      <c r="S719"/>
      <c r="T719"/>
    </row>
    <row r="720" spans="1:20" s="14" customFormat="1" x14ac:dyDescent="0.25">
      <c r="A720" s="2" t="s">
        <v>5136</v>
      </c>
      <c r="B720" s="491" t="s">
        <v>5137</v>
      </c>
      <c r="C720" s="2" t="s">
        <v>409</v>
      </c>
      <c r="D720" s="2"/>
      <c r="E720" s="3" t="s">
        <v>1561</v>
      </c>
      <c r="F720" s="270"/>
      <c r="L720" s="2"/>
      <c r="P720"/>
      <c r="Q720"/>
      <c r="R720"/>
      <c r="S720"/>
      <c r="T720"/>
    </row>
    <row r="721" spans="1:20" s="14" customFormat="1" x14ac:dyDescent="0.25">
      <c r="A721" s="2" t="s">
        <v>5144</v>
      </c>
      <c r="B721" s="491" t="s">
        <v>5145</v>
      </c>
      <c r="C721" s="2" t="s">
        <v>5146</v>
      </c>
      <c r="D721" s="2">
        <v>2</v>
      </c>
      <c r="E721" s="3" t="s">
        <v>5138</v>
      </c>
      <c r="F721" s="270"/>
      <c r="L721" s="2"/>
      <c r="P721"/>
      <c r="Q721"/>
      <c r="R721"/>
      <c r="S721"/>
      <c r="T721"/>
    </row>
    <row r="722" spans="1:20" s="14" customFormat="1" x14ac:dyDescent="0.25">
      <c r="A722" s="2" t="s">
        <v>5159</v>
      </c>
      <c r="B722" s="491" t="s">
        <v>5160</v>
      </c>
      <c r="C722" s="2" t="s">
        <v>3669</v>
      </c>
      <c r="D722" s="2">
        <v>12</v>
      </c>
      <c r="E722" s="3" t="s">
        <v>1546</v>
      </c>
      <c r="F722" s="270"/>
      <c r="L722" s="2"/>
      <c r="P722"/>
      <c r="Q722"/>
      <c r="R722"/>
      <c r="S722"/>
      <c r="T722"/>
    </row>
    <row r="723" spans="1:20" s="14" customFormat="1" x14ac:dyDescent="0.25">
      <c r="A723" s="2" t="s">
        <v>5175</v>
      </c>
      <c r="B723" s="491" t="s">
        <v>5176</v>
      </c>
      <c r="C723" s="2" t="s">
        <v>5177</v>
      </c>
      <c r="D723" s="2">
        <v>541</v>
      </c>
      <c r="E723" s="3" t="s">
        <v>4934</v>
      </c>
      <c r="F723" s="270"/>
      <c r="L723" s="2"/>
      <c r="P723"/>
      <c r="Q723"/>
      <c r="R723"/>
      <c r="S723"/>
      <c r="T723"/>
    </row>
    <row r="724" spans="1:20" s="14" customFormat="1" x14ac:dyDescent="0.25">
      <c r="A724" s="2" t="s">
        <v>5201</v>
      </c>
      <c r="B724" s="491" t="s">
        <v>5202</v>
      </c>
      <c r="C724" s="2" t="s">
        <v>1539</v>
      </c>
      <c r="D724" s="2">
        <v>1</v>
      </c>
      <c r="E724" s="3" t="s">
        <v>1524</v>
      </c>
      <c r="F724" s="270"/>
      <c r="L724" s="2"/>
      <c r="P724"/>
      <c r="Q724"/>
      <c r="R724"/>
      <c r="S724"/>
      <c r="T724"/>
    </row>
    <row r="725" spans="1:20" s="14" customFormat="1" x14ac:dyDescent="0.25">
      <c r="A725" s="2" t="s">
        <v>5213</v>
      </c>
      <c r="B725" s="491" t="s">
        <v>5869</v>
      </c>
      <c r="C725" s="2" t="s">
        <v>5214</v>
      </c>
      <c r="D725" s="2">
        <v>24</v>
      </c>
      <c r="E725" s="3" t="s">
        <v>5170</v>
      </c>
      <c r="F725" s="270"/>
      <c r="L725" s="2"/>
      <c r="P725"/>
      <c r="Q725"/>
      <c r="R725"/>
      <c r="S725"/>
      <c r="T725"/>
    </row>
    <row r="726" spans="1:20" s="14" customFormat="1" x14ac:dyDescent="0.25">
      <c r="A726" s="2" t="s">
        <v>5215</v>
      </c>
      <c r="B726" s="491" t="s">
        <v>5216</v>
      </c>
      <c r="C726" s="2" t="s">
        <v>5214</v>
      </c>
      <c r="D726" s="2">
        <v>24</v>
      </c>
      <c r="E726" s="3" t="s">
        <v>5170</v>
      </c>
      <c r="F726" s="270"/>
      <c r="L726" s="2"/>
      <c r="P726"/>
      <c r="Q726"/>
      <c r="R726"/>
      <c r="S726"/>
      <c r="T726"/>
    </row>
    <row r="727" spans="1:20" s="14" customFormat="1" x14ac:dyDescent="0.25">
      <c r="A727" s="2" t="s">
        <v>5217</v>
      </c>
      <c r="B727" s="491" t="s">
        <v>5218</v>
      </c>
      <c r="C727" s="2" t="s">
        <v>5214</v>
      </c>
      <c r="D727" s="2">
        <v>48</v>
      </c>
      <c r="E727" s="3" t="s">
        <v>5170</v>
      </c>
      <c r="F727" s="270"/>
      <c r="L727" s="2"/>
      <c r="P727"/>
      <c r="Q727"/>
      <c r="R727"/>
      <c r="S727"/>
      <c r="T727"/>
    </row>
    <row r="728" spans="1:20" s="14" customFormat="1" x14ac:dyDescent="0.25">
      <c r="A728" s="2" t="s">
        <v>5219</v>
      </c>
      <c r="B728" s="491" t="s">
        <v>5870</v>
      </c>
      <c r="C728" s="2" t="s">
        <v>5214</v>
      </c>
      <c r="D728" s="2">
        <v>60</v>
      </c>
      <c r="E728" s="3" t="s">
        <v>5170</v>
      </c>
      <c r="F728" s="270"/>
      <c r="L728" s="2"/>
      <c r="P728"/>
      <c r="Q728"/>
      <c r="R728"/>
      <c r="S728"/>
      <c r="T728"/>
    </row>
    <row r="729" spans="1:20" s="14" customFormat="1" x14ac:dyDescent="0.25">
      <c r="A729" s="2" t="s">
        <v>5220</v>
      </c>
      <c r="B729" s="491" t="s">
        <v>5871</v>
      </c>
      <c r="C729" s="2" t="s">
        <v>5214</v>
      </c>
      <c r="D729" s="2">
        <v>60</v>
      </c>
      <c r="E729" s="3" t="s">
        <v>5170</v>
      </c>
      <c r="F729" s="270"/>
      <c r="L729" s="2"/>
      <c r="P729"/>
      <c r="Q729"/>
      <c r="R729"/>
      <c r="S729"/>
      <c r="T729"/>
    </row>
    <row r="730" spans="1:20" s="14" customFormat="1" x14ac:dyDescent="0.25">
      <c r="A730" s="2" t="s">
        <v>5238</v>
      </c>
      <c r="B730" s="491" t="s">
        <v>5239</v>
      </c>
      <c r="C730" s="2" t="s">
        <v>4705</v>
      </c>
      <c r="D730" s="2" t="s">
        <v>5240</v>
      </c>
      <c r="E730" s="3" t="s">
        <v>4774</v>
      </c>
      <c r="F730" s="270"/>
      <c r="L730" s="2"/>
      <c r="P730"/>
      <c r="Q730"/>
      <c r="R730"/>
      <c r="S730"/>
      <c r="T730"/>
    </row>
    <row r="731" spans="1:20" s="14" customFormat="1" x14ac:dyDescent="0.25">
      <c r="A731" s="2" t="s">
        <v>5248</v>
      </c>
      <c r="B731" s="491" t="s">
        <v>5264</v>
      </c>
      <c r="C731" s="2" t="s">
        <v>5249</v>
      </c>
      <c r="D731" s="2">
        <v>120</v>
      </c>
      <c r="E731" s="3" t="s">
        <v>2787</v>
      </c>
      <c r="F731" s="270"/>
      <c r="L731" s="2"/>
      <c r="P731"/>
      <c r="Q731"/>
      <c r="R731"/>
      <c r="S731"/>
      <c r="T731"/>
    </row>
    <row r="732" spans="1:20" s="14" customFormat="1" x14ac:dyDescent="0.25">
      <c r="A732" s="2" t="s">
        <v>5280</v>
      </c>
      <c r="B732" s="491" t="s">
        <v>5440</v>
      </c>
      <c r="C732" s="2" t="s">
        <v>4636</v>
      </c>
      <c r="D732" s="2">
        <v>20</v>
      </c>
      <c r="E732" s="3" t="s">
        <v>4767</v>
      </c>
      <c r="F732" s="270"/>
      <c r="L732" s="2"/>
      <c r="P732"/>
      <c r="Q732"/>
      <c r="R732"/>
      <c r="S732"/>
      <c r="T732"/>
    </row>
    <row r="733" spans="1:20" s="14" customFormat="1" x14ac:dyDescent="0.25">
      <c r="A733" s="2" t="s">
        <v>5308</v>
      </c>
      <c r="B733" s="491" t="s">
        <v>5309</v>
      </c>
      <c r="C733" s="2" t="s">
        <v>4636</v>
      </c>
      <c r="D733" s="2">
        <v>48</v>
      </c>
      <c r="E733" s="3" t="s">
        <v>4767</v>
      </c>
      <c r="F733" s="270"/>
      <c r="L733" s="2"/>
      <c r="P733"/>
      <c r="Q733"/>
      <c r="R733"/>
      <c r="S733"/>
      <c r="T733"/>
    </row>
    <row r="734" spans="1:20" s="14" customFormat="1" x14ac:dyDescent="0.25">
      <c r="A734" s="2" t="s">
        <v>5310</v>
      </c>
      <c r="B734" s="491" t="s">
        <v>5311</v>
      </c>
      <c r="C734" s="2" t="s">
        <v>4636</v>
      </c>
      <c r="D734" s="2">
        <v>60</v>
      </c>
      <c r="E734" s="3" t="s">
        <v>4767</v>
      </c>
      <c r="F734" s="270"/>
      <c r="L734" s="2"/>
      <c r="P734"/>
      <c r="Q734"/>
      <c r="R734"/>
      <c r="S734"/>
      <c r="T734"/>
    </row>
    <row r="735" spans="1:20" s="14" customFormat="1" x14ac:dyDescent="0.25">
      <c r="A735" s="2" t="s">
        <v>5312</v>
      </c>
      <c r="B735" s="491" t="s">
        <v>5313</v>
      </c>
      <c r="C735" s="2" t="s">
        <v>4636</v>
      </c>
      <c r="D735" s="2">
        <v>12</v>
      </c>
      <c r="E735" s="3" t="s">
        <v>4767</v>
      </c>
      <c r="F735" s="270"/>
      <c r="L735" s="2"/>
      <c r="P735"/>
      <c r="Q735"/>
      <c r="R735"/>
      <c r="S735"/>
      <c r="T735"/>
    </row>
    <row r="736" spans="1:20" s="14" customFormat="1" x14ac:dyDescent="0.25">
      <c r="A736" s="2" t="s">
        <v>5338</v>
      </c>
      <c r="B736" s="491" t="s">
        <v>5339</v>
      </c>
      <c r="C736" s="2" t="s">
        <v>4457</v>
      </c>
      <c r="D736" s="2"/>
      <c r="E736" s="3" t="s">
        <v>1563</v>
      </c>
      <c r="F736" s="270"/>
      <c r="P736"/>
      <c r="Q736"/>
      <c r="R736"/>
      <c r="S736"/>
      <c r="T736"/>
    </row>
    <row r="737" spans="1:20" s="14" customFormat="1" x14ac:dyDescent="0.25">
      <c r="A737" s="2" t="s">
        <v>5351</v>
      </c>
      <c r="B737" s="491" t="s">
        <v>5352</v>
      </c>
      <c r="C737" s="2" t="s">
        <v>4705</v>
      </c>
      <c r="D737" s="2"/>
      <c r="E737" s="3" t="s">
        <v>4774</v>
      </c>
      <c r="F737" s="270"/>
      <c r="P737"/>
      <c r="Q737"/>
      <c r="R737"/>
      <c r="S737"/>
      <c r="T737"/>
    </row>
    <row r="738" spans="1:20" s="14" customFormat="1" x14ac:dyDescent="0.25">
      <c r="A738" s="2" t="s">
        <v>5353</v>
      </c>
      <c r="B738" s="491" t="s">
        <v>5354</v>
      </c>
      <c r="C738" s="2" t="s">
        <v>4705</v>
      </c>
      <c r="D738" s="2"/>
      <c r="E738" s="3" t="s">
        <v>4774</v>
      </c>
      <c r="F738" s="270"/>
      <c r="P738"/>
      <c r="Q738"/>
      <c r="R738"/>
      <c r="S738"/>
      <c r="T738"/>
    </row>
    <row r="739" spans="1:20" s="14" customFormat="1" x14ac:dyDescent="0.25">
      <c r="A739" s="2" t="s">
        <v>5355</v>
      </c>
      <c r="B739" s="491" t="s">
        <v>5356</v>
      </c>
      <c r="C739" s="2" t="s">
        <v>4705</v>
      </c>
      <c r="D739" s="2"/>
      <c r="E739" s="3" t="s">
        <v>4774</v>
      </c>
      <c r="F739" s="270"/>
      <c r="P739"/>
      <c r="Q739"/>
      <c r="R739"/>
      <c r="S739"/>
      <c r="T739"/>
    </row>
    <row r="740" spans="1:20" s="14" customFormat="1" x14ac:dyDescent="0.25">
      <c r="A740" s="2" t="s">
        <v>5369</v>
      </c>
      <c r="B740" s="491" t="s">
        <v>5370</v>
      </c>
      <c r="C740" s="2" t="s">
        <v>4457</v>
      </c>
      <c r="D740" s="2"/>
      <c r="E740" s="3" t="s">
        <v>1563</v>
      </c>
      <c r="F740" s="270"/>
      <c r="P740"/>
      <c r="Q740"/>
      <c r="R740"/>
      <c r="S740"/>
      <c r="T740"/>
    </row>
    <row r="741" spans="1:20" s="14" customFormat="1" x14ac:dyDescent="0.25">
      <c r="A741" s="2" t="s">
        <v>5393</v>
      </c>
      <c r="B741" s="491" t="s">
        <v>5394</v>
      </c>
      <c r="C741" s="2" t="s">
        <v>4705</v>
      </c>
      <c r="D741" s="2"/>
      <c r="E741" s="3" t="s">
        <v>4774</v>
      </c>
      <c r="F741" s="270"/>
      <c r="P741"/>
      <c r="Q741"/>
      <c r="R741"/>
      <c r="S741"/>
      <c r="T741"/>
    </row>
    <row r="742" spans="1:20" s="14" customFormat="1" x14ac:dyDescent="0.25">
      <c r="A742" s="2" t="s">
        <v>5395</v>
      </c>
      <c r="B742" s="491" t="s">
        <v>5396</v>
      </c>
      <c r="C742" s="2" t="s">
        <v>4705</v>
      </c>
      <c r="D742" s="2"/>
      <c r="E742" s="3" t="s">
        <v>4774</v>
      </c>
      <c r="F742" s="270"/>
      <c r="P742"/>
      <c r="Q742"/>
      <c r="R742"/>
      <c r="S742"/>
      <c r="T742"/>
    </row>
    <row r="743" spans="1:20" s="14" customFormat="1" x14ac:dyDescent="0.25">
      <c r="A743" s="2" t="s">
        <v>5397</v>
      </c>
      <c r="B743" s="491" t="s">
        <v>5398</v>
      </c>
      <c r="C743" s="2" t="s">
        <v>4705</v>
      </c>
      <c r="D743" s="2"/>
      <c r="E743" s="3" t="s">
        <v>4774</v>
      </c>
      <c r="F743" s="270"/>
      <c r="P743"/>
      <c r="Q743"/>
      <c r="R743"/>
      <c r="S743"/>
      <c r="T743"/>
    </row>
    <row r="744" spans="1:20" s="14" customFormat="1" x14ac:dyDescent="0.25">
      <c r="A744" s="2" t="s">
        <v>5426</v>
      </c>
      <c r="B744" s="491" t="s">
        <v>5427</v>
      </c>
      <c r="C744" s="2" t="s">
        <v>5428</v>
      </c>
      <c r="D744" s="2"/>
      <c r="E744" s="3" t="s">
        <v>4767</v>
      </c>
      <c r="F744" s="270"/>
      <c r="P744"/>
      <c r="Q744"/>
      <c r="R744"/>
      <c r="S744"/>
      <c r="T744"/>
    </row>
    <row r="745" spans="1:20" s="14" customFormat="1" x14ac:dyDescent="0.25">
      <c r="A745" s="2" t="s">
        <v>5429</v>
      </c>
      <c r="B745" s="491" t="s">
        <v>5442</v>
      </c>
      <c r="C745" s="2" t="s">
        <v>5430</v>
      </c>
      <c r="D745" s="2"/>
      <c r="E745" s="3" t="s">
        <v>4767</v>
      </c>
      <c r="F745" s="270"/>
      <c r="P745"/>
      <c r="Q745"/>
      <c r="R745"/>
      <c r="S745"/>
      <c r="T745"/>
    </row>
    <row r="746" spans="1:20" s="14" customFormat="1" x14ac:dyDescent="0.25">
      <c r="A746" s="2" t="s">
        <v>5431</v>
      </c>
      <c r="B746" s="491" t="s">
        <v>5441</v>
      </c>
      <c r="C746" s="2" t="s">
        <v>5430</v>
      </c>
      <c r="D746" s="2"/>
      <c r="E746" s="3" t="s">
        <v>4767</v>
      </c>
      <c r="F746" s="270"/>
      <c r="P746"/>
      <c r="Q746"/>
      <c r="R746"/>
      <c r="S746"/>
      <c r="T746"/>
    </row>
    <row r="747" spans="1:20" s="14" customFormat="1" x14ac:dyDescent="0.25">
      <c r="A747" s="2" t="s">
        <v>5432</v>
      </c>
      <c r="B747" s="491" t="s">
        <v>5433</v>
      </c>
      <c r="C747" s="2" t="s">
        <v>5430</v>
      </c>
      <c r="D747" s="2"/>
      <c r="E747" s="3" t="s">
        <v>4767</v>
      </c>
      <c r="F747" s="270"/>
      <c r="P747"/>
      <c r="Q747"/>
      <c r="R747"/>
      <c r="S747"/>
      <c r="T747"/>
    </row>
    <row r="748" spans="1:20" s="14" customFormat="1" x14ac:dyDescent="0.25">
      <c r="A748" s="2" t="s">
        <v>5450</v>
      </c>
      <c r="B748" s="491" t="s">
        <v>5451</v>
      </c>
      <c r="C748" s="2" t="s">
        <v>5449</v>
      </c>
      <c r="D748" s="2"/>
      <c r="E748" s="3" t="s">
        <v>1626</v>
      </c>
      <c r="F748" s="270"/>
      <c r="P748"/>
      <c r="Q748"/>
      <c r="R748"/>
      <c r="S748"/>
      <c r="T748"/>
    </row>
    <row r="749" spans="1:20" s="14" customFormat="1" x14ac:dyDescent="0.25">
      <c r="A749" s="2" t="s">
        <v>5453</v>
      </c>
      <c r="B749" s="491" t="s">
        <v>5454</v>
      </c>
      <c r="C749" s="2" t="s">
        <v>371</v>
      </c>
      <c r="D749" s="2"/>
      <c r="E749" s="3" t="s">
        <v>1626</v>
      </c>
      <c r="F749" s="270"/>
      <c r="P749"/>
      <c r="Q749"/>
      <c r="R749"/>
      <c r="S749"/>
      <c r="T749"/>
    </row>
    <row r="750" spans="1:20" s="14" customFormat="1" x14ac:dyDescent="0.25">
      <c r="A750" s="2" t="s">
        <v>5455</v>
      </c>
      <c r="B750" s="491" t="s">
        <v>5456</v>
      </c>
      <c r="C750" s="2" t="s">
        <v>371</v>
      </c>
      <c r="D750" s="2"/>
      <c r="E750" s="3" t="s">
        <v>1626</v>
      </c>
      <c r="F750" s="270"/>
      <c r="P750"/>
      <c r="Q750"/>
      <c r="R750"/>
      <c r="S750"/>
      <c r="T750"/>
    </row>
    <row r="751" spans="1:20" s="14" customFormat="1" x14ac:dyDescent="0.25">
      <c r="A751" s="2" t="s">
        <v>5457</v>
      </c>
      <c r="B751" s="491" t="s">
        <v>5458</v>
      </c>
      <c r="C751" s="2" t="s">
        <v>371</v>
      </c>
      <c r="D751" s="2"/>
      <c r="E751" s="3" t="s">
        <v>1626</v>
      </c>
      <c r="F751" s="270"/>
      <c r="P751"/>
      <c r="Q751"/>
      <c r="R751"/>
      <c r="S751"/>
      <c r="T751"/>
    </row>
    <row r="752" spans="1:20" s="14" customFormat="1" x14ac:dyDescent="0.25">
      <c r="A752" s="2" t="s">
        <v>5459</v>
      </c>
      <c r="B752" s="491" t="s">
        <v>5460</v>
      </c>
      <c r="C752" s="2" t="s">
        <v>392</v>
      </c>
      <c r="D752" s="2"/>
      <c r="E752" s="3" t="s">
        <v>1626</v>
      </c>
      <c r="F752" s="270"/>
      <c r="P752"/>
      <c r="Q752"/>
      <c r="R752"/>
      <c r="S752"/>
      <c r="T752"/>
    </row>
    <row r="753" spans="1:20" s="14" customFormat="1" x14ac:dyDescent="0.25">
      <c r="A753" s="2" t="s">
        <v>5463</v>
      </c>
      <c r="B753" s="491" t="s">
        <v>5464</v>
      </c>
      <c r="C753" s="2" t="s">
        <v>4636</v>
      </c>
      <c r="D753" s="2"/>
      <c r="E753" s="3" t="s">
        <v>4767</v>
      </c>
      <c r="F753" s="270"/>
      <c r="P753"/>
      <c r="Q753"/>
      <c r="R753"/>
      <c r="S753"/>
      <c r="T753"/>
    </row>
    <row r="754" spans="1:20" s="14" customFormat="1" x14ac:dyDescent="0.25">
      <c r="A754" s="2" t="s">
        <v>5465</v>
      </c>
      <c r="B754" s="491" t="s">
        <v>5466</v>
      </c>
      <c r="C754" s="2" t="s">
        <v>4636</v>
      </c>
      <c r="D754" s="2"/>
      <c r="E754" s="3" t="s">
        <v>4767</v>
      </c>
      <c r="F754" s="270"/>
      <c r="P754"/>
      <c r="Q754"/>
      <c r="R754"/>
      <c r="S754"/>
      <c r="T754"/>
    </row>
    <row r="755" spans="1:20" s="14" customFormat="1" x14ac:dyDescent="0.25">
      <c r="A755" s="2" t="s">
        <v>5468</v>
      </c>
      <c r="B755" s="491" t="s">
        <v>5452</v>
      </c>
      <c r="C755" s="2" t="s">
        <v>371</v>
      </c>
      <c r="D755" s="2"/>
      <c r="E755" s="3" t="s">
        <v>1626</v>
      </c>
      <c r="F755" s="270"/>
      <c r="P755"/>
      <c r="Q755"/>
      <c r="R755"/>
      <c r="S755"/>
      <c r="T755"/>
    </row>
    <row r="756" spans="1:20" s="14" customFormat="1" x14ac:dyDescent="0.25">
      <c r="A756" s="2" t="s">
        <v>5486</v>
      </c>
      <c r="B756" s="491" t="s">
        <v>5979</v>
      </c>
      <c r="C756" s="2" t="s">
        <v>94</v>
      </c>
      <c r="D756" s="2"/>
      <c r="E756" s="3" t="s">
        <v>1569</v>
      </c>
      <c r="F756" s="270"/>
      <c r="P756"/>
      <c r="Q756"/>
      <c r="R756"/>
      <c r="S756"/>
      <c r="T756"/>
    </row>
    <row r="757" spans="1:20" s="14" customFormat="1" x14ac:dyDescent="0.25">
      <c r="A757" s="2" t="s">
        <v>5487</v>
      </c>
      <c r="B757" s="491" t="s">
        <v>5488</v>
      </c>
      <c r="C757" s="2" t="s">
        <v>94</v>
      </c>
      <c r="D757" s="2"/>
      <c r="E757" s="3" t="s">
        <v>88</v>
      </c>
      <c r="F757" s="270"/>
      <c r="P757"/>
      <c r="Q757"/>
      <c r="R757"/>
      <c r="S757"/>
      <c r="T757"/>
    </row>
    <row r="758" spans="1:20" s="14" customFormat="1" x14ac:dyDescent="0.25">
      <c r="A758" s="2" t="s">
        <v>5489</v>
      </c>
      <c r="B758" s="491" t="s">
        <v>2372</v>
      </c>
      <c r="C758" s="2" t="s">
        <v>5493</v>
      </c>
      <c r="D758" s="2"/>
      <c r="E758" s="3" t="s">
        <v>1569</v>
      </c>
      <c r="F758" s="270"/>
      <c r="P758"/>
      <c r="Q758"/>
      <c r="R758"/>
      <c r="S758"/>
      <c r="T758"/>
    </row>
    <row r="759" spans="1:20" s="14" customFormat="1" x14ac:dyDescent="0.25">
      <c r="A759" s="2" t="s">
        <v>5490</v>
      </c>
      <c r="B759" s="491" t="s">
        <v>5491</v>
      </c>
      <c r="C759" s="2" t="s">
        <v>5492</v>
      </c>
      <c r="D759" s="2"/>
      <c r="E759" s="3" t="s">
        <v>1569</v>
      </c>
      <c r="F759" s="270"/>
      <c r="P759"/>
      <c r="Q759"/>
      <c r="R759"/>
      <c r="S759"/>
      <c r="T759"/>
    </row>
    <row r="760" spans="1:20" s="14" customFormat="1" x14ac:dyDescent="0.25">
      <c r="A760" s="2" t="s">
        <v>5494</v>
      </c>
      <c r="B760" s="491" t="s">
        <v>5495</v>
      </c>
      <c r="C760" s="2" t="s">
        <v>94</v>
      </c>
      <c r="D760" s="2"/>
      <c r="E760" s="3" t="s">
        <v>1569</v>
      </c>
      <c r="F760" s="270"/>
      <c r="P760"/>
      <c r="Q760"/>
      <c r="R760"/>
      <c r="S760"/>
      <c r="T760"/>
    </row>
    <row r="761" spans="1:20" s="14" customFormat="1" x14ac:dyDescent="0.25">
      <c r="A761" s="2" t="s">
        <v>5496</v>
      </c>
      <c r="B761" s="491" t="s">
        <v>5984</v>
      </c>
      <c r="C761" s="2" t="s">
        <v>5995</v>
      </c>
      <c r="D761" s="2"/>
      <c r="E761" s="3" t="s">
        <v>1569</v>
      </c>
      <c r="F761" s="270"/>
      <c r="P761"/>
      <c r="Q761"/>
      <c r="R761"/>
      <c r="S761"/>
      <c r="T761"/>
    </row>
    <row r="762" spans="1:20" s="14" customFormat="1" x14ac:dyDescent="0.25">
      <c r="A762" s="2" t="s">
        <v>5499</v>
      </c>
      <c r="B762" s="491" t="s">
        <v>5500</v>
      </c>
      <c r="C762" s="2" t="s">
        <v>1646</v>
      </c>
      <c r="D762" s="2" t="s">
        <v>5504</v>
      </c>
      <c r="E762" s="3" t="s">
        <v>1645</v>
      </c>
      <c r="F762" s="270"/>
      <c r="P762"/>
      <c r="Q762"/>
      <c r="R762"/>
      <c r="S762"/>
      <c r="T762"/>
    </row>
    <row r="763" spans="1:20" s="14" customFormat="1" x14ac:dyDescent="0.25">
      <c r="A763" s="2" t="s">
        <v>5501</v>
      </c>
      <c r="B763" s="491" t="s">
        <v>5502</v>
      </c>
      <c r="C763" s="2" t="s">
        <v>5503</v>
      </c>
      <c r="D763" s="2"/>
      <c r="E763" s="3" t="s">
        <v>1645</v>
      </c>
      <c r="F763" s="270"/>
      <c r="P763"/>
      <c r="Q763"/>
      <c r="R763"/>
      <c r="S763"/>
      <c r="T763"/>
    </row>
    <row r="764" spans="1:20" s="14" customFormat="1" x14ac:dyDescent="0.25">
      <c r="A764" s="2" t="s">
        <v>5505</v>
      </c>
      <c r="B764" s="491" t="s">
        <v>5506</v>
      </c>
      <c r="C764" s="2" t="s">
        <v>1629</v>
      </c>
      <c r="D764" s="2">
        <v>48</v>
      </c>
      <c r="E764" s="3" t="s">
        <v>1626</v>
      </c>
      <c r="F764" s="270"/>
      <c r="P764"/>
      <c r="Q764"/>
      <c r="R764"/>
      <c r="S764"/>
      <c r="T764"/>
    </row>
    <row r="765" spans="1:20" s="14" customFormat="1" x14ac:dyDescent="0.25">
      <c r="A765" s="2" t="s">
        <v>5514</v>
      </c>
      <c r="B765" s="491" t="s">
        <v>5872</v>
      </c>
      <c r="C765" s="2" t="s">
        <v>5214</v>
      </c>
      <c r="D765" s="2">
        <v>240</v>
      </c>
      <c r="E765" s="3" t="s">
        <v>5170</v>
      </c>
      <c r="F765" s="270"/>
      <c r="P765"/>
      <c r="Q765"/>
      <c r="R765"/>
      <c r="S765"/>
      <c r="T765"/>
    </row>
    <row r="766" spans="1:20" s="14" customFormat="1" x14ac:dyDescent="0.25">
      <c r="A766" s="2" t="s">
        <v>5515</v>
      </c>
      <c r="B766" s="491" t="s">
        <v>5873</v>
      </c>
      <c r="C766" s="2" t="s">
        <v>5214</v>
      </c>
      <c r="D766" s="2">
        <v>24</v>
      </c>
      <c r="E766" s="3" t="s">
        <v>5170</v>
      </c>
      <c r="F766" s="270"/>
      <c r="P766"/>
      <c r="Q766"/>
      <c r="R766"/>
      <c r="S766"/>
      <c r="T766"/>
    </row>
    <row r="767" spans="1:20" s="14" customFormat="1" x14ac:dyDescent="0.25">
      <c r="A767" s="2" t="s">
        <v>5516</v>
      </c>
      <c r="B767" s="491" t="s">
        <v>5874</v>
      </c>
      <c r="C767" s="2" t="s">
        <v>5214</v>
      </c>
      <c r="D767" s="2">
        <v>12</v>
      </c>
      <c r="E767" s="3" t="s">
        <v>5170</v>
      </c>
      <c r="F767" s="270"/>
      <c r="P767"/>
      <c r="Q767"/>
      <c r="R767"/>
      <c r="S767"/>
      <c r="T767"/>
    </row>
    <row r="768" spans="1:20" s="14" customFormat="1" x14ac:dyDescent="0.25">
      <c r="A768" s="2" t="s">
        <v>5517</v>
      </c>
      <c r="B768" s="491" t="s">
        <v>5875</v>
      </c>
      <c r="C768" s="2" t="s">
        <v>5214</v>
      </c>
      <c r="D768" s="2">
        <v>12</v>
      </c>
      <c r="E768" s="3" t="s">
        <v>5170</v>
      </c>
      <c r="F768" s="270"/>
      <c r="P768"/>
      <c r="Q768"/>
      <c r="R768"/>
      <c r="S768"/>
      <c r="T768"/>
    </row>
    <row r="769" spans="1:20" s="14" customFormat="1" x14ac:dyDescent="0.25">
      <c r="A769" s="2" t="s">
        <v>5543</v>
      </c>
      <c r="B769" s="491" t="s">
        <v>5544</v>
      </c>
      <c r="C769" s="2" t="s">
        <v>5545</v>
      </c>
      <c r="D769" s="2"/>
      <c r="E769" s="3" t="s">
        <v>88</v>
      </c>
      <c r="F769" s="270"/>
      <c r="P769"/>
      <c r="Q769"/>
      <c r="R769"/>
      <c r="S769"/>
      <c r="T769"/>
    </row>
    <row r="770" spans="1:20" s="14" customFormat="1" x14ac:dyDescent="0.25">
      <c r="A770" s="2" t="s">
        <v>5546</v>
      </c>
      <c r="B770" s="491" t="s">
        <v>5547</v>
      </c>
      <c r="C770" s="2" t="s">
        <v>5548</v>
      </c>
      <c r="D770" s="2"/>
      <c r="E770" s="3" t="s">
        <v>1569</v>
      </c>
      <c r="F770" s="270"/>
      <c r="P770"/>
      <c r="Q770"/>
      <c r="R770"/>
      <c r="S770"/>
      <c r="T770"/>
    </row>
    <row r="771" spans="1:20" s="14" customFormat="1" x14ac:dyDescent="0.25">
      <c r="A771" s="2" t="s">
        <v>5549</v>
      </c>
      <c r="B771" s="491" t="s">
        <v>5555</v>
      </c>
      <c r="C771" s="2" t="s">
        <v>88</v>
      </c>
      <c r="D771" s="2"/>
      <c r="E771" s="3" t="s">
        <v>1569</v>
      </c>
      <c r="F771" s="270"/>
      <c r="P771"/>
      <c r="Q771"/>
      <c r="R771"/>
      <c r="S771"/>
      <c r="T771"/>
    </row>
    <row r="772" spans="1:20" s="14" customFormat="1" x14ac:dyDescent="0.25">
      <c r="A772" s="2" t="s">
        <v>5550</v>
      </c>
      <c r="B772" s="491" t="s">
        <v>5551</v>
      </c>
      <c r="C772" s="2" t="s">
        <v>5552</v>
      </c>
      <c r="D772" s="2"/>
      <c r="E772" s="3" t="s">
        <v>88</v>
      </c>
      <c r="F772" s="270"/>
      <c r="P772"/>
      <c r="Q772"/>
      <c r="R772"/>
      <c r="S772"/>
      <c r="T772"/>
    </row>
    <row r="773" spans="1:20" s="14" customFormat="1" x14ac:dyDescent="0.25">
      <c r="A773" s="2" t="s">
        <v>5553</v>
      </c>
      <c r="B773" s="491" t="s">
        <v>5554</v>
      </c>
      <c r="C773" s="2" t="s">
        <v>3601</v>
      </c>
      <c r="D773" s="2"/>
      <c r="E773" s="3" t="s">
        <v>1569</v>
      </c>
      <c r="F773" s="270"/>
      <c r="P773"/>
      <c r="Q773"/>
      <c r="R773"/>
      <c r="S773"/>
      <c r="T773"/>
    </row>
    <row r="774" spans="1:20" s="14" customFormat="1" x14ac:dyDescent="0.25">
      <c r="A774" s="2" t="s">
        <v>5569</v>
      </c>
      <c r="B774" s="491" t="s">
        <v>5575</v>
      </c>
      <c r="C774" s="2" t="s">
        <v>1646</v>
      </c>
      <c r="D774" s="2"/>
      <c r="E774" s="3" t="s">
        <v>1645</v>
      </c>
      <c r="F774" s="270"/>
      <c r="P774"/>
      <c r="Q774"/>
      <c r="R774"/>
      <c r="S774"/>
      <c r="T774"/>
    </row>
    <row r="775" spans="1:20" s="14" customFormat="1" x14ac:dyDescent="0.25">
      <c r="A775" s="2" t="s">
        <v>5570</v>
      </c>
      <c r="B775" s="491" t="s">
        <v>5876</v>
      </c>
      <c r="C775" s="2" t="s">
        <v>1646</v>
      </c>
      <c r="D775" s="2"/>
      <c r="E775" s="3" t="s">
        <v>1645</v>
      </c>
      <c r="F775" s="270"/>
      <c r="P775"/>
      <c r="Q775"/>
      <c r="R775"/>
      <c r="S775"/>
      <c r="T775"/>
    </row>
    <row r="776" spans="1:20" s="14" customFormat="1" x14ac:dyDescent="0.25">
      <c r="A776" s="2" t="s">
        <v>5571</v>
      </c>
      <c r="B776" s="491" t="s">
        <v>5572</v>
      </c>
      <c r="C776" s="2" t="s">
        <v>1646</v>
      </c>
      <c r="D776" s="2"/>
      <c r="E776" s="3" t="s">
        <v>1645</v>
      </c>
      <c r="F776" s="270"/>
      <c r="P776"/>
      <c r="Q776"/>
      <c r="R776"/>
      <c r="S776"/>
      <c r="T776"/>
    </row>
    <row r="777" spans="1:20" s="14" customFormat="1" x14ac:dyDescent="0.25">
      <c r="A777" s="2" t="s">
        <v>5573</v>
      </c>
      <c r="B777" s="491" t="s">
        <v>5574</v>
      </c>
      <c r="C777" s="2" t="s">
        <v>1646</v>
      </c>
      <c r="D777" s="2"/>
      <c r="E777" s="3" t="s">
        <v>1645</v>
      </c>
      <c r="F777" s="270"/>
      <c r="P777"/>
      <c r="Q777"/>
      <c r="R777"/>
      <c r="S777"/>
      <c r="T777"/>
    </row>
    <row r="778" spans="1:20" s="14" customFormat="1" x14ac:dyDescent="0.25">
      <c r="A778" s="2" t="s">
        <v>5623</v>
      </c>
      <c r="B778" s="491" t="s">
        <v>5624</v>
      </c>
      <c r="C778" s="2" t="s">
        <v>5625</v>
      </c>
      <c r="D778" s="2">
        <v>6</v>
      </c>
      <c r="E778" s="3" t="s">
        <v>5619</v>
      </c>
      <c r="F778" s="270"/>
      <c r="P778"/>
      <c r="Q778"/>
      <c r="R778"/>
      <c r="S778"/>
      <c r="T778"/>
    </row>
    <row r="779" spans="1:20" s="14" customFormat="1" x14ac:dyDescent="0.25">
      <c r="A779" s="2" t="s">
        <v>5626</v>
      </c>
      <c r="B779" s="491" t="s">
        <v>5627</v>
      </c>
      <c r="C779" s="2" t="s">
        <v>5625</v>
      </c>
      <c r="D779" s="2">
        <v>12</v>
      </c>
      <c r="E779" s="3" t="s">
        <v>5619</v>
      </c>
      <c r="F779" s="270"/>
      <c r="P779"/>
      <c r="Q779"/>
      <c r="R779"/>
      <c r="S779"/>
      <c r="T779"/>
    </row>
    <row r="780" spans="1:20" s="14" customFormat="1" x14ac:dyDescent="0.25">
      <c r="A780" s="2" t="s">
        <v>5628</v>
      </c>
      <c r="B780" s="491" t="s">
        <v>5629</v>
      </c>
      <c r="C780" s="2" t="s">
        <v>5630</v>
      </c>
      <c r="D780" s="2">
        <v>12</v>
      </c>
      <c r="E780" s="3" t="s">
        <v>5619</v>
      </c>
      <c r="F780" s="270"/>
      <c r="P780"/>
      <c r="Q780"/>
      <c r="R780"/>
      <c r="S780"/>
      <c r="T780"/>
    </row>
    <row r="781" spans="1:20" s="14" customFormat="1" x14ac:dyDescent="0.25">
      <c r="A781" s="2" t="s">
        <v>5636</v>
      </c>
      <c r="B781" s="491" t="s">
        <v>5637</v>
      </c>
      <c r="C781" s="2" t="s">
        <v>4636</v>
      </c>
      <c r="D781" s="2">
        <v>24</v>
      </c>
      <c r="E781" s="3" t="s">
        <v>4767</v>
      </c>
      <c r="F781" s="270"/>
      <c r="P781"/>
      <c r="Q781"/>
      <c r="R781"/>
      <c r="S781"/>
      <c r="T781"/>
    </row>
    <row r="782" spans="1:20" s="14" customFormat="1" x14ac:dyDescent="0.25">
      <c r="A782" s="2" t="s">
        <v>5713</v>
      </c>
      <c r="B782" s="491" t="s">
        <v>5714</v>
      </c>
      <c r="C782" s="2" t="s">
        <v>5715</v>
      </c>
      <c r="D782" s="2"/>
      <c r="E782" s="3" t="s">
        <v>5708</v>
      </c>
      <c r="F782" s="270"/>
      <c r="P782"/>
      <c r="Q782"/>
      <c r="R782"/>
      <c r="S782"/>
      <c r="T782"/>
    </row>
    <row r="783" spans="1:20" s="14" customFormat="1" x14ac:dyDescent="0.25">
      <c r="A783" s="2" t="s">
        <v>5751</v>
      </c>
      <c r="B783" s="491" t="s">
        <v>5752</v>
      </c>
      <c r="C783" s="2" t="s">
        <v>5753</v>
      </c>
      <c r="D783" s="2">
        <v>48</v>
      </c>
      <c r="E783" s="3" t="s">
        <v>4767</v>
      </c>
      <c r="F783" s="270"/>
      <c r="P783"/>
      <c r="Q783"/>
      <c r="R783"/>
      <c r="S783"/>
      <c r="T783"/>
    </row>
    <row r="784" spans="1:20" s="14" customFormat="1" x14ac:dyDescent="0.25">
      <c r="A784" s="2" t="s">
        <v>5768</v>
      </c>
      <c r="B784" s="491" t="s">
        <v>5769</v>
      </c>
      <c r="C784" s="2" t="s">
        <v>5770</v>
      </c>
      <c r="D784" s="2"/>
      <c r="E784" s="3" t="s">
        <v>5619</v>
      </c>
      <c r="F784" s="270"/>
      <c r="P784"/>
      <c r="Q784"/>
      <c r="R784"/>
      <c r="S784"/>
      <c r="T784"/>
    </row>
    <row r="785" spans="1:20" s="14" customFormat="1" x14ac:dyDescent="0.25">
      <c r="A785" s="2" t="s">
        <v>5771</v>
      </c>
      <c r="B785" s="491" t="s">
        <v>5772</v>
      </c>
      <c r="C785" s="2" t="s">
        <v>5753</v>
      </c>
      <c r="D785" s="2">
        <v>96</v>
      </c>
      <c r="E785" s="3" t="s">
        <v>4767</v>
      </c>
      <c r="F785" s="270"/>
      <c r="P785"/>
      <c r="Q785"/>
      <c r="R785"/>
      <c r="S785"/>
      <c r="T785"/>
    </row>
    <row r="786" spans="1:20" s="14" customFormat="1" x14ac:dyDescent="0.25">
      <c r="A786" s="2" t="s">
        <v>5792</v>
      </c>
      <c r="B786" s="491" t="s">
        <v>5793</v>
      </c>
      <c r="C786" s="2" t="s">
        <v>5794</v>
      </c>
      <c r="D786" s="2"/>
      <c r="E786" s="3" t="s">
        <v>5619</v>
      </c>
      <c r="F786" s="270"/>
      <c r="P786"/>
      <c r="Q786"/>
      <c r="R786"/>
      <c r="S786"/>
      <c r="T786"/>
    </row>
    <row r="787" spans="1:20" s="14" customFormat="1" x14ac:dyDescent="0.25">
      <c r="A787" s="2" t="s">
        <v>5797</v>
      </c>
      <c r="B787" s="491" t="s">
        <v>5798</v>
      </c>
      <c r="C787" s="2" t="s">
        <v>2792</v>
      </c>
      <c r="D787" s="2"/>
      <c r="E787" s="3" t="s">
        <v>1552</v>
      </c>
      <c r="F787" s="270"/>
      <c r="P787"/>
      <c r="Q787"/>
      <c r="R787"/>
      <c r="S787"/>
      <c r="T787"/>
    </row>
    <row r="788" spans="1:20" s="14" customFormat="1" x14ac:dyDescent="0.25">
      <c r="A788" s="2" t="s">
        <v>5799</v>
      </c>
      <c r="B788" s="491" t="s">
        <v>5800</v>
      </c>
      <c r="C788" s="2" t="s">
        <v>5794</v>
      </c>
      <c r="D788" s="2"/>
      <c r="E788" s="3" t="s">
        <v>5619</v>
      </c>
      <c r="F788" s="270"/>
      <c r="P788"/>
      <c r="Q788"/>
      <c r="R788"/>
      <c r="S788"/>
      <c r="T788"/>
    </row>
    <row r="789" spans="1:20" s="14" customFormat="1" x14ac:dyDescent="0.25">
      <c r="A789" s="2" t="s">
        <v>5802</v>
      </c>
      <c r="B789" s="491" t="s">
        <v>5803</v>
      </c>
      <c r="C789" s="2" t="s">
        <v>5804</v>
      </c>
      <c r="D789" s="2"/>
      <c r="E789" s="3" t="s">
        <v>1576</v>
      </c>
      <c r="F789" s="270"/>
      <c r="P789"/>
      <c r="Q789"/>
      <c r="R789"/>
      <c r="S789"/>
      <c r="T789"/>
    </row>
    <row r="790" spans="1:20" s="14" customFormat="1" x14ac:dyDescent="0.25">
      <c r="A790" s="2" t="s">
        <v>5805</v>
      </c>
      <c r="B790" s="491" t="s">
        <v>5806</v>
      </c>
      <c r="C790" s="2" t="s">
        <v>5807</v>
      </c>
      <c r="D790" s="2">
        <v>144</v>
      </c>
      <c r="E790" s="3" t="s">
        <v>5631</v>
      </c>
      <c r="F790" s="270"/>
      <c r="P790"/>
      <c r="Q790"/>
      <c r="R790"/>
      <c r="S790"/>
      <c r="T790"/>
    </row>
    <row r="791" spans="1:20" s="14" customFormat="1" x14ac:dyDescent="0.25">
      <c r="A791" s="2" t="s">
        <v>5814</v>
      </c>
      <c r="B791" s="491" t="s">
        <v>5815</v>
      </c>
      <c r="C791" s="2" t="s">
        <v>5816</v>
      </c>
      <c r="D791" s="2"/>
      <c r="E791" s="3" t="s">
        <v>5811</v>
      </c>
      <c r="F791" s="270"/>
      <c r="P791"/>
      <c r="Q791"/>
      <c r="R791"/>
      <c r="S791"/>
      <c r="T791"/>
    </row>
    <row r="792" spans="1:20" s="14" customFormat="1" x14ac:dyDescent="0.25">
      <c r="A792" s="2" t="s">
        <v>5819</v>
      </c>
      <c r="B792" s="491" t="s">
        <v>5820</v>
      </c>
      <c r="C792" s="2" t="s">
        <v>4980</v>
      </c>
      <c r="D792" s="2"/>
      <c r="E792" s="3" t="s">
        <v>5721</v>
      </c>
      <c r="F792" s="270"/>
      <c r="P792"/>
      <c r="Q792"/>
      <c r="R792"/>
      <c r="S792"/>
      <c r="T792"/>
    </row>
    <row r="793" spans="1:20" s="14" customFormat="1" x14ac:dyDescent="0.25">
      <c r="A793" s="2" t="s">
        <v>5821</v>
      </c>
      <c r="B793" s="491" t="s">
        <v>5822</v>
      </c>
      <c r="C793" s="2" t="s">
        <v>4980</v>
      </c>
      <c r="D793" s="2"/>
      <c r="E793" s="3" t="s">
        <v>5721</v>
      </c>
      <c r="F793" s="270"/>
      <c r="P793"/>
      <c r="Q793"/>
      <c r="R793"/>
      <c r="S793"/>
      <c r="T793"/>
    </row>
    <row r="794" spans="1:20" s="14" customFormat="1" x14ac:dyDescent="0.25">
      <c r="A794" s="2" t="s">
        <v>5823</v>
      </c>
      <c r="B794" s="491" t="s">
        <v>5824</v>
      </c>
      <c r="C794" s="2" t="s">
        <v>4980</v>
      </c>
      <c r="D794" s="2"/>
      <c r="E794" s="3" t="s">
        <v>5721</v>
      </c>
      <c r="F794" s="270"/>
      <c r="P794"/>
      <c r="Q794"/>
      <c r="R794"/>
      <c r="S794"/>
      <c r="T794"/>
    </row>
    <row r="795" spans="1:20" s="14" customFormat="1" x14ac:dyDescent="0.25">
      <c r="A795" s="2" t="s">
        <v>6021</v>
      </c>
      <c r="B795" s="14" t="s">
        <v>6022</v>
      </c>
      <c r="C795" s="2" t="s">
        <v>1646</v>
      </c>
      <c r="D795" s="2"/>
      <c r="E795" s="3" t="s">
        <v>1645</v>
      </c>
      <c r="F795" s="270"/>
      <c r="P795"/>
      <c r="Q795"/>
      <c r="R795"/>
      <c r="S795"/>
      <c r="T795"/>
    </row>
    <row r="796" spans="1:20" s="14" customFormat="1" x14ac:dyDescent="0.25">
      <c r="A796" s="2" t="s">
        <v>6053</v>
      </c>
      <c r="B796" s="14" t="s">
        <v>6054</v>
      </c>
      <c r="C796" s="2" t="s">
        <v>1504</v>
      </c>
      <c r="D796" s="2"/>
      <c r="E796" s="3" t="s">
        <v>5619</v>
      </c>
      <c r="F796" s="270"/>
      <c r="P796"/>
      <c r="Q796"/>
      <c r="R796"/>
      <c r="S796"/>
      <c r="T796"/>
    </row>
    <row r="797" spans="1:20" s="14" customFormat="1" x14ac:dyDescent="0.25">
      <c r="A797" s="2" t="s">
        <v>6055</v>
      </c>
      <c r="B797" s="14" t="s">
        <v>6056</v>
      </c>
      <c r="C797" s="2" t="s">
        <v>1504</v>
      </c>
      <c r="D797" s="2"/>
      <c r="E797" s="3" t="s">
        <v>5619</v>
      </c>
      <c r="F797" s="270"/>
      <c r="P797"/>
      <c r="Q797"/>
      <c r="R797"/>
      <c r="S797"/>
      <c r="T797"/>
    </row>
    <row r="798" spans="1:20" s="14" customFormat="1" x14ac:dyDescent="0.25">
      <c r="A798" s="2" t="s">
        <v>6057</v>
      </c>
      <c r="B798" s="14" t="s">
        <v>6058</v>
      </c>
      <c r="C798" s="2" t="s">
        <v>1504</v>
      </c>
      <c r="D798" s="2"/>
      <c r="E798" s="3" t="s">
        <v>5619</v>
      </c>
      <c r="F798" s="270"/>
      <c r="P798"/>
      <c r="Q798"/>
      <c r="R798"/>
      <c r="S798"/>
      <c r="T798"/>
    </row>
    <row r="799" spans="1:20" s="14" customFormat="1" x14ac:dyDescent="0.25">
      <c r="A799" s="2" t="s">
        <v>6059</v>
      </c>
      <c r="B799" s="14" t="s">
        <v>6060</v>
      </c>
      <c r="C799" s="2" t="s">
        <v>1504</v>
      </c>
      <c r="D799" s="2"/>
      <c r="E799" s="3" t="s">
        <v>5619</v>
      </c>
      <c r="F799" s="270"/>
      <c r="P799"/>
      <c r="Q799"/>
      <c r="R799"/>
      <c r="S799"/>
      <c r="T799"/>
    </row>
    <row r="800" spans="1:20" s="14" customFormat="1" x14ac:dyDescent="0.25">
      <c r="A800" s="2" t="s">
        <v>6061</v>
      </c>
      <c r="B800" s="14" t="s">
        <v>6062</v>
      </c>
      <c r="C800" s="2" t="s">
        <v>1504</v>
      </c>
      <c r="D800" s="2"/>
      <c r="E800" s="3" t="s">
        <v>5619</v>
      </c>
      <c r="F800" s="270"/>
      <c r="P800"/>
      <c r="Q800"/>
      <c r="R800"/>
      <c r="S800"/>
      <c r="T800"/>
    </row>
    <row r="801" spans="1:20" s="14" customFormat="1" x14ac:dyDescent="0.25">
      <c r="A801" s="2" t="s">
        <v>6094</v>
      </c>
      <c r="B801" s="14" t="s">
        <v>6095</v>
      </c>
      <c r="C801" s="2" t="s">
        <v>1504</v>
      </c>
      <c r="D801" s="2"/>
      <c r="E801" s="3" t="s">
        <v>6089</v>
      </c>
      <c r="F801" s="270"/>
      <c r="P801"/>
      <c r="Q801"/>
      <c r="R801"/>
      <c r="S801"/>
      <c r="T801"/>
    </row>
    <row r="802" spans="1:20" s="14" customFormat="1" x14ac:dyDescent="0.25">
      <c r="A802" s="2" t="s">
        <v>6113</v>
      </c>
      <c r="B802" s="14" t="s">
        <v>6114</v>
      </c>
      <c r="C802" s="2" t="s">
        <v>661</v>
      </c>
      <c r="D802" s="2"/>
      <c r="E802" s="3" t="s">
        <v>1739</v>
      </c>
      <c r="F802" s="270"/>
      <c r="P802"/>
      <c r="Q802"/>
      <c r="R802"/>
      <c r="S802"/>
      <c r="T802"/>
    </row>
    <row r="803" spans="1:20" s="14" customFormat="1" x14ac:dyDescent="0.25">
      <c r="A803" s="2" t="s">
        <v>1812</v>
      </c>
      <c r="B803" s="491" t="s">
        <v>1832</v>
      </c>
      <c r="C803" s="2" t="s">
        <v>1833</v>
      </c>
      <c r="D803" s="2">
        <v>24</v>
      </c>
      <c r="E803" s="3" t="s">
        <v>1739</v>
      </c>
      <c r="F803" s="270"/>
      <c r="L803" s="2"/>
      <c r="P803"/>
      <c r="Q803"/>
      <c r="R803"/>
      <c r="S803"/>
      <c r="T803"/>
    </row>
    <row r="804" spans="1:20" s="14" customFormat="1" x14ac:dyDescent="0.25">
      <c r="A804" s="2" t="s">
        <v>1815</v>
      </c>
      <c r="B804" s="491" t="s">
        <v>1835</v>
      </c>
      <c r="C804" s="2" t="s">
        <v>1836</v>
      </c>
      <c r="D804" s="2"/>
      <c r="E804" s="3" t="s">
        <v>1739</v>
      </c>
      <c r="F804" s="270"/>
      <c r="L804" s="2"/>
      <c r="P804"/>
      <c r="Q804"/>
      <c r="R804"/>
      <c r="S804"/>
      <c r="T804"/>
    </row>
    <row r="805" spans="1:20" s="14" customFormat="1" x14ac:dyDescent="0.25">
      <c r="A805" s="2" t="s">
        <v>1831</v>
      </c>
      <c r="B805" s="491" t="s">
        <v>5315</v>
      </c>
      <c r="C805" s="2" t="s">
        <v>1845</v>
      </c>
      <c r="D805" s="2"/>
      <c r="E805" s="3" t="s">
        <v>1739</v>
      </c>
      <c r="F805" s="270"/>
      <c r="L805" s="2"/>
      <c r="P805"/>
      <c r="Q805"/>
      <c r="R805"/>
      <c r="S805"/>
      <c r="T805"/>
    </row>
    <row r="806" spans="1:20" s="14" customFormat="1" x14ac:dyDescent="0.25">
      <c r="A806" s="2" t="s">
        <v>1834</v>
      </c>
      <c r="B806" s="491" t="s">
        <v>1878</v>
      </c>
      <c r="C806" s="2" t="s">
        <v>1879</v>
      </c>
      <c r="D806" s="2">
        <v>24</v>
      </c>
      <c r="E806" s="3" t="s">
        <v>1561</v>
      </c>
      <c r="F806" s="270"/>
      <c r="L806" s="2"/>
      <c r="P806"/>
      <c r="Q806"/>
      <c r="R806"/>
      <c r="S806"/>
      <c r="T806"/>
    </row>
    <row r="807" spans="1:20" s="14" customFormat="1" x14ac:dyDescent="0.25">
      <c r="A807" s="2" t="s">
        <v>1844</v>
      </c>
      <c r="B807" s="491" t="s">
        <v>1883</v>
      </c>
      <c r="C807" s="2" t="s">
        <v>1879</v>
      </c>
      <c r="D807" s="2">
        <v>24</v>
      </c>
      <c r="E807" s="3" t="s">
        <v>1561</v>
      </c>
      <c r="F807" s="270"/>
      <c r="L807" s="2"/>
      <c r="P807"/>
      <c r="Q807"/>
      <c r="R807"/>
      <c r="S807"/>
      <c r="T807"/>
    </row>
    <row r="808" spans="1:20" s="14" customFormat="1" x14ac:dyDescent="0.25">
      <c r="A808" s="2" t="s">
        <v>1877</v>
      </c>
      <c r="B808" s="491" t="s">
        <v>2522</v>
      </c>
      <c r="C808" s="2" t="s">
        <v>1887</v>
      </c>
      <c r="D808" s="2"/>
      <c r="E808" s="3" t="s">
        <v>4334</v>
      </c>
      <c r="F808" s="270"/>
      <c r="L808" s="2"/>
      <c r="P808"/>
      <c r="Q808"/>
      <c r="R808"/>
      <c r="S808"/>
      <c r="T808"/>
    </row>
    <row r="809" spans="1:20" s="14" customFormat="1" x14ac:dyDescent="0.25">
      <c r="A809" s="2" t="s">
        <v>1882</v>
      </c>
      <c r="B809" s="491" t="s">
        <v>1889</v>
      </c>
      <c r="C809" s="2" t="s">
        <v>1879</v>
      </c>
      <c r="D809" s="2"/>
      <c r="E809" s="3" t="s">
        <v>1626</v>
      </c>
      <c r="F809" s="270"/>
      <c r="L809" s="2"/>
      <c r="P809"/>
      <c r="Q809"/>
      <c r="R809"/>
      <c r="S809"/>
      <c r="T809"/>
    </row>
    <row r="810" spans="1:20" s="14" customFormat="1" x14ac:dyDescent="0.25">
      <c r="A810" s="2" t="s">
        <v>1886</v>
      </c>
      <c r="B810" s="491" t="s">
        <v>1891</v>
      </c>
      <c r="C810" s="2" t="s">
        <v>1879</v>
      </c>
      <c r="D810" s="2">
        <v>12</v>
      </c>
      <c r="E810" s="3" t="s">
        <v>1576</v>
      </c>
      <c r="F810" s="270"/>
      <c r="L810" s="2"/>
      <c r="P810"/>
      <c r="Q810"/>
      <c r="R810"/>
      <c r="S810"/>
      <c r="T810"/>
    </row>
    <row r="811" spans="1:20" s="14" customFormat="1" x14ac:dyDescent="0.25">
      <c r="A811" s="2" t="s">
        <v>1888</v>
      </c>
      <c r="B811" s="491" t="s">
        <v>3508</v>
      </c>
      <c r="C811" s="2" t="s">
        <v>1900</v>
      </c>
      <c r="D811" s="2">
        <v>48</v>
      </c>
      <c r="E811" s="3" t="s">
        <v>1576</v>
      </c>
      <c r="F811" s="270"/>
      <c r="L811" s="2"/>
      <c r="P811"/>
      <c r="Q811"/>
      <c r="R811"/>
      <c r="S811"/>
      <c r="T811"/>
    </row>
    <row r="812" spans="1:20" s="14" customFormat="1" x14ac:dyDescent="0.25">
      <c r="A812" s="2" t="s">
        <v>1890</v>
      </c>
      <c r="B812" s="491" t="s">
        <v>2047</v>
      </c>
      <c r="C812" s="2" t="s">
        <v>2048</v>
      </c>
      <c r="D812" s="2">
        <v>81</v>
      </c>
      <c r="E812" s="3" t="s">
        <v>1546</v>
      </c>
      <c r="F812" s="270"/>
      <c r="L812" s="2"/>
      <c r="P812"/>
      <c r="Q812"/>
      <c r="R812"/>
      <c r="S812"/>
      <c r="T812"/>
    </row>
    <row r="813" spans="1:20" s="14" customFormat="1" x14ac:dyDescent="0.25">
      <c r="A813" s="2" t="s">
        <v>1899</v>
      </c>
      <c r="B813" s="491" t="s">
        <v>2043</v>
      </c>
      <c r="C813" s="2" t="s">
        <v>1817</v>
      </c>
      <c r="D813" s="2">
        <v>0</v>
      </c>
      <c r="E813" s="3" t="s">
        <v>1546</v>
      </c>
      <c r="F813" s="270"/>
      <c r="L813" s="2"/>
      <c r="P813"/>
      <c r="Q813"/>
      <c r="R813"/>
      <c r="S813"/>
      <c r="T813"/>
    </row>
    <row r="814" spans="1:20" s="14" customFormat="1" x14ac:dyDescent="0.25">
      <c r="A814" s="2" t="s">
        <v>2046</v>
      </c>
      <c r="B814" s="491" t="s">
        <v>2141</v>
      </c>
      <c r="C814" s="2" t="s">
        <v>2792</v>
      </c>
      <c r="D814" s="2">
        <v>-3</v>
      </c>
      <c r="E814" s="3" t="s">
        <v>1561</v>
      </c>
      <c r="F814" s="270"/>
      <c r="L814" s="2"/>
      <c r="P814"/>
      <c r="Q814"/>
      <c r="R814"/>
      <c r="S814"/>
      <c r="T814"/>
    </row>
    <row r="815" spans="1:20" s="14" customFormat="1" x14ac:dyDescent="0.25">
      <c r="A815" s="2" t="s">
        <v>2049</v>
      </c>
      <c r="B815" s="491" t="s">
        <v>2184</v>
      </c>
      <c r="C815" s="2" t="s">
        <v>2185</v>
      </c>
      <c r="D815" s="2">
        <v>-20</v>
      </c>
      <c r="E815" s="3" t="s">
        <v>1879</v>
      </c>
      <c r="F815" s="270"/>
      <c r="L815" s="2"/>
      <c r="P815"/>
      <c r="Q815"/>
      <c r="R815"/>
      <c r="S815"/>
      <c r="T815"/>
    </row>
    <row r="816" spans="1:20" s="14" customFormat="1" x14ac:dyDescent="0.25">
      <c r="A816" s="2" t="s">
        <v>2140</v>
      </c>
      <c r="B816" s="491" t="s">
        <v>3698</v>
      </c>
      <c r="C816" s="2" t="s">
        <v>2208</v>
      </c>
      <c r="D816" s="2">
        <v>-8</v>
      </c>
      <c r="E816" s="3" t="s">
        <v>1879</v>
      </c>
      <c r="F816" s="270"/>
      <c r="L816" s="2"/>
      <c r="P816"/>
      <c r="Q816"/>
      <c r="R816"/>
      <c r="S816"/>
      <c r="T816"/>
    </row>
    <row r="817" spans="1:20" s="14" customFormat="1" x14ac:dyDescent="0.25">
      <c r="A817" s="2" t="s">
        <v>2183</v>
      </c>
      <c r="B817" s="491" t="s">
        <v>5106</v>
      </c>
      <c r="C817" s="2" t="s">
        <v>2770</v>
      </c>
      <c r="D817" s="2">
        <v>-8</v>
      </c>
      <c r="E817" s="3" t="s">
        <v>1576</v>
      </c>
      <c r="F817" s="270"/>
      <c r="L817" s="2"/>
      <c r="P817"/>
      <c r="Q817"/>
      <c r="R817"/>
      <c r="S817"/>
      <c r="T817"/>
    </row>
    <row r="818" spans="1:20" s="14" customFormat="1" x14ac:dyDescent="0.25">
      <c r="A818" s="2" t="s">
        <v>2207</v>
      </c>
      <c r="B818" s="491" t="s">
        <v>3697</v>
      </c>
      <c r="C818" s="2" t="s">
        <v>1900</v>
      </c>
      <c r="D818" s="2">
        <v>150</v>
      </c>
      <c r="E818" s="3" t="s">
        <v>1562</v>
      </c>
      <c r="F818" s="270"/>
      <c r="L818" s="2"/>
      <c r="P818"/>
      <c r="Q818"/>
      <c r="R818"/>
      <c r="S818"/>
      <c r="T818"/>
    </row>
    <row r="819" spans="1:20" s="14" customFormat="1" x14ac:dyDescent="0.25">
      <c r="A819" s="2" t="s">
        <v>2229</v>
      </c>
      <c r="B819" s="491" t="s">
        <v>2285</v>
      </c>
      <c r="C819" s="2" t="s">
        <v>1539</v>
      </c>
      <c r="D819" s="2">
        <v>-20</v>
      </c>
      <c r="E819" s="3" t="s">
        <v>1524</v>
      </c>
      <c r="F819" s="270"/>
      <c r="L819" s="2"/>
      <c r="P819"/>
      <c r="Q819"/>
      <c r="R819"/>
      <c r="S819"/>
      <c r="T819"/>
    </row>
    <row r="820" spans="1:20" s="14" customFormat="1" x14ac:dyDescent="0.25">
      <c r="A820" s="2" t="s">
        <v>2235</v>
      </c>
      <c r="B820" s="491" t="s">
        <v>2290</v>
      </c>
      <c r="C820" s="2" t="s">
        <v>733</v>
      </c>
      <c r="D820" s="2">
        <v>-132</v>
      </c>
      <c r="E820" s="3" t="s">
        <v>1562</v>
      </c>
      <c r="F820" s="270"/>
      <c r="L820" s="2"/>
      <c r="P820"/>
      <c r="Q820"/>
      <c r="R820"/>
      <c r="S820"/>
      <c r="T820"/>
    </row>
    <row r="821" spans="1:20" s="14" customFormat="1" x14ac:dyDescent="0.25">
      <c r="A821" s="2" t="s">
        <v>2284</v>
      </c>
      <c r="B821" s="491" t="s">
        <v>2523</v>
      </c>
      <c r="C821" s="2" t="s">
        <v>1887</v>
      </c>
      <c r="D821" s="2">
        <v>140</v>
      </c>
      <c r="E821" s="3" t="s">
        <v>2044</v>
      </c>
      <c r="F821" s="270"/>
      <c r="L821" s="2"/>
      <c r="P821"/>
      <c r="Q821"/>
      <c r="R821"/>
      <c r="S821"/>
      <c r="T821"/>
    </row>
    <row r="822" spans="1:20" s="14" customFormat="1" x14ac:dyDescent="0.25">
      <c r="A822" s="2" t="s">
        <v>2289</v>
      </c>
      <c r="B822" s="491" t="s">
        <v>2620</v>
      </c>
      <c r="C822" s="2" t="s">
        <v>1539</v>
      </c>
      <c r="D822" s="2">
        <v>40</v>
      </c>
      <c r="E822" s="3" t="s">
        <v>1524</v>
      </c>
      <c r="F822" s="270"/>
      <c r="L822" s="2"/>
      <c r="P822"/>
      <c r="Q822"/>
      <c r="R822"/>
      <c r="S822"/>
      <c r="T822"/>
    </row>
    <row r="823" spans="1:20" s="14" customFormat="1" x14ac:dyDescent="0.25">
      <c r="A823" s="2" t="s">
        <v>2359</v>
      </c>
      <c r="B823" s="491" t="s">
        <v>2368</v>
      </c>
      <c r="C823" s="2" t="s">
        <v>1539</v>
      </c>
      <c r="D823" s="2">
        <v>0</v>
      </c>
      <c r="E823" s="3" t="s">
        <v>1524</v>
      </c>
      <c r="F823" s="270"/>
      <c r="L823" s="2"/>
      <c r="M823" s="14">
        <v>0</v>
      </c>
      <c r="P823"/>
      <c r="Q823"/>
      <c r="R823"/>
      <c r="S823"/>
      <c r="T823"/>
    </row>
    <row r="824" spans="1:20" s="14" customFormat="1" x14ac:dyDescent="0.25">
      <c r="A824" s="2" t="s">
        <v>2366</v>
      </c>
      <c r="B824" s="491" t="s">
        <v>2370</v>
      </c>
      <c r="C824" s="2" t="s">
        <v>1539</v>
      </c>
      <c r="D824" s="2">
        <v>70</v>
      </c>
      <c r="E824" s="3" t="s">
        <v>1524</v>
      </c>
      <c r="F824" s="270"/>
      <c r="L824" s="2"/>
      <c r="P824"/>
      <c r="Q824"/>
      <c r="R824"/>
      <c r="S824"/>
      <c r="T824"/>
    </row>
    <row r="825" spans="1:20" s="14" customFormat="1" x14ac:dyDescent="0.25">
      <c r="A825" s="2" t="s">
        <v>2367</v>
      </c>
      <c r="B825" s="491" t="s">
        <v>2372</v>
      </c>
      <c r="C825" s="2" t="s">
        <v>1539</v>
      </c>
      <c r="D825" s="2">
        <v>-5</v>
      </c>
      <c r="E825" s="3" t="s">
        <v>1524</v>
      </c>
      <c r="F825" s="270"/>
      <c r="L825" s="2"/>
      <c r="P825"/>
      <c r="Q825"/>
      <c r="R825"/>
      <c r="S825"/>
      <c r="T825"/>
    </row>
    <row r="826" spans="1:20" s="14" customFormat="1" x14ac:dyDescent="0.25">
      <c r="A826" s="2" t="s">
        <v>2369</v>
      </c>
      <c r="B826" s="491" t="s">
        <v>2409</v>
      </c>
      <c r="C826" s="2" t="s">
        <v>1817</v>
      </c>
      <c r="D826" s="2">
        <v>12</v>
      </c>
      <c r="E826" s="3" t="s">
        <v>1576</v>
      </c>
      <c r="F826" s="270"/>
      <c r="L826" s="2"/>
      <c r="P826"/>
      <c r="Q826"/>
      <c r="R826"/>
      <c r="S826"/>
      <c r="T826"/>
    </row>
    <row r="827" spans="1:20" s="14" customFormat="1" x14ac:dyDescent="0.25">
      <c r="A827" s="2" t="s">
        <v>2371</v>
      </c>
      <c r="B827" s="491" t="s">
        <v>2412</v>
      </c>
      <c r="C827" s="2" t="s">
        <v>2413</v>
      </c>
      <c r="D827" s="2">
        <v>-90</v>
      </c>
      <c r="E827" s="3" t="s">
        <v>1562</v>
      </c>
      <c r="F827" s="270"/>
      <c r="L827" s="2"/>
      <c r="P827"/>
      <c r="Q827"/>
      <c r="R827"/>
      <c r="S827"/>
      <c r="T827"/>
    </row>
    <row r="828" spans="1:20" s="14" customFormat="1" x14ac:dyDescent="0.25">
      <c r="A828" s="2" t="s">
        <v>2408</v>
      </c>
      <c r="B828" s="491" t="s">
        <v>2415</v>
      </c>
      <c r="C828" s="2" t="s">
        <v>426</v>
      </c>
      <c r="D828" s="2">
        <v>21</v>
      </c>
      <c r="E828" s="3" t="s">
        <v>1524</v>
      </c>
      <c r="F828" s="270"/>
      <c r="H828" s="14">
        <v>8</v>
      </c>
      <c r="K828" s="14">
        <v>9</v>
      </c>
      <c r="L828" s="2"/>
      <c r="P828"/>
      <c r="Q828"/>
      <c r="R828"/>
      <c r="S828"/>
      <c r="T828"/>
    </row>
    <row r="829" spans="1:20" s="14" customFormat="1" ht="18.75" customHeight="1" x14ac:dyDescent="0.25">
      <c r="A829" s="2" t="s">
        <v>2411</v>
      </c>
      <c r="B829" s="491" t="s">
        <v>2424</v>
      </c>
      <c r="C829" s="2" t="s">
        <v>2425</v>
      </c>
      <c r="D829" s="2">
        <v>7</v>
      </c>
      <c r="E829" s="3" t="s">
        <v>1739</v>
      </c>
      <c r="F829" s="270"/>
      <c r="L829" s="2"/>
      <c r="P829"/>
      <c r="Q829"/>
      <c r="R829"/>
      <c r="S829"/>
      <c r="T829"/>
    </row>
    <row r="830" spans="1:20" s="14" customFormat="1" ht="15" customHeight="1" x14ac:dyDescent="0.25">
      <c r="A830" s="2" t="s">
        <v>2414</v>
      </c>
      <c r="B830" s="491" t="s">
        <v>2453</v>
      </c>
      <c r="C830" s="2" t="s">
        <v>2454</v>
      </c>
      <c r="D830" s="2">
        <v>-2</v>
      </c>
      <c r="E830" s="3" t="s">
        <v>1561</v>
      </c>
      <c r="F830" s="270"/>
      <c r="L830" s="2"/>
      <c r="P830"/>
      <c r="Q830"/>
      <c r="R830"/>
      <c r="S830"/>
      <c r="T830"/>
    </row>
    <row r="831" spans="1:20" s="14" customFormat="1" x14ac:dyDescent="0.25">
      <c r="A831" s="2" t="s">
        <v>2423</v>
      </c>
      <c r="B831" s="491" t="s">
        <v>2456</v>
      </c>
      <c r="C831" s="2" t="s">
        <v>2457</v>
      </c>
      <c r="D831" s="2">
        <v>26</v>
      </c>
      <c r="E831" s="3" t="s">
        <v>1524</v>
      </c>
      <c r="F831" s="270"/>
      <c r="H831" s="14">
        <v>1</v>
      </c>
      <c r="K831" s="14">
        <v>6</v>
      </c>
      <c r="L831" s="2"/>
      <c r="P831"/>
      <c r="Q831"/>
      <c r="R831"/>
      <c r="S831"/>
      <c r="T831"/>
    </row>
    <row r="832" spans="1:20" s="14" customFormat="1" x14ac:dyDescent="0.25">
      <c r="A832" s="2" t="s">
        <v>2452</v>
      </c>
      <c r="B832" s="491" t="s">
        <v>2463</v>
      </c>
      <c r="C832" s="2" t="s">
        <v>2464</v>
      </c>
      <c r="D832" s="2">
        <v>31</v>
      </c>
      <c r="E832" s="3" t="s">
        <v>1524</v>
      </c>
      <c r="F832" s="270"/>
      <c r="H832" s="14">
        <v>23</v>
      </c>
      <c r="K832" s="14">
        <v>7</v>
      </c>
      <c r="L832" s="2"/>
      <c r="P832"/>
      <c r="Q832"/>
      <c r="R832"/>
      <c r="S832"/>
      <c r="T832"/>
    </row>
    <row r="833" spans="1:20" s="14" customFormat="1" ht="15" customHeight="1" x14ac:dyDescent="0.25">
      <c r="A833" s="2" t="s">
        <v>2455</v>
      </c>
      <c r="B833" s="491" t="s">
        <v>2466</v>
      </c>
      <c r="C833" s="2" t="s">
        <v>2464</v>
      </c>
      <c r="D833" s="2">
        <v>34</v>
      </c>
      <c r="E833" s="3" t="s">
        <v>1524</v>
      </c>
      <c r="F833" s="270"/>
      <c r="H833" s="14">
        <v>10</v>
      </c>
      <c r="K833" s="14">
        <v>10</v>
      </c>
      <c r="L833" s="2"/>
      <c r="P833"/>
      <c r="Q833"/>
      <c r="R833"/>
      <c r="S833"/>
      <c r="T833"/>
    </row>
    <row r="834" spans="1:20" s="14" customFormat="1" ht="15" customHeight="1" x14ac:dyDescent="0.25">
      <c r="A834" s="2" t="s">
        <v>2462</v>
      </c>
      <c r="B834" s="491" t="s">
        <v>2514</v>
      </c>
      <c r="C834" s="2" t="s">
        <v>2515</v>
      </c>
      <c r="D834" s="2">
        <v>-1</v>
      </c>
      <c r="E834" s="3" t="s">
        <v>1524</v>
      </c>
      <c r="F834" s="270"/>
      <c r="H834" s="14">
        <v>5</v>
      </c>
      <c r="K834" s="14">
        <v>3</v>
      </c>
      <c r="L834" s="2"/>
      <c r="P834"/>
      <c r="Q834"/>
      <c r="R834"/>
      <c r="S834"/>
      <c r="T834"/>
    </row>
    <row r="835" spans="1:20" s="14" customFormat="1" ht="15" customHeight="1" x14ac:dyDescent="0.25">
      <c r="A835" s="2" t="s">
        <v>2465</v>
      </c>
      <c r="B835" s="491" t="s">
        <v>2517</v>
      </c>
      <c r="C835" s="2" t="s">
        <v>2515</v>
      </c>
      <c r="D835" s="2">
        <v>321</v>
      </c>
      <c r="E835" s="3" t="s">
        <v>1556</v>
      </c>
      <c r="F835" s="270"/>
      <c r="L835" s="2"/>
      <c r="P835"/>
      <c r="Q835"/>
      <c r="R835"/>
      <c r="S835"/>
      <c r="T835"/>
    </row>
    <row r="836" spans="1:20" s="14" customFormat="1" ht="15" customHeight="1" x14ac:dyDescent="0.25">
      <c r="A836" s="2" t="s">
        <v>2513</v>
      </c>
      <c r="B836" s="491" t="s">
        <v>2524</v>
      </c>
      <c r="C836" s="2" t="s">
        <v>1887</v>
      </c>
      <c r="D836" s="2">
        <v>144</v>
      </c>
      <c r="E836" s="3" t="s">
        <v>1561</v>
      </c>
      <c r="F836" s="270"/>
      <c r="L836" s="2"/>
      <c r="P836"/>
      <c r="Q836"/>
      <c r="R836"/>
      <c r="S836"/>
      <c r="T836"/>
    </row>
    <row r="837" spans="1:20" s="14" customFormat="1" ht="15" customHeight="1" x14ac:dyDescent="0.25">
      <c r="A837" s="2" t="s">
        <v>2516</v>
      </c>
      <c r="B837" s="491" t="s">
        <v>2530</v>
      </c>
      <c r="C837" s="2" t="s">
        <v>2531</v>
      </c>
      <c r="D837" s="2">
        <v>6</v>
      </c>
      <c r="E837" s="3" t="s">
        <v>1561</v>
      </c>
      <c r="F837" s="270"/>
      <c r="L837" s="2"/>
      <c r="P837"/>
      <c r="Q837"/>
      <c r="R837"/>
      <c r="S837"/>
      <c r="T837"/>
    </row>
    <row r="838" spans="1:20" s="14" customFormat="1" ht="15" customHeight="1" x14ac:dyDescent="0.25">
      <c r="A838" s="2" t="s">
        <v>2519</v>
      </c>
      <c r="B838" s="491" t="s">
        <v>2533</v>
      </c>
      <c r="C838" s="2" t="s">
        <v>2138</v>
      </c>
      <c r="D838" s="2">
        <v>-48</v>
      </c>
      <c r="E838" s="3" t="s">
        <v>1561</v>
      </c>
      <c r="F838" s="270"/>
      <c r="L838" s="2"/>
      <c r="P838"/>
      <c r="Q838"/>
      <c r="R838"/>
      <c r="S838"/>
      <c r="T838"/>
    </row>
    <row r="839" spans="1:20" s="14" customFormat="1" x14ac:dyDescent="0.25">
      <c r="A839" s="2" t="s">
        <v>2529</v>
      </c>
      <c r="B839" s="491" t="s">
        <v>2538</v>
      </c>
      <c r="C839" s="2" t="s">
        <v>2539</v>
      </c>
      <c r="D839" s="2">
        <v>35</v>
      </c>
      <c r="E839" s="3" t="s">
        <v>1561</v>
      </c>
      <c r="F839" s="270"/>
      <c r="L839" s="2"/>
      <c r="P839"/>
      <c r="Q839"/>
      <c r="R839"/>
      <c r="S839"/>
      <c r="T839"/>
    </row>
    <row r="840" spans="1:20" s="14" customFormat="1" x14ac:dyDescent="0.25">
      <c r="A840" s="2" t="s">
        <v>2532</v>
      </c>
      <c r="B840" s="491" t="s">
        <v>2541</v>
      </c>
      <c r="C840" s="2" t="s">
        <v>2515</v>
      </c>
      <c r="D840" s="2">
        <v>12</v>
      </c>
      <c r="E840" s="3" t="s">
        <v>1561</v>
      </c>
      <c r="F840" s="270"/>
      <c r="L840" s="2"/>
      <c r="P840"/>
      <c r="Q840"/>
      <c r="R840"/>
      <c r="S840"/>
      <c r="T840"/>
    </row>
    <row r="841" spans="1:20" s="14" customFormat="1" x14ac:dyDescent="0.25">
      <c r="A841" s="2" t="s">
        <v>2537</v>
      </c>
      <c r="B841" s="491" t="s">
        <v>2543</v>
      </c>
      <c r="C841" s="2" t="s">
        <v>2515</v>
      </c>
      <c r="D841" s="2">
        <v>18</v>
      </c>
      <c r="E841" s="3" t="s">
        <v>1561</v>
      </c>
      <c r="F841" s="270"/>
      <c r="L841" s="2"/>
      <c r="P841"/>
      <c r="Q841"/>
      <c r="R841"/>
      <c r="S841"/>
      <c r="T841"/>
    </row>
    <row r="842" spans="1:20" s="14" customFormat="1" ht="15" customHeight="1" x14ac:dyDescent="0.25">
      <c r="A842" s="2" t="s">
        <v>2540</v>
      </c>
      <c r="B842" s="491" t="s">
        <v>2545</v>
      </c>
      <c r="C842" s="2" t="s">
        <v>2515</v>
      </c>
      <c r="D842" s="2">
        <v>0</v>
      </c>
      <c r="E842" s="3" t="s">
        <v>1561</v>
      </c>
      <c r="F842" s="270"/>
      <c r="L842" s="2"/>
      <c r="P842"/>
      <c r="Q842"/>
      <c r="R842"/>
      <c r="S842"/>
      <c r="T842"/>
    </row>
    <row r="843" spans="1:20" s="14" customFormat="1" ht="15" customHeight="1" x14ac:dyDescent="0.25">
      <c r="A843" s="2" t="s">
        <v>2542</v>
      </c>
      <c r="B843" s="491" t="s">
        <v>2550</v>
      </c>
      <c r="C843" s="2" t="s">
        <v>2551</v>
      </c>
      <c r="D843" s="2">
        <v>24</v>
      </c>
      <c r="E843" s="3" t="s">
        <v>2509</v>
      </c>
      <c r="F843" s="270"/>
      <c r="L843" s="2"/>
      <c r="P843"/>
      <c r="Q843"/>
      <c r="R843"/>
      <c r="S843"/>
      <c r="T843"/>
    </row>
    <row r="844" spans="1:20" s="14" customFormat="1" x14ac:dyDescent="0.25">
      <c r="A844" s="2" t="s">
        <v>2544</v>
      </c>
      <c r="B844" s="491" t="s">
        <v>2568</v>
      </c>
      <c r="C844" s="2" t="s">
        <v>1879</v>
      </c>
      <c r="D844" s="2">
        <v>48</v>
      </c>
      <c r="E844" s="3" t="s">
        <v>2509</v>
      </c>
      <c r="F844" s="270"/>
      <c r="L844" s="2"/>
      <c r="P844"/>
      <c r="Q844"/>
      <c r="R844"/>
      <c r="S844"/>
      <c r="T844"/>
    </row>
    <row r="845" spans="1:20" s="14" customFormat="1" x14ac:dyDescent="0.25">
      <c r="A845" s="2" t="s">
        <v>2549</v>
      </c>
      <c r="B845" s="491" t="s">
        <v>2622</v>
      </c>
      <c r="C845" s="2" t="s">
        <v>1539</v>
      </c>
      <c r="D845" s="2">
        <v>17</v>
      </c>
      <c r="E845" s="3" t="s">
        <v>1524</v>
      </c>
      <c r="F845" s="270"/>
      <c r="L845" s="2"/>
      <c r="P845"/>
      <c r="Q845"/>
      <c r="R845"/>
      <c r="S845"/>
      <c r="T845"/>
    </row>
    <row r="846" spans="1:20" s="14" customFormat="1" x14ac:dyDescent="0.25">
      <c r="A846" s="2" t="s">
        <v>2567</v>
      </c>
      <c r="B846" s="491" t="s">
        <v>2624</v>
      </c>
      <c r="C846" s="2" t="s">
        <v>1539</v>
      </c>
      <c r="D846" s="2">
        <v>2</v>
      </c>
      <c r="E846" s="3" t="s">
        <v>1524</v>
      </c>
      <c r="F846" s="270"/>
      <c r="L846" s="2"/>
      <c r="P846"/>
      <c r="Q846"/>
      <c r="R846"/>
      <c r="S846"/>
      <c r="T846"/>
    </row>
    <row r="847" spans="1:20" s="14" customFormat="1" x14ac:dyDescent="0.25">
      <c r="A847" s="2" t="s">
        <v>2621</v>
      </c>
      <c r="B847" s="491" t="s">
        <v>2626</v>
      </c>
      <c r="C847" s="2" t="s">
        <v>1539</v>
      </c>
      <c r="D847" s="2">
        <v>0</v>
      </c>
      <c r="E847" s="3" t="s">
        <v>1524</v>
      </c>
      <c r="F847" s="270"/>
      <c r="L847" s="2"/>
      <c r="P847"/>
      <c r="Q847"/>
      <c r="R847"/>
      <c r="S847"/>
      <c r="T847"/>
    </row>
    <row r="848" spans="1:20" s="14" customFormat="1" x14ac:dyDescent="0.25">
      <c r="A848" s="2" t="s">
        <v>2623</v>
      </c>
      <c r="B848" s="491" t="s">
        <v>2628</v>
      </c>
      <c r="C848" s="2" t="s">
        <v>1539</v>
      </c>
      <c r="D848" s="2">
        <v>12</v>
      </c>
      <c r="E848" s="3" t="s">
        <v>1524</v>
      </c>
      <c r="F848" s="270"/>
      <c r="L848" s="2"/>
      <c r="P848"/>
      <c r="Q848"/>
      <c r="R848"/>
      <c r="S848"/>
      <c r="T848"/>
    </row>
    <row r="849" spans="1:20" s="14" customFormat="1" ht="15" customHeight="1" x14ac:dyDescent="0.25">
      <c r="A849" s="2" t="s">
        <v>2625</v>
      </c>
      <c r="B849" s="491" t="s">
        <v>2679</v>
      </c>
      <c r="C849" s="2" t="s">
        <v>2680</v>
      </c>
      <c r="D849" s="2">
        <v>24</v>
      </c>
      <c r="E849" s="3" t="s">
        <v>2509</v>
      </c>
      <c r="F849" s="270"/>
      <c r="L849" s="2"/>
      <c r="P849"/>
      <c r="Q849"/>
      <c r="R849"/>
      <c r="S849"/>
      <c r="T849"/>
    </row>
    <row r="850" spans="1:20" s="14" customFormat="1" x14ac:dyDescent="0.25">
      <c r="A850" s="2" t="s">
        <v>2627</v>
      </c>
      <c r="B850" s="491" t="s">
        <v>2682</v>
      </c>
      <c r="C850" s="2" t="s">
        <v>2683</v>
      </c>
      <c r="D850" s="2">
        <v>9</v>
      </c>
      <c r="E850" s="3" t="s">
        <v>2509</v>
      </c>
      <c r="F850" s="270"/>
      <c r="L850" s="2"/>
      <c r="P850"/>
      <c r="Q850"/>
      <c r="R850"/>
      <c r="S850"/>
      <c r="T850"/>
    </row>
    <row r="851" spans="1:20" s="14" customFormat="1" ht="15" customHeight="1" x14ac:dyDescent="0.25">
      <c r="A851" s="2" t="s">
        <v>2678</v>
      </c>
      <c r="B851" s="491" t="s">
        <v>2685</v>
      </c>
      <c r="C851" s="2" t="s">
        <v>1539</v>
      </c>
      <c r="D851" s="2">
        <v>14</v>
      </c>
      <c r="E851" s="3" t="s">
        <v>1524</v>
      </c>
      <c r="F851" s="270"/>
      <c r="L851" s="2"/>
      <c r="P851"/>
      <c r="Q851"/>
      <c r="R851"/>
      <c r="S851"/>
      <c r="T851"/>
    </row>
    <row r="852" spans="1:20" s="14" customFormat="1" x14ac:dyDescent="0.25">
      <c r="A852" s="2" t="s">
        <v>2681</v>
      </c>
      <c r="B852" s="491" t="s">
        <v>4109</v>
      </c>
      <c r="C852" s="2" t="s">
        <v>1900</v>
      </c>
      <c r="D852" s="2">
        <v>120</v>
      </c>
      <c r="E852" s="3" t="s">
        <v>2041</v>
      </c>
      <c r="F852" s="270"/>
      <c r="L852" s="2"/>
      <c r="P852"/>
      <c r="Q852"/>
      <c r="R852"/>
      <c r="S852"/>
      <c r="T852"/>
    </row>
    <row r="853" spans="1:20" s="14" customFormat="1" x14ac:dyDescent="0.25">
      <c r="A853" s="2" t="s">
        <v>2684</v>
      </c>
      <c r="B853" s="491" t="s">
        <v>2696</v>
      </c>
      <c r="C853" s="2" t="s">
        <v>1900</v>
      </c>
      <c r="D853" s="2">
        <v>-3</v>
      </c>
      <c r="E853" s="3" t="s">
        <v>1879</v>
      </c>
      <c r="F853" s="270"/>
      <c r="L853" s="2"/>
      <c r="P853"/>
      <c r="Q853"/>
      <c r="R853"/>
      <c r="S853"/>
      <c r="T853"/>
    </row>
    <row r="854" spans="1:20" s="14" customFormat="1" x14ac:dyDescent="0.25">
      <c r="A854" s="2" t="s">
        <v>2694</v>
      </c>
      <c r="B854" s="491" t="s">
        <v>3595</v>
      </c>
      <c r="C854" s="2" t="s">
        <v>2711</v>
      </c>
      <c r="D854" s="2">
        <v>7</v>
      </c>
      <c r="E854" s="3" t="s">
        <v>1524</v>
      </c>
      <c r="F854" s="270"/>
      <c r="K854" s="14">
        <v>0</v>
      </c>
      <c r="L854" s="2"/>
      <c r="P854"/>
      <c r="Q854"/>
      <c r="R854"/>
      <c r="S854"/>
      <c r="T854"/>
    </row>
    <row r="855" spans="1:20" s="14" customFormat="1" x14ac:dyDescent="0.25">
      <c r="A855" s="2" t="s">
        <v>2695</v>
      </c>
      <c r="B855" s="491" t="s">
        <v>2761</v>
      </c>
      <c r="C855" s="2" t="s">
        <v>2680</v>
      </c>
      <c r="D855" s="2">
        <v>0</v>
      </c>
      <c r="E855" s="3" t="s">
        <v>1524</v>
      </c>
      <c r="F855" s="270"/>
      <c r="K855" s="14">
        <v>0</v>
      </c>
      <c r="L855" s="2"/>
      <c r="P855"/>
      <c r="Q855"/>
      <c r="R855"/>
      <c r="S855"/>
      <c r="T855"/>
    </row>
    <row r="856" spans="1:20" s="14" customFormat="1" x14ac:dyDescent="0.25">
      <c r="A856" s="2" t="s">
        <v>2712</v>
      </c>
      <c r="B856" s="491" t="s">
        <v>3699</v>
      </c>
      <c r="C856" s="2" t="s">
        <v>2763</v>
      </c>
      <c r="D856" s="2">
        <v>0</v>
      </c>
      <c r="E856" s="3" t="s">
        <v>1524</v>
      </c>
      <c r="F856" s="270"/>
      <c r="K856" s="14">
        <v>0</v>
      </c>
      <c r="L856" s="2"/>
      <c r="P856"/>
      <c r="Q856"/>
      <c r="R856"/>
      <c r="S856"/>
      <c r="T856"/>
    </row>
    <row r="857" spans="1:20" s="14" customFormat="1" ht="15" customHeight="1" x14ac:dyDescent="0.25">
      <c r="A857" s="2" t="s">
        <v>2760</v>
      </c>
      <c r="B857" s="491" t="s">
        <v>5105</v>
      </c>
      <c r="C857" s="2" t="s">
        <v>2765</v>
      </c>
      <c r="D857" s="2">
        <v>0</v>
      </c>
      <c r="E857" s="3" t="s">
        <v>1576</v>
      </c>
      <c r="F857" s="270"/>
      <c r="K857" s="14">
        <v>0</v>
      </c>
      <c r="L857" s="2"/>
      <c r="P857"/>
      <c r="Q857"/>
      <c r="R857"/>
      <c r="S857"/>
      <c r="T857"/>
    </row>
    <row r="858" spans="1:20" s="14" customFormat="1" x14ac:dyDescent="0.25">
      <c r="A858" s="2" t="s">
        <v>2762</v>
      </c>
      <c r="B858" s="491" t="s">
        <v>5107</v>
      </c>
      <c r="C858" s="2" t="s">
        <v>2765</v>
      </c>
      <c r="D858" s="2">
        <v>0</v>
      </c>
      <c r="E858" s="3" t="s">
        <v>1576</v>
      </c>
      <c r="F858" s="270"/>
      <c r="L858" s="2"/>
      <c r="P858"/>
      <c r="Q858"/>
      <c r="R858"/>
      <c r="S858"/>
      <c r="T858"/>
    </row>
    <row r="859" spans="1:20" s="14" customFormat="1" ht="15" customHeight="1" x14ac:dyDescent="0.25">
      <c r="A859" s="2" t="s">
        <v>2764</v>
      </c>
      <c r="B859" s="491" t="s">
        <v>5077</v>
      </c>
      <c r="C859" s="2" t="s">
        <v>2765</v>
      </c>
      <c r="D859" s="2">
        <v>1</v>
      </c>
      <c r="E859" s="3" t="s">
        <v>1576</v>
      </c>
      <c r="F859" s="270"/>
      <c r="L859" s="2"/>
      <c r="P859"/>
      <c r="Q859"/>
      <c r="R859"/>
      <c r="S859"/>
      <c r="T859"/>
    </row>
    <row r="860" spans="1:20" s="14" customFormat="1" ht="15" customHeight="1" x14ac:dyDescent="0.25">
      <c r="A860" s="2" t="s">
        <v>2766</v>
      </c>
      <c r="B860" s="491" t="s">
        <v>2769</v>
      </c>
      <c r="C860" s="2" t="s">
        <v>2770</v>
      </c>
      <c r="D860" s="2">
        <v>4</v>
      </c>
      <c r="E860" s="3" t="s">
        <v>1524</v>
      </c>
      <c r="F860" s="270"/>
      <c r="K860" s="14">
        <v>4</v>
      </c>
      <c r="L860" s="2"/>
      <c r="P860"/>
      <c r="Q860"/>
      <c r="R860"/>
      <c r="S860"/>
      <c r="T860"/>
    </row>
    <row r="861" spans="1:20" s="14" customFormat="1" ht="15" customHeight="1" x14ac:dyDescent="0.25">
      <c r="A861" s="2" t="s">
        <v>2767</v>
      </c>
      <c r="B861" s="491" t="s">
        <v>2772</v>
      </c>
      <c r="C861" s="2" t="s">
        <v>2770</v>
      </c>
      <c r="D861" s="2">
        <v>0</v>
      </c>
      <c r="E861" s="3" t="s">
        <v>1562</v>
      </c>
      <c r="F861" s="270"/>
      <c r="L861" s="2"/>
      <c r="P861"/>
      <c r="Q861"/>
      <c r="R861"/>
      <c r="S861"/>
      <c r="T861"/>
    </row>
    <row r="862" spans="1:20" s="14" customFormat="1" x14ac:dyDescent="0.25">
      <c r="A862" s="2" t="s">
        <v>2768</v>
      </c>
      <c r="B862" s="491" t="s">
        <v>5108</v>
      </c>
      <c r="C862" s="2" t="s">
        <v>2765</v>
      </c>
      <c r="D862" s="2">
        <v>-1</v>
      </c>
      <c r="E862" s="3" t="s">
        <v>1562</v>
      </c>
      <c r="F862" s="270"/>
      <c r="L862" s="2"/>
      <c r="P862"/>
      <c r="Q862"/>
      <c r="R862"/>
      <c r="S862"/>
      <c r="T862"/>
    </row>
    <row r="863" spans="1:20" s="14" customFormat="1" x14ac:dyDescent="0.25">
      <c r="A863" s="2" t="s">
        <v>2771</v>
      </c>
      <c r="B863" s="491" t="s">
        <v>5109</v>
      </c>
      <c r="C863" s="2" t="s">
        <v>2765</v>
      </c>
      <c r="D863" s="2">
        <v>28</v>
      </c>
      <c r="E863" s="3" t="s">
        <v>2706</v>
      </c>
      <c r="F863" s="270"/>
      <c r="L863" s="2"/>
      <c r="P863"/>
      <c r="Q863"/>
      <c r="R863"/>
      <c r="S863"/>
      <c r="T863"/>
    </row>
    <row r="864" spans="1:20" s="14" customFormat="1" x14ac:dyDescent="0.25">
      <c r="A864" s="2" t="s">
        <v>2773</v>
      </c>
      <c r="B864" s="491" t="s">
        <v>5110</v>
      </c>
      <c r="C864" s="2" t="s">
        <v>2765</v>
      </c>
      <c r="D864" s="2">
        <v>-21</v>
      </c>
      <c r="E864" s="3"/>
      <c r="F864" s="270"/>
      <c r="L864" s="2"/>
      <c r="P864"/>
      <c r="Q864"/>
      <c r="R864"/>
      <c r="S864"/>
      <c r="T864"/>
    </row>
    <row r="865" spans="1:20" s="14" customFormat="1" ht="15" customHeight="1" x14ac:dyDescent="0.25">
      <c r="A865" s="2" t="s">
        <v>2774</v>
      </c>
      <c r="B865" s="491" t="s">
        <v>2777</v>
      </c>
      <c r="C865" s="2" t="s">
        <v>332</v>
      </c>
      <c r="D865" s="2">
        <v>0</v>
      </c>
      <c r="E865" s="3"/>
      <c r="F865" s="270"/>
      <c r="L865" s="2"/>
      <c r="P865"/>
      <c r="Q865"/>
      <c r="R865"/>
      <c r="S865"/>
      <c r="T865"/>
    </row>
    <row r="866" spans="1:20" s="14" customFormat="1" ht="15" customHeight="1" x14ac:dyDescent="0.25">
      <c r="A866" s="2" t="s">
        <v>2775</v>
      </c>
      <c r="B866" s="491" t="s">
        <v>2782</v>
      </c>
      <c r="C866" s="2" t="s">
        <v>2783</v>
      </c>
      <c r="D866" s="2">
        <v>60</v>
      </c>
      <c r="E866" s="3" t="s">
        <v>1576</v>
      </c>
      <c r="F866" s="270"/>
      <c r="L866" s="2"/>
      <c r="P866"/>
      <c r="Q866"/>
      <c r="R866"/>
      <c r="S866"/>
      <c r="T866"/>
    </row>
    <row r="867" spans="1:20" s="14" customFormat="1" x14ac:dyDescent="0.25">
      <c r="A867" s="2" t="s">
        <v>2776</v>
      </c>
      <c r="B867" s="491" t="s">
        <v>2785</v>
      </c>
      <c r="C867" s="2" t="s">
        <v>2786</v>
      </c>
      <c r="D867" s="2">
        <v>37</v>
      </c>
      <c r="E867" s="3"/>
      <c r="F867" s="270"/>
      <c r="L867" s="2"/>
      <c r="P867"/>
      <c r="Q867"/>
      <c r="R867"/>
      <c r="S867"/>
      <c r="T867"/>
    </row>
    <row r="868" spans="1:20" s="14" customFormat="1" x14ac:dyDescent="0.25">
      <c r="A868" s="2" t="s">
        <v>2781</v>
      </c>
      <c r="B868" s="491" t="s">
        <v>2791</v>
      </c>
      <c r="C868" s="2" t="s">
        <v>2792</v>
      </c>
      <c r="D868" s="2">
        <v>1</v>
      </c>
      <c r="E868" s="3"/>
      <c r="F868" s="270"/>
      <c r="L868" s="2"/>
      <c r="P868"/>
      <c r="Q868"/>
      <c r="R868"/>
      <c r="S868"/>
      <c r="T868"/>
    </row>
    <row r="869" spans="1:20" s="14" customFormat="1" x14ac:dyDescent="0.25">
      <c r="A869" s="2" t="s">
        <v>2784</v>
      </c>
      <c r="B869" s="491" t="s">
        <v>2797</v>
      </c>
      <c r="C869" s="2" t="s">
        <v>2138</v>
      </c>
      <c r="D869" s="2">
        <v>0</v>
      </c>
      <c r="E869" s="3"/>
      <c r="F869" s="270"/>
      <c r="L869" s="2"/>
      <c r="P869"/>
      <c r="Q869"/>
      <c r="R869"/>
      <c r="S869"/>
      <c r="T869"/>
    </row>
    <row r="870" spans="1:20" s="14" customFormat="1" x14ac:dyDescent="0.25">
      <c r="A870" s="2" t="s">
        <v>2790</v>
      </c>
      <c r="B870" s="491" t="s">
        <v>3596</v>
      </c>
      <c r="C870" s="2" t="s">
        <v>2711</v>
      </c>
      <c r="D870" s="2">
        <v>-1</v>
      </c>
      <c r="E870" s="3"/>
      <c r="F870" s="270"/>
      <c r="L870" s="2"/>
      <c r="P870"/>
      <c r="Q870"/>
      <c r="R870"/>
      <c r="S870"/>
      <c r="T870"/>
    </row>
    <row r="871" spans="1:20" s="14" customFormat="1" ht="15" customHeight="1" x14ac:dyDescent="0.25">
      <c r="A871" s="2" t="s">
        <v>2796</v>
      </c>
      <c r="B871" s="491" t="s">
        <v>3597</v>
      </c>
      <c r="C871" s="2" t="s">
        <v>2711</v>
      </c>
      <c r="D871" s="2">
        <v>-1</v>
      </c>
      <c r="E871" s="3"/>
      <c r="F871" s="270"/>
      <c r="L871" s="2"/>
      <c r="P871"/>
      <c r="Q871"/>
      <c r="R871"/>
      <c r="S871"/>
      <c r="T871"/>
    </row>
    <row r="872" spans="1:20" s="14" customFormat="1" x14ac:dyDescent="0.25">
      <c r="A872" s="2" t="s">
        <v>2845</v>
      </c>
      <c r="B872" s="491" t="s">
        <v>2850</v>
      </c>
      <c r="C872" s="2" t="s">
        <v>188</v>
      </c>
      <c r="D872" s="2">
        <v>0</v>
      </c>
      <c r="E872" s="3"/>
      <c r="F872" s="270"/>
      <c r="L872" s="2"/>
      <c r="P872"/>
      <c r="Q872"/>
      <c r="R872"/>
      <c r="S872"/>
      <c r="T872"/>
    </row>
    <row r="873" spans="1:20" s="14" customFormat="1" x14ac:dyDescent="0.25">
      <c r="A873" s="2" t="s">
        <v>2846</v>
      </c>
      <c r="B873" s="491" t="s">
        <v>2955</v>
      </c>
      <c r="C873" s="2" t="s">
        <v>2905</v>
      </c>
      <c r="D873" s="2">
        <v>0</v>
      </c>
      <c r="E873" s="3"/>
      <c r="F873" s="270"/>
      <c r="L873" s="2"/>
      <c r="P873"/>
      <c r="Q873"/>
      <c r="R873"/>
      <c r="S873"/>
      <c r="T873"/>
    </row>
    <row r="874" spans="1:20" s="14" customFormat="1" x14ac:dyDescent="0.25">
      <c r="A874" s="2" t="s">
        <v>2849</v>
      </c>
      <c r="B874" s="491" t="s">
        <v>3615</v>
      </c>
      <c r="C874" s="2" t="s">
        <v>3616</v>
      </c>
      <c r="D874" s="2">
        <v>0</v>
      </c>
      <c r="E874" s="3"/>
      <c r="F874" s="270"/>
      <c r="L874" s="2"/>
      <c r="P874"/>
      <c r="Q874"/>
      <c r="R874"/>
      <c r="S874"/>
      <c r="T874"/>
    </row>
    <row r="875" spans="1:20" s="14" customFormat="1" ht="15" customHeight="1" x14ac:dyDescent="0.25">
      <c r="A875" s="2" t="s">
        <v>2906</v>
      </c>
      <c r="B875" s="491" t="s">
        <v>2921</v>
      </c>
      <c r="C875" s="2" t="s">
        <v>332</v>
      </c>
      <c r="D875" s="2">
        <v>0</v>
      </c>
      <c r="E875" s="3"/>
      <c r="F875" s="270"/>
      <c r="L875" s="2"/>
      <c r="P875"/>
      <c r="Q875"/>
      <c r="R875"/>
      <c r="S875"/>
      <c r="T875"/>
    </row>
    <row r="876" spans="1:20" s="14" customFormat="1" x14ac:dyDescent="0.25">
      <c r="A876" s="2" t="s">
        <v>3614</v>
      </c>
      <c r="B876" s="491" t="s">
        <v>2958</v>
      </c>
      <c r="C876" s="2" t="s">
        <v>2957</v>
      </c>
      <c r="D876" s="2">
        <v>-10</v>
      </c>
      <c r="E876" s="3"/>
      <c r="F876" s="270"/>
      <c r="L876" s="2"/>
      <c r="P876"/>
      <c r="Q876"/>
      <c r="R876"/>
      <c r="S876"/>
      <c r="T876"/>
    </row>
    <row r="877" spans="1:20" s="14" customFormat="1" x14ac:dyDescent="0.25">
      <c r="A877" s="2" t="s">
        <v>2922</v>
      </c>
      <c r="B877" s="491" t="s">
        <v>2973</v>
      </c>
      <c r="C877" s="2" t="s">
        <v>2977</v>
      </c>
      <c r="D877" s="2">
        <v>33</v>
      </c>
      <c r="E877" s="3"/>
      <c r="F877" s="270"/>
      <c r="L877" s="2"/>
      <c r="P877"/>
      <c r="Q877"/>
      <c r="R877"/>
      <c r="S877"/>
      <c r="T877"/>
    </row>
    <row r="878" spans="1:20" s="14" customFormat="1" ht="15" customHeight="1" x14ac:dyDescent="0.25">
      <c r="A878" s="2" t="s">
        <v>2959</v>
      </c>
      <c r="B878" s="491" t="s">
        <v>2974</v>
      </c>
      <c r="C878" s="2" t="s">
        <v>2977</v>
      </c>
      <c r="D878" s="2">
        <v>0</v>
      </c>
      <c r="E878" s="3"/>
      <c r="F878" s="270"/>
      <c r="L878" s="2"/>
      <c r="P878"/>
      <c r="Q878"/>
      <c r="R878"/>
      <c r="S878"/>
      <c r="T878"/>
    </row>
    <row r="879" spans="1:20" s="14" customFormat="1" x14ac:dyDescent="0.25">
      <c r="A879" s="2" t="s">
        <v>2978</v>
      </c>
      <c r="B879" s="491" t="s">
        <v>2975</v>
      </c>
      <c r="C879" s="2" t="s">
        <v>2977</v>
      </c>
      <c r="D879" s="2">
        <v>-48</v>
      </c>
      <c r="E879" s="3"/>
      <c r="F879" s="270"/>
      <c r="L879" s="2"/>
      <c r="P879"/>
      <c r="Q879"/>
      <c r="R879"/>
      <c r="S879"/>
      <c r="T879"/>
    </row>
    <row r="880" spans="1:20" s="14" customFormat="1" ht="15" customHeight="1" x14ac:dyDescent="0.25">
      <c r="A880" s="2" t="s">
        <v>2979</v>
      </c>
      <c r="B880" s="491" t="s">
        <v>2984</v>
      </c>
      <c r="C880" s="2" t="s">
        <v>2983</v>
      </c>
      <c r="D880" s="2">
        <v>-4</v>
      </c>
      <c r="E880" s="3" t="s">
        <v>2706</v>
      </c>
      <c r="F880" s="270"/>
      <c r="L880" s="2"/>
      <c r="P880"/>
      <c r="Q880"/>
      <c r="R880"/>
      <c r="S880"/>
      <c r="T880"/>
    </row>
    <row r="881" spans="1:20" s="14" customFormat="1" x14ac:dyDescent="0.25">
      <c r="A881" s="2" t="s">
        <v>2980</v>
      </c>
      <c r="B881" s="491" t="s">
        <v>2985</v>
      </c>
      <c r="C881" s="2" t="s">
        <v>2983</v>
      </c>
      <c r="D881" s="2">
        <v>-1</v>
      </c>
      <c r="E881" s="3" t="s">
        <v>2706</v>
      </c>
      <c r="F881" s="270"/>
      <c r="L881" s="2"/>
      <c r="P881"/>
      <c r="Q881"/>
      <c r="R881"/>
      <c r="S881"/>
      <c r="T881"/>
    </row>
    <row r="882" spans="1:20" s="14" customFormat="1" ht="15" customHeight="1" x14ac:dyDescent="0.25">
      <c r="A882" s="2" t="s">
        <v>2986</v>
      </c>
      <c r="B882" s="491" t="s">
        <v>3309</v>
      </c>
      <c r="C882" s="2" t="s">
        <v>3023</v>
      </c>
      <c r="D882" s="2">
        <v>-8</v>
      </c>
      <c r="E882" s="3"/>
      <c r="F882" s="270"/>
      <c r="L882" s="2"/>
      <c r="P882"/>
      <c r="Q882"/>
      <c r="R882"/>
      <c r="S882"/>
      <c r="T882"/>
    </row>
    <row r="883" spans="1:20" s="14" customFormat="1" ht="15" customHeight="1" x14ac:dyDescent="0.25">
      <c r="A883" s="2" t="s">
        <v>2987</v>
      </c>
      <c r="B883" s="491" t="s">
        <v>3310</v>
      </c>
      <c r="C883" s="2" t="s">
        <v>3023</v>
      </c>
      <c r="D883" s="2">
        <v>-1</v>
      </c>
      <c r="E883" s="3" t="s">
        <v>2907</v>
      </c>
      <c r="F883" s="270"/>
      <c r="L883" s="2"/>
      <c r="P883"/>
      <c r="Q883"/>
      <c r="R883"/>
      <c r="S883"/>
      <c r="T883"/>
    </row>
    <row r="884" spans="1:20" s="14" customFormat="1" x14ac:dyDescent="0.25">
      <c r="A884" s="2" t="s">
        <v>3084</v>
      </c>
      <c r="B884" s="491" t="s">
        <v>3027</v>
      </c>
      <c r="C884" s="2" t="s">
        <v>3023</v>
      </c>
      <c r="D884" s="2">
        <v>96</v>
      </c>
      <c r="E884" s="3" t="s">
        <v>1562</v>
      </c>
      <c r="F884" s="270"/>
      <c r="L884" s="2"/>
      <c r="P884"/>
      <c r="Q884"/>
      <c r="R884"/>
      <c r="S884"/>
      <c r="T884"/>
    </row>
    <row r="885" spans="1:20" s="14" customFormat="1" ht="15" customHeight="1" x14ac:dyDescent="0.25">
      <c r="A885" s="2" t="s">
        <v>3085</v>
      </c>
      <c r="B885" s="491" t="s">
        <v>3028</v>
      </c>
      <c r="C885" s="2" t="s">
        <v>3023</v>
      </c>
      <c r="D885" s="2">
        <v>24</v>
      </c>
      <c r="E885" s="3" t="s">
        <v>1626</v>
      </c>
      <c r="F885" s="270"/>
      <c r="L885" s="2"/>
      <c r="P885"/>
      <c r="Q885"/>
      <c r="R885"/>
      <c r="S885"/>
      <c r="T885"/>
    </row>
    <row r="886" spans="1:20" s="14" customFormat="1" x14ac:dyDescent="0.25">
      <c r="A886" s="2" t="s">
        <v>3086</v>
      </c>
      <c r="B886" s="491" t="s">
        <v>3029</v>
      </c>
      <c r="C886" s="2" t="s">
        <v>3023</v>
      </c>
      <c r="D886" s="2">
        <v>0</v>
      </c>
      <c r="E886" s="3" t="s">
        <v>1546</v>
      </c>
      <c r="F886" s="270"/>
      <c r="L886" s="2"/>
      <c r="P886"/>
      <c r="Q886"/>
      <c r="R886"/>
      <c r="S886"/>
      <c r="T886"/>
    </row>
    <row r="887" spans="1:20" s="14" customFormat="1" x14ac:dyDescent="0.25">
      <c r="A887" s="2" t="s">
        <v>3087</v>
      </c>
      <c r="B887" s="491" t="s">
        <v>3030</v>
      </c>
      <c r="C887" s="2" t="s">
        <v>3023</v>
      </c>
      <c r="D887" s="2">
        <v>0</v>
      </c>
      <c r="E887" s="3" t="s">
        <v>2976</v>
      </c>
      <c r="F887" s="270"/>
      <c r="L887" s="2"/>
      <c r="P887"/>
      <c r="Q887"/>
      <c r="R887"/>
      <c r="S887"/>
      <c r="T887"/>
    </row>
    <row r="888" spans="1:20" s="14" customFormat="1" ht="15" customHeight="1" x14ac:dyDescent="0.25">
      <c r="A888" s="2" t="s">
        <v>3088</v>
      </c>
      <c r="B888" s="491" t="s">
        <v>3031</v>
      </c>
      <c r="C888" s="2" t="s">
        <v>3023</v>
      </c>
      <c r="D888" s="2">
        <v>12</v>
      </c>
      <c r="E888" s="3" t="s">
        <v>2976</v>
      </c>
      <c r="F888" s="270"/>
      <c r="L888" s="2"/>
      <c r="P888"/>
      <c r="Q888"/>
      <c r="R888"/>
      <c r="S888"/>
      <c r="T888"/>
    </row>
    <row r="889" spans="1:20" s="14" customFormat="1" ht="15" customHeight="1" x14ac:dyDescent="0.25">
      <c r="A889" s="2" t="s">
        <v>3089</v>
      </c>
      <c r="B889" s="491" t="s">
        <v>3025</v>
      </c>
      <c r="C889" s="2" t="s">
        <v>3023</v>
      </c>
      <c r="D889" s="2">
        <v>0</v>
      </c>
      <c r="E889" s="3" t="s">
        <v>2976</v>
      </c>
      <c r="F889" s="270"/>
      <c r="L889" s="2"/>
      <c r="P889"/>
      <c r="Q889"/>
      <c r="R889"/>
      <c r="S889"/>
      <c r="T889"/>
    </row>
    <row r="890" spans="1:20" s="14" customFormat="1" ht="15" customHeight="1" x14ac:dyDescent="0.25">
      <c r="A890" s="2" t="s">
        <v>3090</v>
      </c>
      <c r="B890" s="491" t="s">
        <v>3026</v>
      </c>
      <c r="C890" s="2" t="s">
        <v>3023</v>
      </c>
      <c r="D890" s="2">
        <v>35</v>
      </c>
      <c r="E890" s="3" t="s">
        <v>1626</v>
      </c>
      <c r="F890" s="270"/>
      <c r="L890" s="2"/>
      <c r="P890"/>
      <c r="Q890"/>
      <c r="R890"/>
      <c r="S890"/>
      <c r="T890"/>
    </row>
    <row r="891" spans="1:20" s="14" customFormat="1" x14ac:dyDescent="0.25">
      <c r="A891" s="2" t="s">
        <v>3091</v>
      </c>
      <c r="B891" s="491" t="s">
        <v>3038</v>
      </c>
      <c r="C891" s="2" t="s">
        <v>3023</v>
      </c>
      <c r="D891" s="2">
        <v>13</v>
      </c>
      <c r="E891" s="3" t="s">
        <v>1626</v>
      </c>
      <c r="F891" s="270"/>
      <c r="L891" s="2"/>
      <c r="P891"/>
      <c r="Q891"/>
      <c r="R891"/>
      <c r="S891"/>
      <c r="T891"/>
    </row>
    <row r="892" spans="1:20" s="14" customFormat="1" x14ac:dyDescent="0.25">
      <c r="A892" s="2" t="s">
        <v>3092</v>
      </c>
      <c r="B892" s="491" t="s">
        <v>3037</v>
      </c>
      <c r="C892" s="2" t="s">
        <v>3023</v>
      </c>
      <c r="D892" s="2">
        <v>0</v>
      </c>
      <c r="E892" s="3" t="s">
        <v>3024</v>
      </c>
      <c r="F892" s="270"/>
      <c r="L892" s="2"/>
      <c r="P892"/>
      <c r="Q892"/>
      <c r="R892"/>
      <c r="S892"/>
      <c r="T892"/>
    </row>
    <row r="893" spans="1:20" s="14" customFormat="1" x14ac:dyDescent="0.25">
      <c r="A893" s="2" t="s">
        <v>3093</v>
      </c>
      <c r="B893" s="491" t="s">
        <v>3311</v>
      </c>
      <c r="C893" s="2" t="s">
        <v>3032</v>
      </c>
      <c r="D893" s="2">
        <v>0</v>
      </c>
      <c r="E893" s="3" t="s">
        <v>3024</v>
      </c>
      <c r="F893" s="270"/>
      <c r="L893" s="2"/>
      <c r="P893"/>
      <c r="Q893"/>
      <c r="R893"/>
      <c r="S893"/>
      <c r="T893"/>
    </row>
    <row r="894" spans="1:20" s="14" customFormat="1" ht="15" customHeight="1" x14ac:dyDescent="0.25">
      <c r="A894" s="2" t="s">
        <v>3094</v>
      </c>
      <c r="B894" s="491" t="s">
        <v>3033</v>
      </c>
      <c r="C894" s="2" t="s">
        <v>3032</v>
      </c>
      <c r="D894" s="2">
        <v>0</v>
      </c>
      <c r="E894" s="3" t="s">
        <v>3024</v>
      </c>
      <c r="F894" s="270"/>
      <c r="L894" s="2"/>
      <c r="P894"/>
      <c r="Q894"/>
      <c r="R894"/>
      <c r="S894"/>
      <c r="T894"/>
    </row>
    <row r="895" spans="1:20" s="14" customFormat="1" x14ac:dyDescent="0.25">
      <c r="A895" s="2" t="s">
        <v>3095</v>
      </c>
      <c r="B895" s="491" t="s">
        <v>3034</v>
      </c>
      <c r="C895" s="2" t="s">
        <v>3032</v>
      </c>
      <c r="D895" s="2">
        <v>0</v>
      </c>
      <c r="E895" s="3" t="s">
        <v>3024</v>
      </c>
      <c r="F895" s="270"/>
      <c r="L895" s="2"/>
      <c r="P895"/>
      <c r="Q895"/>
      <c r="R895"/>
      <c r="S895"/>
      <c r="T895"/>
    </row>
    <row r="896" spans="1:20" s="14" customFormat="1" ht="15" customHeight="1" x14ac:dyDescent="0.25">
      <c r="A896" s="2" t="s">
        <v>3096</v>
      </c>
      <c r="B896" s="491" t="s">
        <v>3036</v>
      </c>
      <c r="C896" s="2" t="s">
        <v>3032</v>
      </c>
      <c r="D896" s="2">
        <v>0</v>
      </c>
      <c r="E896" s="3" t="s">
        <v>3024</v>
      </c>
      <c r="F896" s="270"/>
      <c r="L896" s="2"/>
      <c r="P896"/>
      <c r="Q896"/>
      <c r="R896"/>
      <c r="S896"/>
      <c r="T896"/>
    </row>
    <row r="897" spans="1:20" s="14" customFormat="1" ht="15" customHeight="1" x14ac:dyDescent="0.25">
      <c r="A897" s="2" t="s">
        <v>3097</v>
      </c>
      <c r="B897" s="491" t="s">
        <v>3312</v>
      </c>
      <c r="C897" s="2" t="s">
        <v>3032</v>
      </c>
      <c r="D897" s="2">
        <v>0</v>
      </c>
      <c r="E897" s="3" t="s">
        <v>3024</v>
      </c>
      <c r="F897" s="270"/>
      <c r="L897" s="2"/>
      <c r="P897"/>
      <c r="Q897"/>
      <c r="R897"/>
      <c r="S897"/>
      <c r="T897"/>
    </row>
    <row r="898" spans="1:20" s="14" customFormat="1" x14ac:dyDescent="0.25">
      <c r="A898" s="2" t="s">
        <v>3098</v>
      </c>
      <c r="B898" s="491" t="s">
        <v>3035</v>
      </c>
      <c r="C898" s="2" t="s">
        <v>3032</v>
      </c>
      <c r="D898" s="2">
        <v>0</v>
      </c>
      <c r="E898" s="3" t="s">
        <v>3024</v>
      </c>
      <c r="F898" s="270"/>
      <c r="L898" s="2"/>
      <c r="P898"/>
      <c r="Q898"/>
      <c r="R898"/>
      <c r="S898"/>
      <c r="T898"/>
    </row>
    <row r="899" spans="1:20" s="14" customFormat="1" x14ac:dyDescent="0.25">
      <c r="A899" s="2" t="s">
        <v>3099</v>
      </c>
      <c r="B899" s="491" t="s">
        <v>3039</v>
      </c>
      <c r="C899" s="2" t="s">
        <v>3032</v>
      </c>
      <c r="D899" s="2">
        <v>0</v>
      </c>
      <c r="E899" s="3" t="s">
        <v>3024</v>
      </c>
      <c r="F899" s="270"/>
      <c r="L899" s="2"/>
      <c r="P899"/>
      <c r="Q899"/>
      <c r="R899"/>
      <c r="S899"/>
      <c r="T899"/>
    </row>
    <row r="900" spans="1:20" s="14" customFormat="1" x14ac:dyDescent="0.25">
      <c r="A900" s="2" t="s">
        <v>3100</v>
      </c>
      <c r="B900" s="491" t="s">
        <v>3313</v>
      </c>
      <c r="C900" s="2" t="s">
        <v>3040</v>
      </c>
      <c r="D900" s="2">
        <v>0</v>
      </c>
      <c r="E900" s="3" t="s">
        <v>3024</v>
      </c>
      <c r="F900" s="270"/>
      <c r="L900" s="2"/>
      <c r="P900"/>
      <c r="Q900"/>
      <c r="R900"/>
      <c r="S900"/>
      <c r="T900"/>
    </row>
    <row r="901" spans="1:20" s="14" customFormat="1" x14ac:dyDescent="0.25">
      <c r="A901" s="2" t="s">
        <v>3101</v>
      </c>
      <c r="B901" s="491" t="s">
        <v>3314</v>
      </c>
      <c r="C901" s="2" t="s">
        <v>3040</v>
      </c>
      <c r="D901" s="2">
        <v>0</v>
      </c>
      <c r="E901" s="3" t="s">
        <v>3024</v>
      </c>
      <c r="F901" s="270"/>
      <c r="L901" s="2"/>
      <c r="P901"/>
      <c r="Q901"/>
      <c r="R901"/>
      <c r="S901"/>
      <c r="T901"/>
    </row>
    <row r="902" spans="1:20" s="14" customFormat="1" x14ac:dyDescent="0.25">
      <c r="A902" s="2" t="s">
        <v>3102</v>
      </c>
      <c r="B902" s="491" t="s">
        <v>3036</v>
      </c>
      <c r="C902" s="2" t="s">
        <v>3040</v>
      </c>
      <c r="D902" s="2">
        <v>0</v>
      </c>
      <c r="E902" s="3" t="s">
        <v>3024</v>
      </c>
      <c r="F902" s="270"/>
      <c r="L902" s="2"/>
      <c r="P902"/>
      <c r="Q902"/>
      <c r="R902"/>
      <c r="S902"/>
      <c r="T902"/>
    </row>
    <row r="903" spans="1:20" s="14" customFormat="1" x14ac:dyDescent="0.25">
      <c r="A903" s="2" t="s">
        <v>3103</v>
      </c>
      <c r="B903" s="491" t="s">
        <v>3171</v>
      </c>
      <c r="C903" s="2" t="s">
        <v>2977</v>
      </c>
      <c r="D903" s="2">
        <v>0</v>
      </c>
      <c r="E903" s="3" t="s">
        <v>3024</v>
      </c>
      <c r="F903" s="270"/>
      <c r="L903" s="2"/>
      <c r="P903"/>
      <c r="Q903"/>
      <c r="R903"/>
      <c r="S903"/>
      <c r="T903"/>
    </row>
    <row r="904" spans="1:20" s="14" customFormat="1" x14ac:dyDescent="0.25">
      <c r="A904" s="2" t="s">
        <v>3104</v>
      </c>
      <c r="B904" s="491" t="s">
        <v>3172</v>
      </c>
      <c r="C904" s="2" t="s">
        <v>2977</v>
      </c>
      <c r="D904" s="2">
        <v>0</v>
      </c>
      <c r="E904" s="3" t="s">
        <v>3024</v>
      </c>
      <c r="F904" s="270"/>
      <c r="L904" s="2"/>
      <c r="P904"/>
      <c r="Q904"/>
      <c r="R904"/>
      <c r="S904"/>
      <c r="T904"/>
    </row>
    <row r="905" spans="1:20" s="14" customFormat="1" ht="15" customHeight="1" x14ac:dyDescent="0.25">
      <c r="A905" s="2" t="s">
        <v>3173</v>
      </c>
      <c r="B905" s="491" t="s">
        <v>3221</v>
      </c>
      <c r="C905" s="2" t="s">
        <v>3220</v>
      </c>
      <c r="D905" s="2">
        <v>0</v>
      </c>
      <c r="E905" s="3" t="s">
        <v>3024</v>
      </c>
      <c r="F905" s="270"/>
      <c r="L905" s="2"/>
      <c r="P905"/>
      <c r="Q905"/>
      <c r="R905"/>
      <c r="S905"/>
      <c r="T905"/>
    </row>
    <row r="906" spans="1:20" s="14" customFormat="1" ht="15" customHeight="1" x14ac:dyDescent="0.25">
      <c r="A906" s="2" t="s">
        <v>3174</v>
      </c>
      <c r="B906" s="491" t="s">
        <v>3222</v>
      </c>
      <c r="C906" s="2" t="s">
        <v>3220</v>
      </c>
      <c r="D906" s="2">
        <v>0</v>
      </c>
      <c r="E906" s="3" t="s">
        <v>3024</v>
      </c>
      <c r="F906" s="270"/>
      <c r="L906" s="2"/>
      <c r="P906"/>
      <c r="Q906"/>
      <c r="R906"/>
      <c r="S906"/>
      <c r="T906"/>
    </row>
    <row r="907" spans="1:20" s="14" customFormat="1" ht="15" customHeight="1" x14ac:dyDescent="0.25">
      <c r="A907" s="2" t="s">
        <v>3229</v>
      </c>
      <c r="B907" s="491" t="s">
        <v>3223</v>
      </c>
      <c r="C907" s="2" t="s">
        <v>3220</v>
      </c>
      <c r="D907" s="2">
        <v>0</v>
      </c>
      <c r="E907" s="3" t="s">
        <v>3024</v>
      </c>
      <c r="F907" s="270"/>
      <c r="L907" s="2"/>
      <c r="P907"/>
      <c r="Q907"/>
      <c r="R907"/>
      <c r="S907"/>
      <c r="T907"/>
    </row>
    <row r="908" spans="1:20" s="14" customFormat="1" ht="15" customHeight="1" x14ac:dyDescent="0.25">
      <c r="A908" s="2" t="s">
        <v>3230</v>
      </c>
      <c r="B908" s="491" t="s">
        <v>3226</v>
      </c>
      <c r="C908" s="2" t="s">
        <v>3225</v>
      </c>
      <c r="D908" s="2">
        <v>0</v>
      </c>
      <c r="E908" s="3" t="s">
        <v>3024</v>
      </c>
      <c r="F908" s="270"/>
      <c r="L908" s="2"/>
      <c r="P908"/>
      <c r="Q908"/>
      <c r="R908"/>
      <c r="S908"/>
      <c r="T908"/>
    </row>
    <row r="909" spans="1:20" s="14" customFormat="1" ht="15" customHeight="1" x14ac:dyDescent="0.25">
      <c r="A909" s="2" t="s">
        <v>3231</v>
      </c>
      <c r="B909" s="491" t="s">
        <v>3224</v>
      </c>
      <c r="C909" s="2" t="s">
        <v>3225</v>
      </c>
      <c r="D909" s="2">
        <v>0</v>
      </c>
      <c r="E909" s="3" t="s">
        <v>3024</v>
      </c>
      <c r="F909" s="270"/>
      <c r="L909" s="2"/>
      <c r="P909"/>
      <c r="Q909"/>
      <c r="R909"/>
      <c r="S909"/>
      <c r="T909"/>
    </row>
    <row r="910" spans="1:20" s="14" customFormat="1" ht="15" customHeight="1" x14ac:dyDescent="0.3">
      <c r="A910" s="2" t="s">
        <v>3232</v>
      </c>
      <c r="B910" s="491" t="s">
        <v>3227</v>
      </c>
      <c r="C910" s="2" t="s">
        <v>3225</v>
      </c>
      <c r="D910" s="2">
        <v>0</v>
      </c>
      <c r="E910" s="3" t="s">
        <v>3024</v>
      </c>
      <c r="F910" s="270"/>
      <c r="L910" s="2"/>
      <c r="P910"/>
      <c r="Q910"/>
      <c r="R910"/>
      <c r="S910"/>
      <c r="T910"/>
    </row>
    <row r="911" spans="1:20" s="14" customFormat="1" x14ac:dyDescent="0.25">
      <c r="A911" s="2" t="s">
        <v>3233</v>
      </c>
      <c r="B911" s="491" t="s">
        <v>3228</v>
      </c>
      <c r="C911" s="2" t="s">
        <v>3225</v>
      </c>
      <c r="D911" s="2">
        <v>0</v>
      </c>
      <c r="E911" s="3" t="s">
        <v>3024</v>
      </c>
      <c r="F911" s="270"/>
      <c r="L911" s="2"/>
      <c r="P911"/>
      <c r="Q911"/>
      <c r="R911"/>
      <c r="S911"/>
      <c r="T911"/>
    </row>
    <row r="912" spans="1:20" s="14" customFormat="1" x14ac:dyDescent="0.25">
      <c r="A912" s="2" t="s">
        <v>3234</v>
      </c>
      <c r="B912" s="491" t="s">
        <v>3244</v>
      </c>
      <c r="C912" s="2" t="s">
        <v>3243</v>
      </c>
      <c r="D912" s="2">
        <v>0</v>
      </c>
      <c r="E912" s="3" t="s">
        <v>3024</v>
      </c>
      <c r="F912" s="270"/>
      <c r="L912" s="2"/>
      <c r="P912"/>
      <c r="Q912"/>
      <c r="R912"/>
      <c r="S912"/>
      <c r="T912"/>
    </row>
    <row r="913" spans="1:20" s="14" customFormat="1" x14ac:dyDescent="0.25">
      <c r="A913" s="2" t="s">
        <v>3235</v>
      </c>
      <c r="B913" s="491" t="s">
        <v>3245</v>
      </c>
      <c r="C913" s="2" t="s">
        <v>3243</v>
      </c>
      <c r="D913" s="2">
        <v>12</v>
      </c>
      <c r="E913" s="3" t="s">
        <v>2976</v>
      </c>
      <c r="F913" s="270"/>
      <c r="L913" s="2"/>
      <c r="P913"/>
      <c r="Q913"/>
      <c r="R913"/>
      <c r="S913"/>
      <c r="T913"/>
    </row>
    <row r="914" spans="1:20" s="14" customFormat="1" x14ac:dyDescent="0.25">
      <c r="A914" s="2" t="s">
        <v>3256</v>
      </c>
      <c r="B914" s="491" t="s">
        <v>3246</v>
      </c>
      <c r="C914" s="2" t="s">
        <v>3243</v>
      </c>
      <c r="D914" s="2">
        <v>12</v>
      </c>
      <c r="E914" s="3" t="s">
        <v>2976</v>
      </c>
      <c r="F914" s="270"/>
      <c r="L914" s="2"/>
      <c r="P914"/>
      <c r="Q914"/>
      <c r="R914"/>
      <c r="S914"/>
      <c r="T914"/>
    </row>
    <row r="915" spans="1:20" s="14" customFormat="1" x14ac:dyDescent="0.25">
      <c r="A915" s="2" t="s">
        <v>3257</v>
      </c>
      <c r="B915" s="491" t="s">
        <v>3271</v>
      </c>
      <c r="C915" s="2" t="s">
        <v>3243</v>
      </c>
      <c r="D915" s="2">
        <v>0</v>
      </c>
      <c r="E915" s="3" t="s">
        <v>3024</v>
      </c>
      <c r="F915" s="270"/>
      <c r="L915" s="2"/>
      <c r="P915"/>
      <c r="Q915"/>
      <c r="R915"/>
      <c r="S915"/>
      <c r="T915"/>
    </row>
    <row r="916" spans="1:20" s="14" customFormat="1" x14ac:dyDescent="0.25">
      <c r="A916" s="2" t="s">
        <v>3258</v>
      </c>
      <c r="B916" s="491" t="s">
        <v>3247</v>
      </c>
      <c r="C916" s="2" t="s">
        <v>3243</v>
      </c>
      <c r="D916" s="2">
        <v>0</v>
      </c>
      <c r="E916" s="3" t="s">
        <v>3024</v>
      </c>
      <c r="F916" s="270"/>
      <c r="L916" s="2"/>
      <c r="P916"/>
      <c r="Q916"/>
      <c r="R916"/>
      <c r="S916"/>
      <c r="T916"/>
    </row>
    <row r="917" spans="1:20" s="14" customFormat="1" x14ac:dyDescent="0.25">
      <c r="A917" s="2" t="s">
        <v>3259</v>
      </c>
      <c r="B917" s="491" t="s">
        <v>3248</v>
      </c>
      <c r="C917" s="2" t="s">
        <v>3243</v>
      </c>
      <c r="D917" s="2">
        <v>0</v>
      </c>
      <c r="E917" s="3" t="s">
        <v>3024</v>
      </c>
      <c r="F917" s="270"/>
      <c r="L917" s="2"/>
      <c r="P917"/>
      <c r="Q917"/>
      <c r="R917"/>
      <c r="S917"/>
      <c r="T917"/>
    </row>
    <row r="918" spans="1:20" s="14" customFormat="1" x14ac:dyDescent="0.25">
      <c r="A918" s="2" t="s">
        <v>3260</v>
      </c>
      <c r="B918" s="491" t="s">
        <v>3249</v>
      </c>
      <c r="C918" s="2" t="s">
        <v>3243</v>
      </c>
      <c r="D918" s="2">
        <v>0</v>
      </c>
      <c r="E918" s="3" t="s">
        <v>3024</v>
      </c>
      <c r="F918" s="270"/>
      <c r="L918" s="2"/>
      <c r="P918"/>
      <c r="Q918"/>
      <c r="R918"/>
      <c r="S918"/>
      <c r="T918"/>
    </row>
    <row r="919" spans="1:20" s="14" customFormat="1" x14ac:dyDescent="0.25">
      <c r="A919" s="2" t="s">
        <v>3261</v>
      </c>
      <c r="B919" s="491" t="s">
        <v>3250</v>
      </c>
      <c r="C919" s="2" t="s">
        <v>3243</v>
      </c>
      <c r="D919" s="2">
        <v>0</v>
      </c>
      <c r="E919" s="3" t="s">
        <v>3024</v>
      </c>
      <c r="F919" s="270"/>
      <c r="L919" s="2"/>
      <c r="P919"/>
      <c r="Q919"/>
      <c r="R919"/>
      <c r="S919"/>
      <c r="T919"/>
    </row>
    <row r="920" spans="1:20" s="14" customFormat="1" x14ac:dyDescent="0.25">
      <c r="A920" s="2" t="s">
        <v>3262</v>
      </c>
      <c r="B920" s="491" t="s">
        <v>3251</v>
      </c>
      <c r="C920" s="2" t="s">
        <v>3243</v>
      </c>
      <c r="D920" s="2">
        <v>0</v>
      </c>
      <c r="E920" s="3" t="s">
        <v>3024</v>
      </c>
      <c r="F920" s="270"/>
      <c r="L920" s="2"/>
      <c r="P920"/>
      <c r="Q920"/>
      <c r="R920"/>
      <c r="S920"/>
      <c r="T920"/>
    </row>
    <row r="921" spans="1:20" s="14" customFormat="1" x14ac:dyDescent="0.25">
      <c r="A921" s="2" t="s">
        <v>3263</v>
      </c>
      <c r="B921" s="491" t="s">
        <v>3252</v>
      </c>
      <c r="C921" s="2" t="s">
        <v>3243</v>
      </c>
      <c r="D921" s="2">
        <v>0</v>
      </c>
      <c r="E921" s="3" t="s">
        <v>3024</v>
      </c>
      <c r="F921" s="270"/>
      <c r="L921" s="2"/>
      <c r="P921"/>
      <c r="Q921"/>
      <c r="R921"/>
      <c r="S921"/>
      <c r="T921"/>
    </row>
    <row r="922" spans="1:20" s="14" customFormat="1" x14ac:dyDescent="0.25">
      <c r="A922" s="2" t="s">
        <v>3264</v>
      </c>
      <c r="B922" s="491" t="s">
        <v>3253</v>
      </c>
      <c r="C922" s="2" t="s">
        <v>3243</v>
      </c>
      <c r="D922" s="2">
        <v>24</v>
      </c>
      <c r="E922" s="3" t="s">
        <v>3024</v>
      </c>
      <c r="F922" s="270"/>
      <c r="L922" s="2"/>
      <c r="P922"/>
      <c r="Q922"/>
      <c r="R922"/>
      <c r="S922"/>
      <c r="T922"/>
    </row>
    <row r="923" spans="1:20" s="14" customFormat="1" x14ac:dyDescent="0.25">
      <c r="A923" s="2" t="s">
        <v>3265</v>
      </c>
      <c r="B923" s="491" t="s">
        <v>3254</v>
      </c>
      <c r="C923" s="2" t="s">
        <v>3243</v>
      </c>
      <c r="D923" s="2">
        <v>0</v>
      </c>
      <c r="E923" s="3" t="s">
        <v>3024</v>
      </c>
      <c r="F923" s="270"/>
      <c r="L923" s="2"/>
      <c r="P923"/>
      <c r="Q923"/>
      <c r="R923"/>
      <c r="S923"/>
      <c r="T923"/>
    </row>
    <row r="924" spans="1:20" s="14" customFormat="1" x14ac:dyDescent="0.25">
      <c r="A924" s="2" t="s">
        <v>3266</v>
      </c>
      <c r="B924" s="491" t="s">
        <v>3369</v>
      </c>
      <c r="C924" s="2" t="s">
        <v>3243</v>
      </c>
      <c r="D924" s="2">
        <v>0</v>
      </c>
      <c r="E924" s="3" t="s">
        <v>3024</v>
      </c>
      <c r="F924" s="270"/>
      <c r="L924" s="2"/>
      <c r="P924"/>
      <c r="Q924"/>
      <c r="R924"/>
      <c r="S924"/>
      <c r="T924"/>
    </row>
    <row r="925" spans="1:20" s="14" customFormat="1" x14ac:dyDescent="0.25">
      <c r="A925" s="2" t="s">
        <v>3267</v>
      </c>
      <c r="B925" s="491" t="s">
        <v>3370</v>
      </c>
      <c r="C925" s="2" t="s">
        <v>3243</v>
      </c>
      <c r="D925" s="2">
        <v>0</v>
      </c>
      <c r="E925" s="3" t="s">
        <v>3024</v>
      </c>
      <c r="F925" s="270"/>
      <c r="L925" s="2"/>
      <c r="P925"/>
      <c r="Q925"/>
      <c r="R925"/>
      <c r="S925"/>
      <c r="T925"/>
    </row>
    <row r="926" spans="1:20" s="14" customFormat="1" x14ac:dyDescent="0.25">
      <c r="A926" s="2" t="s">
        <v>3268</v>
      </c>
      <c r="B926" s="491" t="s">
        <v>3255</v>
      </c>
      <c r="C926" s="2" t="s">
        <v>3243</v>
      </c>
      <c r="D926" s="2">
        <v>0</v>
      </c>
      <c r="E926" s="3" t="s">
        <v>3024</v>
      </c>
      <c r="F926" s="270"/>
      <c r="L926" s="2"/>
      <c r="P926"/>
      <c r="Q926"/>
      <c r="R926"/>
      <c r="S926"/>
      <c r="T926"/>
    </row>
    <row r="927" spans="1:20" s="14" customFormat="1" x14ac:dyDescent="0.25">
      <c r="A927" s="2" t="s">
        <v>3269</v>
      </c>
      <c r="B927" s="491" t="s">
        <v>3286</v>
      </c>
      <c r="C927" s="2" t="s">
        <v>3243</v>
      </c>
      <c r="D927" s="2">
        <v>0</v>
      </c>
      <c r="E927" s="3" t="s">
        <v>3024</v>
      </c>
      <c r="F927" s="270"/>
      <c r="L927" s="2"/>
      <c r="P927"/>
      <c r="Q927"/>
      <c r="R927"/>
      <c r="S927"/>
      <c r="T927"/>
    </row>
    <row r="928" spans="1:20" s="14" customFormat="1" x14ac:dyDescent="0.25">
      <c r="A928" s="2" t="s">
        <v>3270</v>
      </c>
      <c r="B928" s="491" t="s">
        <v>3287</v>
      </c>
      <c r="C928" s="2" t="s">
        <v>3243</v>
      </c>
      <c r="D928" s="2">
        <v>0</v>
      </c>
      <c r="E928" s="3" t="s">
        <v>3024</v>
      </c>
      <c r="F928" s="270"/>
      <c r="L928" s="2"/>
      <c r="P928"/>
      <c r="Q928"/>
      <c r="R928"/>
      <c r="S928"/>
      <c r="T928"/>
    </row>
    <row r="929" spans="1:20" s="14" customFormat="1" x14ac:dyDescent="0.25">
      <c r="A929" s="2" t="s">
        <v>3272</v>
      </c>
      <c r="B929" s="491" t="s">
        <v>3288</v>
      </c>
      <c r="C929" s="2" t="s">
        <v>3243</v>
      </c>
      <c r="D929" s="2">
        <v>0</v>
      </c>
      <c r="E929" s="3" t="s">
        <v>3024</v>
      </c>
      <c r="F929" s="270"/>
      <c r="L929" s="2"/>
      <c r="P929"/>
      <c r="Q929"/>
      <c r="R929"/>
      <c r="S929"/>
      <c r="T929"/>
    </row>
    <row r="930" spans="1:20" s="14" customFormat="1" x14ac:dyDescent="0.25">
      <c r="A930" s="2" t="s">
        <v>3273</v>
      </c>
      <c r="B930" s="491" t="s">
        <v>3289</v>
      </c>
      <c r="C930" s="2" t="s">
        <v>3243</v>
      </c>
      <c r="D930" s="2">
        <v>0</v>
      </c>
      <c r="E930" s="3" t="s">
        <v>3024</v>
      </c>
      <c r="F930" s="270"/>
      <c r="L930" s="2"/>
      <c r="P930"/>
      <c r="Q930"/>
      <c r="R930"/>
      <c r="S930"/>
      <c r="T930"/>
    </row>
    <row r="931" spans="1:20" s="14" customFormat="1" x14ac:dyDescent="0.25">
      <c r="A931" s="2" t="s">
        <v>3274</v>
      </c>
      <c r="B931" s="491" t="s">
        <v>3290</v>
      </c>
      <c r="C931" s="2" t="s">
        <v>3243</v>
      </c>
      <c r="D931" s="2">
        <v>0</v>
      </c>
      <c r="E931" s="3" t="s">
        <v>3024</v>
      </c>
      <c r="F931" s="270"/>
      <c r="L931" s="2"/>
      <c r="P931"/>
      <c r="Q931"/>
      <c r="R931"/>
      <c r="S931"/>
      <c r="T931"/>
    </row>
    <row r="932" spans="1:20" s="14" customFormat="1" x14ac:dyDescent="0.25">
      <c r="A932" s="2" t="s">
        <v>3275</v>
      </c>
      <c r="B932" s="491" t="s">
        <v>3291</v>
      </c>
      <c r="C932" s="2" t="s">
        <v>3243</v>
      </c>
      <c r="D932" s="2">
        <v>0</v>
      </c>
      <c r="E932" s="3" t="s">
        <v>3024</v>
      </c>
      <c r="F932" s="270"/>
      <c r="L932" s="2"/>
      <c r="P932"/>
      <c r="Q932"/>
      <c r="R932"/>
      <c r="S932"/>
      <c r="T932"/>
    </row>
    <row r="933" spans="1:20" s="14" customFormat="1" x14ac:dyDescent="0.25">
      <c r="A933" s="2" t="s">
        <v>3276</v>
      </c>
      <c r="B933" s="491" t="s">
        <v>3292</v>
      </c>
      <c r="C933" s="2" t="s">
        <v>3243</v>
      </c>
      <c r="D933" s="2">
        <v>24</v>
      </c>
      <c r="E933" s="3" t="s">
        <v>3024</v>
      </c>
      <c r="F933" s="270"/>
      <c r="L933" s="2"/>
      <c r="P933"/>
      <c r="Q933"/>
      <c r="R933"/>
      <c r="S933"/>
      <c r="T933"/>
    </row>
    <row r="934" spans="1:20" s="14" customFormat="1" x14ac:dyDescent="0.25">
      <c r="A934" s="2" t="s">
        <v>3277</v>
      </c>
      <c r="B934" s="491" t="s">
        <v>3293</v>
      </c>
      <c r="C934" s="2" t="s">
        <v>3243</v>
      </c>
      <c r="D934" s="2">
        <v>10</v>
      </c>
      <c r="E934" s="3" t="s">
        <v>3024</v>
      </c>
      <c r="F934" s="270"/>
      <c r="L934" s="2"/>
      <c r="P934"/>
      <c r="Q934"/>
      <c r="R934"/>
      <c r="S934"/>
      <c r="T934"/>
    </row>
    <row r="935" spans="1:20" s="14" customFormat="1" x14ac:dyDescent="0.25">
      <c r="A935" s="2" t="s">
        <v>3278</v>
      </c>
      <c r="B935" s="491" t="s">
        <v>3294</v>
      </c>
      <c r="C935" s="2" t="s">
        <v>3243</v>
      </c>
      <c r="D935" s="2">
        <v>36</v>
      </c>
      <c r="E935" s="3" t="s">
        <v>3024</v>
      </c>
      <c r="F935" s="270"/>
      <c r="L935" s="2"/>
      <c r="P935"/>
      <c r="Q935"/>
      <c r="R935"/>
      <c r="S935"/>
      <c r="T935"/>
    </row>
    <row r="936" spans="1:20" s="14" customFormat="1" x14ac:dyDescent="0.25">
      <c r="A936" s="2" t="s">
        <v>3279</v>
      </c>
      <c r="B936" s="491" t="s">
        <v>3281</v>
      </c>
      <c r="C936" s="2" t="s">
        <v>3243</v>
      </c>
      <c r="D936" s="2">
        <v>48</v>
      </c>
      <c r="E936" s="3" t="s">
        <v>3024</v>
      </c>
      <c r="F936" s="270"/>
      <c r="L936" s="2"/>
      <c r="P936"/>
      <c r="Q936"/>
      <c r="R936"/>
      <c r="S936"/>
      <c r="T936"/>
    </row>
    <row r="937" spans="1:20" s="14" customFormat="1" x14ac:dyDescent="0.25">
      <c r="A937" s="2" t="s">
        <v>3280</v>
      </c>
      <c r="B937" s="491" t="s">
        <v>3371</v>
      </c>
      <c r="C937" s="2" t="s">
        <v>3243</v>
      </c>
      <c r="D937" s="2">
        <v>0</v>
      </c>
      <c r="E937" s="3" t="s">
        <v>3024</v>
      </c>
      <c r="F937" s="270"/>
      <c r="L937" s="2"/>
      <c r="P937"/>
      <c r="Q937"/>
      <c r="R937"/>
      <c r="S937"/>
      <c r="T937"/>
    </row>
    <row r="938" spans="1:20" s="14" customFormat="1" x14ac:dyDescent="0.25">
      <c r="A938" s="2" t="s">
        <v>3296</v>
      </c>
      <c r="B938" s="491" t="s">
        <v>3282</v>
      </c>
      <c r="C938" s="2" t="s">
        <v>3243</v>
      </c>
      <c r="D938" s="2">
        <v>0</v>
      </c>
      <c r="E938" s="3" t="s">
        <v>3024</v>
      </c>
      <c r="F938" s="270"/>
      <c r="L938" s="2"/>
      <c r="P938"/>
      <c r="Q938"/>
      <c r="R938"/>
      <c r="S938"/>
      <c r="T938"/>
    </row>
    <row r="939" spans="1:20" s="14" customFormat="1" x14ac:dyDescent="0.25">
      <c r="A939" s="2" t="s">
        <v>3297</v>
      </c>
      <c r="B939" s="491" t="s">
        <v>3283</v>
      </c>
      <c r="C939" s="2" t="s">
        <v>3243</v>
      </c>
      <c r="D939" s="2">
        <v>0</v>
      </c>
      <c r="E939" s="3" t="s">
        <v>3024</v>
      </c>
      <c r="F939" s="270"/>
      <c r="L939" s="2"/>
      <c r="P939"/>
      <c r="Q939"/>
      <c r="R939"/>
      <c r="S939"/>
      <c r="T939"/>
    </row>
    <row r="940" spans="1:20" s="14" customFormat="1" x14ac:dyDescent="0.25">
      <c r="A940" s="2" t="s">
        <v>3298</v>
      </c>
      <c r="B940" s="491" t="s">
        <v>3284</v>
      </c>
      <c r="C940" s="2" t="s">
        <v>3243</v>
      </c>
      <c r="D940" s="2">
        <v>0</v>
      </c>
      <c r="E940" s="3" t="s">
        <v>3024</v>
      </c>
      <c r="F940" s="270"/>
      <c r="L940" s="2"/>
      <c r="P940"/>
      <c r="Q940"/>
      <c r="R940"/>
      <c r="S940"/>
      <c r="T940"/>
    </row>
    <row r="941" spans="1:20" s="14" customFormat="1" x14ac:dyDescent="0.25">
      <c r="A941" s="2" t="s">
        <v>3299</v>
      </c>
      <c r="B941" s="491" t="s">
        <v>3285</v>
      </c>
      <c r="C941" s="2" t="s">
        <v>3243</v>
      </c>
      <c r="D941" s="2">
        <v>48</v>
      </c>
      <c r="E941" s="3" t="s">
        <v>3024</v>
      </c>
      <c r="F941" s="270"/>
      <c r="L941" s="2"/>
      <c r="P941"/>
      <c r="Q941"/>
      <c r="R941"/>
      <c r="S941"/>
      <c r="T941"/>
    </row>
    <row r="942" spans="1:20" s="14" customFormat="1" x14ac:dyDescent="0.25">
      <c r="A942" s="2" t="s">
        <v>3300</v>
      </c>
      <c r="B942" s="491" t="s">
        <v>3295</v>
      </c>
      <c r="C942" s="2" t="s">
        <v>3243</v>
      </c>
      <c r="D942" s="2">
        <v>0</v>
      </c>
      <c r="E942" s="3" t="s">
        <v>3024</v>
      </c>
      <c r="F942" s="270"/>
      <c r="L942" s="2"/>
      <c r="P942"/>
      <c r="Q942"/>
      <c r="R942"/>
      <c r="S942"/>
      <c r="T942"/>
    </row>
    <row r="943" spans="1:20" s="14" customFormat="1" x14ac:dyDescent="0.25">
      <c r="A943" s="2" t="s">
        <v>3301</v>
      </c>
      <c r="B943" s="491" t="s">
        <v>3317</v>
      </c>
      <c r="C943" s="2" t="s">
        <v>3315</v>
      </c>
      <c r="D943" s="2">
        <v>48</v>
      </c>
      <c r="E943" s="3" t="s">
        <v>3024</v>
      </c>
      <c r="F943" s="270"/>
      <c r="L943" s="2"/>
      <c r="P943"/>
      <c r="Q943"/>
      <c r="R943"/>
      <c r="S943"/>
      <c r="T943"/>
    </row>
    <row r="944" spans="1:20" s="14" customFormat="1" x14ac:dyDescent="0.25">
      <c r="A944" s="2" t="s">
        <v>3302</v>
      </c>
      <c r="B944" s="491" t="s">
        <v>3325</v>
      </c>
      <c r="C944" s="2" t="s">
        <v>3315</v>
      </c>
      <c r="D944" s="2">
        <v>0</v>
      </c>
      <c r="E944" s="3" t="s">
        <v>3024</v>
      </c>
      <c r="F944" s="270"/>
      <c r="L944" s="2"/>
      <c r="P944"/>
      <c r="Q944"/>
      <c r="R944"/>
      <c r="S944"/>
      <c r="T944"/>
    </row>
    <row r="945" spans="1:20" s="14" customFormat="1" x14ac:dyDescent="0.25">
      <c r="A945" s="2" t="s">
        <v>3326</v>
      </c>
      <c r="B945" s="491" t="s">
        <v>3318</v>
      </c>
      <c r="C945" s="2" t="s">
        <v>3315</v>
      </c>
      <c r="D945" s="2">
        <v>0</v>
      </c>
      <c r="E945" s="3" t="s">
        <v>3024</v>
      </c>
      <c r="F945" s="270"/>
      <c r="L945" s="2"/>
      <c r="P945"/>
      <c r="Q945"/>
      <c r="R945"/>
      <c r="S945"/>
      <c r="T945"/>
    </row>
    <row r="946" spans="1:20" s="14" customFormat="1" x14ac:dyDescent="0.25">
      <c r="A946" s="2" t="s">
        <v>3327</v>
      </c>
      <c r="B946" s="491" t="s">
        <v>3319</v>
      </c>
      <c r="C946" s="2" t="s">
        <v>3315</v>
      </c>
      <c r="D946" s="2">
        <v>2</v>
      </c>
      <c r="E946" s="3" t="s">
        <v>3024</v>
      </c>
      <c r="F946" s="270"/>
      <c r="L946" s="2"/>
      <c r="P946"/>
      <c r="Q946"/>
      <c r="R946"/>
      <c r="S946"/>
      <c r="T946"/>
    </row>
    <row r="947" spans="1:20" s="14" customFormat="1" x14ac:dyDescent="0.25">
      <c r="A947" s="2" t="s">
        <v>3328</v>
      </c>
      <c r="B947" s="491" t="s">
        <v>3320</v>
      </c>
      <c r="C947" s="2" t="s">
        <v>3315</v>
      </c>
      <c r="D947" s="2">
        <v>2</v>
      </c>
      <c r="E947" s="3" t="s">
        <v>3024</v>
      </c>
      <c r="F947" s="270"/>
      <c r="L947" s="2"/>
      <c r="P947"/>
      <c r="Q947"/>
      <c r="R947"/>
      <c r="S947"/>
      <c r="T947"/>
    </row>
    <row r="948" spans="1:20" s="14" customFormat="1" x14ac:dyDescent="0.25">
      <c r="A948" s="2" t="s">
        <v>3329</v>
      </c>
      <c r="B948" s="491" t="s">
        <v>3321</v>
      </c>
      <c r="C948" s="2" t="s">
        <v>3315</v>
      </c>
      <c r="D948" s="2">
        <v>0</v>
      </c>
      <c r="E948" s="3" t="s">
        <v>3024</v>
      </c>
      <c r="F948" s="270"/>
      <c r="L948" s="2"/>
      <c r="P948"/>
      <c r="Q948"/>
      <c r="R948"/>
      <c r="S948"/>
      <c r="T948"/>
    </row>
    <row r="949" spans="1:20" s="14" customFormat="1" x14ac:dyDescent="0.25">
      <c r="A949" s="2" t="s">
        <v>3330</v>
      </c>
      <c r="B949" s="491" t="s">
        <v>3322</v>
      </c>
      <c r="C949" s="2" t="s">
        <v>3315</v>
      </c>
      <c r="D949" s="2">
        <v>10</v>
      </c>
      <c r="E949" s="3" t="s">
        <v>3024</v>
      </c>
      <c r="F949" s="270"/>
      <c r="L949" s="2"/>
      <c r="P949"/>
      <c r="Q949"/>
      <c r="R949"/>
      <c r="S949"/>
      <c r="T949"/>
    </row>
    <row r="950" spans="1:20" s="14" customFormat="1" x14ac:dyDescent="0.25">
      <c r="A950" s="2" t="s">
        <v>3331</v>
      </c>
      <c r="B950" s="491" t="s">
        <v>3323</v>
      </c>
      <c r="C950" s="2" t="s">
        <v>3315</v>
      </c>
      <c r="D950" s="2">
        <v>0</v>
      </c>
      <c r="E950" s="3" t="s">
        <v>3024</v>
      </c>
      <c r="F950" s="270"/>
      <c r="L950" s="2"/>
      <c r="P950"/>
      <c r="Q950"/>
      <c r="R950"/>
      <c r="S950"/>
      <c r="T950"/>
    </row>
    <row r="951" spans="1:20" s="14" customFormat="1" x14ac:dyDescent="0.25">
      <c r="A951" s="2" t="s">
        <v>3332</v>
      </c>
      <c r="B951" s="491" t="s">
        <v>3324</v>
      </c>
      <c r="C951" s="2" t="s">
        <v>3316</v>
      </c>
      <c r="D951" s="2">
        <v>0</v>
      </c>
      <c r="E951" s="3" t="s">
        <v>3024</v>
      </c>
      <c r="F951" s="270"/>
      <c r="L951" s="2"/>
      <c r="P951"/>
      <c r="Q951"/>
      <c r="R951"/>
      <c r="S951"/>
      <c r="T951"/>
    </row>
    <row r="952" spans="1:20" s="14" customFormat="1" x14ac:dyDescent="0.25">
      <c r="A952" s="2" t="s">
        <v>3333</v>
      </c>
      <c r="B952" s="491" t="s">
        <v>3341</v>
      </c>
      <c r="C952" s="2" t="s">
        <v>3342</v>
      </c>
      <c r="D952" s="2">
        <v>2</v>
      </c>
      <c r="E952" s="3" t="s">
        <v>3024</v>
      </c>
      <c r="F952" s="270"/>
      <c r="L952" s="2"/>
      <c r="P952"/>
      <c r="Q952"/>
      <c r="R952"/>
      <c r="S952"/>
      <c r="T952"/>
    </row>
    <row r="953" spans="1:20" s="14" customFormat="1" x14ac:dyDescent="0.25">
      <c r="A953" s="2" t="s">
        <v>3334</v>
      </c>
      <c r="B953" s="491" t="s">
        <v>3344</v>
      </c>
      <c r="C953" s="2" t="s">
        <v>3342</v>
      </c>
      <c r="D953" s="2">
        <v>2</v>
      </c>
      <c r="E953" s="3" t="s">
        <v>3024</v>
      </c>
      <c r="F953" s="270"/>
      <c r="L953" s="2"/>
      <c r="P953"/>
      <c r="Q953"/>
      <c r="R953"/>
      <c r="S953"/>
      <c r="T953"/>
    </row>
    <row r="954" spans="1:20" s="14" customFormat="1" x14ac:dyDescent="0.25">
      <c r="A954" s="2" t="s">
        <v>3340</v>
      </c>
      <c r="B954" s="491" t="s">
        <v>3346</v>
      </c>
      <c r="C954" s="2" t="s">
        <v>3342</v>
      </c>
      <c r="D954" s="2">
        <v>2</v>
      </c>
      <c r="E954" s="3" t="s">
        <v>3024</v>
      </c>
      <c r="F954" s="270"/>
      <c r="L954" s="2"/>
      <c r="P954"/>
      <c r="Q954"/>
      <c r="R954"/>
      <c r="S954"/>
      <c r="T954"/>
    </row>
    <row r="955" spans="1:20" s="14" customFormat="1" x14ac:dyDescent="0.25">
      <c r="A955" s="2" t="s">
        <v>3343</v>
      </c>
      <c r="B955" s="491" t="s">
        <v>3348</v>
      </c>
      <c r="C955" s="2" t="s">
        <v>3342</v>
      </c>
      <c r="D955" s="2">
        <v>0</v>
      </c>
      <c r="E955" s="3" t="s">
        <v>3024</v>
      </c>
      <c r="F955" s="270"/>
      <c r="L955" s="2"/>
      <c r="P955"/>
      <c r="Q955"/>
      <c r="R955"/>
      <c r="S955"/>
      <c r="T955"/>
    </row>
    <row r="956" spans="1:20" s="14" customFormat="1" x14ac:dyDescent="0.25">
      <c r="A956" s="2" t="s">
        <v>3345</v>
      </c>
      <c r="B956" s="491" t="s">
        <v>3350</v>
      </c>
      <c r="C956" s="2" t="s">
        <v>1879</v>
      </c>
      <c r="D956" s="2">
        <v>0</v>
      </c>
      <c r="E956" s="3" t="s">
        <v>3024</v>
      </c>
      <c r="F956" s="270"/>
      <c r="L956" s="2"/>
      <c r="P956"/>
      <c r="Q956"/>
      <c r="R956"/>
      <c r="S956"/>
      <c r="T956"/>
    </row>
    <row r="957" spans="1:20" s="14" customFormat="1" x14ac:dyDescent="0.25">
      <c r="A957" s="2" t="s">
        <v>3347</v>
      </c>
      <c r="B957" s="491" t="s">
        <v>3664</v>
      </c>
      <c r="C957" s="2" t="s">
        <v>1887</v>
      </c>
      <c r="D957" s="2">
        <v>0</v>
      </c>
      <c r="E957" s="3" t="s">
        <v>3024</v>
      </c>
      <c r="F957" s="270"/>
      <c r="L957" s="2"/>
      <c r="P957"/>
      <c r="Q957"/>
      <c r="R957"/>
      <c r="S957"/>
      <c r="T957"/>
    </row>
    <row r="958" spans="1:20" s="14" customFormat="1" x14ac:dyDescent="0.25">
      <c r="A958" s="2" t="s">
        <v>3349</v>
      </c>
      <c r="B958" s="491" t="s">
        <v>3665</v>
      </c>
      <c r="C958" s="2" t="s">
        <v>1887</v>
      </c>
      <c r="D958" s="2">
        <v>0</v>
      </c>
      <c r="E958" s="3" t="s">
        <v>3024</v>
      </c>
      <c r="F958" s="270"/>
      <c r="L958" s="2"/>
      <c r="P958"/>
      <c r="Q958"/>
      <c r="R958"/>
      <c r="S958"/>
      <c r="T958"/>
    </row>
    <row r="959" spans="1:20" s="14" customFormat="1" x14ac:dyDescent="0.25">
      <c r="A959" s="2" t="s">
        <v>3351</v>
      </c>
      <c r="B959" s="491" t="s">
        <v>3666</v>
      </c>
      <c r="C959" s="2" t="s">
        <v>1887</v>
      </c>
      <c r="D959" s="2">
        <v>0</v>
      </c>
      <c r="E959" s="3" t="s">
        <v>3024</v>
      </c>
      <c r="F959" s="270"/>
      <c r="L959" s="2"/>
      <c r="P959"/>
      <c r="Q959"/>
      <c r="R959"/>
      <c r="S959"/>
      <c r="T959"/>
    </row>
    <row r="960" spans="1:20" s="14" customFormat="1" x14ac:dyDescent="0.25">
      <c r="A960" s="2" t="s">
        <v>3352</v>
      </c>
      <c r="B960" s="491" t="s">
        <v>3354</v>
      </c>
      <c r="C960" s="2" t="s">
        <v>1879</v>
      </c>
      <c r="D960" s="2">
        <v>0</v>
      </c>
      <c r="E960" s="3" t="s">
        <v>3024</v>
      </c>
      <c r="F960" s="270"/>
      <c r="L960" s="2"/>
      <c r="P960"/>
      <c r="Q960"/>
      <c r="R960"/>
      <c r="S960"/>
      <c r="T960"/>
    </row>
    <row r="961" spans="1:20" s="14" customFormat="1" x14ac:dyDescent="0.25">
      <c r="A961" s="2" t="s">
        <v>3353</v>
      </c>
      <c r="B961" s="491" t="s">
        <v>3357</v>
      </c>
      <c r="C961" s="2" t="s">
        <v>1539</v>
      </c>
      <c r="D961" s="2">
        <v>18</v>
      </c>
      <c r="E961" s="3" t="s">
        <v>1524</v>
      </c>
      <c r="F961" s="270"/>
      <c r="L961" s="2"/>
      <c r="P961"/>
      <c r="Q961"/>
      <c r="R961"/>
      <c r="S961"/>
      <c r="T961"/>
    </row>
    <row r="962" spans="1:20" s="14" customFormat="1" x14ac:dyDescent="0.25">
      <c r="A962" s="2" t="s">
        <v>3355</v>
      </c>
      <c r="B962" s="491" t="s">
        <v>3358</v>
      </c>
      <c r="C962" s="2" t="s">
        <v>3359</v>
      </c>
      <c r="D962" s="2">
        <v>0</v>
      </c>
      <c r="E962" s="3" t="s">
        <v>1576</v>
      </c>
      <c r="F962" s="270"/>
      <c r="L962" s="2"/>
      <c r="P962"/>
      <c r="Q962"/>
      <c r="R962"/>
      <c r="S962"/>
      <c r="T962"/>
    </row>
    <row r="963" spans="1:20" s="14" customFormat="1" x14ac:dyDescent="0.25">
      <c r="A963" s="2" t="s">
        <v>3356</v>
      </c>
      <c r="B963" s="491" t="s">
        <v>5905</v>
      </c>
      <c r="C963" s="2" t="s">
        <v>782</v>
      </c>
      <c r="D963" s="2">
        <v>24</v>
      </c>
      <c r="E963" s="3" t="s">
        <v>1576</v>
      </c>
      <c r="F963" s="270"/>
      <c r="L963" s="2"/>
      <c r="P963"/>
      <c r="Q963"/>
      <c r="R963"/>
      <c r="S963"/>
      <c r="T963"/>
    </row>
    <row r="964" spans="1:20" s="14" customFormat="1" x14ac:dyDescent="0.25">
      <c r="A964" s="2" t="s">
        <v>3360</v>
      </c>
      <c r="B964" s="491" t="s">
        <v>5907</v>
      </c>
      <c r="C964" s="2" t="s">
        <v>782</v>
      </c>
      <c r="D964" s="2">
        <v>-1</v>
      </c>
      <c r="E964" s="3" t="s">
        <v>1576</v>
      </c>
      <c r="F964" s="270"/>
      <c r="L964" s="2"/>
      <c r="P964"/>
      <c r="Q964"/>
      <c r="R964"/>
      <c r="S964"/>
      <c r="T964"/>
    </row>
    <row r="965" spans="1:20" s="14" customFormat="1" x14ac:dyDescent="0.25">
      <c r="A965" s="2" t="s">
        <v>3375</v>
      </c>
      <c r="B965" s="491" t="s">
        <v>5906</v>
      </c>
      <c r="C965" s="2" t="s">
        <v>782</v>
      </c>
      <c r="D965" s="2">
        <v>0</v>
      </c>
      <c r="E965" s="3" t="s">
        <v>1576</v>
      </c>
      <c r="F965" s="270"/>
      <c r="L965" s="2"/>
      <c r="P965"/>
      <c r="Q965"/>
      <c r="R965"/>
      <c r="S965"/>
      <c r="T965"/>
    </row>
    <row r="966" spans="1:20" s="14" customFormat="1" x14ac:dyDescent="0.25">
      <c r="A966" s="2" t="s">
        <v>3376</v>
      </c>
      <c r="B966" s="491" t="s">
        <v>5908</v>
      </c>
      <c r="C966" s="2" t="s">
        <v>782</v>
      </c>
      <c r="D966" s="2">
        <v>-2</v>
      </c>
      <c r="E966" s="3" t="s">
        <v>1879</v>
      </c>
      <c r="F966" s="270"/>
      <c r="L966" s="2"/>
      <c r="P966"/>
      <c r="Q966"/>
      <c r="R966"/>
      <c r="S966"/>
      <c r="T966"/>
    </row>
    <row r="967" spans="1:20" s="14" customFormat="1" x14ac:dyDescent="0.25">
      <c r="A967" s="2" t="s">
        <v>3377</v>
      </c>
      <c r="B967" s="491" t="s">
        <v>3407</v>
      </c>
      <c r="C967" s="2" t="s">
        <v>2792</v>
      </c>
      <c r="D967" s="2">
        <v>-3</v>
      </c>
      <c r="E967" s="3" t="s">
        <v>1561</v>
      </c>
      <c r="F967" s="270"/>
      <c r="L967" s="2"/>
      <c r="P967"/>
      <c r="Q967"/>
      <c r="R967"/>
      <c r="S967"/>
      <c r="T967"/>
    </row>
    <row r="968" spans="1:20" s="14" customFormat="1" x14ac:dyDescent="0.25">
      <c r="A968" s="2" t="s">
        <v>3378</v>
      </c>
      <c r="B968" s="491" t="s">
        <v>3408</v>
      </c>
      <c r="C968" s="2" t="s">
        <v>2792</v>
      </c>
      <c r="D968" s="2">
        <v>-3</v>
      </c>
      <c r="E968" s="3" t="s">
        <v>1561</v>
      </c>
      <c r="F968" s="270"/>
      <c r="L968" s="2"/>
      <c r="P968"/>
      <c r="Q968"/>
      <c r="R968"/>
      <c r="S968"/>
      <c r="T968"/>
    </row>
    <row r="969" spans="1:20" s="14" customFormat="1" x14ac:dyDescent="0.25">
      <c r="A969" s="2" t="s">
        <v>3414</v>
      </c>
      <c r="B969" s="491" t="s">
        <v>3409</v>
      </c>
      <c r="C969" s="2" t="s">
        <v>2792</v>
      </c>
      <c r="D969" s="2">
        <v>-5</v>
      </c>
      <c r="E969" s="3" t="s">
        <v>1561</v>
      </c>
      <c r="F969" s="270"/>
      <c r="L969" s="2"/>
      <c r="P969"/>
      <c r="Q969"/>
      <c r="R969"/>
      <c r="S969"/>
      <c r="T969"/>
    </row>
    <row r="970" spans="1:20" s="14" customFormat="1" x14ac:dyDescent="0.25">
      <c r="A970" s="2" t="s">
        <v>3415</v>
      </c>
      <c r="B970" s="491" t="s">
        <v>3410</v>
      </c>
      <c r="C970" s="2" t="s">
        <v>2792</v>
      </c>
      <c r="D970" s="2">
        <v>0</v>
      </c>
      <c r="E970" s="3" t="s">
        <v>1879</v>
      </c>
      <c r="F970" s="270"/>
      <c r="L970" s="2"/>
      <c r="P970"/>
      <c r="Q970"/>
      <c r="R970"/>
      <c r="S970"/>
      <c r="T970"/>
    </row>
    <row r="971" spans="1:20" s="14" customFormat="1" x14ac:dyDescent="0.25">
      <c r="A971" s="2" t="s">
        <v>3416</v>
      </c>
      <c r="B971" s="491" t="s">
        <v>3411</v>
      </c>
      <c r="C971" s="2" t="s">
        <v>2792</v>
      </c>
      <c r="D971" s="2">
        <v>-1</v>
      </c>
      <c r="E971" s="3" t="s">
        <v>1524</v>
      </c>
      <c r="F971" s="270"/>
      <c r="L971" s="2"/>
      <c r="P971"/>
      <c r="Q971"/>
      <c r="R971"/>
      <c r="S971"/>
      <c r="T971"/>
    </row>
    <row r="972" spans="1:20" s="14" customFormat="1" x14ac:dyDescent="0.25">
      <c r="A972" s="2" t="s">
        <v>3417</v>
      </c>
      <c r="B972" s="491" t="s">
        <v>3412</v>
      </c>
      <c r="C972" s="2" t="s">
        <v>2792</v>
      </c>
      <c r="D972" s="2">
        <v>-1</v>
      </c>
      <c r="E972" s="3" t="s">
        <v>1546</v>
      </c>
      <c r="F972" s="270"/>
      <c r="L972" s="2"/>
      <c r="P972"/>
      <c r="Q972"/>
      <c r="R972"/>
      <c r="S972"/>
      <c r="T972"/>
    </row>
    <row r="973" spans="1:20" s="14" customFormat="1" x14ac:dyDescent="0.25">
      <c r="A973" s="2" t="s">
        <v>3418</v>
      </c>
      <c r="B973" s="491" t="s">
        <v>3413</v>
      </c>
      <c r="C973" s="2" t="s">
        <v>2792</v>
      </c>
      <c r="D973" s="2">
        <v>12</v>
      </c>
      <c r="E973" s="3" t="s">
        <v>1561</v>
      </c>
      <c r="F973" s="270"/>
      <c r="L973" s="2"/>
      <c r="P973"/>
      <c r="Q973"/>
      <c r="R973"/>
      <c r="S973"/>
      <c r="T973"/>
    </row>
    <row r="974" spans="1:20" s="14" customFormat="1" x14ac:dyDescent="0.25">
      <c r="A974" s="2" t="s">
        <v>3419</v>
      </c>
      <c r="B974" s="491" t="s">
        <v>3454</v>
      </c>
      <c r="C974" s="2" t="s">
        <v>3243</v>
      </c>
      <c r="D974" s="2">
        <v>12</v>
      </c>
      <c r="E974" s="3" t="s">
        <v>1561</v>
      </c>
      <c r="F974" s="270"/>
      <c r="L974" s="2"/>
      <c r="P974"/>
      <c r="Q974"/>
      <c r="R974"/>
      <c r="S974"/>
      <c r="T974"/>
    </row>
    <row r="975" spans="1:20" s="14" customFormat="1" x14ac:dyDescent="0.25">
      <c r="A975" s="2" t="s">
        <v>3420</v>
      </c>
      <c r="B975" s="491" t="s">
        <v>3519</v>
      </c>
      <c r="C975" s="2" t="s">
        <v>409</v>
      </c>
      <c r="D975" s="2">
        <v>-12</v>
      </c>
      <c r="E975" s="3" t="s">
        <v>1561</v>
      </c>
      <c r="F975" s="270"/>
      <c r="L975" s="2"/>
      <c r="P975"/>
      <c r="Q975"/>
      <c r="R975"/>
      <c r="S975"/>
      <c r="T975"/>
    </row>
    <row r="976" spans="1:20" s="14" customFormat="1" x14ac:dyDescent="0.25">
      <c r="A976" s="2" t="s">
        <v>3455</v>
      </c>
      <c r="B976" s="491" t="s">
        <v>3576</v>
      </c>
      <c r="C976" s="2" t="s">
        <v>3578</v>
      </c>
      <c r="D976" s="2">
        <v>48</v>
      </c>
      <c r="E976" s="3" t="s">
        <v>1561</v>
      </c>
      <c r="F976" s="270"/>
      <c r="L976" s="2"/>
      <c r="P976"/>
      <c r="Q976"/>
      <c r="R976"/>
      <c r="S976"/>
      <c r="T976"/>
    </row>
    <row r="977" spans="1:20" s="14" customFormat="1" x14ac:dyDescent="0.25">
      <c r="A977" s="2" t="s">
        <v>3520</v>
      </c>
      <c r="B977" s="491" t="s">
        <v>2847</v>
      </c>
      <c r="C977" s="2" t="s">
        <v>188</v>
      </c>
      <c r="D977" s="2">
        <v>0</v>
      </c>
      <c r="E977" s="3" t="s">
        <v>2755</v>
      </c>
      <c r="F977" s="270"/>
      <c r="L977" s="2"/>
      <c r="M977" s="14">
        <v>0</v>
      </c>
      <c r="P977"/>
      <c r="Q977"/>
      <c r="R977"/>
      <c r="S977"/>
      <c r="T977"/>
    </row>
    <row r="978" spans="1:20" s="14" customFormat="1" x14ac:dyDescent="0.25">
      <c r="A978" s="2" t="s">
        <v>3575</v>
      </c>
      <c r="B978" s="491" t="s">
        <v>2848</v>
      </c>
      <c r="C978" s="2" t="s">
        <v>188</v>
      </c>
      <c r="D978" s="2">
        <v>0</v>
      </c>
      <c r="E978" s="3" t="s">
        <v>2755</v>
      </c>
      <c r="F978" s="270"/>
      <c r="L978" s="2"/>
      <c r="M978" s="14">
        <v>0</v>
      </c>
      <c r="P978"/>
      <c r="Q978"/>
      <c r="R978"/>
      <c r="S978"/>
      <c r="T978"/>
    </row>
    <row r="979" spans="1:20" s="14" customFormat="1" x14ac:dyDescent="0.25">
      <c r="A979" s="2" t="s">
        <v>3624</v>
      </c>
      <c r="B979" s="491" t="s">
        <v>3574</v>
      </c>
      <c r="C979" s="2" t="s">
        <v>2720</v>
      </c>
      <c r="D979" s="2">
        <v>0</v>
      </c>
      <c r="E979" s="3" t="s">
        <v>2755</v>
      </c>
      <c r="F979" s="270"/>
      <c r="L979" s="2"/>
      <c r="M979" s="14">
        <v>0</v>
      </c>
      <c r="P979"/>
      <c r="Q979"/>
      <c r="R979"/>
      <c r="S979"/>
      <c r="T979"/>
    </row>
    <row r="980" spans="1:20" s="14" customFormat="1" x14ac:dyDescent="0.25">
      <c r="A980" s="2" t="s">
        <v>3625</v>
      </c>
      <c r="B980" s="491" t="s">
        <v>3628</v>
      </c>
      <c r="C980" s="2" t="s">
        <v>2786</v>
      </c>
      <c r="D980" s="2">
        <v>4</v>
      </c>
      <c r="E980" s="3" t="s">
        <v>2755</v>
      </c>
      <c r="F980" s="270"/>
      <c r="L980" s="2"/>
      <c r="P980"/>
      <c r="Q980"/>
      <c r="R980"/>
      <c r="S980"/>
      <c r="T980"/>
    </row>
    <row r="981" spans="1:20" s="14" customFormat="1" x14ac:dyDescent="0.25">
      <c r="A981" s="2" t="s">
        <v>3626</v>
      </c>
      <c r="B981" s="491" t="s">
        <v>3652</v>
      </c>
      <c r="C981" s="2" t="s">
        <v>3653</v>
      </c>
      <c r="D981" s="2">
        <v>0</v>
      </c>
      <c r="E981" s="3" t="s">
        <v>2755</v>
      </c>
      <c r="F981" s="270"/>
      <c r="L981" s="2"/>
      <c r="M981" s="14">
        <v>0</v>
      </c>
      <c r="P981"/>
      <c r="Q981"/>
      <c r="R981"/>
      <c r="S981"/>
      <c r="T981"/>
    </row>
    <row r="982" spans="1:20" s="14" customFormat="1" x14ac:dyDescent="0.25">
      <c r="A982" s="2" t="s">
        <v>3627</v>
      </c>
      <c r="B982" s="491" t="s">
        <v>3655</v>
      </c>
      <c r="C982" s="2" t="s">
        <v>3656</v>
      </c>
      <c r="D982" s="2">
        <v>0</v>
      </c>
      <c r="E982" s="3" t="s">
        <v>2755</v>
      </c>
      <c r="F982" s="270"/>
      <c r="L982" s="2"/>
      <c r="M982" s="14">
        <v>0</v>
      </c>
      <c r="P982"/>
      <c r="Q982"/>
      <c r="R982"/>
      <c r="S982"/>
      <c r="T982"/>
    </row>
    <row r="983" spans="1:20" s="14" customFormat="1" x14ac:dyDescent="0.25">
      <c r="A983" s="2" t="s">
        <v>3651</v>
      </c>
      <c r="B983" s="491" t="s">
        <v>3658</v>
      </c>
      <c r="C983" s="2" t="s">
        <v>3656</v>
      </c>
      <c r="D983" s="2">
        <v>0</v>
      </c>
      <c r="E983" s="3" t="s">
        <v>2755</v>
      </c>
      <c r="F983" s="270"/>
      <c r="L983" s="2"/>
      <c r="M983" s="14">
        <v>0</v>
      </c>
      <c r="P983"/>
      <c r="Q983"/>
      <c r="R983"/>
      <c r="S983"/>
      <c r="T983"/>
    </row>
    <row r="984" spans="1:20" s="14" customFormat="1" x14ac:dyDescent="0.25">
      <c r="A984" s="2" t="s">
        <v>3654</v>
      </c>
      <c r="B984" s="491" t="s">
        <v>3660</v>
      </c>
      <c r="C984" s="2" t="s">
        <v>3661</v>
      </c>
      <c r="D984" s="2">
        <v>0</v>
      </c>
      <c r="E984" s="3" t="s">
        <v>3024</v>
      </c>
      <c r="F984" s="270"/>
      <c r="L984" s="2"/>
      <c r="P984"/>
      <c r="Q984"/>
      <c r="R984"/>
      <c r="S984"/>
      <c r="T984"/>
    </row>
    <row r="985" spans="1:20" s="14" customFormat="1" x14ac:dyDescent="0.25">
      <c r="A985" s="2" t="s">
        <v>3657</v>
      </c>
      <c r="B985" s="491" t="s">
        <v>5158</v>
      </c>
      <c r="C985" s="2" t="s">
        <v>3669</v>
      </c>
      <c r="D985" s="2">
        <v>12</v>
      </c>
      <c r="E985" s="3" t="s">
        <v>1546</v>
      </c>
      <c r="F985" s="270"/>
      <c r="L985" s="2"/>
      <c r="P985"/>
      <c r="Q985"/>
      <c r="R985"/>
      <c r="S985"/>
      <c r="T985"/>
    </row>
    <row r="986" spans="1:20" s="14" customFormat="1" x14ac:dyDescent="0.25">
      <c r="A986" s="2" t="s">
        <v>3659</v>
      </c>
      <c r="B986" s="491" t="s">
        <v>3671</v>
      </c>
      <c r="C986" s="2" t="s">
        <v>3672</v>
      </c>
      <c r="D986" s="2">
        <v>12</v>
      </c>
      <c r="E986" s="3" t="s">
        <v>3577</v>
      </c>
      <c r="F986" s="270"/>
      <c r="L986" s="2"/>
      <c r="P986"/>
      <c r="Q986"/>
      <c r="R986"/>
      <c r="S986"/>
      <c r="T986"/>
    </row>
    <row r="987" spans="1:20" s="14" customFormat="1" x14ac:dyDescent="0.25">
      <c r="A987" s="2" t="s">
        <v>3668</v>
      </c>
      <c r="B987" s="491" t="s">
        <v>3715</v>
      </c>
      <c r="C987" s="2" t="s">
        <v>3713</v>
      </c>
      <c r="D987" s="2">
        <v>0</v>
      </c>
      <c r="E987" s="3"/>
      <c r="F987" s="270"/>
      <c r="L987" s="2"/>
      <c r="P987"/>
      <c r="Q987"/>
      <c r="R987"/>
      <c r="S987"/>
      <c r="T987"/>
    </row>
    <row r="988" spans="1:20" s="14" customFormat="1" x14ac:dyDescent="0.25">
      <c r="A988" s="2" t="s">
        <v>3670</v>
      </c>
      <c r="B988" s="491" t="s">
        <v>3966</v>
      </c>
      <c r="C988" s="2" t="s">
        <v>3734</v>
      </c>
      <c r="D988" s="2">
        <v>-2</v>
      </c>
      <c r="E988" s="3"/>
      <c r="F988" s="270"/>
      <c r="L988" s="2"/>
      <c r="P988"/>
      <c r="Q988"/>
      <c r="R988"/>
      <c r="S988"/>
      <c r="T988"/>
    </row>
    <row r="989" spans="1:20" s="14" customFormat="1" x14ac:dyDescent="0.25">
      <c r="A989" s="2" t="s">
        <v>3714</v>
      </c>
      <c r="B989" s="491" t="s">
        <v>3745</v>
      </c>
      <c r="C989" s="2" t="s">
        <v>1646</v>
      </c>
      <c r="D989" s="2">
        <v>0</v>
      </c>
      <c r="E989" s="3" t="s">
        <v>1546</v>
      </c>
      <c r="F989" s="270"/>
      <c r="L989" s="2"/>
      <c r="P989"/>
      <c r="Q989"/>
      <c r="R989"/>
      <c r="S989"/>
      <c r="T989"/>
    </row>
    <row r="990" spans="1:20" s="14" customFormat="1" x14ac:dyDescent="0.25">
      <c r="A990" s="2" t="s">
        <v>3733</v>
      </c>
      <c r="B990" s="491" t="s">
        <v>3743</v>
      </c>
      <c r="C990" s="2" t="s">
        <v>1646</v>
      </c>
      <c r="D990" s="2">
        <v>5</v>
      </c>
      <c r="E990" s="3" t="s">
        <v>1561</v>
      </c>
      <c r="F990" s="270"/>
      <c r="L990" s="2"/>
      <c r="P990"/>
      <c r="Q990"/>
      <c r="R990"/>
      <c r="S990"/>
      <c r="T990"/>
    </row>
    <row r="991" spans="1:20" s="14" customFormat="1" x14ac:dyDescent="0.25">
      <c r="A991" s="2" t="s">
        <v>3837</v>
      </c>
      <c r="B991" s="491" t="s">
        <v>3746</v>
      </c>
      <c r="C991" s="2" t="s">
        <v>1646</v>
      </c>
      <c r="D991" s="2">
        <v>12</v>
      </c>
      <c r="E991" s="3" t="s">
        <v>1561</v>
      </c>
      <c r="F991" s="270"/>
      <c r="L991" s="2"/>
      <c r="P991"/>
      <c r="Q991"/>
      <c r="R991"/>
      <c r="S991"/>
      <c r="T991"/>
    </row>
    <row r="992" spans="1:20" s="14" customFormat="1" x14ac:dyDescent="0.25">
      <c r="A992" s="2" t="s">
        <v>3838</v>
      </c>
      <c r="B992" s="491" t="s">
        <v>3752</v>
      </c>
      <c r="C992" s="2" t="s">
        <v>1646</v>
      </c>
      <c r="D992" s="2">
        <v>1</v>
      </c>
      <c r="E992" s="3" t="s">
        <v>1561</v>
      </c>
      <c r="F992" s="270"/>
      <c r="L992" s="2"/>
      <c r="P992"/>
      <c r="Q992"/>
      <c r="R992"/>
      <c r="S992"/>
      <c r="T992"/>
    </row>
    <row r="993" spans="1:20" s="14" customFormat="1" x14ac:dyDescent="0.25">
      <c r="A993" s="2" t="s">
        <v>3839</v>
      </c>
      <c r="B993" s="491" t="s">
        <v>3747</v>
      </c>
      <c r="C993" s="2" t="s">
        <v>1646</v>
      </c>
      <c r="D993" s="2">
        <v>1</v>
      </c>
      <c r="E993" s="3" t="s">
        <v>1561</v>
      </c>
      <c r="F993" s="270"/>
      <c r="L993" s="2"/>
      <c r="P993"/>
      <c r="Q993"/>
      <c r="R993"/>
      <c r="S993"/>
      <c r="T993"/>
    </row>
    <row r="994" spans="1:20" s="14" customFormat="1" x14ac:dyDescent="0.25">
      <c r="A994" s="2" t="s">
        <v>3840</v>
      </c>
      <c r="B994" s="491" t="s">
        <v>3748</v>
      </c>
      <c r="C994" s="2" t="s">
        <v>1646</v>
      </c>
      <c r="D994" s="2">
        <v>1</v>
      </c>
      <c r="E994" s="3" t="s">
        <v>1561</v>
      </c>
      <c r="F994" s="270"/>
      <c r="L994" s="2"/>
      <c r="P994"/>
      <c r="Q994"/>
      <c r="R994"/>
      <c r="S994"/>
      <c r="T994"/>
    </row>
    <row r="995" spans="1:20" s="14" customFormat="1" x14ac:dyDescent="0.25">
      <c r="A995" s="2" t="s">
        <v>3841</v>
      </c>
      <c r="B995" s="491" t="s">
        <v>3749</v>
      </c>
      <c r="C995" s="2" t="s">
        <v>1646</v>
      </c>
      <c r="D995" s="2">
        <v>0</v>
      </c>
      <c r="E995" s="3" t="s">
        <v>1546</v>
      </c>
      <c r="F995" s="270"/>
      <c r="L995" s="2"/>
      <c r="P995"/>
      <c r="Q995"/>
      <c r="R995"/>
      <c r="S995"/>
      <c r="T995"/>
    </row>
    <row r="996" spans="1:20" s="14" customFormat="1" x14ac:dyDescent="0.25">
      <c r="A996" s="2" t="s">
        <v>3842</v>
      </c>
      <c r="B996" s="491" t="s">
        <v>3750</v>
      </c>
      <c r="C996" s="2" t="s">
        <v>1646</v>
      </c>
      <c r="D996" s="2">
        <v>18</v>
      </c>
      <c r="E996" s="3" t="s">
        <v>1546</v>
      </c>
      <c r="F996" s="270"/>
      <c r="L996" s="2"/>
      <c r="P996"/>
      <c r="Q996"/>
      <c r="R996"/>
      <c r="S996"/>
      <c r="T996"/>
    </row>
    <row r="997" spans="1:20" s="14" customFormat="1" x14ac:dyDescent="0.25">
      <c r="A997" s="2" t="s">
        <v>3843</v>
      </c>
      <c r="B997" s="491" t="s">
        <v>3751</v>
      </c>
      <c r="C997" s="2" t="s">
        <v>1646</v>
      </c>
      <c r="D997" s="2">
        <v>-19</v>
      </c>
      <c r="E997" s="3" t="s">
        <v>3934</v>
      </c>
      <c r="F997" s="270"/>
      <c r="L997" s="2"/>
      <c r="P997"/>
      <c r="Q997"/>
      <c r="R997"/>
      <c r="S997"/>
      <c r="T997"/>
    </row>
    <row r="998" spans="1:20" s="14" customFormat="1" x14ac:dyDescent="0.25">
      <c r="A998" s="2" t="s">
        <v>3844</v>
      </c>
      <c r="B998" s="491" t="s">
        <v>3744</v>
      </c>
      <c r="C998" s="2" t="s">
        <v>1646</v>
      </c>
      <c r="D998" s="2">
        <v>2</v>
      </c>
      <c r="E998" s="3" t="s">
        <v>1576</v>
      </c>
      <c r="F998" s="270"/>
      <c r="L998" s="2"/>
      <c r="P998"/>
      <c r="Q998"/>
      <c r="R998"/>
      <c r="S998"/>
      <c r="T998"/>
    </row>
    <row r="999" spans="1:20" s="14" customFormat="1" x14ac:dyDescent="0.25">
      <c r="A999" s="2" t="s">
        <v>3845</v>
      </c>
      <c r="B999" s="491" t="s">
        <v>3758</v>
      </c>
      <c r="C999" s="2" t="s">
        <v>1646</v>
      </c>
      <c r="D999" s="2">
        <v>0</v>
      </c>
      <c r="E999" s="3" t="s">
        <v>3934</v>
      </c>
      <c r="F999" s="270"/>
      <c r="L999" s="2"/>
      <c r="P999"/>
      <c r="Q999"/>
      <c r="R999"/>
      <c r="S999"/>
      <c r="T999"/>
    </row>
    <row r="1000" spans="1:20" s="14" customFormat="1" x14ac:dyDescent="0.25">
      <c r="A1000" s="2" t="s">
        <v>3846</v>
      </c>
      <c r="B1000" s="491" t="s">
        <v>3759</v>
      </c>
      <c r="C1000" s="2" t="s">
        <v>1646</v>
      </c>
      <c r="D1000" s="2">
        <v>0</v>
      </c>
      <c r="E1000" s="3" t="s">
        <v>3934</v>
      </c>
      <c r="F1000" s="270"/>
      <c r="L1000" s="2"/>
      <c r="P1000"/>
      <c r="Q1000"/>
      <c r="R1000"/>
      <c r="S1000"/>
      <c r="T1000"/>
    </row>
    <row r="1001" spans="1:20" s="14" customFormat="1" x14ac:dyDescent="0.25">
      <c r="A1001" s="2" t="s">
        <v>3847</v>
      </c>
      <c r="B1001" s="491" t="s">
        <v>3753</v>
      </c>
      <c r="C1001" s="2" t="s">
        <v>1646</v>
      </c>
      <c r="D1001" s="2">
        <v>0</v>
      </c>
      <c r="E1001" s="3" t="s">
        <v>3934</v>
      </c>
      <c r="F1001" s="270"/>
      <c r="L1001" s="2"/>
      <c r="P1001"/>
      <c r="Q1001"/>
      <c r="R1001"/>
      <c r="S1001"/>
      <c r="T1001"/>
    </row>
    <row r="1002" spans="1:20" s="14" customFormat="1" x14ac:dyDescent="0.25">
      <c r="A1002" s="2" t="s">
        <v>3848</v>
      </c>
      <c r="B1002" s="491" t="s">
        <v>3754</v>
      </c>
      <c r="C1002" s="2" t="s">
        <v>1646</v>
      </c>
      <c r="D1002" s="2">
        <v>0</v>
      </c>
      <c r="E1002" s="3" t="s">
        <v>3934</v>
      </c>
      <c r="F1002" s="270"/>
      <c r="L1002" s="2"/>
      <c r="P1002"/>
      <c r="Q1002"/>
      <c r="R1002"/>
      <c r="S1002"/>
      <c r="T1002"/>
    </row>
    <row r="1003" spans="1:20" s="14" customFormat="1" x14ac:dyDescent="0.25">
      <c r="A1003" s="2" t="s">
        <v>3849</v>
      </c>
      <c r="B1003" s="491" t="s">
        <v>3755</v>
      </c>
      <c r="C1003" s="2" t="s">
        <v>1646</v>
      </c>
      <c r="D1003" s="2">
        <v>0</v>
      </c>
      <c r="E1003" s="3" t="s">
        <v>3934</v>
      </c>
      <c r="F1003" s="270"/>
      <c r="L1003" s="2"/>
      <c r="P1003"/>
      <c r="Q1003"/>
      <c r="R1003"/>
      <c r="S1003"/>
      <c r="T1003"/>
    </row>
    <row r="1004" spans="1:20" s="14" customFormat="1" x14ac:dyDescent="0.25">
      <c r="A1004" s="2" t="s">
        <v>3850</v>
      </c>
      <c r="B1004" s="491" t="s">
        <v>3756</v>
      </c>
      <c r="C1004" s="2" t="s">
        <v>1646</v>
      </c>
      <c r="D1004" s="2">
        <v>0</v>
      </c>
      <c r="E1004" s="3" t="s">
        <v>3934</v>
      </c>
      <c r="F1004" s="270"/>
      <c r="L1004" s="2"/>
      <c r="P1004"/>
      <c r="Q1004"/>
      <c r="R1004"/>
      <c r="S1004"/>
      <c r="T1004"/>
    </row>
    <row r="1005" spans="1:20" s="14" customFormat="1" x14ac:dyDescent="0.25">
      <c r="A1005" s="2" t="s">
        <v>3851</v>
      </c>
      <c r="B1005" s="491" t="s">
        <v>3757</v>
      </c>
      <c r="C1005" s="2" t="s">
        <v>1646</v>
      </c>
      <c r="D1005" s="2">
        <v>0</v>
      </c>
      <c r="E1005" s="3" t="s">
        <v>3934</v>
      </c>
      <c r="F1005" s="270"/>
      <c r="L1005" s="2"/>
      <c r="P1005"/>
      <c r="Q1005"/>
      <c r="R1005"/>
      <c r="S1005"/>
      <c r="T1005"/>
    </row>
    <row r="1006" spans="1:20" s="14" customFormat="1" x14ac:dyDescent="0.25">
      <c r="A1006" s="2" t="s">
        <v>3852</v>
      </c>
      <c r="B1006" s="491" t="s">
        <v>3762</v>
      </c>
      <c r="C1006" s="2" t="s">
        <v>1646</v>
      </c>
      <c r="D1006" s="2">
        <v>0</v>
      </c>
      <c r="E1006" s="3" t="s">
        <v>3934</v>
      </c>
      <c r="F1006" s="270"/>
      <c r="L1006" s="2"/>
      <c r="P1006"/>
      <c r="Q1006"/>
      <c r="R1006"/>
      <c r="S1006"/>
      <c r="T1006"/>
    </row>
    <row r="1007" spans="1:20" s="14" customFormat="1" x14ac:dyDescent="0.25">
      <c r="A1007" s="2" t="s">
        <v>3853</v>
      </c>
      <c r="B1007" s="491" t="s">
        <v>3760</v>
      </c>
      <c r="C1007" s="2" t="s">
        <v>1646</v>
      </c>
      <c r="D1007" s="2">
        <v>1</v>
      </c>
      <c r="E1007" s="3" t="s">
        <v>3934</v>
      </c>
      <c r="F1007" s="270"/>
      <c r="L1007" s="2"/>
      <c r="P1007"/>
      <c r="Q1007"/>
      <c r="R1007"/>
      <c r="S1007"/>
      <c r="T1007"/>
    </row>
    <row r="1008" spans="1:20" s="14" customFormat="1" x14ac:dyDescent="0.25">
      <c r="A1008" s="2" t="s">
        <v>3854</v>
      </c>
      <c r="B1008" s="491" t="s">
        <v>3761</v>
      </c>
      <c r="C1008" s="2" t="s">
        <v>1646</v>
      </c>
      <c r="D1008" s="2">
        <v>0</v>
      </c>
      <c r="E1008" s="3" t="s">
        <v>3934</v>
      </c>
      <c r="F1008" s="270"/>
      <c r="L1008" s="2"/>
      <c r="P1008"/>
      <c r="Q1008"/>
      <c r="R1008"/>
      <c r="S1008"/>
      <c r="T1008"/>
    </row>
    <row r="1009" spans="1:20" s="14" customFormat="1" x14ac:dyDescent="0.25">
      <c r="A1009" s="2" t="s">
        <v>3855</v>
      </c>
      <c r="B1009" s="491" t="s">
        <v>3763</v>
      </c>
      <c r="C1009" s="2" t="s">
        <v>1646</v>
      </c>
      <c r="D1009" s="2">
        <v>0</v>
      </c>
      <c r="E1009" s="3" t="s">
        <v>3934</v>
      </c>
      <c r="F1009" s="270"/>
      <c r="L1009" s="2"/>
      <c r="P1009"/>
      <c r="Q1009"/>
      <c r="R1009"/>
      <c r="S1009"/>
      <c r="T1009"/>
    </row>
    <row r="1010" spans="1:20" s="14" customFormat="1" x14ac:dyDescent="0.25">
      <c r="A1010" s="2" t="s">
        <v>3856</v>
      </c>
      <c r="B1010" s="491" t="s">
        <v>3764</v>
      </c>
      <c r="C1010" s="2" t="s">
        <v>1646</v>
      </c>
      <c r="D1010" s="2">
        <v>0</v>
      </c>
      <c r="E1010" s="3" t="s">
        <v>3934</v>
      </c>
      <c r="F1010" s="270"/>
      <c r="L1010" s="2"/>
      <c r="P1010"/>
      <c r="Q1010"/>
      <c r="R1010"/>
      <c r="S1010"/>
      <c r="T1010"/>
    </row>
    <row r="1011" spans="1:20" s="14" customFormat="1" x14ac:dyDescent="0.25">
      <c r="A1011" s="2" t="s">
        <v>3857</v>
      </c>
      <c r="B1011" s="491" t="s">
        <v>3765</v>
      </c>
      <c r="C1011" s="2" t="s">
        <v>1646</v>
      </c>
      <c r="D1011" s="2">
        <v>0</v>
      </c>
      <c r="E1011" s="3" t="s">
        <v>3934</v>
      </c>
      <c r="F1011" s="270"/>
      <c r="L1011" s="2"/>
      <c r="P1011"/>
      <c r="Q1011"/>
      <c r="R1011"/>
      <c r="S1011"/>
      <c r="T1011"/>
    </row>
    <row r="1012" spans="1:20" s="14" customFormat="1" x14ac:dyDescent="0.25">
      <c r="A1012" s="2" t="s">
        <v>3858</v>
      </c>
      <c r="B1012" s="491" t="s">
        <v>3766</v>
      </c>
      <c r="C1012" s="2" t="s">
        <v>1646</v>
      </c>
      <c r="D1012" s="2">
        <v>0</v>
      </c>
      <c r="E1012" s="3" t="s">
        <v>3934</v>
      </c>
      <c r="F1012" s="270"/>
      <c r="L1012" s="2"/>
      <c r="P1012"/>
      <c r="Q1012"/>
      <c r="R1012"/>
      <c r="S1012"/>
      <c r="T1012"/>
    </row>
    <row r="1013" spans="1:20" s="14" customFormat="1" x14ac:dyDescent="0.25">
      <c r="A1013" s="2" t="s">
        <v>3859</v>
      </c>
      <c r="B1013" s="491" t="s">
        <v>3769</v>
      </c>
      <c r="C1013" s="2" t="s">
        <v>1646</v>
      </c>
      <c r="D1013" s="2">
        <v>0</v>
      </c>
      <c r="E1013" s="3" t="s">
        <v>3934</v>
      </c>
      <c r="F1013" s="270"/>
      <c r="L1013" s="2"/>
      <c r="P1013"/>
      <c r="Q1013"/>
      <c r="R1013"/>
      <c r="S1013"/>
      <c r="T1013"/>
    </row>
    <row r="1014" spans="1:20" s="14" customFormat="1" x14ac:dyDescent="0.25">
      <c r="A1014" s="2" t="s">
        <v>3860</v>
      </c>
      <c r="B1014" s="491" t="s">
        <v>3767</v>
      </c>
      <c r="C1014" s="2" t="s">
        <v>1646</v>
      </c>
      <c r="D1014" s="2">
        <v>24</v>
      </c>
      <c r="E1014" s="3" t="s">
        <v>3934</v>
      </c>
      <c r="F1014" s="270"/>
      <c r="L1014" s="2"/>
      <c r="P1014"/>
      <c r="Q1014"/>
      <c r="R1014"/>
      <c r="S1014"/>
      <c r="T1014"/>
    </row>
    <row r="1015" spans="1:20" s="14" customFormat="1" x14ac:dyDescent="0.25">
      <c r="A1015" s="2" t="s">
        <v>3861</v>
      </c>
      <c r="B1015" s="491" t="s">
        <v>3768</v>
      </c>
      <c r="C1015" s="2" t="s">
        <v>1646</v>
      </c>
      <c r="D1015" s="2">
        <v>0</v>
      </c>
      <c r="E1015" s="3" t="s">
        <v>3934</v>
      </c>
      <c r="F1015" s="270"/>
      <c r="L1015" s="2"/>
      <c r="P1015"/>
      <c r="Q1015"/>
      <c r="R1015"/>
      <c r="S1015"/>
      <c r="T1015"/>
    </row>
    <row r="1016" spans="1:20" s="14" customFormat="1" x14ac:dyDescent="0.25">
      <c r="A1016" s="2" t="s">
        <v>3862</v>
      </c>
      <c r="B1016" s="491" t="s">
        <v>3770</v>
      </c>
      <c r="C1016" s="2" t="s">
        <v>1646</v>
      </c>
      <c r="D1016" s="2">
        <v>25</v>
      </c>
      <c r="E1016" s="3" t="s">
        <v>3934</v>
      </c>
      <c r="F1016" s="270"/>
      <c r="L1016" s="2"/>
      <c r="P1016"/>
      <c r="Q1016"/>
      <c r="R1016"/>
      <c r="S1016"/>
      <c r="T1016"/>
    </row>
    <row r="1017" spans="1:20" s="14" customFormat="1" x14ac:dyDescent="0.25">
      <c r="A1017" s="2" t="s">
        <v>3863</v>
      </c>
      <c r="B1017" s="491" t="s">
        <v>3771</v>
      </c>
      <c r="C1017" s="2" t="s">
        <v>1646</v>
      </c>
      <c r="D1017" s="2">
        <v>70</v>
      </c>
      <c r="E1017" s="3" t="s">
        <v>3934</v>
      </c>
      <c r="F1017" s="270"/>
      <c r="L1017" s="2"/>
      <c r="P1017"/>
      <c r="Q1017"/>
      <c r="R1017"/>
      <c r="S1017"/>
      <c r="T1017"/>
    </row>
    <row r="1018" spans="1:20" s="14" customFormat="1" x14ac:dyDescent="0.25">
      <c r="A1018" s="2" t="s">
        <v>3864</v>
      </c>
      <c r="B1018" s="491" t="s">
        <v>3772</v>
      </c>
      <c r="C1018" s="2" t="s">
        <v>1646</v>
      </c>
      <c r="D1018" s="2">
        <v>0</v>
      </c>
      <c r="E1018" s="3" t="s">
        <v>3934</v>
      </c>
      <c r="F1018" s="270"/>
      <c r="L1018" s="2"/>
      <c r="P1018"/>
      <c r="Q1018"/>
      <c r="R1018"/>
      <c r="S1018"/>
      <c r="T1018"/>
    </row>
    <row r="1019" spans="1:20" s="14" customFormat="1" x14ac:dyDescent="0.25">
      <c r="A1019" s="2" t="s">
        <v>3865</v>
      </c>
      <c r="B1019" s="491" t="s">
        <v>3773</v>
      </c>
      <c r="C1019" s="2" t="s">
        <v>1646</v>
      </c>
      <c r="D1019" s="2">
        <v>0</v>
      </c>
      <c r="E1019" s="3" t="s">
        <v>3934</v>
      </c>
      <c r="F1019" s="270"/>
      <c r="L1019" s="2"/>
      <c r="P1019"/>
      <c r="Q1019"/>
      <c r="R1019"/>
      <c r="S1019"/>
      <c r="T1019"/>
    </row>
    <row r="1020" spans="1:20" s="14" customFormat="1" x14ac:dyDescent="0.25">
      <c r="A1020" s="2" t="s">
        <v>3866</v>
      </c>
      <c r="B1020" s="491" t="s">
        <v>3774</v>
      </c>
      <c r="C1020" s="2" t="s">
        <v>1646</v>
      </c>
      <c r="D1020" s="2">
        <v>0</v>
      </c>
      <c r="E1020" s="3" t="s">
        <v>3934</v>
      </c>
      <c r="F1020" s="270"/>
      <c r="L1020" s="2"/>
      <c r="P1020"/>
      <c r="Q1020"/>
      <c r="R1020"/>
      <c r="S1020"/>
      <c r="T1020"/>
    </row>
    <row r="1021" spans="1:20" s="14" customFormat="1" x14ac:dyDescent="0.25">
      <c r="A1021" s="2" t="s">
        <v>3867</v>
      </c>
      <c r="B1021" s="491" t="s">
        <v>3775</v>
      </c>
      <c r="C1021" s="2" t="s">
        <v>1646</v>
      </c>
      <c r="D1021" s="2">
        <v>0</v>
      </c>
      <c r="E1021" s="3" t="s">
        <v>3934</v>
      </c>
      <c r="F1021" s="270"/>
      <c r="L1021" s="2"/>
      <c r="P1021"/>
      <c r="Q1021"/>
      <c r="R1021"/>
      <c r="S1021"/>
      <c r="T1021"/>
    </row>
    <row r="1022" spans="1:20" s="14" customFormat="1" x14ac:dyDescent="0.25">
      <c r="A1022" s="2" t="s">
        <v>3868</v>
      </c>
      <c r="B1022" s="491" t="s">
        <v>3776</v>
      </c>
      <c r="C1022" s="2" t="s">
        <v>1646</v>
      </c>
      <c r="D1022" s="2">
        <v>1</v>
      </c>
      <c r="E1022" s="3" t="s">
        <v>3934</v>
      </c>
      <c r="F1022" s="270"/>
      <c r="L1022" s="2"/>
      <c r="P1022"/>
      <c r="Q1022"/>
      <c r="R1022"/>
      <c r="S1022"/>
      <c r="T1022"/>
    </row>
    <row r="1023" spans="1:20" s="14" customFormat="1" x14ac:dyDescent="0.25">
      <c r="A1023" s="2" t="s">
        <v>3869</v>
      </c>
      <c r="B1023" s="491" t="s">
        <v>3777</v>
      </c>
      <c r="C1023" s="2" t="s">
        <v>1646</v>
      </c>
      <c r="D1023" s="2">
        <v>0</v>
      </c>
      <c r="E1023" s="3" t="s">
        <v>3934</v>
      </c>
      <c r="F1023" s="270"/>
      <c r="L1023" s="2"/>
      <c r="P1023"/>
      <c r="Q1023"/>
      <c r="R1023"/>
      <c r="S1023"/>
      <c r="T1023"/>
    </row>
    <row r="1024" spans="1:20" s="14" customFormat="1" x14ac:dyDescent="0.25">
      <c r="A1024" s="2" t="s">
        <v>3870</v>
      </c>
      <c r="B1024" s="491" t="s">
        <v>3778</v>
      </c>
      <c r="C1024" s="2" t="s">
        <v>1646</v>
      </c>
      <c r="D1024" s="2">
        <v>10</v>
      </c>
      <c r="E1024" s="3" t="s">
        <v>3934</v>
      </c>
      <c r="F1024" s="270"/>
      <c r="L1024" s="2"/>
      <c r="P1024"/>
      <c r="Q1024"/>
      <c r="R1024"/>
      <c r="S1024"/>
      <c r="T1024"/>
    </row>
    <row r="1025" spans="1:20" s="14" customFormat="1" x14ac:dyDescent="0.25">
      <c r="A1025" s="2" t="s">
        <v>3871</v>
      </c>
      <c r="B1025" s="491" t="s">
        <v>3779</v>
      </c>
      <c r="C1025" s="2" t="s">
        <v>1646</v>
      </c>
      <c r="D1025" s="2">
        <v>0</v>
      </c>
      <c r="E1025" s="3" t="s">
        <v>3934</v>
      </c>
      <c r="F1025" s="270"/>
      <c r="L1025" s="2"/>
      <c r="P1025"/>
      <c r="Q1025"/>
      <c r="R1025"/>
      <c r="S1025"/>
      <c r="T1025"/>
    </row>
    <row r="1026" spans="1:20" s="14" customFormat="1" x14ac:dyDescent="0.25">
      <c r="A1026" s="2" t="s">
        <v>3872</v>
      </c>
      <c r="B1026" s="491" t="s">
        <v>3788</v>
      </c>
      <c r="C1026" s="2" t="s">
        <v>1646</v>
      </c>
      <c r="D1026" s="2">
        <v>0</v>
      </c>
      <c r="E1026" s="3" t="s">
        <v>3934</v>
      </c>
      <c r="F1026" s="270"/>
      <c r="L1026" s="2"/>
      <c r="P1026"/>
      <c r="Q1026"/>
      <c r="R1026"/>
      <c r="S1026"/>
      <c r="T1026"/>
    </row>
    <row r="1027" spans="1:20" s="14" customFormat="1" x14ac:dyDescent="0.25">
      <c r="A1027" s="2" t="s">
        <v>3873</v>
      </c>
      <c r="B1027" s="491" t="s">
        <v>3780</v>
      </c>
      <c r="C1027" s="2" t="s">
        <v>1646</v>
      </c>
      <c r="D1027" s="2">
        <v>27</v>
      </c>
      <c r="E1027" s="3" t="s">
        <v>3934</v>
      </c>
      <c r="F1027" s="270"/>
      <c r="L1027" s="2"/>
      <c r="P1027"/>
      <c r="Q1027"/>
      <c r="R1027"/>
      <c r="S1027"/>
      <c r="T1027"/>
    </row>
    <row r="1028" spans="1:20" s="14" customFormat="1" x14ac:dyDescent="0.25">
      <c r="A1028" s="2" t="s">
        <v>3874</v>
      </c>
      <c r="B1028" s="491" t="s">
        <v>3787</v>
      </c>
      <c r="C1028" s="2" t="s">
        <v>1646</v>
      </c>
      <c r="D1028" s="2">
        <v>0</v>
      </c>
      <c r="E1028" s="3" t="s">
        <v>3934</v>
      </c>
      <c r="F1028" s="270"/>
      <c r="L1028" s="2"/>
      <c r="P1028"/>
      <c r="Q1028"/>
      <c r="R1028"/>
      <c r="S1028"/>
      <c r="T1028"/>
    </row>
    <row r="1029" spans="1:20" s="14" customFormat="1" x14ac:dyDescent="0.25">
      <c r="A1029" s="2" t="s">
        <v>3875</v>
      </c>
      <c r="B1029" s="491" t="s">
        <v>3781</v>
      </c>
      <c r="C1029" s="2" t="s">
        <v>1646</v>
      </c>
      <c r="D1029" s="2">
        <v>0</v>
      </c>
      <c r="E1029" s="3" t="s">
        <v>3934</v>
      </c>
      <c r="F1029" s="270"/>
      <c r="L1029" s="2"/>
      <c r="P1029"/>
      <c r="Q1029"/>
      <c r="R1029"/>
      <c r="S1029"/>
      <c r="T1029"/>
    </row>
    <row r="1030" spans="1:20" s="14" customFormat="1" x14ac:dyDescent="0.25">
      <c r="A1030" s="2" t="s">
        <v>3876</v>
      </c>
      <c r="B1030" s="491" t="s">
        <v>5568</v>
      </c>
      <c r="C1030" s="2" t="s">
        <v>1646</v>
      </c>
      <c r="D1030" s="2">
        <v>0</v>
      </c>
      <c r="E1030" s="3" t="s">
        <v>3934</v>
      </c>
      <c r="F1030" s="270"/>
      <c r="L1030" s="2"/>
      <c r="P1030"/>
      <c r="Q1030"/>
      <c r="R1030"/>
      <c r="S1030"/>
      <c r="T1030"/>
    </row>
    <row r="1031" spans="1:20" s="14" customFormat="1" x14ac:dyDescent="0.25">
      <c r="A1031" s="2" t="s">
        <v>3877</v>
      </c>
      <c r="B1031" s="491" t="s">
        <v>3782</v>
      </c>
      <c r="C1031" s="2" t="s">
        <v>1646</v>
      </c>
      <c r="D1031" s="2">
        <v>0</v>
      </c>
      <c r="E1031" s="3" t="s">
        <v>3934</v>
      </c>
      <c r="F1031" s="270"/>
      <c r="L1031" s="2"/>
      <c r="P1031"/>
      <c r="Q1031"/>
      <c r="R1031"/>
      <c r="S1031"/>
      <c r="T1031"/>
    </row>
    <row r="1032" spans="1:20" s="14" customFormat="1" x14ac:dyDescent="0.25">
      <c r="A1032" s="2" t="s">
        <v>3878</v>
      </c>
      <c r="B1032" s="491" t="s">
        <v>3785</v>
      </c>
      <c r="C1032" s="2" t="s">
        <v>1646</v>
      </c>
      <c r="D1032" s="2">
        <v>0</v>
      </c>
      <c r="E1032" s="3" t="s">
        <v>3934</v>
      </c>
      <c r="F1032" s="270"/>
      <c r="L1032" s="2"/>
      <c r="P1032"/>
      <c r="Q1032"/>
      <c r="R1032"/>
      <c r="S1032"/>
      <c r="T1032"/>
    </row>
    <row r="1033" spans="1:20" s="14" customFormat="1" x14ac:dyDescent="0.25">
      <c r="A1033" s="2" t="s">
        <v>3879</v>
      </c>
      <c r="B1033" s="491" t="s">
        <v>3783</v>
      </c>
      <c r="C1033" s="2" t="s">
        <v>1646</v>
      </c>
      <c r="D1033" s="2">
        <v>0</v>
      </c>
      <c r="E1033" s="3" t="s">
        <v>3934</v>
      </c>
      <c r="F1033" s="270"/>
      <c r="L1033" s="2"/>
      <c r="P1033"/>
      <c r="Q1033"/>
      <c r="R1033"/>
      <c r="S1033"/>
      <c r="T1033"/>
    </row>
    <row r="1034" spans="1:20" s="14" customFormat="1" x14ac:dyDescent="0.25">
      <c r="A1034" s="2" t="s">
        <v>3880</v>
      </c>
      <c r="B1034" s="491" t="s">
        <v>3784</v>
      </c>
      <c r="C1034" s="2" t="s">
        <v>1646</v>
      </c>
      <c r="D1034" s="2">
        <v>0</v>
      </c>
      <c r="E1034" s="3" t="s">
        <v>3934</v>
      </c>
      <c r="F1034" s="270"/>
      <c r="L1034" s="2"/>
      <c r="P1034"/>
      <c r="Q1034"/>
      <c r="R1034"/>
      <c r="S1034"/>
      <c r="T1034"/>
    </row>
    <row r="1035" spans="1:20" s="14" customFormat="1" x14ac:dyDescent="0.25">
      <c r="A1035" s="2" t="s">
        <v>3881</v>
      </c>
      <c r="B1035" s="491" t="s">
        <v>3786</v>
      </c>
      <c r="C1035" s="2" t="s">
        <v>1646</v>
      </c>
      <c r="D1035" s="2">
        <v>0</v>
      </c>
      <c r="E1035" s="3" t="s">
        <v>3934</v>
      </c>
      <c r="F1035" s="270"/>
      <c r="L1035" s="2"/>
      <c r="P1035"/>
      <c r="Q1035"/>
      <c r="R1035"/>
      <c r="S1035"/>
      <c r="T1035"/>
    </row>
    <row r="1036" spans="1:20" s="14" customFormat="1" x14ac:dyDescent="0.25">
      <c r="A1036" s="2" t="s">
        <v>3882</v>
      </c>
      <c r="B1036" s="491" t="s">
        <v>3789</v>
      </c>
      <c r="C1036" s="2" t="s">
        <v>1646</v>
      </c>
      <c r="D1036" s="2">
        <v>0</v>
      </c>
      <c r="E1036" s="3" t="s">
        <v>3934</v>
      </c>
      <c r="F1036" s="270"/>
      <c r="L1036" s="2"/>
      <c r="P1036"/>
      <c r="Q1036"/>
      <c r="R1036"/>
      <c r="S1036"/>
      <c r="T1036"/>
    </row>
    <row r="1037" spans="1:20" s="14" customFormat="1" x14ac:dyDescent="0.25">
      <c r="A1037" s="2" t="s">
        <v>3883</v>
      </c>
      <c r="B1037" s="491" t="s">
        <v>3792</v>
      </c>
      <c r="C1037" s="2" t="s">
        <v>1646</v>
      </c>
      <c r="D1037" s="2">
        <v>0</v>
      </c>
      <c r="E1037" s="3" t="s">
        <v>3934</v>
      </c>
      <c r="F1037" s="270"/>
      <c r="L1037" s="2"/>
      <c r="P1037"/>
      <c r="Q1037"/>
      <c r="R1037"/>
      <c r="S1037"/>
      <c r="T1037"/>
    </row>
    <row r="1038" spans="1:20" s="14" customFormat="1" x14ac:dyDescent="0.25">
      <c r="A1038" s="2" t="s">
        <v>3884</v>
      </c>
      <c r="B1038" s="491" t="s">
        <v>3790</v>
      </c>
      <c r="C1038" s="2" t="s">
        <v>1646</v>
      </c>
      <c r="D1038" s="2">
        <v>0</v>
      </c>
      <c r="E1038" s="3" t="s">
        <v>3934</v>
      </c>
      <c r="F1038" s="270"/>
      <c r="L1038" s="2"/>
      <c r="P1038"/>
      <c r="Q1038"/>
      <c r="R1038"/>
      <c r="S1038"/>
      <c r="T1038"/>
    </row>
    <row r="1039" spans="1:20" s="14" customFormat="1" x14ac:dyDescent="0.25">
      <c r="A1039" s="2" t="s">
        <v>3885</v>
      </c>
      <c r="B1039" s="491" t="s">
        <v>3793</v>
      </c>
      <c r="C1039" s="2" t="s">
        <v>1646</v>
      </c>
      <c r="D1039" s="2">
        <v>1</v>
      </c>
      <c r="E1039" s="3" t="s">
        <v>3934</v>
      </c>
      <c r="F1039" s="270"/>
      <c r="L1039" s="2"/>
      <c r="P1039"/>
      <c r="Q1039"/>
      <c r="R1039"/>
      <c r="S1039"/>
      <c r="T1039"/>
    </row>
    <row r="1040" spans="1:20" s="14" customFormat="1" x14ac:dyDescent="0.25">
      <c r="A1040" s="2" t="s">
        <v>3886</v>
      </c>
      <c r="B1040" s="491" t="s">
        <v>3794</v>
      </c>
      <c r="C1040" s="2" t="s">
        <v>1646</v>
      </c>
      <c r="D1040" s="2">
        <v>0</v>
      </c>
      <c r="E1040" s="3" t="s">
        <v>3934</v>
      </c>
      <c r="F1040" s="270"/>
      <c r="L1040" s="2"/>
      <c r="P1040"/>
      <c r="Q1040"/>
      <c r="R1040"/>
      <c r="S1040"/>
      <c r="T1040"/>
    </row>
    <row r="1041" spans="1:20" s="14" customFormat="1" x14ac:dyDescent="0.25">
      <c r="A1041" s="2" t="s">
        <v>3887</v>
      </c>
      <c r="B1041" s="491" t="s">
        <v>3795</v>
      </c>
      <c r="C1041" s="2" t="s">
        <v>1646</v>
      </c>
      <c r="D1041" s="2">
        <v>0</v>
      </c>
      <c r="E1041" s="3" t="s">
        <v>3934</v>
      </c>
      <c r="F1041" s="270"/>
      <c r="L1041" s="2"/>
      <c r="P1041"/>
      <c r="Q1041"/>
      <c r="R1041"/>
      <c r="S1041"/>
      <c r="T1041"/>
    </row>
    <row r="1042" spans="1:20" s="14" customFormat="1" x14ac:dyDescent="0.25">
      <c r="A1042" s="2" t="s">
        <v>3888</v>
      </c>
      <c r="B1042" s="491" t="s">
        <v>3791</v>
      </c>
      <c r="C1042" s="2" t="s">
        <v>1646</v>
      </c>
      <c r="D1042" s="2">
        <v>0</v>
      </c>
      <c r="E1042" s="3" t="s">
        <v>3934</v>
      </c>
      <c r="F1042" s="270"/>
      <c r="L1042" s="2"/>
      <c r="P1042"/>
      <c r="Q1042"/>
      <c r="R1042"/>
      <c r="S1042"/>
      <c r="T1042"/>
    </row>
    <row r="1043" spans="1:20" s="14" customFormat="1" x14ac:dyDescent="0.25">
      <c r="A1043" s="2" t="s">
        <v>3889</v>
      </c>
      <c r="B1043" s="491" t="s">
        <v>3796</v>
      </c>
      <c r="C1043" s="2" t="s">
        <v>1646</v>
      </c>
      <c r="D1043" s="2">
        <v>0</v>
      </c>
      <c r="E1043" s="3" t="s">
        <v>3934</v>
      </c>
      <c r="F1043" s="270"/>
      <c r="L1043" s="2"/>
      <c r="P1043"/>
      <c r="Q1043"/>
      <c r="R1043"/>
      <c r="S1043"/>
      <c r="T1043"/>
    </row>
    <row r="1044" spans="1:20" s="14" customFormat="1" x14ac:dyDescent="0.25">
      <c r="A1044" s="2" t="s">
        <v>3890</v>
      </c>
      <c r="B1044" s="491" t="s">
        <v>3797</v>
      </c>
      <c r="C1044" s="2" t="s">
        <v>1646</v>
      </c>
      <c r="D1044" s="2">
        <v>5</v>
      </c>
      <c r="E1044" s="3" t="s">
        <v>3934</v>
      </c>
      <c r="F1044" s="270"/>
      <c r="L1044" s="2"/>
      <c r="P1044"/>
      <c r="Q1044"/>
      <c r="R1044"/>
      <c r="S1044"/>
      <c r="T1044"/>
    </row>
    <row r="1045" spans="1:20" s="14" customFormat="1" x14ac:dyDescent="0.25">
      <c r="A1045" s="2" t="s">
        <v>3891</v>
      </c>
      <c r="B1045" s="491" t="s">
        <v>3798</v>
      </c>
      <c r="C1045" s="2" t="s">
        <v>1646</v>
      </c>
      <c r="D1045" s="2">
        <v>6</v>
      </c>
      <c r="E1045" s="3" t="s">
        <v>3934</v>
      </c>
      <c r="F1045" s="270"/>
      <c r="L1045" s="2"/>
      <c r="P1045"/>
      <c r="Q1045"/>
      <c r="R1045"/>
      <c r="S1045"/>
      <c r="T1045"/>
    </row>
    <row r="1046" spans="1:20" s="14" customFormat="1" x14ac:dyDescent="0.25">
      <c r="A1046" s="2" t="s">
        <v>3892</v>
      </c>
      <c r="B1046" s="491" t="s">
        <v>3799</v>
      </c>
      <c r="C1046" s="2" t="s">
        <v>1646</v>
      </c>
      <c r="D1046" s="2">
        <v>0</v>
      </c>
      <c r="E1046" s="3" t="s">
        <v>3934</v>
      </c>
      <c r="F1046" s="270"/>
      <c r="L1046" s="2"/>
      <c r="P1046"/>
      <c r="Q1046"/>
      <c r="R1046"/>
      <c r="S1046"/>
      <c r="T1046"/>
    </row>
    <row r="1047" spans="1:20" s="14" customFormat="1" x14ac:dyDescent="0.25">
      <c r="A1047" s="2" t="s">
        <v>3893</v>
      </c>
      <c r="B1047" s="491" t="s">
        <v>3800</v>
      </c>
      <c r="C1047" s="2" t="s">
        <v>1646</v>
      </c>
      <c r="D1047" s="2">
        <v>0</v>
      </c>
      <c r="E1047" s="3" t="s">
        <v>3934</v>
      </c>
      <c r="F1047" s="270"/>
      <c r="L1047" s="2"/>
      <c r="P1047"/>
      <c r="Q1047"/>
      <c r="R1047"/>
      <c r="S1047"/>
      <c r="T1047"/>
    </row>
    <row r="1048" spans="1:20" s="14" customFormat="1" x14ac:dyDescent="0.25">
      <c r="A1048" s="2" t="s">
        <v>3894</v>
      </c>
      <c r="B1048" s="491" t="s">
        <v>3801</v>
      </c>
      <c r="C1048" s="2" t="s">
        <v>1646</v>
      </c>
      <c r="D1048" s="2">
        <v>0</v>
      </c>
      <c r="E1048" s="3" t="s">
        <v>3934</v>
      </c>
      <c r="F1048" s="270"/>
      <c r="L1048" s="2"/>
      <c r="P1048"/>
      <c r="Q1048"/>
      <c r="R1048"/>
      <c r="S1048"/>
      <c r="T1048"/>
    </row>
    <row r="1049" spans="1:20" s="14" customFormat="1" x14ac:dyDescent="0.25">
      <c r="A1049" s="2" t="s">
        <v>3895</v>
      </c>
      <c r="B1049" s="491" t="s">
        <v>3802</v>
      </c>
      <c r="C1049" s="2" t="s">
        <v>1646</v>
      </c>
      <c r="D1049" s="2">
        <v>0</v>
      </c>
      <c r="E1049" s="3" t="s">
        <v>3934</v>
      </c>
      <c r="F1049" s="270"/>
      <c r="L1049" s="2"/>
      <c r="P1049"/>
      <c r="Q1049"/>
      <c r="R1049"/>
      <c r="S1049"/>
      <c r="T1049"/>
    </row>
    <row r="1050" spans="1:20" s="14" customFormat="1" x14ac:dyDescent="0.25">
      <c r="A1050" s="2" t="s">
        <v>3896</v>
      </c>
      <c r="B1050" s="491" t="s">
        <v>3803</v>
      </c>
      <c r="C1050" s="2" t="s">
        <v>1646</v>
      </c>
      <c r="D1050" s="2">
        <v>0</v>
      </c>
      <c r="E1050" s="3" t="s">
        <v>3934</v>
      </c>
      <c r="F1050" s="270"/>
      <c r="L1050" s="2"/>
      <c r="P1050"/>
      <c r="Q1050"/>
      <c r="R1050"/>
      <c r="S1050"/>
      <c r="T1050"/>
    </row>
    <row r="1051" spans="1:20" s="14" customFormat="1" x14ac:dyDescent="0.25">
      <c r="A1051" s="2" t="s">
        <v>3897</v>
      </c>
      <c r="B1051" s="491" t="s">
        <v>3804</v>
      </c>
      <c r="C1051" s="2" t="s">
        <v>1646</v>
      </c>
      <c r="D1051" s="2">
        <v>5</v>
      </c>
      <c r="E1051" s="3" t="s">
        <v>3934</v>
      </c>
      <c r="F1051" s="270"/>
      <c r="L1051" s="2"/>
      <c r="P1051"/>
      <c r="Q1051"/>
      <c r="R1051"/>
      <c r="S1051"/>
      <c r="T1051"/>
    </row>
    <row r="1052" spans="1:20" s="14" customFormat="1" x14ac:dyDescent="0.25">
      <c r="A1052" s="2" t="s">
        <v>3898</v>
      </c>
      <c r="B1052" s="491" t="s">
        <v>3805</v>
      </c>
      <c r="C1052" s="2" t="s">
        <v>1646</v>
      </c>
      <c r="D1052" s="2">
        <v>5</v>
      </c>
      <c r="E1052" s="3" t="s">
        <v>3934</v>
      </c>
      <c r="F1052" s="270"/>
      <c r="L1052" s="2"/>
      <c r="P1052"/>
      <c r="Q1052"/>
      <c r="R1052"/>
      <c r="S1052"/>
      <c r="T1052"/>
    </row>
    <row r="1053" spans="1:20" s="14" customFormat="1" x14ac:dyDescent="0.25">
      <c r="A1053" s="2" t="s">
        <v>3899</v>
      </c>
      <c r="B1053" s="491" t="s">
        <v>3806</v>
      </c>
      <c r="C1053" s="2" t="s">
        <v>1646</v>
      </c>
      <c r="D1053" s="2">
        <v>0</v>
      </c>
      <c r="E1053" s="3" t="s">
        <v>3934</v>
      </c>
      <c r="F1053" s="270"/>
      <c r="L1053" s="2"/>
      <c r="P1053"/>
      <c r="Q1053"/>
      <c r="R1053"/>
      <c r="S1053"/>
      <c r="T1053"/>
    </row>
    <row r="1054" spans="1:20" s="14" customFormat="1" x14ac:dyDescent="0.25">
      <c r="A1054" s="2" t="s">
        <v>3900</v>
      </c>
      <c r="B1054" s="491" t="s">
        <v>3807</v>
      </c>
      <c r="C1054" s="2" t="s">
        <v>1646</v>
      </c>
      <c r="D1054" s="2">
        <v>4</v>
      </c>
      <c r="E1054" s="3" t="s">
        <v>3934</v>
      </c>
      <c r="F1054" s="270"/>
      <c r="L1054" s="2"/>
      <c r="P1054"/>
      <c r="Q1054"/>
      <c r="R1054"/>
      <c r="S1054"/>
      <c r="T1054"/>
    </row>
    <row r="1055" spans="1:20" s="14" customFormat="1" x14ac:dyDescent="0.25">
      <c r="A1055" s="2" t="s">
        <v>3901</v>
      </c>
      <c r="B1055" s="491" t="s">
        <v>3808</v>
      </c>
      <c r="C1055" s="2" t="s">
        <v>1646</v>
      </c>
      <c r="D1055" s="2">
        <v>0</v>
      </c>
      <c r="E1055" s="3" t="s">
        <v>3934</v>
      </c>
      <c r="F1055" s="270"/>
      <c r="L1055" s="2"/>
      <c r="P1055"/>
      <c r="Q1055"/>
      <c r="R1055"/>
      <c r="S1055"/>
      <c r="T1055"/>
    </row>
    <row r="1056" spans="1:20" s="14" customFormat="1" x14ac:dyDescent="0.25">
      <c r="A1056" s="2" t="s">
        <v>3902</v>
      </c>
      <c r="B1056" s="491" t="s">
        <v>3809</v>
      </c>
      <c r="C1056" s="2" t="s">
        <v>1646</v>
      </c>
      <c r="D1056" s="2">
        <v>5</v>
      </c>
      <c r="E1056" s="3" t="s">
        <v>3934</v>
      </c>
      <c r="F1056" s="270"/>
      <c r="L1056" s="2"/>
      <c r="P1056"/>
      <c r="Q1056"/>
      <c r="R1056"/>
      <c r="S1056"/>
      <c r="T1056"/>
    </row>
    <row r="1057" spans="1:20" s="14" customFormat="1" x14ac:dyDescent="0.25">
      <c r="A1057" s="2" t="s">
        <v>3903</v>
      </c>
      <c r="B1057" s="491" t="s">
        <v>3811</v>
      </c>
      <c r="C1057" s="2" t="s">
        <v>1646</v>
      </c>
      <c r="D1057" s="2">
        <v>0</v>
      </c>
      <c r="E1057" s="3" t="s">
        <v>3934</v>
      </c>
      <c r="F1057" s="270"/>
      <c r="L1057" s="2"/>
      <c r="P1057"/>
      <c r="Q1057"/>
      <c r="R1057"/>
      <c r="S1057"/>
      <c r="T1057"/>
    </row>
    <row r="1058" spans="1:20" s="14" customFormat="1" x14ac:dyDescent="0.25">
      <c r="A1058" s="2" t="s">
        <v>3904</v>
      </c>
      <c r="B1058" s="491" t="s">
        <v>3985</v>
      </c>
      <c r="C1058" s="2" t="s">
        <v>1646</v>
      </c>
      <c r="D1058" s="2">
        <v>0</v>
      </c>
      <c r="E1058" s="3" t="s">
        <v>3934</v>
      </c>
      <c r="F1058" s="270"/>
      <c r="L1058" s="2"/>
      <c r="P1058"/>
      <c r="Q1058"/>
      <c r="R1058"/>
      <c r="S1058"/>
      <c r="T1058"/>
    </row>
    <row r="1059" spans="1:20" s="14" customFormat="1" x14ac:dyDescent="0.25">
      <c r="A1059" s="2" t="s">
        <v>3905</v>
      </c>
      <c r="B1059" s="491" t="s">
        <v>3812</v>
      </c>
      <c r="C1059" s="2" t="s">
        <v>1646</v>
      </c>
      <c r="D1059" s="2">
        <v>0</v>
      </c>
      <c r="E1059" s="3" t="s">
        <v>3934</v>
      </c>
      <c r="F1059" s="270"/>
      <c r="L1059" s="2"/>
      <c r="P1059"/>
      <c r="Q1059"/>
      <c r="R1059"/>
      <c r="S1059"/>
      <c r="T1059"/>
    </row>
    <row r="1060" spans="1:20" s="14" customFormat="1" x14ac:dyDescent="0.25">
      <c r="A1060" s="2" t="s">
        <v>3906</v>
      </c>
      <c r="B1060" s="491" t="s">
        <v>3813</v>
      </c>
      <c r="C1060" s="2" t="s">
        <v>1646</v>
      </c>
      <c r="D1060" s="2">
        <v>60</v>
      </c>
      <c r="E1060" s="3" t="s">
        <v>3934</v>
      </c>
      <c r="F1060" s="270"/>
      <c r="L1060" s="2"/>
      <c r="P1060"/>
      <c r="Q1060"/>
      <c r="R1060"/>
      <c r="S1060"/>
      <c r="T1060"/>
    </row>
    <row r="1061" spans="1:20" s="14" customFormat="1" x14ac:dyDescent="0.25">
      <c r="A1061" s="2" t="s">
        <v>3907</v>
      </c>
      <c r="B1061" s="491" t="s">
        <v>3814</v>
      </c>
      <c r="C1061" s="2" t="s">
        <v>1646</v>
      </c>
      <c r="D1061" s="2">
        <v>40.450000000000003</v>
      </c>
      <c r="E1061" s="3" t="s">
        <v>3934</v>
      </c>
      <c r="F1061" s="270"/>
      <c r="L1061" s="2"/>
      <c r="P1061"/>
      <c r="Q1061"/>
      <c r="R1061"/>
      <c r="S1061"/>
      <c r="T1061"/>
    </row>
    <row r="1062" spans="1:20" s="14" customFormat="1" x14ac:dyDescent="0.25">
      <c r="A1062" s="2" t="s">
        <v>3908</v>
      </c>
      <c r="B1062" s="491" t="s">
        <v>3815</v>
      </c>
      <c r="C1062" s="2" t="s">
        <v>1646</v>
      </c>
      <c r="D1062" s="2">
        <v>0</v>
      </c>
      <c r="E1062" s="3" t="s">
        <v>3934</v>
      </c>
      <c r="F1062" s="270"/>
      <c r="L1062" s="2"/>
      <c r="P1062"/>
      <c r="Q1062"/>
      <c r="R1062"/>
      <c r="S1062"/>
      <c r="T1062"/>
    </row>
    <row r="1063" spans="1:20" s="14" customFormat="1" x14ac:dyDescent="0.25">
      <c r="A1063" s="2" t="s">
        <v>3909</v>
      </c>
      <c r="B1063" s="491" t="s">
        <v>3820</v>
      </c>
      <c r="C1063" s="2" t="s">
        <v>1646</v>
      </c>
      <c r="D1063" s="2">
        <v>4</v>
      </c>
      <c r="E1063" s="3" t="s">
        <v>3934</v>
      </c>
      <c r="F1063" s="270"/>
      <c r="L1063" s="2"/>
      <c r="P1063"/>
      <c r="Q1063"/>
      <c r="R1063"/>
      <c r="S1063"/>
      <c r="T1063"/>
    </row>
    <row r="1064" spans="1:20" s="14" customFormat="1" x14ac:dyDescent="0.25">
      <c r="A1064" s="2" t="s">
        <v>3910</v>
      </c>
      <c r="B1064" s="491" t="s">
        <v>3816</v>
      </c>
      <c r="C1064" s="2" t="s">
        <v>1646</v>
      </c>
      <c r="D1064" s="2">
        <v>0</v>
      </c>
      <c r="E1064" s="3" t="s">
        <v>3934</v>
      </c>
      <c r="F1064" s="270"/>
      <c r="L1064" s="2"/>
      <c r="P1064"/>
      <c r="Q1064"/>
      <c r="R1064"/>
      <c r="S1064"/>
      <c r="T1064"/>
    </row>
    <row r="1065" spans="1:20" s="14" customFormat="1" x14ac:dyDescent="0.25">
      <c r="A1065" s="2" t="s">
        <v>3911</v>
      </c>
      <c r="B1065" s="491" t="s">
        <v>3817</v>
      </c>
      <c r="C1065" s="2" t="s">
        <v>1646</v>
      </c>
      <c r="D1065" s="2">
        <v>0</v>
      </c>
      <c r="E1065" s="3" t="s">
        <v>3934</v>
      </c>
      <c r="F1065" s="270"/>
      <c r="L1065" s="2"/>
      <c r="P1065"/>
      <c r="Q1065"/>
      <c r="R1065"/>
      <c r="S1065"/>
      <c r="T1065"/>
    </row>
    <row r="1066" spans="1:20" s="14" customFormat="1" x14ac:dyDescent="0.25">
      <c r="A1066" s="2" t="s">
        <v>3912</v>
      </c>
      <c r="B1066" s="491" t="s">
        <v>3818</v>
      </c>
      <c r="C1066" s="2" t="s">
        <v>1646</v>
      </c>
      <c r="D1066" s="2">
        <v>0</v>
      </c>
      <c r="E1066" s="3" t="s">
        <v>3934</v>
      </c>
      <c r="F1066" s="270"/>
      <c r="L1066" s="2"/>
      <c r="P1066"/>
      <c r="Q1066"/>
      <c r="R1066"/>
      <c r="S1066"/>
      <c r="T1066"/>
    </row>
    <row r="1067" spans="1:20" s="14" customFormat="1" x14ac:dyDescent="0.25">
      <c r="A1067" s="2" t="s">
        <v>3913</v>
      </c>
      <c r="B1067" s="491" t="s">
        <v>3819</v>
      </c>
      <c r="C1067" s="2" t="s">
        <v>1646</v>
      </c>
      <c r="D1067" s="2">
        <v>2.85</v>
      </c>
      <c r="E1067" s="3" t="s">
        <v>3934</v>
      </c>
      <c r="F1067" s="270"/>
      <c r="L1067" s="2"/>
      <c r="P1067"/>
      <c r="Q1067"/>
      <c r="R1067"/>
      <c r="S1067"/>
      <c r="T1067"/>
    </row>
    <row r="1068" spans="1:20" s="14" customFormat="1" x14ac:dyDescent="0.25">
      <c r="A1068" s="2" t="s">
        <v>3914</v>
      </c>
      <c r="B1068" s="491" t="s">
        <v>3810</v>
      </c>
      <c r="C1068" s="2" t="s">
        <v>1646</v>
      </c>
      <c r="D1068" s="2">
        <v>2</v>
      </c>
      <c r="E1068" s="3" t="s">
        <v>3934</v>
      </c>
      <c r="F1068" s="270"/>
      <c r="L1068" s="2"/>
      <c r="P1068"/>
      <c r="Q1068"/>
      <c r="R1068"/>
      <c r="S1068"/>
      <c r="T1068"/>
    </row>
    <row r="1069" spans="1:20" s="14" customFormat="1" x14ac:dyDescent="0.25">
      <c r="A1069" s="2" t="s">
        <v>3915</v>
      </c>
      <c r="B1069" s="491" t="s">
        <v>3826</v>
      </c>
      <c r="C1069" s="2" t="s">
        <v>1646</v>
      </c>
      <c r="D1069" s="2">
        <v>0</v>
      </c>
      <c r="E1069" s="3" t="s">
        <v>3934</v>
      </c>
      <c r="F1069" s="270"/>
      <c r="L1069" s="2"/>
      <c r="P1069"/>
      <c r="Q1069"/>
      <c r="R1069"/>
      <c r="S1069"/>
      <c r="T1069"/>
    </row>
    <row r="1070" spans="1:20" s="14" customFormat="1" x14ac:dyDescent="0.25">
      <c r="A1070" s="2" t="s">
        <v>3916</v>
      </c>
      <c r="B1070" s="491" t="s">
        <v>3827</v>
      </c>
      <c r="C1070" s="2" t="s">
        <v>1646</v>
      </c>
      <c r="D1070" s="2">
        <v>0</v>
      </c>
      <c r="E1070" s="3" t="s">
        <v>3934</v>
      </c>
      <c r="F1070" s="270"/>
      <c r="L1070" s="2"/>
      <c r="P1070"/>
      <c r="Q1070"/>
      <c r="R1070"/>
      <c r="S1070"/>
      <c r="T1070"/>
    </row>
    <row r="1071" spans="1:20" s="14" customFormat="1" x14ac:dyDescent="0.25">
      <c r="A1071" s="2" t="s">
        <v>3917</v>
      </c>
      <c r="B1071" s="491" t="s">
        <v>3828</v>
      </c>
      <c r="C1071" s="2" t="s">
        <v>1646</v>
      </c>
      <c r="D1071" s="2">
        <v>0</v>
      </c>
      <c r="E1071" s="3" t="s">
        <v>3934</v>
      </c>
      <c r="F1071" s="270"/>
      <c r="L1071" s="2"/>
      <c r="P1071"/>
      <c r="Q1071"/>
      <c r="R1071"/>
      <c r="S1071"/>
      <c r="T1071"/>
    </row>
    <row r="1072" spans="1:20" s="14" customFormat="1" x14ac:dyDescent="0.25">
      <c r="A1072" s="2" t="s">
        <v>3918</v>
      </c>
      <c r="B1072" s="491" t="s">
        <v>3829</v>
      </c>
      <c r="C1072" s="2" t="s">
        <v>1646</v>
      </c>
      <c r="D1072" s="2">
        <v>1</v>
      </c>
      <c r="E1072" s="3" t="s">
        <v>3934</v>
      </c>
      <c r="F1072" s="270"/>
      <c r="L1072" s="2"/>
      <c r="P1072"/>
      <c r="Q1072"/>
      <c r="R1072"/>
      <c r="S1072"/>
      <c r="T1072"/>
    </row>
    <row r="1073" spans="1:20" s="14" customFormat="1" x14ac:dyDescent="0.25">
      <c r="A1073" s="2" t="s">
        <v>3919</v>
      </c>
      <c r="B1073" s="491" t="s">
        <v>3836</v>
      </c>
      <c r="C1073" s="2" t="s">
        <v>1646</v>
      </c>
      <c r="D1073" s="2">
        <v>0</v>
      </c>
      <c r="E1073" s="3" t="s">
        <v>3934</v>
      </c>
      <c r="F1073" s="270"/>
      <c r="L1073" s="2"/>
      <c r="P1073"/>
      <c r="Q1073"/>
      <c r="R1073"/>
      <c r="S1073"/>
      <c r="T1073"/>
    </row>
    <row r="1074" spans="1:20" s="14" customFormat="1" x14ac:dyDescent="0.25">
      <c r="A1074" s="2" t="s">
        <v>3920</v>
      </c>
      <c r="B1074" s="491" t="s">
        <v>3821</v>
      </c>
      <c r="C1074" s="2" t="s">
        <v>1646</v>
      </c>
      <c r="D1074" s="2">
        <v>6</v>
      </c>
      <c r="E1074" s="3" t="s">
        <v>3934</v>
      </c>
      <c r="F1074" s="270"/>
      <c r="L1074" s="2"/>
      <c r="P1074"/>
      <c r="Q1074"/>
      <c r="R1074"/>
      <c r="S1074"/>
      <c r="T1074"/>
    </row>
    <row r="1075" spans="1:20" s="14" customFormat="1" x14ac:dyDescent="0.25">
      <c r="A1075" s="2" t="s">
        <v>3921</v>
      </c>
      <c r="B1075" s="491" t="s">
        <v>3822</v>
      </c>
      <c r="C1075" s="2" t="s">
        <v>1646</v>
      </c>
      <c r="D1075" s="2">
        <v>0</v>
      </c>
      <c r="E1075" s="3" t="s">
        <v>3934</v>
      </c>
      <c r="F1075" s="270"/>
      <c r="L1075" s="2"/>
      <c r="P1075"/>
      <c r="Q1075"/>
      <c r="R1075"/>
      <c r="S1075"/>
      <c r="T1075"/>
    </row>
    <row r="1076" spans="1:20" s="14" customFormat="1" x14ac:dyDescent="0.25">
      <c r="A1076" s="2" t="s">
        <v>3922</v>
      </c>
      <c r="B1076" s="491" t="s">
        <v>3823</v>
      </c>
      <c r="C1076" s="2" t="s">
        <v>1646</v>
      </c>
      <c r="D1076" s="2">
        <v>0</v>
      </c>
      <c r="E1076" s="3" t="s">
        <v>3934</v>
      </c>
      <c r="F1076" s="270"/>
      <c r="L1076" s="2"/>
      <c r="P1076"/>
      <c r="Q1076"/>
      <c r="R1076"/>
      <c r="S1076"/>
      <c r="T1076"/>
    </row>
    <row r="1077" spans="1:20" s="14" customFormat="1" x14ac:dyDescent="0.25">
      <c r="A1077" s="2" t="s">
        <v>3923</v>
      </c>
      <c r="B1077" s="491" t="s">
        <v>3824</v>
      </c>
      <c r="C1077" s="2" t="s">
        <v>1646</v>
      </c>
      <c r="D1077" s="2">
        <v>0</v>
      </c>
      <c r="E1077" s="3" t="s">
        <v>3934</v>
      </c>
      <c r="F1077" s="270"/>
      <c r="L1077" s="2"/>
      <c r="P1077"/>
      <c r="Q1077"/>
      <c r="R1077"/>
      <c r="S1077"/>
      <c r="T1077"/>
    </row>
    <row r="1078" spans="1:20" s="14" customFormat="1" x14ac:dyDescent="0.25">
      <c r="A1078" s="2" t="s">
        <v>3924</v>
      </c>
      <c r="B1078" s="491" t="s">
        <v>3825</v>
      </c>
      <c r="C1078" s="2" t="s">
        <v>1646</v>
      </c>
      <c r="D1078" s="2">
        <v>0</v>
      </c>
      <c r="E1078" s="3" t="s">
        <v>3934</v>
      </c>
      <c r="F1078" s="270"/>
      <c r="L1078" s="2"/>
      <c r="P1078"/>
      <c r="Q1078"/>
      <c r="R1078"/>
      <c r="S1078"/>
      <c r="T1078"/>
    </row>
    <row r="1079" spans="1:20" s="14" customFormat="1" x14ac:dyDescent="0.25">
      <c r="A1079" s="2" t="s">
        <v>3925</v>
      </c>
      <c r="B1079" s="491" t="s">
        <v>3935</v>
      </c>
      <c r="C1079" s="2" t="s">
        <v>1646</v>
      </c>
      <c r="D1079" s="2">
        <v>20</v>
      </c>
      <c r="E1079" s="3" t="s">
        <v>3934</v>
      </c>
      <c r="F1079" s="270"/>
      <c r="L1079" s="2"/>
      <c r="P1079"/>
      <c r="Q1079"/>
      <c r="R1079"/>
      <c r="S1079"/>
      <c r="T1079"/>
    </row>
    <row r="1080" spans="1:20" s="14" customFormat="1" x14ac:dyDescent="0.25">
      <c r="A1080" s="2" t="s">
        <v>3926</v>
      </c>
      <c r="B1080" s="491" t="s">
        <v>3830</v>
      </c>
      <c r="C1080" s="2" t="s">
        <v>1646</v>
      </c>
      <c r="D1080" s="2">
        <v>0</v>
      </c>
      <c r="E1080" s="3" t="s">
        <v>3934</v>
      </c>
      <c r="F1080" s="270"/>
      <c r="L1080" s="2"/>
      <c r="P1080"/>
      <c r="Q1080"/>
      <c r="R1080"/>
      <c r="S1080"/>
      <c r="T1080"/>
    </row>
    <row r="1081" spans="1:20" s="14" customFormat="1" x14ac:dyDescent="0.25">
      <c r="A1081" s="2" t="s">
        <v>3927</v>
      </c>
      <c r="B1081" s="491" t="s">
        <v>3831</v>
      </c>
      <c r="C1081" s="2" t="s">
        <v>1646</v>
      </c>
      <c r="D1081" s="2">
        <v>0</v>
      </c>
      <c r="E1081" s="3" t="s">
        <v>3934</v>
      </c>
      <c r="F1081" s="270"/>
      <c r="L1081" s="2"/>
      <c r="P1081"/>
      <c r="Q1081"/>
      <c r="R1081"/>
      <c r="S1081"/>
      <c r="T1081"/>
    </row>
    <row r="1082" spans="1:20" s="14" customFormat="1" x14ac:dyDescent="0.25">
      <c r="A1082" s="2" t="s">
        <v>3928</v>
      </c>
      <c r="B1082" s="491" t="s">
        <v>3832</v>
      </c>
      <c r="C1082" s="2" t="s">
        <v>1646</v>
      </c>
      <c r="D1082" s="2">
        <v>0</v>
      </c>
      <c r="E1082" s="3" t="s">
        <v>3934</v>
      </c>
      <c r="F1082" s="270"/>
      <c r="L1082" s="2"/>
      <c r="P1082"/>
      <c r="Q1082"/>
      <c r="R1082"/>
      <c r="S1082"/>
      <c r="T1082"/>
    </row>
    <row r="1083" spans="1:20" s="14" customFormat="1" x14ac:dyDescent="0.25">
      <c r="A1083" s="2" t="s">
        <v>3929</v>
      </c>
      <c r="B1083" s="491" t="s">
        <v>3833</v>
      </c>
      <c r="C1083" s="2" t="s">
        <v>1646</v>
      </c>
      <c r="D1083" s="2">
        <v>0</v>
      </c>
      <c r="E1083" s="3" t="s">
        <v>3934</v>
      </c>
      <c r="F1083" s="270"/>
      <c r="L1083" s="2"/>
      <c r="P1083"/>
      <c r="Q1083"/>
      <c r="R1083"/>
      <c r="S1083"/>
      <c r="T1083"/>
    </row>
    <row r="1084" spans="1:20" s="14" customFormat="1" x14ac:dyDescent="0.25">
      <c r="A1084" s="2" t="s">
        <v>3930</v>
      </c>
      <c r="B1084" s="491" t="s">
        <v>3834</v>
      </c>
      <c r="C1084" s="2" t="s">
        <v>1646</v>
      </c>
      <c r="D1084" s="2">
        <v>0</v>
      </c>
      <c r="E1084" s="3" t="s">
        <v>3934</v>
      </c>
      <c r="F1084" s="270"/>
      <c r="L1084" s="2"/>
      <c r="P1084"/>
      <c r="Q1084"/>
      <c r="R1084"/>
      <c r="S1084"/>
      <c r="T1084"/>
    </row>
    <row r="1085" spans="1:20" s="14" customFormat="1" x14ac:dyDescent="0.25">
      <c r="A1085" s="2" t="s">
        <v>3931</v>
      </c>
      <c r="B1085" s="491" t="s">
        <v>3835</v>
      </c>
      <c r="C1085" s="2" t="s">
        <v>1646</v>
      </c>
      <c r="D1085" s="2">
        <v>0</v>
      </c>
      <c r="E1085" s="3" t="s">
        <v>3934</v>
      </c>
      <c r="F1085" s="270"/>
      <c r="L1085" s="2"/>
      <c r="P1085"/>
      <c r="Q1085"/>
      <c r="R1085"/>
      <c r="S1085"/>
      <c r="T1085"/>
    </row>
    <row r="1086" spans="1:20" s="14" customFormat="1" x14ac:dyDescent="0.25">
      <c r="A1086" s="2" t="s">
        <v>3932</v>
      </c>
      <c r="B1086" s="491" t="s">
        <v>3936</v>
      </c>
      <c r="C1086" s="2" t="s">
        <v>3950</v>
      </c>
      <c r="D1086" s="2">
        <v>0</v>
      </c>
      <c r="E1086" s="3" t="s">
        <v>3934</v>
      </c>
      <c r="F1086" s="270"/>
      <c r="L1086" s="2"/>
      <c r="P1086"/>
      <c r="Q1086"/>
      <c r="R1086"/>
      <c r="S1086"/>
      <c r="T1086"/>
    </row>
    <row r="1087" spans="1:20" s="14" customFormat="1" x14ac:dyDescent="0.25">
      <c r="A1087" s="2" t="s">
        <v>3933</v>
      </c>
      <c r="B1087" s="491" t="s">
        <v>3937</v>
      </c>
      <c r="C1087" s="2" t="s">
        <v>3950</v>
      </c>
      <c r="D1087" s="2">
        <v>0</v>
      </c>
      <c r="E1087" s="3" t="s">
        <v>3934</v>
      </c>
      <c r="F1087" s="270"/>
      <c r="L1087" s="2"/>
      <c r="P1087"/>
      <c r="Q1087"/>
      <c r="R1087"/>
      <c r="S1087"/>
      <c r="T1087"/>
    </row>
    <row r="1088" spans="1:20" s="14" customFormat="1" x14ac:dyDescent="0.25">
      <c r="A1088" s="2" t="s">
        <v>3951</v>
      </c>
      <c r="B1088" s="491" t="s">
        <v>3938</v>
      </c>
      <c r="C1088" s="2" t="s">
        <v>3950</v>
      </c>
      <c r="D1088" s="2">
        <v>0</v>
      </c>
      <c r="E1088" s="3" t="s">
        <v>3934</v>
      </c>
      <c r="F1088" s="270"/>
      <c r="L1088" s="2"/>
      <c r="P1088"/>
      <c r="Q1088"/>
      <c r="R1088"/>
      <c r="S1088"/>
      <c r="T1088"/>
    </row>
    <row r="1089" spans="1:20" s="14" customFormat="1" x14ac:dyDescent="0.25">
      <c r="A1089" s="2" t="s">
        <v>3952</v>
      </c>
      <c r="B1089" s="491" t="s">
        <v>3939</v>
      </c>
      <c r="C1089" s="2" t="s">
        <v>3950</v>
      </c>
      <c r="D1089" s="2">
        <v>0</v>
      </c>
      <c r="E1089" s="3" t="s">
        <v>3934</v>
      </c>
      <c r="F1089" s="270"/>
      <c r="L1089" s="2"/>
      <c r="P1089"/>
      <c r="Q1089"/>
      <c r="R1089"/>
      <c r="S1089"/>
      <c r="T1089"/>
    </row>
    <row r="1090" spans="1:20" s="14" customFormat="1" x14ac:dyDescent="0.25">
      <c r="A1090" s="2" t="s">
        <v>3953</v>
      </c>
      <c r="B1090" s="491" t="s">
        <v>3940</v>
      </c>
      <c r="C1090" s="2" t="s">
        <v>3950</v>
      </c>
      <c r="D1090" s="2">
        <v>0</v>
      </c>
      <c r="E1090" s="3" t="s">
        <v>3934</v>
      </c>
      <c r="F1090" s="270"/>
      <c r="L1090" s="2"/>
      <c r="P1090"/>
      <c r="Q1090"/>
      <c r="R1090"/>
      <c r="S1090"/>
      <c r="T1090"/>
    </row>
    <row r="1091" spans="1:20" s="14" customFormat="1" x14ac:dyDescent="0.25">
      <c r="A1091" s="2" t="s">
        <v>3954</v>
      </c>
      <c r="B1091" s="491" t="s">
        <v>3941</v>
      </c>
      <c r="C1091" s="2" t="s">
        <v>3950</v>
      </c>
      <c r="D1091" s="2">
        <v>0</v>
      </c>
      <c r="E1091" s="3" t="s">
        <v>3934</v>
      </c>
      <c r="F1091" s="270"/>
      <c r="L1091" s="2"/>
      <c r="P1091"/>
      <c r="Q1091"/>
      <c r="R1091"/>
      <c r="S1091"/>
      <c r="T1091"/>
    </row>
    <row r="1092" spans="1:20" s="14" customFormat="1" x14ac:dyDescent="0.25">
      <c r="A1092" s="2" t="s">
        <v>3955</v>
      </c>
      <c r="B1092" s="491" t="s">
        <v>3942</v>
      </c>
      <c r="C1092" s="2" t="s">
        <v>3950</v>
      </c>
      <c r="D1092" s="2">
        <v>0</v>
      </c>
      <c r="E1092" s="3" t="s">
        <v>3934</v>
      </c>
      <c r="F1092" s="270"/>
      <c r="L1092" s="2"/>
      <c r="P1092"/>
      <c r="Q1092"/>
      <c r="R1092"/>
      <c r="S1092"/>
      <c r="T1092"/>
    </row>
    <row r="1093" spans="1:20" s="14" customFormat="1" x14ac:dyDescent="0.25">
      <c r="A1093" s="2" t="s">
        <v>3956</v>
      </c>
      <c r="B1093" s="491" t="s">
        <v>3943</v>
      </c>
      <c r="C1093" s="2" t="s">
        <v>3950</v>
      </c>
      <c r="D1093" s="2">
        <v>0</v>
      </c>
      <c r="E1093" s="3" t="s">
        <v>3934</v>
      </c>
      <c r="F1093" s="270"/>
      <c r="L1093" s="2"/>
      <c r="P1093"/>
      <c r="Q1093"/>
      <c r="R1093"/>
      <c r="S1093"/>
      <c r="T1093"/>
    </row>
    <row r="1094" spans="1:20" s="14" customFormat="1" x14ac:dyDescent="0.25">
      <c r="A1094" s="2" t="s">
        <v>3957</v>
      </c>
      <c r="B1094" s="491" t="s">
        <v>3944</v>
      </c>
      <c r="C1094" s="2" t="s">
        <v>3950</v>
      </c>
      <c r="D1094" s="2">
        <v>0</v>
      </c>
      <c r="E1094" s="3" t="s">
        <v>3934</v>
      </c>
      <c r="F1094" s="270"/>
      <c r="L1094" s="2"/>
      <c r="P1094"/>
      <c r="Q1094"/>
      <c r="R1094"/>
      <c r="S1094"/>
      <c r="T1094"/>
    </row>
    <row r="1095" spans="1:20" s="14" customFormat="1" x14ac:dyDescent="0.25">
      <c r="A1095" s="2" t="s">
        <v>3958</v>
      </c>
      <c r="B1095" s="491" t="s">
        <v>3945</v>
      </c>
      <c r="C1095" s="2" t="s">
        <v>3950</v>
      </c>
      <c r="D1095" s="2">
        <v>0</v>
      </c>
      <c r="E1095" s="3" t="s">
        <v>3934</v>
      </c>
      <c r="F1095" s="270"/>
      <c r="L1095" s="2"/>
      <c r="P1095"/>
      <c r="Q1095"/>
      <c r="R1095"/>
      <c r="S1095"/>
      <c r="T1095"/>
    </row>
    <row r="1096" spans="1:20" s="14" customFormat="1" x14ac:dyDescent="0.25">
      <c r="A1096" s="2" t="s">
        <v>3959</v>
      </c>
      <c r="B1096" s="491" t="s">
        <v>3949</v>
      </c>
      <c r="C1096" s="2" t="s">
        <v>3950</v>
      </c>
      <c r="D1096" s="2">
        <v>0</v>
      </c>
      <c r="E1096" s="3" t="s">
        <v>3934</v>
      </c>
      <c r="F1096" s="270"/>
      <c r="L1096" s="2"/>
      <c r="P1096"/>
      <c r="Q1096"/>
      <c r="R1096"/>
      <c r="S1096"/>
      <c r="T1096"/>
    </row>
    <row r="1097" spans="1:20" s="14" customFormat="1" x14ac:dyDescent="0.25">
      <c r="A1097" s="2" t="s">
        <v>3960</v>
      </c>
      <c r="B1097" s="491" t="s">
        <v>3946</v>
      </c>
      <c r="C1097" s="2" t="s">
        <v>3950</v>
      </c>
      <c r="D1097" s="2">
        <v>0</v>
      </c>
      <c r="E1097" s="3" t="s">
        <v>3934</v>
      </c>
      <c r="F1097" s="270"/>
      <c r="L1097" s="2"/>
      <c r="P1097"/>
      <c r="Q1097"/>
      <c r="R1097"/>
      <c r="S1097"/>
      <c r="T1097"/>
    </row>
    <row r="1098" spans="1:20" s="14" customFormat="1" x14ac:dyDescent="0.25">
      <c r="A1098" s="2" t="s">
        <v>3961</v>
      </c>
      <c r="B1098" s="491" t="s">
        <v>3947</v>
      </c>
      <c r="C1098" s="2" t="s">
        <v>3950</v>
      </c>
      <c r="D1098" s="2">
        <v>0</v>
      </c>
      <c r="E1098" s="3" t="s">
        <v>3934</v>
      </c>
      <c r="F1098" s="270"/>
      <c r="L1098" s="2"/>
      <c r="P1098"/>
      <c r="Q1098"/>
      <c r="R1098"/>
      <c r="S1098"/>
      <c r="T1098"/>
    </row>
    <row r="1099" spans="1:20" s="14" customFormat="1" x14ac:dyDescent="0.25">
      <c r="A1099" s="2" t="s">
        <v>3962</v>
      </c>
      <c r="B1099" s="491" t="s">
        <v>3948</v>
      </c>
      <c r="C1099" s="2" t="s">
        <v>3950</v>
      </c>
      <c r="D1099" s="2">
        <v>20</v>
      </c>
      <c r="E1099" s="3" t="s">
        <v>3934</v>
      </c>
      <c r="F1099" s="270"/>
      <c r="L1099" s="2"/>
      <c r="P1099"/>
      <c r="Q1099"/>
      <c r="R1099"/>
      <c r="S1099"/>
      <c r="T1099"/>
    </row>
    <row r="1100" spans="1:20" s="14" customFormat="1" x14ac:dyDescent="0.25">
      <c r="A1100" s="2" t="s">
        <v>3963</v>
      </c>
      <c r="B1100" s="491" t="s">
        <v>3969</v>
      </c>
      <c r="C1100" s="2" t="s">
        <v>3616</v>
      </c>
      <c r="D1100" s="2">
        <v>0</v>
      </c>
      <c r="E1100" s="3" t="s">
        <v>3934</v>
      </c>
      <c r="F1100" s="270"/>
      <c r="L1100" s="2"/>
      <c r="P1100"/>
      <c r="Q1100"/>
      <c r="R1100"/>
      <c r="S1100"/>
      <c r="T1100"/>
    </row>
    <row r="1101" spans="1:20" s="14" customFormat="1" x14ac:dyDescent="0.25">
      <c r="A1101" s="2" t="s">
        <v>3964</v>
      </c>
      <c r="B1101" s="491" t="s">
        <v>3986</v>
      </c>
      <c r="C1101" s="2" t="s">
        <v>1646</v>
      </c>
      <c r="D1101" s="2">
        <v>6.4</v>
      </c>
      <c r="E1101" s="3" t="s">
        <v>3934</v>
      </c>
      <c r="F1101" s="270"/>
      <c r="L1101" s="2"/>
      <c r="P1101"/>
      <c r="Q1101"/>
      <c r="R1101"/>
      <c r="S1101"/>
      <c r="T1101"/>
    </row>
    <row r="1102" spans="1:20" s="14" customFormat="1" x14ac:dyDescent="0.25">
      <c r="A1102" s="2" t="s">
        <v>3970</v>
      </c>
      <c r="B1102" s="491" t="s">
        <v>5877</v>
      </c>
      <c r="C1102" s="2" t="s">
        <v>4045</v>
      </c>
      <c r="D1102" s="2">
        <v>0</v>
      </c>
      <c r="E1102" s="3" t="s">
        <v>1739</v>
      </c>
      <c r="F1102" s="270"/>
      <c r="L1102" s="2"/>
      <c r="P1102"/>
      <c r="Q1102"/>
      <c r="R1102"/>
      <c r="S1102"/>
      <c r="T1102"/>
    </row>
    <row r="1103" spans="1:20" s="14" customFormat="1" x14ac:dyDescent="0.25">
      <c r="A1103" s="2" t="s">
        <v>3984</v>
      </c>
      <c r="B1103" s="491" t="s">
        <v>4047</v>
      </c>
      <c r="C1103" s="2" t="s">
        <v>3374</v>
      </c>
      <c r="D1103" s="2">
        <v>0</v>
      </c>
      <c r="E1103" s="3" t="s">
        <v>3934</v>
      </c>
      <c r="F1103" s="270"/>
      <c r="L1103" s="2"/>
      <c r="P1103"/>
      <c r="Q1103"/>
      <c r="R1103"/>
      <c r="S1103"/>
      <c r="T1103"/>
    </row>
    <row r="1104" spans="1:20" s="14" customFormat="1" x14ac:dyDescent="0.25">
      <c r="A1104" s="2" t="s">
        <v>4044</v>
      </c>
      <c r="B1104" s="491" t="s">
        <v>4049</v>
      </c>
      <c r="C1104" s="2" t="s">
        <v>3374</v>
      </c>
      <c r="D1104" s="2">
        <v>5</v>
      </c>
      <c r="E1104" s="3" t="s">
        <v>3934</v>
      </c>
      <c r="F1104" s="270"/>
      <c r="L1104" s="2"/>
      <c r="P1104"/>
      <c r="Q1104"/>
      <c r="R1104"/>
      <c r="S1104"/>
      <c r="T1104"/>
    </row>
    <row r="1105" spans="1:20" s="14" customFormat="1" x14ac:dyDescent="0.25">
      <c r="A1105" s="2" t="s">
        <v>4046</v>
      </c>
      <c r="B1105" s="491" t="s">
        <v>4061</v>
      </c>
      <c r="C1105" s="2" t="s">
        <v>4045</v>
      </c>
      <c r="D1105" s="2">
        <v>0</v>
      </c>
      <c r="E1105" s="3" t="s">
        <v>1739</v>
      </c>
      <c r="F1105" s="270"/>
      <c r="L1105" s="2"/>
      <c r="P1105"/>
      <c r="Q1105"/>
      <c r="R1105"/>
      <c r="S1105"/>
      <c r="T1105"/>
    </row>
    <row r="1106" spans="1:20" s="14" customFormat="1" x14ac:dyDescent="0.25">
      <c r="A1106" s="2" t="s">
        <v>4048</v>
      </c>
      <c r="B1106" s="491" t="s">
        <v>4063</v>
      </c>
      <c r="C1106" s="2" t="s">
        <v>4045</v>
      </c>
      <c r="D1106" s="2">
        <v>12</v>
      </c>
      <c r="E1106" s="3" t="s">
        <v>1739</v>
      </c>
      <c r="F1106" s="270"/>
      <c r="L1106" s="2"/>
      <c r="P1106"/>
      <c r="Q1106"/>
      <c r="R1106"/>
      <c r="S1106"/>
      <c r="T1106"/>
    </row>
    <row r="1107" spans="1:20" s="14" customFormat="1" x14ac:dyDescent="0.25">
      <c r="A1107" s="2" t="s">
        <v>4050</v>
      </c>
      <c r="B1107" s="491" t="s">
        <v>6002</v>
      </c>
      <c r="C1107" s="2" t="s">
        <v>4045</v>
      </c>
      <c r="D1107" s="2">
        <v>12</v>
      </c>
      <c r="E1107" s="3" t="s">
        <v>1739</v>
      </c>
      <c r="F1107" s="270"/>
      <c r="L1107" s="2"/>
      <c r="P1107"/>
      <c r="Q1107"/>
      <c r="R1107"/>
      <c r="S1107"/>
      <c r="T1107"/>
    </row>
    <row r="1108" spans="1:20" s="14" customFormat="1" x14ac:dyDescent="0.25">
      <c r="A1108" s="2" t="s">
        <v>4051</v>
      </c>
      <c r="B1108" s="491" t="s">
        <v>4062</v>
      </c>
      <c r="C1108" s="2" t="s">
        <v>4045</v>
      </c>
      <c r="D1108" s="2">
        <v>0</v>
      </c>
      <c r="E1108" s="3" t="s">
        <v>3934</v>
      </c>
      <c r="F1108" s="270"/>
      <c r="L1108" s="2"/>
      <c r="P1108"/>
      <c r="Q1108"/>
      <c r="R1108"/>
      <c r="S1108"/>
      <c r="T1108"/>
    </row>
    <row r="1109" spans="1:20" s="14" customFormat="1" x14ac:dyDescent="0.25">
      <c r="A1109" s="2" t="s">
        <v>4052</v>
      </c>
      <c r="B1109" s="491" t="s">
        <v>4055</v>
      </c>
      <c r="C1109" s="2" t="s">
        <v>4045</v>
      </c>
      <c r="D1109" s="2">
        <v>0</v>
      </c>
      <c r="E1109" s="3" t="s">
        <v>3934</v>
      </c>
      <c r="F1109" s="270"/>
      <c r="L1109" s="2"/>
      <c r="P1109"/>
      <c r="Q1109"/>
      <c r="R1109"/>
      <c r="S1109"/>
      <c r="T1109"/>
    </row>
    <row r="1110" spans="1:20" s="14" customFormat="1" x14ac:dyDescent="0.25">
      <c r="A1110" s="2" t="s">
        <v>4053</v>
      </c>
      <c r="B1110" s="491" t="s">
        <v>4064</v>
      </c>
      <c r="C1110" s="2" t="s">
        <v>4045</v>
      </c>
      <c r="D1110" s="2">
        <v>180</v>
      </c>
      <c r="E1110" s="3" t="s">
        <v>1562</v>
      </c>
      <c r="F1110" s="270"/>
      <c r="L1110" s="2"/>
      <c r="P1110"/>
      <c r="Q1110"/>
      <c r="R1110"/>
      <c r="S1110"/>
      <c r="T1110"/>
    </row>
    <row r="1111" spans="1:20" s="14" customFormat="1" x14ac:dyDescent="0.25">
      <c r="A1111" s="2" t="s">
        <v>4054</v>
      </c>
      <c r="B1111" s="491" t="s">
        <v>4058</v>
      </c>
      <c r="C1111" s="2" t="s">
        <v>4045</v>
      </c>
      <c r="D1111" s="2">
        <v>1</v>
      </c>
      <c r="E1111" s="3" t="s">
        <v>1739</v>
      </c>
      <c r="F1111" s="270"/>
      <c r="L1111" s="2"/>
      <c r="P1111"/>
      <c r="Q1111"/>
      <c r="R1111"/>
      <c r="S1111"/>
      <c r="T1111"/>
    </row>
    <row r="1112" spans="1:20" s="14" customFormat="1" x14ac:dyDescent="0.25">
      <c r="A1112" s="2" t="s">
        <v>4056</v>
      </c>
      <c r="B1112" s="491" t="s">
        <v>4060</v>
      </c>
      <c r="C1112" s="2" t="s">
        <v>4045</v>
      </c>
      <c r="D1112" s="2"/>
      <c r="E1112" s="3" t="s">
        <v>1739</v>
      </c>
      <c r="F1112" s="270"/>
      <c r="L1112" s="2"/>
      <c r="P1112"/>
      <c r="Q1112"/>
      <c r="R1112"/>
      <c r="S1112"/>
      <c r="T1112"/>
    </row>
    <row r="1113" spans="1:20" s="14" customFormat="1" x14ac:dyDescent="0.25">
      <c r="A1113" s="2" t="s">
        <v>4057</v>
      </c>
      <c r="B1113" s="491" t="s">
        <v>4066</v>
      </c>
      <c r="C1113" s="2" t="s">
        <v>4045</v>
      </c>
      <c r="D1113" s="2"/>
      <c r="E1113" s="3" t="s">
        <v>2926</v>
      </c>
      <c r="F1113" s="270"/>
      <c r="L1113" s="2"/>
      <c r="P1113"/>
      <c r="Q1113"/>
      <c r="R1113"/>
      <c r="S1113"/>
      <c r="T1113"/>
    </row>
    <row r="1114" spans="1:20" s="14" customFormat="1" x14ac:dyDescent="0.25">
      <c r="A1114" s="2" t="s">
        <v>4059</v>
      </c>
      <c r="B1114" s="491" t="s">
        <v>4068</v>
      </c>
      <c r="C1114" s="2" t="s">
        <v>661</v>
      </c>
      <c r="D1114" s="2"/>
      <c r="E1114" s="3" t="s">
        <v>2926</v>
      </c>
      <c r="F1114" s="270"/>
      <c r="L1114" s="2"/>
      <c r="P1114"/>
      <c r="Q1114"/>
      <c r="R1114"/>
      <c r="S1114"/>
      <c r="T1114"/>
    </row>
    <row r="1115" spans="1:20" s="14" customFormat="1" x14ac:dyDescent="0.25">
      <c r="A1115" s="2" t="s">
        <v>4065</v>
      </c>
      <c r="B1115" s="491" t="s">
        <v>4070</v>
      </c>
      <c r="C1115" s="2" t="s">
        <v>661</v>
      </c>
      <c r="D1115" s="2"/>
      <c r="E1115" s="3" t="s">
        <v>1739</v>
      </c>
      <c r="F1115" s="270"/>
      <c r="L1115" s="2"/>
      <c r="P1115"/>
      <c r="Q1115"/>
      <c r="R1115"/>
      <c r="S1115"/>
      <c r="T1115"/>
    </row>
    <row r="1116" spans="1:20" s="14" customFormat="1" x14ac:dyDescent="0.25">
      <c r="A1116" s="2" t="s">
        <v>4067</v>
      </c>
      <c r="B1116" s="491" t="s">
        <v>5878</v>
      </c>
      <c r="C1116" s="2" t="s">
        <v>661</v>
      </c>
      <c r="D1116" s="2"/>
      <c r="E1116" s="3" t="s">
        <v>1739</v>
      </c>
      <c r="F1116" s="270"/>
      <c r="L1116" s="2"/>
      <c r="P1116"/>
      <c r="Q1116"/>
      <c r="R1116"/>
      <c r="S1116"/>
      <c r="T1116"/>
    </row>
    <row r="1117" spans="1:20" s="14" customFormat="1" x14ac:dyDescent="0.25">
      <c r="A1117" s="2" t="s">
        <v>4069</v>
      </c>
      <c r="B1117" s="491" t="s">
        <v>4073</v>
      </c>
      <c r="C1117" s="2" t="s">
        <v>661</v>
      </c>
      <c r="D1117" s="2"/>
      <c r="E1117" s="3" t="s">
        <v>1739</v>
      </c>
      <c r="F1117" s="270"/>
      <c r="L1117" s="2"/>
      <c r="P1117"/>
      <c r="Q1117"/>
      <c r="R1117"/>
      <c r="S1117"/>
      <c r="T1117"/>
    </row>
    <row r="1118" spans="1:20" s="14" customFormat="1" x14ac:dyDescent="0.25">
      <c r="A1118" s="2" t="s">
        <v>4071</v>
      </c>
      <c r="B1118" s="491" t="s">
        <v>4075</v>
      </c>
      <c r="C1118" s="2" t="s">
        <v>661</v>
      </c>
      <c r="D1118" s="2"/>
      <c r="E1118" s="3" t="s">
        <v>1739</v>
      </c>
      <c r="F1118" s="270"/>
      <c r="L1118" s="2"/>
      <c r="P1118"/>
      <c r="Q1118"/>
      <c r="R1118"/>
      <c r="S1118"/>
      <c r="T1118"/>
    </row>
    <row r="1119" spans="1:20" s="14" customFormat="1" x14ac:dyDescent="0.25">
      <c r="A1119" s="2" t="s">
        <v>4072</v>
      </c>
      <c r="B1119" s="491" t="s">
        <v>5879</v>
      </c>
      <c r="C1119" s="2" t="s">
        <v>661</v>
      </c>
      <c r="D1119" s="2"/>
      <c r="E1119" s="3" t="s">
        <v>1739</v>
      </c>
      <c r="F1119" s="270"/>
      <c r="L1119" s="2"/>
      <c r="P1119"/>
      <c r="Q1119"/>
      <c r="R1119"/>
      <c r="S1119"/>
      <c r="T1119"/>
    </row>
    <row r="1120" spans="1:20" s="14" customFormat="1" x14ac:dyDescent="0.25">
      <c r="A1120" s="2" t="s">
        <v>4074</v>
      </c>
      <c r="B1120" s="491" t="s">
        <v>5880</v>
      </c>
      <c r="C1120" s="2" t="s">
        <v>661</v>
      </c>
      <c r="D1120" s="2"/>
      <c r="E1120" s="3" t="s">
        <v>1739</v>
      </c>
      <c r="F1120" s="270"/>
      <c r="L1120" s="2"/>
      <c r="P1120"/>
      <c r="Q1120"/>
      <c r="R1120"/>
      <c r="S1120"/>
      <c r="T1120"/>
    </row>
    <row r="1121" spans="1:20" s="14" customFormat="1" x14ac:dyDescent="0.25">
      <c r="A1121" s="2" t="s">
        <v>4076</v>
      </c>
      <c r="B1121" s="491" t="s">
        <v>5447</v>
      </c>
      <c r="C1121" s="2" t="s">
        <v>4085</v>
      </c>
      <c r="D1121" s="2">
        <v>24</v>
      </c>
      <c r="E1121" s="3" t="s">
        <v>1626</v>
      </c>
      <c r="F1121" s="270"/>
      <c r="L1121" s="2"/>
      <c r="P1121"/>
      <c r="Q1121"/>
      <c r="R1121"/>
      <c r="S1121"/>
      <c r="T1121"/>
    </row>
    <row r="1122" spans="1:20" s="14" customFormat="1" x14ac:dyDescent="0.25">
      <c r="A1122" s="2" t="s">
        <v>4077</v>
      </c>
      <c r="B1122" s="491" t="s">
        <v>4087</v>
      </c>
      <c r="C1122" s="2" t="s">
        <v>4088</v>
      </c>
      <c r="D1122" s="2"/>
      <c r="E1122" s="3" t="s">
        <v>1739</v>
      </c>
      <c r="F1122" s="270"/>
      <c r="L1122" s="2"/>
      <c r="P1122"/>
      <c r="Q1122"/>
      <c r="R1122"/>
      <c r="S1122"/>
      <c r="T1122"/>
    </row>
    <row r="1123" spans="1:20" s="14" customFormat="1" x14ac:dyDescent="0.25">
      <c r="A1123" s="2" t="s">
        <v>4084</v>
      </c>
      <c r="B1123" s="491" t="s">
        <v>4095</v>
      </c>
      <c r="C1123" s="2" t="s">
        <v>3364</v>
      </c>
      <c r="D1123" s="2"/>
      <c r="E1123" s="3" t="s">
        <v>1739</v>
      </c>
      <c r="F1123" s="270"/>
      <c r="L1123" s="2"/>
      <c r="P1123"/>
      <c r="Q1123"/>
      <c r="R1123"/>
      <c r="S1123"/>
      <c r="T1123"/>
    </row>
    <row r="1124" spans="1:20" s="14" customFormat="1" x14ac:dyDescent="0.25">
      <c r="A1124" s="2" t="s">
        <v>4086</v>
      </c>
      <c r="B1124" s="491" t="s">
        <v>5576</v>
      </c>
      <c r="C1124" s="2" t="s">
        <v>1646</v>
      </c>
      <c r="D1124" s="2">
        <v>10</v>
      </c>
      <c r="E1124" s="3" t="s">
        <v>1645</v>
      </c>
      <c r="F1124" s="270"/>
      <c r="L1124" s="2"/>
      <c r="P1124"/>
      <c r="Q1124"/>
      <c r="R1124"/>
      <c r="S1124"/>
      <c r="T1124"/>
    </row>
    <row r="1125" spans="1:20" s="14" customFormat="1" x14ac:dyDescent="0.25">
      <c r="A1125" s="2" t="s">
        <v>4094</v>
      </c>
      <c r="B1125" s="491" t="s">
        <v>4111</v>
      </c>
      <c r="C1125" s="2" t="s">
        <v>1900</v>
      </c>
      <c r="D1125" s="2"/>
      <c r="E1125" s="3" t="s">
        <v>1739</v>
      </c>
      <c r="F1125" s="270"/>
      <c r="L1125" s="2"/>
      <c r="P1125"/>
      <c r="Q1125"/>
      <c r="R1125"/>
      <c r="S1125"/>
      <c r="T1125"/>
    </row>
    <row r="1126" spans="1:20" s="14" customFormat="1" x14ac:dyDescent="0.25">
      <c r="A1126" s="2" t="s">
        <v>4108</v>
      </c>
      <c r="B1126" s="491" t="s">
        <v>4113</v>
      </c>
      <c r="C1126" s="2" t="s">
        <v>3616</v>
      </c>
      <c r="D1126" s="2"/>
      <c r="E1126" s="3" t="s">
        <v>1739</v>
      </c>
      <c r="F1126" s="270"/>
      <c r="L1126" s="2"/>
      <c r="P1126"/>
      <c r="Q1126"/>
      <c r="R1126"/>
      <c r="S1126"/>
      <c r="T1126"/>
    </row>
    <row r="1127" spans="1:20" s="14" customFormat="1" x14ac:dyDescent="0.25">
      <c r="A1127" s="2" t="s">
        <v>4110</v>
      </c>
      <c r="B1127" s="491" t="s">
        <v>4115</v>
      </c>
      <c r="C1127" s="2" t="s">
        <v>4116</v>
      </c>
      <c r="D1127" s="2"/>
      <c r="E1127" s="3" t="s">
        <v>1739</v>
      </c>
      <c r="F1127" s="270"/>
      <c r="L1127" s="2"/>
      <c r="P1127"/>
      <c r="Q1127"/>
      <c r="R1127"/>
      <c r="S1127"/>
      <c r="T1127"/>
    </row>
    <row r="1128" spans="1:20" s="14" customFormat="1" x14ac:dyDescent="0.25">
      <c r="A1128" s="2" t="s">
        <v>4112</v>
      </c>
      <c r="B1128" s="491" t="s">
        <v>4118</v>
      </c>
      <c r="C1128" s="2" t="s">
        <v>3616</v>
      </c>
      <c r="D1128" s="2">
        <v>960</v>
      </c>
      <c r="E1128" s="3" t="s">
        <v>1739</v>
      </c>
      <c r="F1128" s="270"/>
      <c r="L1128" s="2"/>
      <c r="P1128"/>
      <c r="Q1128"/>
      <c r="R1128"/>
      <c r="S1128"/>
      <c r="T1128"/>
    </row>
    <row r="1129" spans="1:20" s="14" customFormat="1" x14ac:dyDescent="0.25">
      <c r="A1129" s="2" t="s">
        <v>4114</v>
      </c>
      <c r="B1129" s="491" t="s">
        <v>4120</v>
      </c>
      <c r="C1129" s="2" t="s">
        <v>3616</v>
      </c>
      <c r="D1129" s="2"/>
      <c r="E1129" s="3" t="s">
        <v>1739</v>
      </c>
      <c r="F1129" s="270"/>
      <c r="L1129" s="2"/>
      <c r="P1129"/>
      <c r="Q1129"/>
      <c r="R1129"/>
      <c r="S1129"/>
      <c r="T1129"/>
    </row>
    <row r="1130" spans="1:20" s="14" customFormat="1" x14ac:dyDescent="0.25">
      <c r="A1130" s="2" t="s">
        <v>4117</v>
      </c>
      <c r="B1130" s="491" t="s">
        <v>4122</v>
      </c>
      <c r="C1130" s="2" t="s">
        <v>3616</v>
      </c>
      <c r="D1130" s="2"/>
      <c r="E1130" s="3" t="s">
        <v>1739</v>
      </c>
      <c r="F1130" s="270"/>
      <c r="L1130" s="2"/>
      <c r="P1130"/>
      <c r="Q1130"/>
      <c r="R1130"/>
      <c r="S1130"/>
      <c r="T1130"/>
    </row>
    <row r="1131" spans="1:20" s="14" customFormat="1" x14ac:dyDescent="0.25">
      <c r="A1131" s="2" t="s">
        <v>4119</v>
      </c>
      <c r="B1131" s="491" t="s">
        <v>4124</v>
      </c>
      <c r="C1131" s="2" t="s">
        <v>3616</v>
      </c>
      <c r="D1131" s="2">
        <v>80</v>
      </c>
      <c r="E1131" s="3" t="s">
        <v>1626</v>
      </c>
      <c r="F1131" s="270"/>
      <c r="L1131" s="2"/>
      <c r="P1131"/>
      <c r="Q1131"/>
      <c r="R1131"/>
      <c r="S1131"/>
      <c r="T1131"/>
    </row>
    <row r="1132" spans="1:20" s="14" customFormat="1" x14ac:dyDescent="0.25">
      <c r="A1132" s="2" t="s">
        <v>4121</v>
      </c>
      <c r="B1132" s="491" t="s">
        <v>4126</v>
      </c>
      <c r="C1132" s="2" t="s">
        <v>3616</v>
      </c>
      <c r="D1132" s="2"/>
      <c r="E1132" s="3" t="s">
        <v>1626</v>
      </c>
      <c r="F1132" s="270"/>
      <c r="L1132" s="2"/>
      <c r="P1132"/>
      <c r="Q1132"/>
      <c r="R1132"/>
      <c r="S1132"/>
      <c r="T1132"/>
    </row>
    <row r="1133" spans="1:20" s="14" customFormat="1" x14ac:dyDescent="0.25">
      <c r="A1133" s="2" t="s">
        <v>4123</v>
      </c>
      <c r="B1133" s="491" t="s">
        <v>4128</v>
      </c>
      <c r="C1133" s="2" t="s">
        <v>3616</v>
      </c>
      <c r="D1133" s="2"/>
      <c r="E1133" s="3" t="s">
        <v>1626</v>
      </c>
      <c r="F1133" s="270"/>
      <c r="L1133" s="2"/>
      <c r="P1133"/>
      <c r="Q1133"/>
      <c r="R1133"/>
      <c r="S1133"/>
      <c r="T1133"/>
    </row>
    <row r="1134" spans="1:20" s="14" customFormat="1" x14ac:dyDescent="0.25">
      <c r="A1134" s="2" t="s">
        <v>4125</v>
      </c>
      <c r="B1134" s="491" t="s">
        <v>4130</v>
      </c>
      <c r="C1134" s="2" t="s">
        <v>3616</v>
      </c>
      <c r="D1134" s="2">
        <v>1</v>
      </c>
      <c r="E1134" s="3" t="s">
        <v>1645</v>
      </c>
      <c r="F1134" s="270"/>
      <c r="L1134" s="2"/>
      <c r="P1134"/>
      <c r="Q1134"/>
      <c r="R1134"/>
      <c r="S1134"/>
      <c r="T1134"/>
    </row>
    <row r="1135" spans="1:20" s="14" customFormat="1" x14ac:dyDescent="0.25">
      <c r="A1135" s="2" t="s">
        <v>4127</v>
      </c>
      <c r="B1135" s="491" t="s">
        <v>4132</v>
      </c>
      <c r="C1135" s="2" t="s">
        <v>3616</v>
      </c>
      <c r="D1135" s="2"/>
      <c r="E1135" s="3" t="s">
        <v>1562</v>
      </c>
      <c r="F1135" s="270"/>
      <c r="L1135" s="2"/>
      <c r="P1135"/>
      <c r="Q1135"/>
      <c r="R1135"/>
      <c r="S1135"/>
      <c r="T1135"/>
    </row>
    <row r="1136" spans="1:20" s="14" customFormat="1" x14ac:dyDescent="0.25">
      <c r="A1136" s="2" t="s">
        <v>4129</v>
      </c>
      <c r="B1136" s="491" t="s">
        <v>4134</v>
      </c>
      <c r="C1136" s="2" t="s">
        <v>3616</v>
      </c>
      <c r="D1136" s="2"/>
      <c r="E1136" s="3" t="s">
        <v>1562</v>
      </c>
      <c r="F1136" s="270"/>
      <c r="L1136" s="2"/>
      <c r="P1136"/>
      <c r="Q1136"/>
      <c r="R1136"/>
      <c r="S1136"/>
      <c r="T1136"/>
    </row>
    <row r="1137" spans="1:20" s="14" customFormat="1" x14ac:dyDescent="0.25">
      <c r="A1137" s="2" t="s">
        <v>4131</v>
      </c>
      <c r="B1137" s="491" t="s">
        <v>4136</v>
      </c>
      <c r="C1137" s="2" t="s">
        <v>3616</v>
      </c>
      <c r="D1137" s="2"/>
      <c r="E1137" s="3" t="s">
        <v>1562</v>
      </c>
      <c r="F1137" s="270"/>
      <c r="L1137" s="2"/>
      <c r="P1137"/>
      <c r="Q1137"/>
      <c r="R1137"/>
      <c r="S1137"/>
      <c r="T1137"/>
    </row>
    <row r="1138" spans="1:20" s="14" customFormat="1" x14ac:dyDescent="0.25">
      <c r="A1138" s="2" t="s">
        <v>4133</v>
      </c>
      <c r="B1138" s="491" t="s">
        <v>4138</v>
      </c>
      <c r="C1138" s="2" t="s">
        <v>3616</v>
      </c>
      <c r="D1138" s="2"/>
      <c r="E1138" s="3" t="s">
        <v>1562</v>
      </c>
      <c r="F1138" s="270"/>
      <c r="L1138" s="2"/>
      <c r="P1138"/>
      <c r="Q1138"/>
      <c r="R1138"/>
      <c r="S1138"/>
      <c r="T1138"/>
    </row>
    <row r="1139" spans="1:20" s="14" customFormat="1" x14ac:dyDescent="0.25">
      <c r="A1139" s="2" t="s">
        <v>4135</v>
      </c>
      <c r="B1139" s="491" t="s">
        <v>4140</v>
      </c>
      <c r="C1139" s="2" t="s">
        <v>3616</v>
      </c>
      <c r="D1139" s="2"/>
      <c r="E1139" s="3" t="s">
        <v>1562</v>
      </c>
      <c r="F1139" s="270"/>
      <c r="L1139" s="2"/>
      <c r="P1139"/>
      <c r="Q1139"/>
      <c r="R1139"/>
      <c r="S1139"/>
      <c r="T1139"/>
    </row>
    <row r="1140" spans="1:20" s="14" customFormat="1" x14ac:dyDescent="0.25">
      <c r="A1140" s="2" t="s">
        <v>4137</v>
      </c>
      <c r="B1140" s="491" t="s">
        <v>4142</v>
      </c>
      <c r="C1140" s="2" t="s">
        <v>3616</v>
      </c>
      <c r="D1140" s="2"/>
      <c r="E1140" s="3" t="s">
        <v>1562</v>
      </c>
      <c r="F1140" s="270"/>
      <c r="L1140" s="2"/>
      <c r="P1140"/>
      <c r="Q1140"/>
      <c r="R1140"/>
      <c r="S1140"/>
      <c r="T1140"/>
    </row>
    <row r="1141" spans="1:20" s="14" customFormat="1" x14ac:dyDescent="0.25">
      <c r="A1141" s="2" t="s">
        <v>4139</v>
      </c>
      <c r="B1141" s="491" t="s">
        <v>4144</v>
      </c>
      <c r="C1141" s="2" t="s">
        <v>3616</v>
      </c>
      <c r="D1141" s="2"/>
      <c r="E1141" s="3" t="s">
        <v>1562</v>
      </c>
      <c r="F1141" s="270"/>
      <c r="L1141" s="2"/>
      <c r="P1141"/>
      <c r="Q1141"/>
      <c r="R1141"/>
      <c r="S1141"/>
      <c r="T1141"/>
    </row>
    <row r="1142" spans="1:20" s="14" customFormat="1" x14ac:dyDescent="0.25">
      <c r="A1142" s="2" t="s">
        <v>4141</v>
      </c>
      <c r="B1142" s="491" t="s">
        <v>4146</v>
      </c>
      <c r="C1142" s="2" t="s">
        <v>3616</v>
      </c>
      <c r="D1142" s="2"/>
      <c r="E1142" s="3" t="s">
        <v>1562</v>
      </c>
      <c r="F1142" s="270"/>
      <c r="L1142" s="2"/>
      <c r="P1142"/>
      <c r="Q1142"/>
      <c r="R1142"/>
      <c r="S1142"/>
      <c r="T1142"/>
    </row>
    <row r="1143" spans="1:20" s="14" customFormat="1" x14ac:dyDescent="0.25">
      <c r="A1143" s="2" t="s">
        <v>4143</v>
      </c>
      <c r="B1143" s="491" t="s">
        <v>4148</v>
      </c>
      <c r="C1143" s="2" t="s">
        <v>3616</v>
      </c>
      <c r="D1143" s="2"/>
      <c r="E1143" s="3" t="s">
        <v>1562</v>
      </c>
      <c r="F1143" s="270"/>
      <c r="L1143" s="2"/>
      <c r="P1143"/>
      <c r="Q1143"/>
      <c r="R1143"/>
      <c r="S1143"/>
      <c r="T1143"/>
    </row>
    <row r="1144" spans="1:20" s="14" customFormat="1" x14ac:dyDescent="0.25">
      <c r="A1144" s="2" t="s">
        <v>4145</v>
      </c>
      <c r="B1144" s="491" t="s">
        <v>4151</v>
      </c>
      <c r="C1144" s="2" t="s">
        <v>4152</v>
      </c>
      <c r="D1144" s="2"/>
      <c r="E1144" s="3" t="s">
        <v>1562</v>
      </c>
      <c r="F1144" s="270"/>
      <c r="L1144" s="2"/>
      <c r="P1144"/>
      <c r="Q1144"/>
      <c r="R1144"/>
      <c r="S1144"/>
      <c r="T1144"/>
    </row>
    <row r="1145" spans="1:20" s="14" customFormat="1" x14ac:dyDescent="0.25">
      <c r="A1145" s="2" t="s">
        <v>4147</v>
      </c>
      <c r="B1145" s="491" t="s">
        <v>4154</v>
      </c>
      <c r="C1145" s="2" t="s">
        <v>4155</v>
      </c>
      <c r="D1145" s="2">
        <v>12</v>
      </c>
      <c r="E1145" s="3" t="s">
        <v>1561</v>
      </c>
      <c r="F1145" s="270"/>
      <c r="L1145" s="2"/>
      <c r="P1145"/>
      <c r="Q1145"/>
      <c r="R1145"/>
      <c r="S1145"/>
      <c r="T1145"/>
    </row>
    <row r="1146" spans="1:20" s="14" customFormat="1" x14ac:dyDescent="0.25">
      <c r="A1146" s="2" t="s">
        <v>4150</v>
      </c>
      <c r="B1146" s="491" t="s">
        <v>4157</v>
      </c>
      <c r="C1146" s="2" t="s">
        <v>4158</v>
      </c>
      <c r="D1146" s="2"/>
      <c r="E1146" s="3" t="s">
        <v>1562</v>
      </c>
      <c r="F1146" s="270"/>
      <c r="L1146" s="2"/>
      <c r="P1146"/>
      <c r="Q1146"/>
      <c r="R1146"/>
      <c r="S1146"/>
      <c r="T1146"/>
    </row>
    <row r="1147" spans="1:20" s="14" customFormat="1" x14ac:dyDescent="0.25">
      <c r="A1147" s="2" t="s">
        <v>4153</v>
      </c>
      <c r="B1147" s="491" t="s">
        <v>4160</v>
      </c>
      <c r="C1147" s="2" t="s">
        <v>4161</v>
      </c>
      <c r="D1147" s="2"/>
      <c r="E1147" s="3" t="s">
        <v>1562</v>
      </c>
      <c r="F1147" s="270"/>
      <c r="L1147" s="2"/>
      <c r="P1147"/>
      <c r="Q1147"/>
      <c r="R1147"/>
      <c r="S1147"/>
      <c r="T1147"/>
    </row>
    <row r="1148" spans="1:20" s="14" customFormat="1" x14ac:dyDescent="0.25">
      <c r="A1148" s="2" t="s">
        <v>4156</v>
      </c>
      <c r="B1148" s="491" t="s">
        <v>4177</v>
      </c>
      <c r="C1148" s="2" t="s">
        <v>4161</v>
      </c>
      <c r="D1148" s="2"/>
      <c r="E1148" s="3" t="s">
        <v>1562</v>
      </c>
      <c r="F1148" s="270"/>
      <c r="L1148" s="2"/>
      <c r="P1148"/>
      <c r="Q1148"/>
      <c r="R1148"/>
      <c r="S1148"/>
      <c r="T1148"/>
    </row>
    <row r="1149" spans="1:20" s="14" customFormat="1" x14ac:dyDescent="0.25">
      <c r="A1149" s="2" t="s">
        <v>4159</v>
      </c>
      <c r="B1149" s="491" t="s">
        <v>4164</v>
      </c>
      <c r="C1149" s="2" t="s">
        <v>4161</v>
      </c>
      <c r="D1149" s="2">
        <v>18</v>
      </c>
      <c r="E1149" s="3" t="s">
        <v>1561</v>
      </c>
      <c r="F1149" s="270"/>
      <c r="L1149" s="2"/>
      <c r="P1149"/>
      <c r="Q1149"/>
      <c r="R1149"/>
      <c r="S1149"/>
      <c r="T1149"/>
    </row>
    <row r="1150" spans="1:20" s="14" customFormat="1" x14ac:dyDescent="0.25">
      <c r="A1150" s="2" t="s">
        <v>4162</v>
      </c>
      <c r="B1150" s="491" t="s">
        <v>4166</v>
      </c>
      <c r="C1150" s="2" t="s">
        <v>4167</v>
      </c>
      <c r="D1150" s="2"/>
      <c r="E1150" s="3" t="s">
        <v>3616</v>
      </c>
      <c r="F1150" s="270"/>
      <c r="L1150" s="2"/>
      <c r="P1150"/>
      <c r="Q1150"/>
      <c r="R1150"/>
      <c r="S1150"/>
      <c r="T1150"/>
    </row>
    <row r="1151" spans="1:20" s="14" customFormat="1" x14ac:dyDescent="0.25">
      <c r="A1151" s="2" t="s">
        <v>4163</v>
      </c>
      <c r="B1151" s="491" t="s">
        <v>4169</v>
      </c>
      <c r="C1151" s="2" t="s">
        <v>4170</v>
      </c>
      <c r="D1151" s="2"/>
      <c r="E1151" s="3" t="s">
        <v>1562</v>
      </c>
      <c r="F1151" s="270"/>
      <c r="L1151" s="2"/>
      <c r="P1151"/>
      <c r="Q1151"/>
      <c r="R1151"/>
      <c r="S1151"/>
      <c r="T1151"/>
    </row>
    <row r="1152" spans="1:20" s="14" customFormat="1" x14ac:dyDescent="0.25">
      <c r="A1152" s="2" t="s">
        <v>4165</v>
      </c>
      <c r="B1152" s="491" t="s">
        <v>4172</v>
      </c>
      <c r="C1152" s="2" t="s">
        <v>4173</v>
      </c>
      <c r="D1152" s="2"/>
      <c r="E1152" s="3" t="s">
        <v>1562</v>
      </c>
      <c r="F1152" s="270"/>
      <c r="L1152" s="2"/>
      <c r="P1152"/>
      <c r="Q1152"/>
      <c r="R1152"/>
      <c r="S1152"/>
      <c r="T1152"/>
    </row>
    <row r="1153" spans="1:20" s="14" customFormat="1" x14ac:dyDescent="0.25">
      <c r="A1153" s="2" t="s">
        <v>4168</v>
      </c>
      <c r="B1153" s="491" t="s">
        <v>4181</v>
      </c>
      <c r="C1153" s="2" t="s">
        <v>4182</v>
      </c>
      <c r="D1153" s="2"/>
      <c r="E1153" s="3" t="s">
        <v>3616</v>
      </c>
      <c r="F1153" s="270"/>
      <c r="L1153" s="2"/>
      <c r="P1153"/>
      <c r="Q1153"/>
      <c r="R1153"/>
      <c r="S1153"/>
      <c r="T1153"/>
    </row>
    <row r="1154" spans="1:20" s="14" customFormat="1" x14ac:dyDescent="0.25">
      <c r="A1154" s="2" t="s">
        <v>4171</v>
      </c>
      <c r="B1154" s="491" t="s">
        <v>4184</v>
      </c>
      <c r="C1154" s="2" t="s">
        <v>3616</v>
      </c>
      <c r="D1154" s="2">
        <v>27</v>
      </c>
      <c r="E1154" s="3" t="s">
        <v>1561</v>
      </c>
      <c r="F1154" s="270"/>
      <c r="L1154" s="2"/>
      <c r="P1154"/>
      <c r="Q1154"/>
      <c r="R1154"/>
      <c r="S1154"/>
      <c r="T1154"/>
    </row>
    <row r="1155" spans="1:20" s="14" customFormat="1" x14ac:dyDescent="0.25">
      <c r="A1155" s="2" t="s">
        <v>4180</v>
      </c>
      <c r="B1155" s="491" t="s">
        <v>4186</v>
      </c>
      <c r="C1155" s="2" t="s">
        <v>3616</v>
      </c>
      <c r="D1155" s="2">
        <v>12</v>
      </c>
      <c r="E1155" s="3" t="s">
        <v>1561</v>
      </c>
      <c r="F1155" s="270"/>
      <c r="L1155" s="2"/>
      <c r="P1155"/>
      <c r="Q1155"/>
      <c r="R1155"/>
      <c r="S1155"/>
      <c r="T1155"/>
    </row>
    <row r="1156" spans="1:20" s="14" customFormat="1" x14ac:dyDescent="0.25">
      <c r="A1156" s="2" t="s">
        <v>4183</v>
      </c>
      <c r="B1156" s="491" t="s">
        <v>4188</v>
      </c>
      <c r="C1156" s="2" t="s">
        <v>3616</v>
      </c>
      <c r="D1156" s="2">
        <v>2</v>
      </c>
      <c r="E1156" s="3" t="s">
        <v>1561</v>
      </c>
      <c r="F1156" s="270"/>
      <c r="L1156" s="2"/>
      <c r="P1156"/>
      <c r="Q1156"/>
      <c r="R1156"/>
      <c r="S1156"/>
      <c r="T1156"/>
    </row>
    <row r="1157" spans="1:20" s="14" customFormat="1" x14ac:dyDescent="0.25">
      <c r="A1157" s="2" t="s">
        <v>4185</v>
      </c>
      <c r="B1157" s="491" t="s">
        <v>4190</v>
      </c>
      <c r="C1157" s="2" t="s">
        <v>3616</v>
      </c>
      <c r="D1157" s="2">
        <v>24</v>
      </c>
      <c r="E1157" s="3" t="s">
        <v>1561</v>
      </c>
      <c r="F1157" s="270"/>
      <c r="L1157" s="2"/>
      <c r="P1157"/>
      <c r="Q1157"/>
      <c r="R1157"/>
      <c r="S1157"/>
      <c r="T1157"/>
    </row>
    <row r="1158" spans="1:20" s="14" customFormat="1" x14ac:dyDescent="0.25">
      <c r="A1158" s="2" t="s">
        <v>4187</v>
      </c>
      <c r="B1158" s="491" t="s">
        <v>4192</v>
      </c>
      <c r="C1158" s="2" t="s">
        <v>3616</v>
      </c>
      <c r="D1158" s="2"/>
      <c r="E1158" s="3" t="s">
        <v>1561</v>
      </c>
      <c r="F1158" s="270"/>
      <c r="L1158" s="2"/>
      <c r="P1158"/>
      <c r="Q1158"/>
      <c r="R1158"/>
      <c r="S1158"/>
      <c r="T1158"/>
    </row>
    <row r="1159" spans="1:20" s="14" customFormat="1" x14ac:dyDescent="0.25">
      <c r="A1159" s="2" t="s">
        <v>4189</v>
      </c>
      <c r="B1159" s="491" t="s">
        <v>4194</v>
      </c>
      <c r="C1159" s="2" t="s">
        <v>3616</v>
      </c>
      <c r="D1159" s="2">
        <v>2</v>
      </c>
      <c r="E1159" s="3" t="s">
        <v>1561</v>
      </c>
      <c r="F1159" s="270"/>
      <c r="L1159" s="2"/>
      <c r="P1159"/>
      <c r="Q1159"/>
      <c r="R1159"/>
      <c r="S1159"/>
      <c r="T1159"/>
    </row>
    <row r="1160" spans="1:20" s="14" customFormat="1" x14ac:dyDescent="0.25">
      <c r="A1160" s="2" t="s">
        <v>4191</v>
      </c>
      <c r="B1160" s="491" t="s">
        <v>3179</v>
      </c>
      <c r="C1160" s="2" t="s">
        <v>572</v>
      </c>
      <c r="D1160" s="2">
        <v>4</v>
      </c>
      <c r="E1160" s="3" t="s">
        <v>1561</v>
      </c>
      <c r="F1160" s="270"/>
      <c r="L1160" s="2"/>
      <c r="P1160"/>
      <c r="Q1160"/>
      <c r="R1160"/>
      <c r="S1160"/>
      <c r="T1160"/>
    </row>
    <row r="1161" spans="1:20" s="14" customFormat="1" x14ac:dyDescent="0.25">
      <c r="A1161" s="2" t="s">
        <v>4193</v>
      </c>
      <c r="B1161" s="491" t="s">
        <v>3178</v>
      </c>
      <c r="C1161" s="2" t="s">
        <v>572</v>
      </c>
      <c r="D1161" s="2">
        <v>48</v>
      </c>
      <c r="E1161" s="3" t="s">
        <v>1561</v>
      </c>
      <c r="F1161" s="270"/>
      <c r="L1161" s="2"/>
      <c r="P1161"/>
      <c r="Q1161"/>
      <c r="R1161"/>
      <c r="S1161"/>
      <c r="T1161"/>
    </row>
    <row r="1162" spans="1:20" s="14" customFormat="1" x14ac:dyDescent="0.25">
      <c r="A1162" s="2" t="s">
        <v>571</v>
      </c>
      <c r="B1162" s="491" t="s">
        <v>3180</v>
      </c>
      <c r="C1162" s="2" t="s">
        <v>572</v>
      </c>
      <c r="D1162" s="2"/>
      <c r="E1162" s="3" t="s">
        <v>1561</v>
      </c>
      <c r="F1162" s="270"/>
      <c r="L1162" s="2"/>
      <c r="P1162"/>
      <c r="Q1162"/>
      <c r="R1162"/>
      <c r="S1162"/>
      <c r="T1162"/>
    </row>
    <row r="1163" spans="1:20" s="14" customFormat="1" x14ac:dyDescent="0.25">
      <c r="A1163" s="2" t="s">
        <v>574</v>
      </c>
      <c r="B1163" s="491" t="s">
        <v>3181</v>
      </c>
      <c r="C1163" s="2" t="s">
        <v>572</v>
      </c>
      <c r="D1163" s="2"/>
      <c r="E1163" s="3" t="s">
        <v>1562</v>
      </c>
      <c r="F1163" s="270"/>
      <c r="L1163" s="2"/>
      <c r="P1163"/>
      <c r="Q1163"/>
      <c r="R1163"/>
      <c r="S1163"/>
      <c r="T1163"/>
    </row>
    <row r="1164" spans="1:20" s="14" customFormat="1" x14ac:dyDescent="0.25">
      <c r="A1164" s="2" t="s">
        <v>575</v>
      </c>
      <c r="B1164" s="491" t="s">
        <v>3182</v>
      </c>
      <c r="C1164" s="2" t="s">
        <v>572</v>
      </c>
      <c r="D1164" s="2"/>
      <c r="E1164" s="3" t="s">
        <v>1562</v>
      </c>
      <c r="F1164" s="270"/>
      <c r="L1164" s="2"/>
      <c r="P1164"/>
      <c r="Q1164"/>
      <c r="R1164"/>
      <c r="S1164"/>
      <c r="T1164"/>
    </row>
    <row r="1165" spans="1:20" s="14" customFormat="1" x14ac:dyDescent="0.25">
      <c r="A1165" s="2" t="s">
        <v>576</v>
      </c>
      <c r="B1165" s="491" t="s">
        <v>3183</v>
      </c>
      <c r="C1165" s="2" t="s">
        <v>572</v>
      </c>
      <c r="D1165" s="2"/>
      <c r="E1165" s="3" t="s">
        <v>1562</v>
      </c>
      <c r="F1165" s="270"/>
      <c r="L1165" s="2"/>
      <c r="P1165"/>
      <c r="Q1165"/>
      <c r="R1165"/>
      <c r="S1165"/>
      <c r="T1165"/>
    </row>
    <row r="1166" spans="1:20" s="14" customFormat="1" x14ac:dyDescent="0.25">
      <c r="A1166" s="2" t="s">
        <v>577</v>
      </c>
      <c r="B1166" s="491" t="s">
        <v>3184</v>
      </c>
      <c r="C1166" s="2" t="s">
        <v>572</v>
      </c>
      <c r="D1166" s="2"/>
      <c r="E1166" s="3" t="s">
        <v>1562</v>
      </c>
      <c r="F1166" s="270"/>
      <c r="L1166" s="2"/>
      <c r="P1166"/>
      <c r="Q1166"/>
      <c r="R1166"/>
      <c r="S1166"/>
      <c r="T1166"/>
    </row>
    <row r="1167" spans="1:20" s="14" customFormat="1" x14ac:dyDescent="0.25">
      <c r="A1167" s="2" t="s">
        <v>578</v>
      </c>
      <c r="B1167" s="491" t="s">
        <v>3185</v>
      </c>
      <c r="C1167" s="2" t="s">
        <v>572</v>
      </c>
      <c r="D1167" s="2"/>
      <c r="E1167" s="3" t="s">
        <v>1562</v>
      </c>
      <c r="F1167" s="270"/>
      <c r="L1167" s="2"/>
      <c r="P1167"/>
      <c r="Q1167"/>
      <c r="R1167"/>
      <c r="S1167"/>
      <c r="T1167"/>
    </row>
    <row r="1168" spans="1:20" s="14" customFormat="1" x14ac:dyDescent="0.25">
      <c r="A1168" s="2" t="s">
        <v>579</v>
      </c>
      <c r="B1168" s="491" t="s">
        <v>3186</v>
      </c>
      <c r="C1168" s="2" t="s">
        <v>572</v>
      </c>
      <c r="D1168" s="2"/>
      <c r="E1168" s="3" t="s">
        <v>1562</v>
      </c>
      <c r="F1168" s="270"/>
      <c r="L1168" s="2"/>
      <c r="P1168"/>
      <c r="Q1168"/>
      <c r="R1168"/>
      <c r="S1168"/>
      <c r="T1168"/>
    </row>
    <row r="1169" spans="1:20" s="14" customFormat="1" x14ac:dyDescent="0.25">
      <c r="A1169" s="2" t="s">
        <v>580</v>
      </c>
      <c r="B1169" s="491" t="s">
        <v>3187</v>
      </c>
      <c r="C1169" s="2" t="s">
        <v>572</v>
      </c>
      <c r="D1169" s="2"/>
      <c r="E1169" s="3" t="s">
        <v>1562</v>
      </c>
      <c r="F1169" s="270"/>
      <c r="L1169" s="2"/>
      <c r="P1169"/>
      <c r="Q1169"/>
      <c r="R1169"/>
      <c r="S1169"/>
      <c r="T1169"/>
    </row>
    <row r="1170" spans="1:20" s="14" customFormat="1" x14ac:dyDescent="0.25">
      <c r="A1170" s="2" t="s">
        <v>581</v>
      </c>
      <c r="B1170" s="491" t="s">
        <v>3188</v>
      </c>
      <c r="C1170" s="2" t="s">
        <v>572</v>
      </c>
      <c r="D1170" s="2">
        <v>0</v>
      </c>
      <c r="E1170" s="3" t="s">
        <v>1570</v>
      </c>
      <c r="F1170" s="270"/>
      <c r="L1170" s="2"/>
      <c r="P1170"/>
      <c r="Q1170"/>
      <c r="R1170"/>
      <c r="S1170"/>
      <c r="T1170"/>
    </row>
    <row r="1171" spans="1:20" s="14" customFormat="1" x14ac:dyDescent="0.25">
      <c r="A1171" s="2" t="s">
        <v>582</v>
      </c>
      <c r="B1171" s="491" t="s">
        <v>3189</v>
      </c>
      <c r="C1171" s="2" t="s">
        <v>572</v>
      </c>
      <c r="D1171" s="2">
        <v>0</v>
      </c>
      <c r="E1171" s="3" t="s">
        <v>1570</v>
      </c>
      <c r="F1171" s="270"/>
      <c r="L1171" s="2"/>
      <c r="P1171"/>
      <c r="Q1171"/>
      <c r="R1171"/>
      <c r="S1171"/>
      <c r="T1171"/>
    </row>
    <row r="1172" spans="1:20" s="14" customFormat="1" x14ac:dyDescent="0.25">
      <c r="A1172" s="2" t="s">
        <v>583</v>
      </c>
      <c r="B1172" s="491" t="s">
        <v>3190</v>
      </c>
      <c r="C1172" s="2" t="s">
        <v>572</v>
      </c>
      <c r="D1172" s="2">
        <v>0</v>
      </c>
      <c r="E1172" s="3" t="s">
        <v>1570</v>
      </c>
      <c r="F1172" s="270"/>
      <c r="L1172" s="2"/>
      <c r="P1172"/>
      <c r="Q1172"/>
      <c r="R1172"/>
      <c r="S1172"/>
      <c r="T1172"/>
    </row>
    <row r="1173" spans="1:20" s="14" customFormat="1" x14ac:dyDescent="0.25">
      <c r="A1173" s="2" t="s">
        <v>584</v>
      </c>
      <c r="B1173" s="491" t="s">
        <v>3191</v>
      </c>
      <c r="C1173" s="2" t="s">
        <v>572</v>
      </c>
      <c r="D1173" s="2">
        <v>0</v>
      </c>
      <c r="E1173" s="3" t="s">
        <v>1570</v>
      </c>
      <c r="F1173" s="270"/>
      <c r="L1173" s="2"/>
      <c r="P1173"/>
      <c r="Q1173"/>
      <c r="R1173"/>
      <c r="S1173"/>
      <c r="T1173"/>
    </row>
    <row r="1174" spans="1:20" s="14" customFormat="1" x14ac:dyDescent="0.25">
      <c r="A1174" s="2" t="s">
        <v>585</v>
      </c>
      <c r="B1174" s="491" t="s">
        <v>3192</v>
      </c>
      <c r="C1174" s="2" t="s">
        <v>572</v>
      </c>
      <c r="D1174" s="2">
        <v>0</v>
      </c>
      <c r="E1174" s="3" t="s">
        <v>1570</v>
      </c>
      <c r="F1174" s="270"/>
      <c r="L1174" s="2"/>
      <c r="P1174"/>
      <c r="Q1174"/>
      <c r="R1174"/>
      <c r="S1174"/>
      <c r="T1174"/>
    </row>
    <row r="1175" spans="1:20" s="14" customFormat="1" x14ac:dyDescent="0.25">
      <c r="A1175" s="2" t="s">
        <v>586</v>
      </c>
      <c r="B1175" s="491" t="s">
        <v>3193</v>
      </c>
      <c r="C1175" s="2" t="s">
        <v>572</v>
      </c>
      <c r="D1175" s="2">
        <v>0</v>
      </c>
      <c r="E1175" s="3" t="s">
        <v>1570</v>
      </c>
      <c r="F1175" s="270"/>
      <c r="L1175" s="2"/>
      <c r="P1175"/>
      <c r="Q1175"/>
      <c r="R1175"/>
      <c r="S1175"/>
      <c r="T1175"/>
    </row>
    <row r="1176" spans="1:20" s="14" customFormat="1" x14ac:dyDescent="0.25">
      <c r="A1176" s="2" t="s">
        <v>587</v>
      </c>
      <c r="B1176" s="491" t="s">
        <v>3194</v>
      </c>
      <c r="C1176" s="2" t="s">
        <v>572</v>
      </c>
      <c r="D1176" s="2">
        <v>0</v>
      </c>
      <c r="E1176" s="3" t="s">
        <v>1570</v>
      </c>
      <c r="F1176" s="270"/>
      <c r="L1176" s="2"/>
      <c r="P1176"/>
      <c r="Q1176"/>
      <c r="R1176"/>
      <c r="S1176"/>
      <c r="T1176"/>
    </row>
    <row r="1177" spans="1:20" s="14" customFormat="1" ht="15" customHeight="1" x14ac:dyDescent="0.25">
      <c r="A1177" s="2" t="s">
        <v>588</v>
      </c>
      <c r="B1177" s="491" t="s">
        <v>3196</v>
      </c>
      <c r="C1177" s="2" t="s">
        <v>572</v>
      </c>
      <c r="D1177" s="2">
        <v>0</v>
      </c>
      <c r="E1177" s="3" t="s">
        <v>1570</v>
      </c>
      <c r="F1177" s="270"/>
      <c r="L1177" s="2"/>
      <c r="P1177"/>
      <c r="Q1177"/>
      <c r="R1177"/>
      <c r="S1177"/>
      <c r="T1177"/>
    </row>
    <row r="1178" spans="1:20" s="14" customFormat="1" x14ac:dyDescent="0.25">
      <c r="A1178" s="2" t="s">
        <v>589</v>
      </c>
      <c r="B1178" s="491" t="s">
        <v>3195</v>
      </c>
      <c r="C1178" s="2" t="s">
        <v>572</v>
      </c>
      <c r="D1178" s="2">
        <v>0</v>
      </c>
      <c r="E1178" s="3" t="s">
        <v>1570</v>
      </c>
      <c r="F1178" s="270"/>
      <c r="L1178" s="2"/>
      <c r="P1178"/>
      <c r="Q1178"/>
      <c r="R1178"/>
      <c r="S1178"/>
      <c r="T1178"/>
    </row>
    <row r="1179" spans="1:20" s="14" customFormat="1" x14ac:dyDescent="0.25">
      <c r="A1179" s="2" t="s">
        <v>590</v>
      </c>
      <c r="B1179" s="491" t="s">
        <v>3197</v>
      </c>
      <c r="C1179" s="2" t="s">
        <v>572</v>
      </c>
      <c r="D1179" s="2">
        <v>5</v>
      </c>
      <c r="E1179" s="3" t="s">
        <v>1570</v>
      </c>
      <c r="F1179" s="270"/>
      <c r="L1179" s="2"/>
      <c r="P1179"/>
      <c r="Q1179"/>
      <c r="R1179"/>
      <c r="S1179"/>
      <c r="T1179"/>
    </row>
    <row r="1180" spans="1:20" s="14" customFormat="1" x14ac:dyDescent="0.25">
      <c r="A1180" s="2" t="s">
        <v>591</v>
      </c>
      <c r="B1180" s="491" t="s">
        <v>3199</v>
      </c>
      <c r="C1180" s="2" t="s">
        <v>572</v>
      </c>
      <c r="D1180" s="2">
        <v>5</v>
      </c>
      <c r="E1180" s="3" t="s">
        <v>1570</v>
      </c>
      <c r="F1180" s="270"/>
      <c r="L1180" s="2"/>
      <c r="P1180"/>
      <c r="Q1180"/>
      <c r="R1180"/>
      <c r="S1180"/>
      <c r="T1180"/>
    </row>
    <row r="1181" spans="1:20" s="14" customFormat="1" x14ac:dyDescent="0.25">
      <c r="A1181" s="2" t="s">
        <v>592</v>
      </c>
      <c r="B1181" s="491" t="s">
        <v>3198</v>
      </c>
      <c r="C1181" s="2" t="s">
        <v>572</v>
      </c>
      <c r="D1181" s="2">
        <v>0</v>
      </c>
      <c r="E1181" s="3" t="s">
        <v>1570</v>
      </c>
      <c r="F1181" s="270"/>
      <c r="L1181" s="2"/>
      <c r="P1181"/>
      <c r="Q1181"/>
      <c r="R1181"/>
      <c r="S1181"/>
      <c r="T1181"/>
    </row>
    <row r="1182" spans="1:20" s="14" customFormat="1" x14ac:dyDescent="0.25">
      <c r="A1182" s="2" t="s">
        <v>593</v>
      </c>
      <c r="B1182" s="491" t="s">
        <v>596</v>
      </c>
      <c r="C1182" s="2" t="s">
        <v>572</v>
      </c>
      <c r="D1182" s="2">
        <v>0</v>
      </c>
      <c r="E1182" s="3" t="s">
        <v>1570</v>
      </c>
      <c r="F1182" s="270"/>
      <c r="L1182" s="2"/>
      <c r="P1182"/>
      <c r="Q1182"/>
      <c r="R1182"/>
      <c r="S1182"/>
      <c r="T1182"/>
    </row>
    <row r="1183" spans="1:20" s="14" customFormat="1" x14ac:dyDescent="0.25">
      <c r="A1183" s="2" t="s">
        <v>594</v>
      </c>
      <c r="B1183" s="491" t="s">
        <v>598</v>
      </c>
      <c r="C1183" s="2" t="s">
        <v>572</v>
      </c>
      <c r="D1183" s="2">
        <v>0</v>
      </c>
      <c r="E1183" s="3" t="s">
        <v>1570</v>
      </c>
      <c r="F1183" s="270"/>
      <c r="L1183" s="2"/>
      <c r="P1183"/>
      <c r="Q1183"/>
      <c r="R1183"/>
      <c r="S1183"/>
      <c r="T1183"/>
    </row>
    <row r="1184" spans="1:20" s="14" customFormat="1" x14ac:dyDescent="0.25">
      <c r="A1184" s="2" t="s">
        <v>595</v>
      </c>
      <c r="B1184" s="491" t="s">
        <v>600</v>
      </c>
      <c r="C1184" s="2" t="s">
        <v>572</v>
      </c>
      <c r="D1184" s="2">
        <v>0</v>
      </c>
      <c r="E1184" s="3" t="s">
        <v>1570</v>
      </c>
      <c r="F1184" s="270"/>
      <c r="L1184" s="2"/>
      <c r="P1184"/>
      <c r="Q1184"/>
      <c r="R1184"/>
      <c r="S1184"/>
      <c r="T1184"/>
    </row>
    <row r="1185" spans="1:20" s="14" customFormat="1" x14ac:dyDescent="0.25">
      <c r="A1185" s="2" t="s">
        <v>597</v>
      </c>
      <c r="B1185" s="491" t="s">
        <v>602</v>
      </c>
      <c r="C1185" s="2" t="s">
        <v>572</v>
      </c>
      <c r="D1185" s="2">
        <v>0</v>
      </c>
      <c r="E1185" s="3" t="s">
        <v>1570</v>
      </c>
      <c r="F1185" s="270"/>
      <c r="L1185" s="2"/>
      <c r="P1185"/>
      <c r="Q1185"/>
      <c r="R1185"/>
      <c r="S1185"/>
      <c r="T1185"/>
    </row>
    <row r="1186" spans="1:20" s="14" customFormat="1" x14ac:dyDescent="0.25">
      <c r="A1186" s="2" t="s">
        <v>599</v>
      </c>
      <c r="B1186" s="491" t="s">
        <v>604</v>
      </c>
      <c r="C1186" s="2" t="s">
        <v>572</v>
      </c>
      <c r="D1186" s="2">
        <v>0</v>
      </c>
      <c r="E1186" s="3" t="s">
        <v>1570</v>
      </c>
      <c r="F1186" s="270"/>
      <c r="L1186" s="2"/>
      <c r="P1186"/>
      <c r="Q1186"/>
      <c r="R1186"/>
      <c r="S1186"/>
      <c r="T1186"/>
    </row>
    <row r="1187" spans="1:20" s="14" customFormat="1" x14ac:dyDescent="0.25">
      <c r="A1187" s="2" t="s">
        <v>601</v>
      </c>
      <c r="B1187" s="491" t="s">
        <v>604</v>
      </c>
      <c r="C1187" s="2" t="s">
        <v>572</v>
      </c>
      <c r="D1187" s="2">
        <v>0</v>
      </c>
      <c r="E1187" s="3" t="s">
        <v>1570</v>
      </c>
      <c r="F1187" s="270"/>
      <c r="L1187" s="2"/>
      <c r="P1187"/>
      <c r="Q1187"/>
      <c r="R1187"/>
      <c r="S1187"/>
      <c r="T1187"/>
    </row>
    <row r="1188" spans="1:20" s="14" customFormat="1" x14ac:dyDescent="0.25">
      <c r="A1188" s="2" t="s">
        <v>603</v>
      </c>
      <c r="B1188" s="491" t="s">
        <v>607</v>
      </c>
      <c r="C1188" s="2" t="s">
        <v>572</v>
      </c>
      <c r="D1188" s="2">
        <v>0</v>
      </c>
      <c r="E1188" s="3" t="s">
        <v>1570</v>
      </c>
      <c r="F1188" s="270"/>
      <c r="L1188" s="2"/>
      <c r="P1188"/>
      <c r="Q1188"/>
      <c r="R1188"/>
      <c r="S1188"/>
      <c r="T1188"/>
    </row>
    <row r="1189" spans="1:20" s="14" customFormat="1" x14ac:dyDescent="0.25">
      <c r="A1189" s="2" t="s">
        <v>605</v>
      </c>
      <c r="B1189" s="491" t="s">
        <v>609</v>
      </c>
      <c r="C1189" s="2" t="s">
        <v>572</v>
      </c>
      <c r="D1189" s="2">
        <v>0</v>
      </c>
      <c r="E1189" s="3" t="s">
        <v>1570</v>
      </c>
      <c r="F1189" s="270"/>
      <c r="L1189" s="2"/>
      <c r="P1189"/>
      <c r="Q1189"/>
      <c r="R1189"/>
      <c r="S1189"/>
      <c r="T1189"/>
    </row>
    <row r="1190" spans="1:20" s="14" customFormat="1" x14ac:dyDescent="0.25">
      <c r="A1190" s="2" t="s">
        <v>606</v>
      </c>
      <c r="B1190" s="491" t="s">
        <v>611</v>
      </c>
      <c r="C1190" s="2" t="s">
        <v>572</v>
      </c>
      <c r="D1190" s="2">
        <v>0</v>
      </c>
      <c r="E1190" s="3" t="s">
        <v>1570</v>
      </c>
      <c r="F1190" s="270"/>
      <c r="L1190" s="2"/>
      <c r="P1190"/>
      <c r="Q1190"/>
      <c r="R1190"/>
      <c r="S1190"/>
      <c r="T1190"/>
    </row>
    <row r="1191" spans="1:20" s="14" customFormat="1" x14ac:dyDescent="0.25">
      <c r="A1191" s="2" t="s">
        <v>608</v>
      </c>
      <c r="B1191" s="491" t="s">
        <v>613</v>
      </c>
      <c r="C1191" s="2" t="s">
        <v>572</v>
      </c>
      <c r="D1191" s="2">
        <v>0</v>
      </c>
      <c r="E1191" s="3" t="s">
        <v>1570</v>
      </c>
      <c r="F1191" s="270"/>
      <c r="L1191" s="2"/>
      <c r="P1191"/>
      <c r="Q1191"/>
      <c r="R1191"/>
      <c r="S1191"/>
      <c r="T1191"/>
    </row>
    <row r="1192" spans="1:20" s="14" customFormat="1" x14ac:dyDescent="0.25">
      <c r="A1192" s="2" t="s">
        <v>610</v>
      </c>
      <c r="B1192" s="491" t="s">
        <v>615</v>
      </c>
      <c r="C1192" s="2" t="s">
        <v>572</v>
      </c>
      <c r="D1192" s="2">
        <v>0</v>
      </c>
      <c r="E1192" s="3" t="s">
        <v>1570</v>
      </c>
      <c r="F1192" s="270"/>
      <c r="L1192" s="2"/>
      <c r="P1192"/>
      <c r="Q1192"/>
      <c r="R1192"/>
      <c r="S1192"/>
      <c r="T1192"/>
    </row>
    <row r="1193" spans="1:20" s="14" customFormat="1" x14ac:dyDescent="0.25">
      <c r="A1193" s="2" t="s">
        <v>612</v>
      </c>
      <c r="B1193" s="491" t="s">
        <v>617</v>
      </c>
      <c r="C1193" s="2" t="s">
        <v>572</v>
      </c>
      <c r="D1193" s="2">
        <v>0</v>
      </c>
      <c r="E1193" s="3" t="s">
        <v>1570</v>
      </c>
      <c r="F1193" s="270"/>
      <c r="L1193" s="2"/>
      <c r="P1193"/>
      <c r="Q1193"/>
      <c r="R1193"/>
      <c r="S1193"/>
      <c r="T1193"/>
    </row>
    <row r="1194" spans="1:20" s="14" customFormat="1" x14ac:dyDescent="0.25">
      <c r="A1194" s="2" t="s">
        <v>614</v>
      </c>
      <c r="B1194" s="491" t="s">
        <v>619</v>
      </c>
      <c r="C1194" s="2" t="s">
        <v>572</v>
      </c>
      <c r="D1194" s="2">
        <v>0</v>
      </c>
      <c r="E1194" s="3" t="s">
        <v>1570</v>
      </c>
      <c r="F1194" s="270"/>
      <c r="L1194" s="2"/>
      <c r="P1194"/>
      <c r="Q1194"/>
      <c r="R1194"/>
      <c r="S1194"/>
      <c r="T1194"/>
    </row>
    <row r="1195" spans="1:20" s="14" customFormat="1" x14ac:dyDescent="0.25">
      <c r="A1195" s="2" t="s">
        <v>616</v>
      </c>
      <c r="B1195" s="491" t="s">
        <v>621</v>
      </c>
      <c r="C1195" s="2" t="s">
        <v>572</v>
      </c>
      <c r="D1195" s="2">
        <v>0</v>
      </c>
      <c r="E1195" s="3" t="s">
        <v>1570</v>
      </c>
      <c r="F1195" s="270"/>
      <c r="L1195" s="2"/>
      <c r="P1195"/>
      <c r="Q1195"/>
      <c r="R1195"/>
      <c r="S1195"/>
      <c r="T1195"/>
    </row>
    <row r="1196" spans="1:20" s="14" customFormat="1" x14ac:dyDescent="0.25">
      <c r="A1196" s="2" t="s">
        <v>618</v>
      </c>
      <c r="B1196" s="491" t="s">
        <v>623</v>
      </c>
      <c r="C1196" s="2" t="s">
        <v>572</v>
      </c>
      <c r="D1196" s="2">
        <v>0</v>
      </c>
      <c r="E1196" s="3" t="s">
        <v>1570</v>
      </c>
      <c r="F1196" s="270"/>
      <c r="L1196" s="2"/>
      <c r="P1196"/>
      <c r="Q1196"/>
      <c r="R1196"/>
      <c r="S1196"/>
      <c r="T1196"/>
    </row>
    <row r="1197" spans="1:20" s="14" customFormat="1" x14ac:dyDescent="0.25">
      <c r="A1197" s="2" t="s">
        <v>620</v>
      </c>
      <c r="B1197" s="491" t="s">
        <v>625</v>
      </c>
      <c r="C1197" s="2" t="s">
        <v>572</v>
      </c>
      <c r="D1197" s="2">
        <v>0</v>
      </c>
      <c r="E1197" s="3" t="s">
        <v>1570</v>
      </c>
      <c r="F1197" s="270"/>
      <c r="L1197" s="2"/>
      <c r="P1197"/>
      <c r="Q1197"/>
      <c r="R1197"/>
      <c r="S1197"/>
      <c r="T1197"/>
    </row>
    <row r="1198" spans="1:20" s="14" customFormat="1" x14ac:dyDescent="0.25">
      <c r="A1198" s="2" t="s">
        <v>622</v>
      </c>
      <c r="B1198" s="491" t="s">
        <v>627</v>
      </c>
      <c r="C1198" s="2" t="s">
        <v>572</v>
      </c>
      <c r="D1198" s="2">
        <v>0</v>
      </c>
      <c r="E1198" s="3" t="s">
        <v>1570</v>
      </c>
      <c r="F1198" s="270"/>
      <c r="L1198" s="2"/>
      <c r="P1198"/>
      <c r="Q1198"/>
      <c r="R1198"/>
      <c r="S1198"/>
      <c r="T1198"/>
    </row>
    <row r="1199" spans="1:20" s="14" customFormat="1" x14ac:dyDescent="0.25">
      <c r="A1199" s="2" t="s">
        <v>624</v>
      </c>
      <c r="B1199" s="491" t="s">
        <v>629</v>
      </c>
      <c r="C1199" s="2" t="s">
        <v>572</v>
      </c>
      <c r="D1199" s="2">
        <v>0</v>
      </c>
      <c r="E1199" s="3" t="s">
        <v>1570</v>
      </c>
      <c r="F1199" s="270"/>
      <c r="L1199" s="2"/>
      <c r="P1199"/>
      <c r="Q1199"/>
      <c r="R1199"/>
      <c r="S1199"/>
      <c r="T1199"/>
    </row>
    <row r="1200" spans="1:20" s="14" customFormat="1" x14ac:dyDescent="0.25">
      <c r="A1200" s="2" t="s">
        <v>626</v>
      </c>
      <c r="B1200" s="491" t="s">
        <v>631</v>
      </c>
      <c r="C1200" s="2" t="s">
        <v>572</v>
      </c>
      <c r="D1200" s="2">
        <v>0</v>
      </c>
      <c r="E1200" s="3" t="s">
        <v>1570</v>
      </c>
      <c r="F1200" s="270"/>
      <c r="L1200" s="2"/>
      <c r="P1200"/>
      <c r="Q1200"/>
      <c r="R1200"/>
      <c r="S1200"/>
      <c r="T1200"/>
    </row>
    <row r="1201" spans="1:20" s="14" customFormat="1" x14ac:dyDescent="0.25">
      <c r="A1201" s="2" t="s">
        <v>628</v>
      </c>
      <c r="B1201" s="491" t="s">
        <v>633</v>
      </c>
      <c r="C1201" s="2" t="s">
        <v>572</v>
      </c>
      <c r="D1201" s="2">
        <v>0</v>
      </c>
      <c r="E1201" s="3" t="s">
        <v>1570</v>
      </c>
      <c r="F1201" s="270"/>
      <c r="L1201" s="2"/>
      <c r="P1201"/>
      <c r="Q1201"/>
      <c r="R1201"/>
      <c r="S1201"/>
      <c r="T1201"/>
    </row>
    <row r="1202" spans="1:20" s="14" customFormat="1" x14ac:dyDescent="0.25">
      <c r="A1202" s="2" t="s">
        <v>630</v>
      </c>
      <c r="B1202" s="491" t="s">
        <v>635</v>
      </c>
      <c r="C1202" s="2" t="s">
        <v>572</v>
      </c>
      <c r="D1202" s="2">
        <v>0</v>
      </c>
      <c r="E1202" s="3" t="s">
        <v>1570</v>
      </c>
      <c r="F1202" s="270"/>
      <c r="L1202" s="2"/>
      <c r="P1202"/>
      <c r="Q1202"/>
      <c r="R1202"/>
      <c r="S1202"/>
      <c r="T1202"/>
    </row>
    <row r="1203" spans="1:20" s="14" customFormat="1" x14ac:dyDescent="0.25">
      <c r="A1203" s="2" t="s">
        <v>632</v>
      </c>
      <c r="B1203" s="491" t="s">
        <v>637</v>
      </c>
      <c r="C1203" s="2" t="s">
        <v>572</v>
      </c>
      <c r="D1203" s="2">
        <v>0</v>
      </c>
      <c r="E1203" s="3" t="s">
        <v>1570</v>
      </c>
      <c r="F1203" s="270"/>
      <c r="L1203" s="2"/>
      <c r="P1203"/>
      <c r="Q1203"/>
      <c r="R1203"/>
      <c r="S1203"/>
      <c r="T1203"/>
    </row>
    <row r="1204" spans="1:20" s="14" customFormat="1" x14ac:dyDescent="0.25">
      <c r="A1204" s="2" t="s">
        <v>634</v>
      </c>
      <c r="B1204" s="491" t="s">
        <v>639</v>
      </c>
      <c r="C1204" s="2" t="s">
        <v>572</v>
      </c>
      <c r="D1204" s="2">
        <v>0</v>
      </c>
      <c r="E1204" s="3" t="s">
        <v>1570</v>
      </c>
      <c r="F1204" s="270"/>
      <c r="L1204" s="2"/>
      <c r="P1204"/>
      <c r="Q1204"/>
      <c r="R1204"/>
      <c r="S1204"/>
      <c r="T1204"/>
    </row>
    <row r="1205" spans="1:20" s="14" customFormat="1" x14ac:dyDescent="0.25">
      <c r="A1205" s="2" t="s">
        <v>636</v>
      </c>
      <c r="B1205" s="491" t="s">
        <v>641</v>
      </c>
      <c r="C1205" s="2" t="s">
        <v>572</v>
      </c>
      <c r="D1205" s="2">
        <v>0</v>
      </c>
      <c r="E1205" s="3" t="s">
        <v>1570</v>
      </c>
      <c r="F1205" s="270"/>
      <c r="L1205" s="2"/>
      <c r="P1205"/>
      <c r="Q1205"/>
      <c r="R1205"/>
      <c r="S1205"/>
      <c r="T1205"/>
    </row>
    <row r="1206" spans="1:20" s="14" customFormat="1" x14ac:dyDescent="0.25">
      <c r="A1206" s="2" t="s">
        <v>638</v>
      </c>
      <c r="B1206" s="491" t="s">
        <v>643</v>
      </c>
      <c r="C1206" s="2" t="s">
        <v>572</v>
      </c>
      <c r="D1206" s="2">
        <v>0</v>
      </c>
      <c r="E1206" s="3" t="s">
        <v>1570</v>
      </c>
      <c r="F1206" s="270"/>
      <c r="L1206" s="2"/>
      <c r="P1206"/>
      <c r="Q1206"/>
      <c r="R1206"/>
      <c r="S1206"/>
      <c r="T1206"/>
    </row>
    <row r="1207" spans="1:20" s="14" customFormat="1" x14ac:dyDescent="0.25">
      <c r="A1207" s="2" t="s">
        <v>640</v>
      </c>
      <c r="B1207" s="491" t="s">
        <v>645</v>
      </c>
      <c r="C1207" s="2" t="s">
        <v>572</v>
      </c>
      <c r="D1207" s="2">
        <v>0</v>
      </c>
      <c r="E1207" s="3" t="s">
        <v>1570</v>
      </c>
      <c r="F1207" s="270"/>
      <c r="L1207" s="2"/>
      <c r="P1207"/>
      <c r="Q1207"/>
      <c r="R1207"/>
      <c r="S1207"/>
      <c r="T1207"/>
    </row>
    <row r="1208" spans="1:20" s="14" customFormat="1" x14ac:dyDescent="0.25">
      <c r="A1208" s="2" t="s">
        <v>642</v>
      </c>
      <c r="B1208" s="491" t="s">
        <v>647</v>
      </c>
      <c r="C1208" s="2" t="s">
        <v>572</v>
      </c>
      <c r="D1208" s="2">
        <v>0</v>
      </c>
      <c r="E1208" s="3" t="s">
        <v>1570</v>
      </c>
      <c r="F1208" s="270"/>
      <c r="L1208" s="2"/>
      <c r="P1208"/>
      <c r="Q1208"/>
      <c r="R1208"/>
      <c r="S1208"/>
      <c r="T1208"/>
    </row>
    <row r="1209" spans="1:20" s="14" customFormat="1" x14ac:dyDescent="0.25">
      <c r="A1209" s="2" t="s">
        <v>644</v>
      </c>
      <c r="B1209" s="491" t="s">
        <v>649</v>
      </c>
      <c r="C1209" s="2" t="s">
        <v>572</v>
      </c>
      <c r="D1209" s="2">
        <v>0</v>
      </c>
      <c r="E1209" s="3" t="s">
        <v>1570</v>
      </c>
      <c r="F1209" s="270"/>
      <c r="L1209" s="2"/>
      <c r="P1209"/>
      <c r="Q1209"/>
      <c r="R1209"/>
      <c r="S1209"/>
      <c r="T1209"/>
    </row>
    <row r="1210" spans="1:20" s="14" customFormat="1" x14ac:dyDescent="0.25">
      <c r="A1210" s="2" t="s">
        <v>646</v>
      </c>
      <c r="B1210" s="491" t="s">
        <v>651</v>
      </c>
      <c r="C1210" s="2" t="s">
        <v>572</v>
      </c>
      <c r="D1210" s="2">
        <v>0</v>
      </c>
      <c r="E1210" s="3" t="s">
        <v>1570</v>
      </c>
      <c r="F1210" s="270"/>
      <c r="L1210" s="2"/>
      <c r="P1210"/>
      <c r="Q1210"/>
      <c r="R1210"/>
      <c r="S1210"/>
      <c r="T1210"/>
    </row>
    <row r="1211" spans="1:20" s="14" customFormat="1" x14ac:dyDescent="0.25">
      <c r="A1211" s="2" t="s">
        <v>648</v>
      </c>
      <c r="B1211" s="491" t="s">
        <v>653</v>
      </c>
      <c r="C1211" s="2" t="s">
        <v>572</v>
      </c>
      <c r="D1211" s="2">
        <v>0</v>
      </c>
      <c r="E1211" s="3" t="s">
        <v>1570</v>
      </c>
      <c r="F1211" s="270"/>
      <c r="L1211" s="2"/>
      <c r="P1211"/>
      <c r="Q1211"/>
      <c r="R1211"/>
      <c r="S1211"/>
      <c r="T1211"/>
    </row>
    <row r="1212" spans="1:20" s="14" customFormat="1" x14ac:dyDescent="0.25">
      <c r="A1212" s="2" t="s">
        <v>650</v>
      </c>
      <c r="B1212" s="491" t="s">
        <v>655</v>
      </c>
      <c r="C1212" s="2" t="s">
        <v>572</v>
      </c>
      <c r="D1212" s="2">
        <v>0</v>
      </c>
      <c r="E1212" s="3" t="s">
        <v>1570</v>
      </c>
      <c r="F1212" s="270"/>
      <c r="L1212" s="2"/>
      <c r="P1212"/>
      <c r="Q1212"/>
      <c r="R1212"/>
      <c r="S1212"/>
      <c r="T1212"/>
    </row>
    <row r="1213" spans="1:20" s="14" customFormat="1" x14ac:dyDescent="0.25">
      <c r="A1213" s="2" t="s">
        <v>652</v>
      </c>
      <c r="B1213" s="491" t="s">
        <v>657</v>
      </c>
      <c r="C1213" s="2" t="s">
        <v>572</v>
      </c>
      <c r="D1213" s="2">
        <v>0</v>
      </c>
      <c r="E1213" s="3" t="s">
        <v>1570</v>
      </c>
      <c r="F1213" s="270"/>
      <c r="L1213" s="2"/>
      <c r="P1213"/>
      <c r="Q1213"/>
      <c r="R1213"/>
      <c r="S1213"/>
      <c r="T1213"/>
    </row>
    <row r="1214" spans="1:20" s="14" customFormat="1" x14ac:dyDescent="0.25">
      <c r="A1214" s="2" t="s">
        <v>654</v>
      </c>
      <c r="B1214" s="491" t="s">
        <v>659</v>
      </c>
      <c r="C1214" s="2" t="s">
        <v>572</v>
      </c>
      <c r="D1214" s="2">
        <v>0</v>
      </c>
      <c r="E1214" s="3" t="s">
        <v>1570</v>
      </c>
      <c r="F1214" s="270"/>
      <c r="L1214" s="2"/>
      <c r="P1214"/>
      <c r="Q1214"/>
      <c r="R1214"/>
      <c r="S1214"/>
      <c r="T1214"/>
    </row>
    <row r="1215" spans="1:20" s="14" customFormat="1" x14ac:dyDescent="0.25">
      <c r="A1215" s="2" t="s">
        <v>656</v>
      </c>
      <c r="B1215" s="491" t="s">
        <v>1973</v>
      </c>
      <c r="C1215" s="2" t="s">
        <v>794</v>
      </c>
      <c r="D1215" s="2">
        <v>170</v>
      </c>
      <c r="E1215" s="3" t="s">
        <v>1570</v>
      </c>
      <c r="F1215" s="270"/>
      <c r="L1215" s="2"/>
      <c r="P1215"/>
      <c r="Q1215"/>
      <c r="R1215"/>
      <c r="S1215"/>
      <c r="T1215"/>
    </row>
    <row r="1216" spans="1:20" s="14" customFormat="1" x14ac:dyDescent="0.25">
      <c r="A1216" s="2" t="s">
        <v>658</v>
      </c>
      <c r="B1216" s="491" t="s">
        <v>1974</v>
      </c>
      <c r="C1216" s="2" t="s">
        <v>794</v>
      </c>
      <c r="D1216" s="2">
        <v>31</v>
      </c>
      <c r="E1216" s="3" t="s">
        <v>1570</v>
      </c>
      <c r="F1216" s="270"/>
      <c r="L1216" s="2"/>
      <c r="P1216"/>
      <c r="Q1216"/>
      <c r="R1216"/>
      <c r="S1216"/>
      <c r="T1216"/>
    </row>
    <row r="1217" spans="1:20" s="14" customFormat="1" x14ac:dyDescent="0.25">
      <c r="A1217" s="2" t="s">
        <v>792</v>
      </c>
      <c r="B1217" s="491" t="s">
        <v>1928</v>
      </c>
      <c r="C1217" s="2" t="s">
        <v>794</v>
      </c>
      <c r="D1217" s="2">
        <v>35</v>
      </c>
      <c r="E1217" s="3" t="s">
        <v>1570</v>
      </c>
      <c r="F1217" s="270"/>
      <c r="L1217" s="2"/>
      <c r="P1217"/>
      <c r="Q1217"/>
      <c r="R1217"/>
      <c r="S1217"/>
      <c r="T1217"/>
    </row>
    <row r="1218" spans="1:20" s="14" customFormat="1" x14ac:dyDescent="0.25">
      <c r="A1218" s="2" t="s">
        <v>798</v>
      </c>
      <c r="B1218" s="491" t="s">
        <v>1975</v>
      </c>
      <c r="C1218" s="2" t="s">
        <v>1976</v>
      </c>
      <c r="D1218" s="2">
        <v>30</v>
      </c>
      <c r="E1218" s="3" t="s">
        <v>1570</v>
      </c>
      <c r="F1218" s="270"/>
      <c r="L1218" s="2"/>
      <c r="P1218"/>
      <c r="Q1218"/>
      <c r="R1218"/>
      <c r="S1218"/>
      <c r="T1218"/>
    </row>
    <row r="1219" spans="1:20" s="14" customFormat="1" x14ac:dyDescent="0.25">
      <c r="A1219" s="2" t="s">
        <v>799</v>
      </c>
      <c r="B1219" s="491" t="s">
        <v>1926</v>
      </c>
      <c r="C1219" s="2" t="s">
        <v>802</v>
      </c>
      <c r="D1219" s="2">
        <v>31</v>
      </c>
      <c r="E1219" s="3" t="s">
        <v>1570</v>
      </c>
      <c r="F1219" s="270"/>
      <c r="L1219" s="2"/>
      <c r="P1219"/>
      <c r="Q1219"/>
      <c r="R1219"/>
      <c r="S1219"/>
      <c r="T1219"/>
    </row>
    <row r="1220" spans="1:20" s="14" customFormat="1" x14ac:dyDescent="0.25">
      <c r="A1220" s="2" t="s">
        <v>800</v>
      </c>
      <c r="B1220" s="491" t="s">
        <v>1927</v>
      </c>
      <c r="C1220" s="2" t="s">
        <v>802</v>
      </c>
      <c r="D1220" s="2">
        <v>10</v>
      </c>
      <c r="E1220" s="3" t="s">
        <v>1570</v>
      </c>
      <c r="F1220" s="270"/>
      <c r="L1220" s="2"/>
      <c r="P1220"/>
      <c r="Q1220"/>
      <c r="R1220"/>
      <c r="S1220"/>
      <c r="T1220"/>
    </row>
    <row r="1221" spans="1:20" s="14" customFormat="1" x14ac:dyDescent="0.25">
      <c r="A1221" s="2" t="s">
        <v>801</v>
      </c>
      <c r="B1221" s="491" t="s">
        <v>806</v>
      </c>
      <c r="C1221" s="2" t="s">
        <v>807</v>
      </c>
      <c r="D1221" s="2">
        <v>0</v>
      </c>
      <c r="E1221" s="3" t="s">
        <v>1570</v>
      </c>
      <c r="F1221" s="270"/>
      <c r="L1221" s="2"/>
      <c r="P1221"/>
      <c r="Q1221"/>
      <c r="R1221"/>
      <c r="S1221"/>
      <c r="T1221"/>
    </row>
    <row r="1222" spans="1:20" s="14" customFormat="1" x14ac:dyDescent="0.25">
      <c r="A1222" s="2" t="s">
        <v>803</v>
      </c>
      <c r="B1222" s="491" t="s">
        <v>809</v>
      </c>
      <c r="C1222" s="2" t="s">
        <v>807</v>
      </c>
      <c r="D1222" s="2">
        <v>0</v>
      </c>
      <c r="E1222" s="3" t="s">
        <v>1570</v>
      </c>
      <c r="F1222" s="270"/>
      <c r="L1222" s="2"/>
      <c r="P1222"/>
      <c r="Q1222"/>
      <c r="R1222"/>
      <c r="S1222"/>
      <c r="T1222"/>
    </row>
    <row r="1223" spans="1:20" s="14" customFormat="1" x14ac:dyDescent="0.25">
      <c r="A1223" s="2" t="s">
        <v>805</v>
      </c>
      <c r="B1223" s="491" t="s">
        <v>811</v>
      </c>
      <c r="C1223" s="2" t="s">
        <v>807</v>
      </c>
      <c r="D1223" s="2">
        <v>0</v>
      </c>
      <c r="E1223" s="3" t="s">
        <v>1570</v>
      </c>
      <c r="F1223" s="270"/>
      <c r="L1223" s="2"/>
      <c r="P1223"/>
      <c r="Q1223"/>
      <c r="R1223"/>
      <c r="S1223"/>
      <c r="T1223"/>
    </row>
    <row r="1224" spans="1:20" s="14" customFormat="1" x14ac:dyDescent="0.25">
      <c r="A1224" s="2" t="s">
        <v>808</v>
      </c>
      <c r="B1224" s="491" t="s">
        <v>813</v>
      </c>
      <c r="C1224" s="2" t="s">
        <v>807</v>
      </c>
      <c r="D1224" s="2">
        <v>0</v>
      </c>
      <c r="E1224" s="3" t="s">
        <v>1570</v>
      </c>
      <c r="F1224" s="270"/>
      <c r="L1224" s="2"/>
      <c r="P1224"/>
      <c r="Q1224"/>
      <c r="R1224"/>
      <c r="S1224"/>
      <c r="T1224"/>
    </row>
    <row r="1225" spans="1:20" s="14" customFormat="1" x14ac:dyDescent="0.25">
      <c r="A1225" s="2" t="s">
        <v>810</v>
      </c>
      <c r="B1225" s="491" t="s">
        <v>815</v>
      </c>
      <c r="C1225" s="2" t="s">
        <v>807</v>
      </c>
      <c r="D1225" s="2">
        <v>31</v>
      </c>
      <c r="E1225" s="3" t="s">
        <v>793</v>
      </c>
      <c r="F1225" s="270"/>
      <c r="G1225" s="14">
        <v>12</v>
      </c>
      <c r="H1225" s="14">
        <v>18</v>
      </c>
      <c r="I1225" s="14">
        <v>22</v>
      </c>
      <c r="L1225" s="2"/>
      <c r="M1225" s="14">
        <v>3</v>
      </c>
      <c r="P1225"/>
      <c r="Q1225"/>
      <c r="R1225"/>
      <c r="S1225"/>
      <c r="T1225"/>
    </row>
    <row r="1226" spans="1:20" s="14" customFormat="1" x14ac:dyDescent="0.25">
      <c r="A1226" s="2" t="s">
        <v>812</v>
      </c>
      <c r="B1226" s="491" t="s">
        <v>817</v>
      </c>
      <c r="C1226" s="2" t="s">
        <v>807</v>
      </c>
      <c r="D1226" s="2">
        <v>40</v>
      </c>
      <c r="E1226" s="3" t="s">
        <v>793</v>
      </c>
      <c r="F1226" s="270"/>
      <c r="G1226" s="14">
        <v>0</v>
      </c>
      <c r="H1226" s="14">
        <v>8</v>
      </c>
      <c r="I1226" s="14">
        <v>2</v>
      </c>
      <c r="L1226" s="2"/>
      <c r="M1226" s="14">
        <v>1</v>
      </c>
      <c r="P1226"/>
      <c r="Q1226"/>
      <c r="R1226"/>
      <c r="S1226"/>
      <c r="T1226"/>
    </row>
    <row r="1227" spans="1:20" s="14" customFormat="1" x14ac:dyDescent="0.25">
      <c r="A1227" s="2" t="s">
        <v>814</v>
      </c>
      <c r="B1227" s="491" t="s">
        <v>819</v>
      </c>
      <c r="C1227" s="2" t="s">
        <v>807</v>
      </c>
      <c r="D1227" s="2">
        <v>16</v>
      </c>
      <c r="E1227" s="3" t="s">
        <v>793</v>
      </c>
      <c r="F1227" s="270"/>
      <c r="G1227" s="14">
        <v>0</v>
      </c>
      <c r="H1227" s="14">
        <v>15</v>
      </c>
      <c r="I1227" s="14">
        <v>7</v>
      </c>
      <c r="L1227" s="2"/>
      <c r="M1227" s="14">
        <v>5</v>
      </c>
      <c r="P1227"/>
      <c r="Q1227"/>
      <c r="R1227"/>
      <c r="S1227"/>
      <c r="T1227"/>
    </row>
    <row r="1228" spans="1:20" s="14" customFormat="1" x14ac:dyDescent="0.25">
      <c r="A1228" s="2" t="s">
        <v>816</v>
      </c>
      <c r="B1228" s="491" t="s">
        <v>821</v>
      </c>
      <c r="C1228" s="2" t="s">
        <v>807</v>
      </c>
      <c r="D1228" s="2">
        <v>14</v>
      </c>
      <c r="E1228" s="3" t="s">
        <v>793</v>
      </c>
      <c r="F1228" s="270"/>
      <c r="G1228" s="14">
        <v>2</v>
      </c>
      <c r="H1228" s="14">
        <v>5</v>
      </c>
      <c r="I1228" s="14">
        <v>9</v>
      </c>
      <c r="L1228" s="2"/>
      <c r="M1228" s="14">
        <v>5</v>
      </c>
      <c r="P1228"/>
      <c r="Q1228"/>
      <c r="R1228"/>
      <c r="S1228"/>
      <c r="T1228"/>
    </row>
    <row r="1229" spans="1:20" s="14" customFormat="1" x14ac:dyDescent="0.25">
      <c r="A1229" s="2" t="s">
        <v>818</v>
      </c>
      <c r="B1229" s="491" t="s">
        <v>823</v>
      </c>
      <c r="C1229" s="2" t="s">
        <v>807</v>
      </c>
      <c r="D1229" s="2">
        <v>5</v>
      </c>
      <c r="E1229" s="3" t="s">
        <v>793</v>
      </c>
      <c r="F1229" s="270"/>
      <c r="H1229" s="14">
        <v>19</v>
      </c>
      <c r="I1229" s="14">
        <v>5</v>
      </c>
      <c r="J1229" s="14">
        <v>0</v>
      </c>
      <c r="L1229" s="2"/>
      <c r="M1229" s="14">
        <v>1</v>
      </c>
      <c r="P1229"/>
      <c r="Q1229"/>
      <c r="R1229"/>
      <c r="S1229"/>
      <c r="T1229"/>
    </row>
    <row r="1230" spans="1:20" s="14" customFormat="1" x14ac:dyDescent="0.25">
      <c r="A1230" s="2" t="s">
        <v>820</v>
      </c>
      <c r="B1230" s="491" t="s">
        <v>825</v>
      </c>
      <c r="C1230" s="2" t="s">
        <v>807</v>
      </c>
      <c r="D1230" s="2">
        <v>7</v>
      </c>
      <c r="E1230" s="3" t="s">
        <v>793</v>
      </c>
      <c r="F1230" s="270"/>
      <c r="H1230" s="14">
        <v>6</v>
      </c>
      <c r="I1230" s="14">
        <v>4</v>
      </c>
      <c r="J1230" s="14">
        <v>4</v>
      </c>
      <c r="L1230" s="2"/>
      <c r="M1230" s="14">
        <v>2</v>
      </c>
      <c r="P1230"/>
      <c r="Q1230"/>
      <c r="R1230"/>
      <c r="S1230"/>
      <c r="T1230"/>
    </row>
    <row r="1231" spans="1:20" s="14" customFormat="1" x14ac:dyDescent="0.25">
      <c r="A1231" s="2" t="s">
        <v>822</v>
      </c>
      <c r="B1231" s="491" t="s">
        <v>827</v>
      </c>
      <c r="C1231" s="2" t="s">
        <v>807</v>
      </c>
      <c r="D1231" s="2">
        <v>0</v>
      </c>
      <c r="E1231" s="3" t="s">
        <v>793</v>
      </c>
      <c r="F1231" s="270"/>
      <c r="I1231" s="14">
        <v>0</v>
      </c>
      <c r="L1231" s="2"/>
      <c r="M1231" s="14">
        <v>0</v>
      </c>
      <c r="P1231"/>
      <c r="Q1231"/>
      <c r="R1231"/>
      <c r="S1231"/>
      <c r="T1231"/>
    </row>
    <row r="1232" spans="1:20" s="14" customFormat="1" x14ac:dyDescent="0.25">
      <c r="A1232" s="2" t="s">
        <v>824</v>
      </c>
      <c r="B1232" s="491" t="s">
        <v>829</v>
      </c>
      <c r="C1232" s="2" t="s">
        <v>807</v>
      </c>
      <c r="D1232" s="2">
        <v>0</v>
      </c>
      <c r="E1232" s="3" t="s">
        <v>793</v>
      </c>
      <c r="F1232" s="270"/>
      <c r="I1232" s="14">
        <v>0</v>
      </c>
      <c r="L1232" s="2"/>
      <c r="M1232" s="14">
        <v>0</v>
      </c>
      <c r="P1232"/>
      <c r="Q1232"/>
      <c r="R1232"/>
      <c r="S1232"/>
      <c r="T1232"/>
    </row>
    <row r="1233" spans="1:20" s="14" customFormat="1" x14ac:dyDescent="0.25">
      <c r="A1233" s="2" t="s">
        <v>826</v>
      </c>
      <c r="B1233" s="491" t="s">
        <v>831</v>
      </c>
      <c r="C1233" s="2" t="s">
        <v>807</v>
      </c>
      <c r="D1233" s="2">
        <v>0</v>
      </c>
      <c r="E1233" s="3" t="s">
        <v>793</v>
      </c>
      <c r="F1233" s="270"/>
      <c r="I1233" s="14">
        <v>0</v>
      </c>
      <c r="L1233" s="2"/>
      <c r="M1233" s="14">
        <v>0</v>
      </c>
      <c r="P1233"/>
      <c r="Q1233"/>
      <c r="R1233"/>
      <c r="S1233"/>
      <c r="T1233"/>
    </row>
    <row r="1234" spans="1:20" s="14" customFormat="1" x14ac:dyDescent="0.25">
      <c r="A1234" s="2" t="s">
        <v>828</v>
      </c>
      <c r="B1234" s="491" t="s">
        <v>833</v>
      </c>
      <c r="C1234" s="2" t="s">
        <v>807</v>
      </c>
      <c r="D1234" s="2">
        <v>0</v>
      </c>
      <c r="E1234" s="3" t="s">
        <v>793</v>
      </c>
      <c r="F1234" s="270"/>
      <c r="I1234" s="14">
        <v>0</v>
      </c>
      <c r="L1234" s="2"/>
      <c r="M1234" s="14">
        <v>0</v>
      </c>
      <c r="P1234"/>
      <c r="Q1234"/>
      <c r="R1234"/>
      <c r="S1234"/>
      <c r="T1234"/>
    </row>
    <row r="1235" spans="1:20" s="14" customFormat="1" x14ac:dyDescent="0.25">
      <c r="A1235" s="2" t="s">
        <v>830</v>
      </c>
      <c r="B1235" s="491" t="s">
        <v>2495</v>
      </c>
      <c r="C1235" s="2" t="s">
        <v>837</v>
      </c>
      <c r="D1235" s="2">
        <v>214</v>
      </c>
      <c r="E1235" s="3" t="s">
        <v>1572</v>
      </c>
      <c r="F1235" s="270"/>
      <c r="I1235" s="14">
        <v>0</v>
      </c>
      <c r="L1235" s="2"/>
      <c r="M1235" s="14">
        <v>0</v>
      </c>
      <c r="P1235"/>
      <c r="Q1235"/>
      <c r="R1235"/>
      <c r="S1235"/>
      <c r="T1235"/>
    </row>
    <row r="1236" spans="1:20" s="14" customFormat="1" x14ac:dyDescent="0.25">
      <c r="A1236" s="2" t="s">
        <v>832</v>
      </c>
      <c r="B1236" s="491" t="s">
        <v>2496</v>
      </c>
      <c r="C1236" s="2" t="s">
        <v>837</v>
      </c>
      <c r="D1236" s="2">
        <v>0</v>
      </c>
      <c r="E1236" s="3" t="s">
        <v>793</v>
      </c>
      <c r="F1236" s="270"/>
      <c r="I1236" s="14">
        <v>0</v>
      </c>
      <c r="L1236" s="2"/>
      <c r="M1236" s="14">
        <v>0</v>
      </c>
      <c r="P1236"/>
      <c r="Q1236"/>
      <c r="R1236"/>
      <c r="S1236"/>
      <c r="T1236"/>
    </row>
    <row r="1237" spans="1:20" s="14" customFormat="1" x14ac:dyDescent="0.25">
      <c r="A1237" s="2" t="s">
        <v>836</v>
      </c>
      <c r="B1237" s="491" t="s">
        <v>2497</v>
      </c>
      <c r="C1237" s="2" t="s">
        <v>837</v>
      </c>
      <c r="D1237" s="2">
        <v>15</v>
      </c>
      <c r="E1237" s="3" t="s">
        <v>793</v>
      </c>
      <c r="F1237" s="270"/>
      <c r="I1237" s="14">
        <v>0</v>
      </c>
      <c r="L1237" s="2"/>
      <c r="M1237" s="14">
        <v>0</v>
      </c>
      <c r="P1237"/>
      <c r="Q1237"/>
      <c r="R1237"/>
      <c r="S1237"/>
      <c r="T1237"/>
    </row>
    <row r="1238" spans="1:20" s="14" customFormat="1" x14ac:dyDescent="0.25">
      <c r="A1238" s="2" t="s">
        <v>838</v>
      </c>
      <c r="B1238" s="491" t="s">
        <v>2062</v>
      </c>
      <c r="C1238" s="2" t="s">
        <v>840</v>
      </c>
      <c r="D1238" s="2">
        <v>191</v>
      </c>
      <c r="E1238" s="3" t="s">
        <v>793</v>
      </c>
      <c r="F1238" s="270"/>
      <c r="I1238" s="14">
        <v>0</v>
      </c>
      <c r="L1238" s="2"/>
      <c r="M1238" s="14">
        <v>0</v>
      </c>
      <c r="P1238"/>
      <c r="Q1238"/>
      <c r="R1238"/>
      <c r="S1238"/>
      <c r="T1238"/>
    </row>
    <row r="1239" spans="1:20" s="14" customFormat="1" x14ac:dyDescent="0.25">
      <c r="A1239" s="2" t="s">
        <v>839</v>
      </c>
      <c r="B1239" s="491" t="s">
        <v>2063</v>
      </c>
      <c r="C1239" s="2" t="s">
        <v>840</v>
      </c>
      <c r="D1239" s="2">
        <v>0</v>
      </c>
      <c r="E1239" s="3" t="s">
        <v>793</v>
      </c>
      <c r="F1239" s="270"/>
      <c r="I1239" s="14">
        <v>0</v>
      </c>
      <c r="L1239" s="2"/>
      <c r="M1239" s="14">
        <v>0</v>
      </c>
      <c r="P1239"/>
      <c r="Q1239"/>
      <c r="R1239"/>
      <c r="S1239"/>
      <c r="T1239"/>
    </row>
    <row r="1240" spans="1:20" s="14" customFormat="1" x14ac:dyDescent="0.25">
      <c r="A1240" s="2" t="s">
        <v>841</v>
      </c>
      <c r="B1240" s="491" t="s">
        <v>2061</v>
      </c>
      <c r="C1240" s="2" t="s">
        <v>840</v>
      </c>
      <c r="D1240" s="2">
        <v>30</v>
      </c>
      <c r="E1240" s="3" t="s">
        <v>793</v>
      </c>
      <c r="F1240" s="270"/>
      <c r="I1240" s="14">
        <v>0</v>
      </c>
      <c r="L1240" s="2"/>
      <c r="M1240" s="14">
        <v>0</v>
      </c>
      <c r="P1240"/>
      <c r="Q1240"/>
      <c r="R1240"/>
      <c r="S1240"/>
      <c r="T1240"/>
    </row>
    <row r="1241" spans="1:20" s="14" customFormat="1" x14ac:dyDescent="0.25">
      <c r="A1241" s="2" t="s">
        <v>842</v>
      </c>
      <c r="B1241" s="491" t="s">
        <v>2060</v>
      </c>
      <c r="C1241" s="2" t="s">
        <v>840</v>
      </c>
      <c r="D1241" s="2">
        <v>56</v>
      </c>
      <c r="E1241" s="3" t="s">
        <v>1572</v>
      </c>
      <c r="F1241" s="270"/>
      <c r="I1241" s="14">
        <v>0</v>
      </c>
      <c r="L1241" s="2"/>
      <c r="M1241" s="14">
        <v>0</v>
      </c>
      <c r="P1241"/>
      <c r="Q1241"/>
      <c r="R1241"/>
      <c r="S1241"/>
      <c r="T1241"/>
    </row>
    <row r="1242" spans="1:20" s="14" customFormat="1" x14ac:dyDescent="0.25">
      <c r="A1242" s="2" t="s">
        <v>843</v>
      </c>
      <c r="B1242" s="491" t="s">
        <v>2058</v>
      </c>
      <c r="C1242" s="2" t="s">
        <v>840</v>
      </c>
      <c r="D1242" s="2">
        <v>56</v>
      </c>
      <c r="E1242" s="3" t="s">
        <v>1572</v>
      </c>
      <c r="F1242" s="270"/>
      <c r="I1242" s="14">
        <v>0</v>
      </c>
      <c r="L1242" s="2"/>
      <c r="M1242" s="14">
        <v>0</v>
      </c>
      <c r="P1242"/>
      <c r="Q1242"/>
      <c r="R1242"/>
      <c r="S1242"/>
      <c r="T1242"/>
    </row>
    <row r="1243" spans="1:20" s="14" customFormat="1" x14ac:dyDescent="0.25">
      <c r="A1243" s="2" t="s">
        <v>844</v>
      </c>
      <c r="B1243" s="491" t="s">
        <v>2059</v>
      </c>
      <c r="C1243" s="2" t="s">
        <v>840</v>
      </c>
      <c r="D1243" s="2">
        <v>5</v>
      </c>
      <c r="E1243" s="3" t="s">
        <v>793</v>
      </c>
      <c r="F1243" s="270"/>
      <c r="I1243" s="14">
        <v>0</v>
      </c>
      <c r="L1243" s="2"/>
      <c r="M1243" s="14">
        <v>0</v>
      </c>
      <c r="P1243"/>
      <c r="Q1243"/>
      <c r="R1243"/>
      <c r="S1243"/>
      <c r="T1243"/>
    </row>
    <row r="1244" spans="1:20" s="14" customFormat="1" x14ac:dyDescent="0.25">
      <c r="A1244" s="2" t="s">
        <v>845</v>
      </c>
      <c r="B1244" s="491" t="s">
        <v>2199</v>
      </c>
      <c r="C1244" s="2" t="s">
        <v>2198</v>
      </c>
      <c r="D1244" s="2">
        <v>189</v>
      </c>
      <c r="E1244" s="3" t="s">
        <v>1572</v>
      </c>
      <c r="F1244" s="270"/>
      <c r="I1244" s="14">
        <v>0</v>
      </c>
      <c r="L1244" s="2"/>
      <c r="M1244" s="14">
        <v>0</v>
      </c>
      <c r="P1244"/>
      <c r="Q1244"/>
      <c r="R1244"/>
      <c r="S1244"/>
      <c r="T1244"/>
    </row>
    <row r="1245" spans="1:20" s="14" customFormat="1" x14ac:dyDescent="0.25">
      <c r="A1245" s="2" t="s">
        <v>846</v>
      </c>
      <c r="B1245" s="491" t="s">
        <v>2200</v>
      </c>
      <c r="C1245" s="2" t="s">
        <v>2198</v>
      </c>
      <c r="D1245" s="2">
        <v>127</v>
      </c>
      <c r="E1245" s="3" t="s">
        <v>1572</v>
      </c>
      <c r="F1245" s="270"/>
      <c r="H1245" s="14">
        <v>8</v>
      </c>
      <c r="I1245" s="14">
        <v>9</v>
      </c>
      <c r="J1245" s="14">
        <v>0</v>
      </c>
      <c r="K1245" s="14">
        <v>7</v>
      </c>
      <c r="L1245" s="2">
        <v>1</v>
      </c>
      <c r="M1245" s="14">
        <v>4</v>
      </c>
      <c r="N1245" s="14">
        <v>0</v>
      </c>
      <c r="O1245" s="14">
        <v>7</v>
      </c>
      <c r="P1245"/>
      <c r="Q1245"/>
      <c r="R1245"/>
      <c r="S1245"/>
      <c r="T1245"/>
    </row>
    <row r="1246" spans="1:20" s="14" customFormat="1" x14ac:dyDescent="0.25">
      <c r="A1246" s="2" t="s">
        <v>847</v>
      </c>
      <c r="B1246" s="491" t="s">
        <v>2201</v>
      </c>
      <c r="C1246" s="2" t="s">
        <v>2198</v>
      </c>
      <c r="D1246" s="2">
        <v>138</v>
      </c>
      <c r="E1246" s="3" t="s">
        <v>1572</v>
      </c>
      <c r="F1246" s="270"/>
      <c r="H1246" s="14">
        <v>5</v>
      </c>
      <c r="I1246" s="14">
        <v>10</v>
      </c>
      <c r="J1246" s="14">
        <v>2</v>
      </c>
      <c r="K1246" s="14">
        <v>0</v>
      </c>
      <c r="L1246" s="2">
        <v>7</v>
      </c>
      <c r="M1246" s="14">
        <v>3</v>
      </c>
      <c r="N1246" s="14">
        <v>2</v>
      </c>
      <c r="O1246" s="14">
        <v>3</v>
      </c>
      <c r="P1246"/>
      <c r="Q1246"/>
      <c r="R1246"/>
      <c r="S1246"/>
      <c r="T1246"/>
    </row>
    <row r="1247" spans="1:20" s="14" customFormat="1" x14ac:dyDescent="0.25">
      <c r="A1247" s="2" t="s">
        <v>848</v>
      </c>
      <c r="B1247" s="491" t="s">
        <v>5642</v>
      </c>
      <c r="C1247" s="2" t="s">
        <v>4881</v>
      </c>
      <c r="D1247" s="2">
        <v>15</v>
      </c>
      <c r="E1247" s="3" t="s">
        <v>1572</v>
      </c>
      <c r="F1247" s="270"/>
      <c r="H1247" s="14">
        <v>0</v>
      </c>
      <c r="I1247" s="14">
        <v>0</v>
      </c>
      <c r="J1247" s="14">
        <v>0</v>
      </c>
      <c r="K1247" s="14">
        <v>0</v>
      </c>
      <c r="L1247" s="2">
        <v>5</v>
      </c>
      <c r="M1247" s="14">
        <v>2</v>
      </c>
      <c r="N1247" s="14">
        <v>6</v>
      </c>
      <c r="O1247" s="14">
        <v>2</v>
      </c>
      <c r="P1247"/>
      <c r="Q1247"/>
      <c r="R1247"/>
      <c r="S1247"/>
      <c r="T1247"/>
    </row>
    <row r="1248" spans="1:20" s="14" customFormat="1" x14ac:dyDescent="0.25">
      <c r="A1248" s="2" t="s">
        <v>849</v>
      </c>
      <c r="B1248" s="491" t="s">
        <v>2492</v>
      </c>
      <c r="C1248" s="2" t="s">
        <v>851</v>
      </c>
      <c r="D1248" s="2">
        <v>61</v>
      </c>
      <c r="E1248" s="3" t="s">
        <v>1572</v>
      </c>
      <c r="F1248" s="270"/>
      <c r="H1248" s="14">
        <v>15</v>
      </c>
      <c r="I1248" s="14">
        <v>10</v>
      </c>
      <c r="J1248" s="14">
        <v>1</v>
      </c>
      <c r="K1248" s="14">
        <v>0</v>
      </c>
      <c r="L1248" s="2">
        <v>0</v>
      </c>
      <c r="M1248" s="14">
        <v>5</v>
      </c>
      <c r="N1248" s="14">
        <v>10</v>
      </c>
      <c r="O1248" s="14">
        <v>7</v>
      </c>
      <c r="P1248"/>
      <c r="Q1248"/>
      <c r="R1248"/>
      <c r="S1248"/>
      <c r="T1248"/>
    </row>
    <row r="1249" spans="1:20" s="14" customFormat="1" x14ac:dyDescent="0.25">
      <c r="A1249" s="2" t="s">
        <v>850</v>
      </c>
      <c r="B1249" s="491" t="s">
        <v>2493</v>
      </c>
      <c r="C1249" s="2" t="s">
        <v>851</v>
      </c>
      <c r="D1249" s="2">
        <v>5</v>
      </c>
      <c r="E1249" s="3" t="s">
        <v>1572</v>
      </c>
      <c r="F1249" s="270"/>
      <c r="H1249" s="14">
        <v>0</v>
      </c>
      <c r="I1249" s="14">
        <v>0</v>
      </c>
      <c r="J1249" s="14">
        <v>0</v>
      </c>
      <c r="K1249" s="14">
        <v>0</v>
      </c>
      <c r="L1249" s="2">
        <v>0</v>
      </c>
      <c r="M1249" s="14">
        <v>0</v>
      </c>
      <c r="N1249" s="14">
        <v>0</v>
      </c>
      <c r="O1249" s="14">
        <v>0</v>
      </c>
      <c r="P1249"/>
      <c r="Q1249"/>
      <c r="R1249"/>
      <c r="S1249"/>
      <c r="T1249"/>
    </row>
    <row r="1250" spans="1:20" s="14" customFormat="1" x14ac:dyDescent="0.25">
      <c r="A1250" s="2" t="s">
        <v>853</v>
      </c>
      <c r="B1250" s="491" t="s">
        <v>2494</v>
      </c>
      <c r="C1250" s="2" t="s">
        <v>851</v>
      </c>
      <c r="D1250" s="2">
        <v>38</v>
      </c>
      <c r="E1250" s="3" t="s">
        <v>1572</v>
      </c>
      <c r="F1250" s="270"/>
      <c r="H1250" s="14">
        <v>0</v>
      </c>
      <c r="I1250" s="14">
        <v>0</v>
      </c>
      <c r="J1250" s="14">
        <v>0</v>
      </c>
      <c r="K1250" s="14">
        <v>0</v>
      </c>
      <c r="L1250" s="2">
        <v>7</v>
      </c>
      <c r="M1250" s="14">
        <v>5</v>
      </c>
      <c r="N1250" s="14">
        <v>7</v>
      </c>
      <c r="O1250" s="14">
        <v>7</v>
      </c>
      <c r="P1250"/>
      <c r="Q1250"/>
      <c r="R1250"/>
      <c r="S1250"/>
      <c r="T1250"/>
    </row>
    <row r="1251" spans="1:20" s="14" customFormat="1" x14ac:dyDescent="0.25">
      <c r="A1251" s="2" t="s">
        <v>854</v>
      </c>
      <c r="B1251" s="491" t="s">
        <v>2498</v>
      </c>
      <c r="C1251" s="2" t="s">
        <v>857</v>
      </c>
      <c r="D1251" s="2">
        <v>88</v>
      </c>
      <c r="E1251" s="3" t="s">
        <v>1572</v>
      </c>
      <c r="F1251" s="270"/>
      <c r="H1251" s="14">
        <v>0</v>
      </c>
      <c r="I1251" s="14">
        <v>10</v>
      </c>
      <c r="J1251" s="14">
        <v>8</v>
      </c>
      <c r="K1251" s="14">
        <v>16</v>
      </c>
      <c r="L1251" s="2">
        <v>40</v>
      </c>
      <c r="M1251" s="14">
        <v>40</v>
      </c>
      <c r="N1251" s="14">
        <v>40</v>
      </c>
      <c r="O1251" s="14">
        <v>24</v>
      </c>
      <c r="P1251"/>
      <c r="Q1251"/>
      <c r="R1251"/>
      <c r="S1251"/>
      <c r="T1251"/>
    </row>
    <row r="1252" spans="1:20" s="14" customFormat="1" x14ac:dyDescent="0.25">
      <c r="A1252" s="2" t="s">
        <v>855</v>
      </c>
      <c r="B1252" s="491" t="s">
        <v>2499</v>
      </c>
      <c r="C1252" s="2" t="s">
        <v>857</v>
      </c>
      <c r="D1252" s="2">
        <v>736</v>
      </c>
      <c r="E1252" s="3" t="s">
        <v>1572</v>
      </c>
      <c r="F1252" s="270"/>
      <c r="H1252" s="14">
        <v>5</v>
      </c>
      <c r="I1252" s="14">
        <v>4</v>
      </c>
      <c r="J1252" s="14">
        <v>0</v>
      </c>
      <c r="K1252" s="14">
        <v>8</v>
      </c>
      <c r="L1252" s="2">
        <v>4</v>
      </c>
      <c r="M1252" s="14">
        <v>3</v>
      </c>
      <c r="N1252" s="14">
        <v>3</v>
      </c>
      <c r="O1252" s="14">
        <v>1</v>
      </c>
      <c r="P1252"/>
      <c r="Q1252"/>
      <c r="R1252"/>
      <c r="S1252"/>
      <c r="T1252"/>
    </row>
    <row r="1253" spans="1:20" s="14" customFormat="1" x14ac:dyDescent="0.25">
      <c r="A1253" s="2" t="s">
        <v>856</v>
      </c>
      <c r="B1253" s="491" t="s">
        <v>2500</v>
      </c>
      <c r="C1253" s="2" t="s">
        <v>857</v>
      </c>
      <c r="D1253" s="2">
        <v>40</v>
      </c>
      <c r="E1253" s="3" t="s">
        <v>1572</v>
      </c>
      <c r="F1253" s="270"/>
      <c r="H1253" s="14">
        <v>0</v>
      </c>
      <c r="I1253" s="14">
        <v>0</v>
      </c>
      <c r="J1253" s="14">
        <v>0</v>
      </c>
      <c r="K1253" s="14">
        <v>0</v>
      </c>
      <c r="L1253" s="2">
        <v>0</v>
      </c>
      <c r="M1253" s="14">
        <v>0</v>
      </c>
      <c r="N1253" s="14">
        <v>0</v>
      </c>
      <c r="O1253" s="14">
        <v>0</v>
      </c>
      <c r="P1253"/>
      <c r="Q1253"/>
      <c r="R1253"/>
      <c r="S1253"/>
      <c r="T1253"/>
    </row>
    <row r="1254" spans="1:20" s="14" customFormat="1" x14ac:dyDescent="0.25">
      <c r="A1254" s="2" t="s">
        <v>858</v>
      </c>
      <c r="B1254" s="491" t="s">
        <v>2501</v>
      </c>
      <c r="C1254" s="2" t="s">
        <v>861</v>
      </c>
      <c r="D1254" s="2">
        <v>41</v>
      </c>
      <c r="E1254" s="3" t="s">
        <v>1572</v>
      </c>
      <c r="F1254" s="270"/>
      <c r="H1254" s="14">
        <v>7</v>
      </c>
      <c r="I1254" s="14">
        <v>8</v>
      </c>
      <c r="J1254" s="14">
        <v>1</v>
      </c>
      <c r="K1254" s="14">
        <v>9</v>
      </c>
      <c r="L1254" s="2">
        <v>1</v>
      </c>
      <c r="M1254" s="14">
        <v>13</v>
      </c>
      <c r="N1254" s="14">
        <v>15</v>
      </c>
      <c r="O1254" s="14">
        <v>6</v>
      </c>
      <c r="P1254"/>
      <c r="Q1254"/>
      <c r="R1254"/>
      <c r="S1254"/>
      <c r="T1254"/>
    </row>
    <row r="1255" spans="1:20" s="14" customFormat="1" x14ac:dyDescent="0.25">
      <c r="A1255" s="2" t="s">
        <v>859</v>
      </c>
      <c r="B1255" s="491" t="s">
        <v>863</v>
      </c>
      <c r="C1255" s="2" t="s">
        <v>864</v>
      </c>
      <c r="D1255" s="2">
        <v>0</v>
      </c>
      <c r="E1255" s="3" t="s">
        <v>1572</v>
      </c>
      <c r="F1255" s="270"/>
      <c r="H1255" s="14">
        <v>0</v>
      </c>
      <c r="I1255" s="14">
        <v>0</v>
      </c>
      <c r="J1255" s="14">
        <v>0</v>
      </c>
      <c r="K1255" s="14">
        <v>0</v>
      </c>
      <c r="L1255" s="2">
        <v>0</v>
      </c>
      <c r="M1255" s="14">
        <v>0</v>
      </c>
      <c r="N1255" s="14">
        <v>0</v>
      </c>
      <c r="O1255" s="14">
        <v>0</v>
      </c>
      <c r="P1255"/>
      <c r="Q1255"/>
      <c r="R1255"/>
      <c r="S1255"/>
      <c r="T1255"/>
    </row>
    <row r="1256" spans="1:20" s="14" customFormat="1" x14ac:dyDescent="0.25">
      <c r="A1256" s="2" t="s">
        <v>860</v>
      </c>
      <c r="B1256" s="491" t="s">
        <v>863</v>
      </c>
      <c r="C1256" s="2" t="s">
        <v>864</v>
      </c>
      <c r="D1256" s="2">
        <v>41</v>
      </c>
      <c r="E1256" s="3" t="s">
        <v>1572</v>
      </c>
      <c r="F1256" s="270"/>
      <c r="H1256" s="14">
        <v>20</v>
      </c>
      <c r="I1256" s="14">
        <v>1</v>
      </c>
      <c r="J1256" s="14">
        <v>15</v>
      </c>
      <c r="K1256" s="14">
        <v>11</v>
      </c>
      <c r="L1256" s="2">
        <v>19</v>
      </c>
      <c r="M1256" s="14">
        <v>4</v>
      </c>
      <c r="N1256" s="14">
        <v>14</v>
      </c>
      <c r="O1256" s="14">
        <v>6</v>
      </c>
      <c r="P1256"/>
      <c r="Q1256"/>
      <c r="R1256"/>
      <c r="S1256"/>
      <c r="T1256"/>
    </row>
    <row r="1257" spans="1:20" s="14" customFormat="1" x14ac:dyDescent="0.25">
      <c r="A1257" s="2" t="s">
        <v>862</v>
      </c>
      <c r="B1257" s="491" t="s">
        <v>2603</v>
      </c>
      <c r="C1257" s="2" t="s">
        <v>2309</v>
      </c>
      <c r="D1257" s="2">
        <v>0</v>
      </c>
      <c r="E1257" s="3" t="s">
        <v>1572</v>
      </c>
      <c r="F1257" s="270"/>
      <c r="H1257" s="14">
        <v>0</v>
      </c>
      <c r="I1257" s="14">
        <v>0</v>
      </c>
      <c r="K1257" s="14">
        <v>0</v>
      </c>
      <c r="L1257" s="2">
        <v>0</v>
      </c>
      <c r="M1257" s="14">
        <v>0</v>
      </c>
      <c r="N1257" s="14">
        <v>0</v>
      </c>
      <c r="O1257" s="14">
        <v>0</v>
      </c>
      <c r="P1257"/>
      <c r="Q1257"/>
      <c r="R1257"/>
      <c r="S1257"/>
      <c r="T1257"/>
    </row>
    <row r="1258" spans="1:20" s="14" customFormat="1" x14ac:dyDescent="0.25">
      <c r="A1258" s="2" t="s">
        <v>866</v>
      </c>
      <c r="B1258" s="491" t="s">
        <v>4107</v>
      </c>
      <c r="C1258" s="2" t="s">
        <v>864</v>
      </c>
      <c r="D1258" s="2">
        <v>11</v>
      </c>
      <c r="E1258" s="3" t="s">
        <v>1572</v>
      </c>
      <c r="F1258" s="270"/>
      <c r="H1258" s="14">
        <v>2</v>
      </c>
      <c r="I1258" s="14">
        <v>0</v>
      </c>
      <c r="J1258" s="14">
        <v>4</v>
      </c>
      <c r="K1258" s="14">
        <v>11</v>
      </c>
      <c r="L1258" s="2">
        <v>6</v>
      </c>
      <c r="M1258" s="14">
        <v>4</v>
      </c>
      <c r="N1258" s="14">
        <v>1</v>
      </c>
      <c r="O1258" s="14">
        <v>1</v>
      </c>
      <c r="P1258"/>
      <c r="Q1258"/>
      <c r="R1258"/>
      <c r="S1258"/>
      <c r="T1258"/>
    </row>
    <row r="1259" spans="1:20" s="14" customFormat="1" x14ac:dyDescent="0.25">
      <c r="A1259" s="2" t="s">
        <v>867</v>
      </c>
      <c r="B1259" s="491" t="s">
        <v>870</v>
      </c>
      <c r="C1259" s="2" t="s">
        <v>864</v>
      </c>
      <c r="D1259" s="2">
        <v>0</v>
      </c>
      <c r="E1259" s="3" t="s">
        <v>1572</v>
      </c>
      <c r="F1259" s="270"/>
      <c r="H1259" s="14">
        <v>0</v>
      </c>
      <c r="I1259" s="14">
        <v>0</v>
      </c>
      <c r="K1259" s="14">
        <v>0</v>
      </c>
      <c r="L1259" s="2">
        <v>0</v>
      </c>
      <c r="M1259" s="14">
        <v>0</v>
      </c>
      <c r="N1259" s="14">
        <v>0</v>
      </c>
      <c r="O1259" s="14">
        <v>0</v>
      </c>
      <c r="P1259"/>
      <c r="Q1259"/>
      <c r="R1259"/>
      <c r="S1259"/>
      <c r="T1259"/>
    </row>
    <row r="1260" spans="1:20" s="14" customFormat="1" x14ac:dyDescent="0.25">
      <c r="A1260" s="2" t="s">
        <v>868</v>
      </c>
      <c r="B1260" s="491" t="s">
        <v>2602</v>
      </c>
      <c r="C1260" s="2" t="s">
        <v>2309</v>
      </c>
      <c r="D1260" s="2">
        <v>0</v>
      </c>
      <c r="E1260" s="3" t="s">
        <v>1572</v>
      </c>
      <c r="F1260" s="270"/>
      <c r="H1260" s="14">
        <v>0</v>
      </c>
      <c r="I1260" s="14">
        <v>0</v>
      </c>
      <c r="K1260" s="14">
        <v>0</v>
      </c>
      <c r="L1260" s="2">
        <v>0</v>
      </c>
      <c r="M1260" s="14">
        <v>0</v>
      </c>
      <c r="N1260" s="14">
        <v>0</v>
      </c>
      <c r="O1260" s="14">
        <v>0</v>
      </c>
      <c r="P1260"/>
      <c r="Q1260"/>
      <c r="R1260"/>
      <c r="S1260"/>
      <c r="T1260"/>
    </row>
    <row r="1261" spans="1:20" s="14" customFormat="1" x14ac:dyDescent="0.25">
      <c r="A1261" s="2" t="s">
        <v>869</v>
      </c>
      <c r="B1261" s="491" t="s">
        <v>2601</v>
      </c>
      <c r="C1261" s="2" t="s">
        <v>2309</v>
      </c>
      <c r="D1261" s="2">
        <v>0</v>
      </c>
      <c r="E1261" s="3" t="s">
        <v>793</v>
      </c>
      <c r="F1261" s="270"/>
      <c r="H1261" s="14">
        <v>0</v>
      </c>
      <c r="I1261" s="14">
        <v>0</v>
      </c>
      <c r="K1261" s="14">
        <v>0</v>
      </c>
      <c r="L1261" s="2"/>
      <c r="M1261" s="14">
        <v>0</v>
      </c>
      <c r="P1261"/>
      <c r="Q1261"/>
      <c r="R1261"/>
      <c r="S1261"/>
      <c r="T1261"/>
    </row>
    <row r="1262" spans="1:20" s="14" customFormat="1" x14ac:dyDescent="0.25">
      <c r="A1262" s="2" t="s">
        <v>871</v>
      </c>
      <c r="B1262" s="491" t="s">
        <v>873</v>
      </c>
      <c r="C1262" s="2" t="s">
        <v>864</v>
      </c>
      <c r="D1262" s="2">
        <v>315</v>
      </c>
      <c r="E1262" s="3" t="s">
        <v>793</v>
      </c>
      <c r="F1262" s="270"/>
      <c r="H1262" s="14">
        <v>0</v>
      </c>
      <c r="I1262" s="14">
        <v>100</v>
      </c>
      <c r="J1262" s="14">
        <v>15</v>
      </c>
      <c r="K1262" s="14">
        <v>0</v>
      </c>
      <c r="L1262" s="2"/>
      <c r="M1262" s="14">
        <v>16</v>
      </c>
      <c r="P1262"/>
      <c r="Q1262"/>
      <c r="R1262"/>
      <c r="S1262"/>
      <c r="T1262"/>
    </row>
    <row r="1263" spans="1:20" s="14" customFormat="1" x14ac:dyDescent="0.25">
      <c r="A1263" s="2" t="s">
        <v>872</v>
      </c>
      <c r="B1263" s="491" t="s">
        <v>876</v>
      </c>
      <c r="C1263" s="2" t="s">
        <v>864</v>
      </c>
      <c r="D1263" s="2">
        <v>48</v>
      </c>
      <c r="E1263" s="3" t="s">
        <v>1572</v>
      </c>
      <c r="F1263" s="270"/>
      <c r="H1263" s="14">
        <v>28</v>
      </c>
      <c r="I1263" s="14">
        <v>0</v>
      </c>
      <c r="K1263" s="14">
        <v>12</v>
      </c>
      <c r="L1263" s="2"/>
      <c r="M1263" s="14">
        <v>0</v>
      </c>
      <c r="N1263" s="14">
        <v>7</v>
      </c>
      <c r="O1263" s="14">
        <v>3</v>
      </c>
      <c r="P1263"/>
      <c r="Q1263"/>
      <c r="R1263"/>
      <c r="S1263"/>
      <c r="T1263"/>
    </row>
    <row r="1264" spans="1:20" s="14" customFormat="1" x14ac:dyDescent="0.25">
      <c r="A1264" s="2" t="s">
        <v>874</v>
      </c>
      <c r="B1264" s="491" t="s">
        <v>878</v>
      </c>
      <c r="C1264" s="2" t="s">
        <v>864</v>
      </c>
      <c r="D1264" s="2">
        <v>0</v>
      </c>
      <c r="E1264" s="3" t="s">
        <v>1572</v>
      </c>
      <c r="F1264" s="270"/>
      <c r="H1264" s="14">
        <v>1</v>
      </c>
      <c r="I1264" s="14">
        <v>1</v>
      </c>
      <c r="K1264" s="14">
        <v>1</v>
      </c>
      <c r="L1264" s="2">
        <v>0</v>
      </c>
      <c r="M1264" s="14">
        <v>0</v>
      </c>
      <c r="N1264" s="14">
        <v>0</v>
      </c>
      <c r="O1264" s="14">
        <v>0</v>
      </c>
      <c r="P1264"/>
      <c r="Q1264"/>
      <c r="R1264"/>
      <c r="S1264"/>
      <c r="T1264"/>
    </row>
    <row r="1265" spans="1:20" s="14" customFormat="1" x14ac:dyDescent="0.25">
      <c r="A1265" s="2" t="s">
        <v>875</v>
      </c>
      <c r="B1265" s="491" t="s">
        <v>880</v>
      </c>
      <c r="C1265" s="2" t="s">
        <v>864</v>
      </c>
      <c r="D1265" s="2">
        <v>0</v>
      </c>
      <c r="E1265" s="3" t="s">
        <v>1666</v>
      </c>
      <c r="F1265" s="270">
        <v>0</v>
      </c>
      <c r="H1265" s="14">
        <v>0</v>
      </c>
      <c r="L1265" s="2"/>
      <c r="P1265"/>
      <c r="Q1265"/>
      <c r="R1265"/>
      <c r="S1265"/>
      <c r="T1265"/>
    </row>
    <row r="1266" spans="1:20" s="14" customFormat="1" x14ac:dyDescent="0.25">
      <c r="A1266" s="2" t="s">
        <v>877</v>
      </c>
      <c r="B1266" s="491" t="s">
        <v>882</v>
      </c>
      <c r="C1266" s="2" t="s">
        <v>864</v>
      </c>
      <c r="D1266" s="2">
        <v>0</v>
      </c>
      <c r="E1266" s="3" t="s">
        <v>1666</v>
      </c>
      <c r="F1266" s="270">
        <v>0</v>
      </c>
      <c r="H1266" s="14">
        <v>0</v>
      </c>
      <c r="L1266" s="2"/>
      <c r="P1266"/>
      <c r="Q1266"/>
      <c r="R1266"/>
      <c r="S1266"/>
      <c r="T1266"/>
    </row>
    <row r="1267" spans="1:20" s="14" customFormat="1" x14ac:dyDescent="0.25">
      <c r="A1267" s="2" t="s">
        <v>879</v>
      </c>
      <c r="B1267" s="491" t="s">
        <v>884</v>
      </c>
      <c r="C1267" s="2" t="s">
        <v>864</v>
      </c>
      <c r="D1267" s="2">
        <v>0</v>
      </c>
      <c r="E1267" s="3" t="s">
        <v>1666</v>
      </c>
      <c r="F1267" s="270">
        <v>0</v>
      </c>
      <c r="H1267" s="14">
        <v>0</v>
      </c>
      <c r="L1267" s="2"/>
      <c r="P1267"/>
      <c r="Q1267"/>
      <c r="R1267"/>
      <c r="S1267"/>
      <c r="T1267"/>
    </row>
    <row r="1268" spans="1:20" s="14" customFormat="1" x14ac:dyDescent="0.25">
      <c r="A1268" s="2" t="s">
        <v>881</v>
      </c>
      <c r="B1268" s="491" t="s">
        <v>886</v>
      </c>
      <c r="C1268" s="2" t="s">
        <v>864</v>
      </c>
      <c r="D1268" s="2">
        <v>4</v>
      </c>
      <c r="E1268" s="3" t="s">
        <v>1666</v>
      </c>
      <c r="F1268" s="270">
        <v>0</v>
      </c>
      <c r="H1268" s="14">
        <v>0</v>
      </c>
      <c r="L1268" s="2"/>
      <c r="P1268"/>
      <c r="Q1268"/>
      <c r="R1268"/>
      <c r="S1268"/>
      <c r="T1268"/>
    </row>
    <row r="1269" spans="1:20" s="14" customFormat="1" x14ac:dyDescent="0.25">
      <c r="A1269" s="2" t="s">
        <v>883</v>
      </c>
      <c r="B1269" s="491" t="s">
        <v>886</v>
      </c>
      <c r="C1269" s="2" t="s">
        <v>864</v>
      </c>
      <c r="D1269" s="2">
        <v>0</v>
      </c>
      <c r="E1269" s="3" t="s">
        <v>1666</v>
      </c>
      <c r="F1269" s="270">
        <v>0</v>
      </c>
      <c r="H1269" s="14">
        <v>0</v>
      </c>
      <c r="L1269" s="2"/>
      <c r="P1269"/>
      <c r="Q1269"/>
      <c r="R1269"/>
      <c r="S1269"/>
      <c r="T1269"/>
    </row>
    <row r="1270" spans="1:20" s="14" customFormat="1" x14ac:dyDescent="0.25">
      <c r="A1270" s="2" t="s">
        <v>885</v>
      </c>
      <c r="B1270" s="491" t="s">
        <v>886</v>
      </c>
      <c r="C1270" s="2" t="s">
        <v>864</v>
      </c>
      <c r="D1270" s="2">
        <v>0</v>
      </c>
      <c r="E1270" s="3" t="s">
        <v>1666</v>
      </c>
      <c r="F1270" s="270">
        <v>0</v>
      </c>
      <c r="H1270" s="14">
        <v>0</v>
      </c>
      <c r="L1270" s="2"/>
      <c r="P1270"/>
      <c r="Q1270"/>
      <c r="R1270"/>
      <c r="S1270"/>
      <c r="T1270"/>
    </row>
    <row r="1271" spans="1:20" s="14" customFormat="1" x14ac:dyDescent="0.25">
      <c r="A1271" s="2" t="s">
        <v>887</v>
      </c>
      <c r="B1271" s="491" t="s">
        <v>890</v>
      </c>
      <c r="C1271" s="2" t="s">
        <v>864</v>
      </c>
      <c r="D1271" s="2">
        <v>0</v>
      </c>
      <c r="E1271" s="3" t="s">
        <v>1666</v>
      </c>
      <c r="F1271" s="270">
        <v>0</v>
      </c>
      <c r="H1271" s="14">
        <v>0</v>
      </c>
      <c r="L1271" s="2"/>
      <c r="P1271"/>
      <c r="Q1271"/>
      <c r="R1271"/>
      <c r="S1271"/>
      <c r="T1271"/>
    </row>
    <row r="1272" spans="1:20" s="14" customFormat="1" x14ac:dyDescent="0.25">
      <c r="A1272" s="2" t="s">
        <v>888</v>
      </c>
      <c r="B1272" s="491" t="s">
        <v>892</v>
      </c>
      <c r="C1272" s="2" t="s">
        <v>864</v>
      </c>
      <c r="D1272" s="2">
        <v>0</v>
      </c>
      <c r="E1272" s="3" t="s">
        <v>1666</v>
      </c>
      <c r="F1272" s="270">
        <v>0</v>
      </c>
      <c r="H1272" s="14">
        <v>0</v>
      </c>
      <c r="L1272" s="2"/>
      <c r="P1272"/>
      <c r="Q1272"/>
      <c r="R1272"/>
      <c r="S1272"/>
      <c r="T1272"/>
    </row>
    <row r="1273" spans="1:20" s="14" customFormat="1" x14ac:dyDescent="0.25">
      <c r="A1273" s="2" t="s">
        <v>889</v>
      </c>
      <c r="B1273" s="491" t="s">
        <v>2315</v>
      </c>
      <c r="C1273" s="2" t="s">
        <v>2311</v>
      </c>
      <c r="D1273" s="2">
        <v>0</v>
      </c>
      <c r="E1273" s="3" t="s">
        <v>1666</v>
      </c>
      <c r="F1273" s="270">
        <v>0</v>
      </c>
      <c r="H1273" s="14">
        <v>0</v>
      </c>
      <c r="L1273" s="2"/>
      <c r="P1273"/>
      <c r="Q1273"/>
      <c r="R1273"/>
      <c r="S1273"/>
      <c r="T1273"/>
    </row>
    <row r="1274" spans="1:20" s="14" customFormat="1" x14ac:dyDescent="0.25">
      <c r="A1274" s="2" t="s">
        <v>891</v>
      </c>
      <c r="B1274" s="491" t="s">
        <v>2600</v>
      </c>
      <c r="C1274" s="2" t="s">
        <v>2309</v>
      </c>
      <c r="D1274" s="2">
        <v>0</v>
      </c>
      <c r="E1274" s="3" t="s">
        <v>1666</v>
      </c>
      <c r="F1274" s="270">
        <v>0</v>
      </c>
      <c r="H1274" s="14">
        <v>0</v>
      </c>
      <c r="L1274" s="2"/>
      <c r="P1274"/>
      <c r="Q1274"/>
      <c r="R1274"/>
      <c r="S1274"/>
      <c r="T1274"/>
    </row>
    <row r="1275" spans="1:20" s="14" customFormat="1" x14ac:dyDescent="0.25">
      <c r="A1275" s="2" t="s">
        <v>893</v>
      </c>
      <c r="B1275" s="491" t="s">
        <v>2312</v>
      </c>
      <c r="C1275" s="2" t="s">
        <v>2309</v>
      </c>
      <c r="D1275" s="2">
        <v>0</v>
      </c>
      <c r="E1275" s="3" t="s">
        <v>1666</v>
      </c>
      <c r="F1275" s="270">
        <v>0</v>
      </c>
      <c r="H1275" s="14">
        <v>0</v>
      </c>
      <c r="L1275" s="2"/>
      <c r="P1275"/>
      <c r="Q1275"/>
      <c r="R1275"/>
      <c r="S1275"/>
      <c r="T1275"/>
    </row>
    <row r="1276" spans="1:20" s="14" customFormat="1" x14ac:dyDescent="0.25">
      <c r="A1276" s="2" t="s">
        <v>895</v>
      </c>
      <c r="B1276" s="491" t="s">
        <v>898</v>
      </c>
      <c r="C1276" s="2" t="s">
        <v>864</v>
      </c>
      <c r="D1276" s="2">
        <v>0</v>
      </c>
      <c r="E1276" s="3" t="s">
        <v>1666</v>
      </c>
      <c r="F1276" s="270">
        <v>0</v>
      </c>
      <c r="H1276" s="14">
        <v>0</v>
      </c>
      <c r="L1276" s="2"/>
      <c r="P1276"/>
      <c r="Q1276"/>
      <c r="R1276"/>
      <c r="S1276"/>
      <c r="T1276"/>
    </row>
    <row r="1277" spans="1:20" s="14" customFormat="1" x14ac:dyDescent="0.25">
      <c r="A1277" s="2" t="s">
        <v>896</v>
      </c>
      <c r="B1277" s="491" t="s">
        <v>2313</v>
      </c>
      <c r="C1277" s="2" t="s">
        <v>2309</v>
      </c>
      <c r="D1277" s="2">
        <v>0</v>
      </c>
      <c r="E1277" s="3" t="s">
        <v>1666</v>
      </c>
      <c r="F1277" s="270">
        <v>0</v>
      </c>
      <c r="H1277" s="14">
        <v>0</v>
      </c>
      <c r="L1277" s="2"/>
      <c r="P1277"/>
      <c r="Q1277"/>
      <c r="R1277"/>
      <c r="S1277"/>
      <c r="T1277"/>
    </row>
    <row r="1278" spans="1:20" s="14" customFormat="1" x14ac:dyDescent="0.25">
      <c r="A1278" s="2" t="s">
        <v>897</v>
      </c>
      <c r="B1278" s="491" t="s">
        <v>2557</v>
      </c>
      <c r="C1278" s="2" t="s">
        <v>2309</v>
      </c>
      <c r="D1278" s="2">
        <v>0</v>
      </c>
      <c r="E1278" s="3" t="s">
        <v>1666</v>
      </c>
      <c r="F1278" s="270">
        <v>0</v>
      </c>
      <c r="H1278" s="14">
        <v>0</v>
      </c>
      <c r="L1278" s="2"/>
      <c r="P1278"/>
      <c r="Q1278"/>
      <c r="R1278"/>
      <c r="S1278"/>
      <c r="T1278"/>
    </row>
    <row r="1279" spans="1:20" s="14" customFormat="1" x14ac:dyDescent="0.25">
      <c r="A1279" s="2" t="s">
        <v>899</v>
      </c>
      <c r="B1279" s="491" t="s">
        <v>3727</v>
      </c>
      <c r="C1279" s="2" t="s">
        <v>2580</v>
      </c>
      <c r="D1279" s="2">
        <v>0</v>
      </c>
      <c r="E1279" s="3" t="s">
        <v>1666</v>
      </c>
      <c r="F1279" s="270">
        <v>0</v>
      </c>
      <c r="H1279" s="14">
        <v>0</v>
      </c>
      <c r="L1279" s="2"/>
      <c r="P1279"/>
      <c r="Q1279"/>
      <c r="R1279"/>
      <c r="S1279"/>
      <c r="T1279"/>
    </row>
    <row r="1280" spans="1:20" s="14" customFormat="1" x14ac:dyDescent="0.25">
      <c r="A1280" s="2" t="s">
        <v>900</v>
      </c>
      <c r="B1280" s="491" t="s">
        <v>902</v>
      </c>
      <c r="C1280" s="2" t="s">
        <v>903</v>
      </c>
      <c r="D1280" s="2">
        <v>0</v>
      </c>
      <c r="E1280" s="3" t="s">
        <v>1666</v>
      </c>
      <c r="F1280" s="270">
        <v>0</v>
      </c>
      <c r="H1280" s="14">
        <v>0</v>
      </c>
      <c r="L1280" s="2"/>
      <c r="P1280"/>
      <c r="Q1280"/>
      <c r="R1280"/>
      <c r="S1280"/>
      <c r="T1280"/>
    </row>
    <row r="1281" spans="1:20" s="14" customFormat="1" x14ac:dyDescent="0.25">
      <c r="A1281" s="2" t="s">
        <v>901</v>
      </c>
      <c r="B1281" s="491" t="s">
        <v>2607</v>
      </c>
      <c r="C1281" s="2" t="s">
        <v>2580</v>
      </c>
      <c r="D1281" s="2">
        <v>0</v>
      </c>
      <c r="E1281" s="3" t="s">
        <v>1666</v>
      </c>
      <c r="F1281" s="270">
        <v>0</v>
      </c>
      <c r="H1281" s="14">
        <v>0</v>
      </c>
      <c r="L1281" s="2"/>
      <c r="P1281"/>
      <c r="Q1281"/>
      <c r="R1281"/>
      <c r="S1281"/>
      <c r="T1281"/>
    </row>
    <row r="1282" spans="1:20" s="14" customFormat="1" x14ac:dyDescent="0.25">
      <c r="A1282" s="2" t="s">
        <v>904</v>
      </c>
      <c r="B1282" s="491" t="s">
        <v>3728</v>
      </c>
      <c r="C1282" s="2" t="s">
        <v>2580</v>
      </c>
      <c r="D1282" s="2">
        <v>0</v>
      </c>
      <c r="E1282" s="3" t="s">
        <v>1666</v>
      </c>
      <c r="F1282" s="270">
        <v>0</v>
      </c>
      <c r="H1282" s="14">
        <v>0</v>
      </c>
      <c r="L1282" s="2"/>
      <c r="P1282"/>
      <c r="Q1282"/>
      <c r="R1282"/>
      <c r="S1282"/>
      <c r="T1282"/>
    </row>
    <row r="1283" spans="1:20" s="14" customFormat="1" x14ac:dyDescent="0.25">
      <c r="A1283" s="2" t="s">
        <v>905</v>
      </c>
      <c r="B1283" s="491" t="s">
        <v>908</v>
      </c>
      <c r="C1283" s="2" t="s">
        <v>903</v>
      </c>
      <c r="D1283" s="2">
        <v>0</v>
      </c>
      <c r="E1283" s="3" t="s">
        <v>1666</v>
      </c>
      <c r="F1283" s="270">
        <v>1</v>
      </c>
      <c r="J1283" s="14">
        <v>1</v>
      </c>
      <c r="L1283" s="2"/>
      <c r="P1283"/>
      <c r="Q1283"/>
      <c r="R1283"/>
      <c r="S1283"/>
      <c r="T1283"/>
    </row>
    <row r="1284" spans="1:20" s="14" customFormat="1" x14ac:dyDescent="0.25">
      <c r="A1284" s="2" t="s">
        <v>906</v>
      </c>
      <c r="B1284" s="491" t="s">
        <v>2573</v>
      </c>
      <c r="C1284" s="2" t="s">
        <v>2580</v>
      </c>
      <c r="D1284" s="2">
        <v>0</v>
      </c>
      <c r="E1284" s="3" t="s">
        <v>1666</v>
      </c>
      <c r="F1284" s="270">
        <v>0</v>
      </c>
      <c r="H1284" s="14">
        <v>0</v>
      </c>
      <c r="L1284" s="2"/>
      <c r="P1284"/>
      <c r="Q1284"/>
      <c r="R1284"/>
      <c r="S1284"/>
      <c r="T1284"/>
    </row>
    <row r="1285" spans="1:20" s="14" customFormat="1" x14ac:dyDescent="0.25">
      <c r="A1285" s="2" t="s">
        <v>907</v>
      </c>
      <c r="B1285" s="491" t="s">
        <v>911</v>
      </c>
      <c r="C1285" s="2" t="s">
        <v>903</v>
      </c>
      <c r="D1285" s="2">
        <v>2</v>
      </c>
      <c r="E1285" s="3" t="s">
        <v>1666</v>
      </c>
      <c r="F1285" s="270">
        <v>3</v>
      </c>
      <c r="H1285" s="14">
        <v>3</v>
      </c>
      <c r="J1285" s="14">
        <v>3</v>
      </c>
      <c r="L1285" s="2"/>
      <c r="P1285"/>
      <c r="Q1285"/>
      <c r="R1285"/>
      <c r="S1285"/>
      <c r="T1285"/>
    </row>
    <row r="1286" spans="1:20" s="14" customFormat="1" x14ac:dyDescent="0.25">
      <c r="A1286" s="2" t="s">
        <v>909</v>
      </c>
      <c r="B1286" s="491" t="s">
        <v>913</v>
      </c>
      <c r="C1286" s="2" t="s">
        <v>903</v>
      </c>
      <c r="D1286" s="2">
        <v>0</v>
      </c>
      <c r="E1286" s="3" t="s">
        <v>1666</v>
      </c>
      <c r="F1286" s="270">
        <v>0</v>
      </c>
      <c r="H1286" s="14">
        <v>0</v>
      </c>
      <c r="L1286" s="2"/>
      <c r="P1286"/>
      <c r="Q1286"/>
      <c r="R1286"/>
      <c r="S1286"/>
      <c r="T1286"/>
    </row>
    <row r="1287" spans="1:20" s="14" customFormat="1" x14ac:dyDescent="0.25">
      <c r="A1287" s="2" t="s">
        <v>910</v>
      </c>
      <c r="B1287" s="491" t="s">
        <v>894</v>
      </c>
      <c r="C1287" s="2" t="s">
        <v>903</v>
      </c>
      <c r="D1287" s="2">
        <v>2</v>
      </c>
      <c r="E1287" s="3" t="s">
        <v>1666</v>
      </c>
      <c r="F1287" s="270">
        <v>2</v>
      </c>
      <c r="H1287" s="14">
        <v>2</v>
      </c>
      <c r="J1287" s="14">
        <v>2</v>
      </c>
      <c r="L1287" s="2"/>
      <c r="P1287"/>
      <c r="Q1287"/>
      <c r="R1287"/>
      <c r="S1287"/>
      <c r="T1287"/>
    </row>
    <row r="1288" spans="1:20" s="14" customFormat="1" x14ac:dyDescent="0.25">
      <c r="A1288" s="2" t="s">
        <v>912</v>
      </c>
      <c r="B1288" s="491" t="s">
        <v>3729</v>
      </c>
      <c r="C1288" s="2" t="s">
        <v>2580</v>
      </c>
      <c r="D1288" s="2">
        <v>1</v>
      </c>
      <c r="E1288" s="3" t="s">
        <v>1666</v>
      </c>
      <c r="F1288" s="270">
        <v>0</v>
      </c>
      <c r="H1288" s="14">
        <v>0</v>
      </c>
      <c r="L1288" s="2"/>
      <c r="P1288"/>
      <c r="Q1288"/>
      <c r="R1288"/>
      <c r="S1288"/>
      <c r="T1288"/>
    </row>
    <row r="1289" spans="1:20" s="14" customFormat="1" x14ac:dyDescent="0.25">
      <c r="A1289" s="2" t="s">
        <v>914</v>
      </c>
      <c r="B1289" s="491" t="s">
        <v>2608</v>
      </c>
      <c r="C1289" s="2" t="s">
        <v>2580</v>
      </c>
      <c r="D1289" s="2">
        <v>0</v>
      </c>
      <c r="E1289" s="3" t="s">
        <v>1666</v>
      </c>
      <c r="F1289" s="270">
        <v>0</v>
      </c>
      <c r="H1289" s="14">
        <v>0</v>
      </c>
      <c r="L1289" s="2"/>
      <c r="P1289"/>
      <c r="Q1289"/>
      <c r="R1289"/>
      <c r="S1289"/>
      <c r="T1289"/>
    </row>
    <row r="1290" spans="1:20" s="14" customFormat="1" x14ac:dyDescent="0.25">
      <c r="A1290" s="2" t="s">
        <v>915</v>
      </c>
      <c r="B1290" s="491" t="s">
        <v>2502</v>
      </c>
      <c r="C1290" s="2" t="s">
        <v>2580</v>
      </c>
      <c r="D1290" s="2">
        <v>0</v>
      </c>
      <c r="E1290" s="3" t="s">
        <v>1666</v>
      </c>
      <c r="F1290" s="270">
        <v>0</v>
      </c>
      <c r="H1290" s="14">
        <v>0</v>
      </c>
      <c r="L1290" s="2"/>
      <c r="P1290"/>
      <c r="Q1290"/>
      <c r="R1290"/>
      <c r="S1290"/>
      <c r="T1290"/>
    </row>
    <row r="1291" spans="1:20" s="14" customFormat="1" x14ac:dyDescent="0.25">
      <c r="A1291" s="2" t="s">
        <v>916</v>
      </c>
      <c r="B1291" s="491" t="s">
        <v>4342</v>
      </c>
      <c r="C1291" s="2" t="s">
        <v>2311</v>
      </c>
      <c r="D1291" s="2">
        <v>0</v>
      </c>
      <c r="E1291" s="3" t="s">
        <v>1666</v>
      </c>
      <c r="F1291" s="270">
        <v>0</v>
      </c>
      <c r="H1291" s="14">
        <v>0</v>
      </c>
      <c r="L1291" s="2"/>
      <c r="P1291"/>
      <c r="Q1291"/>
      <c r="R1291"/>
      <c r="S1291"/>
      <c r="T1291"/>
    </row>
    <row r="1292" spans="1:20" s="14" customFormat="1" x14ac:dyDescent="0.25">
      <c r="A1292" s="2" t="s">
        <v>917</v>
      </c>
      <c r="B1292" s="491" t="s">
        <v>3589</v>
      </c>
      <c r="C1292" s="2" t="s">
        <v>2311</v>
      </c>
      <c r="D1292" s="2">
        <v>6</v>
      </c>
      <c r="E1292" s="3" t="s">
        <v>1666</v>
      </c>
      <c r="F1292" s="270">
        <v>0</v>
      </c>
      <c r="H1292" s="14">
        <v>0</v>
      </c>
      <c r="L1292" s="2"/>
      <c r="P1292"/>
      <c r="Q1292"/>
      <c r="R1292"/>
      <c r="S1292"/>
      <c r="T1292"/>
    </row>
    <row r="1293" spans="1:20" s="14" customFormat="1" x14ac:dyDescent="0.25">
      <c r="A1293" s="2" t="s">
        <v>918</v>
      </c>
      <c r="B1293" s="491" t="s">
        <v>2314</v>
      </c>
      <c r="C1293" s="2" t="s">
        <v>2311</v>
      </c>
      <c r="D1293" s="2">
        <v>0</v>
      </c>
      <c r="E1293" s="3" t="s">
        <v>1666</v>
      </c>
      <c r="F1293" s="270">
        <v>0</v>
      </c>
      <c r="H1293" s="14">
        <v>0</v>
      </c>
      <c r="L1293" s="2"/>
      <c r="P1293"/>
      <c r="Q1293"/>
      <c r="R1293"/>
      <c r="S1293"/>
      <c r="T1293"/>
    </row>
    <row r="1294" spans="1:20" s="14" customFormat="1" x14ac:dyDescent="0.25">
      <c r="A1294" s="2" t="s">
        <v>919</v>
      </c>
      <c r="B1294" s="491" t="s">
        <v>3241</v>
      </c>
      <c r="C1294" s="2" t="s">
        <v>2311</v>
      </c>
      <c r="D1294" s="2">
        <v>16</v>
      </c>
      <c r="E1294" s="3" t="s">
        <v>1666</v>
      </c>
      <c r="F1294" s="270">
        <v>0</v>
      </c>
      <c r="H1294" s="14">
        <v>0</v>
      </c>
      <c r="J1294" s="14">
        <v>2</v>
      </c>
      <c r="L1294" s="2"/>
      <c r="P1294"/>
      <c r="Q1294"/>
      <c r="R1294"/>
      <c r="S1294"/>
      <c r="T1294"/>
    </row>
    <row r="1295" spans="1:20" s="14" customFormat="1" x14ac:dyDescent="0.25">
      <c r="A1295" s="2" t="s">
        <v>920</v>
      </c>
      <c r="B1295" s="491" t="s">
        <v>4628</v>
      </c>
      <c r="C1295" s="2" t="s">
        <v>2311</v>
      </c>
      <c r="D1295" s="2">
        <v>0</v>
      </c>
      <c r="E1295" s="3" t="s">
        <v>1666</v>
      </c>
      <c r="F1295" s="270">
        <v>0</v>
      </c>
      <c r="H1295" s="14">
        <v>0</v>
      </c>
      <c r="L1295" s="2"/>
      <c r="P1295"/>
      <c r="Q1295"/>
      <c r="R1295"/>
      <c r="S1295"/>
      <c r="T1295"/>
    </row>
    <row r="1296" spans="1:20" s="14" customFormat="1" x14ac:dyDescent="0.25">
      <c r="A1296" s="2" t="s">
        <v>921</v>
      </c>
      <c r="B1296" s="491" t="s">
        <v>2310</v>
      </c>
      <c r="C1296" s="2" t="s">
        <v>2309</v>
      </c>
      <c r="D1296" s="2">
        <v>0</v>
      </c>
      <c r="E1296" s="3" t="s">
        <v>1666</v>
      </c>
      <c r="F1296" s="270">
        <v>0</v>
      </c>
      <c r="H1296" s="14">
        <v>0</v>
      </c>
      <c r="L1296" s="2"/>
      <c r="P1296"/>
      <c r="Q1296"/>
      <c r="R1296"/>
      <c r="S1296"/>
      <c r="T1296"/>
    </row>
    <row r="1297" spans="1:20" s="14" customFormat="1" x14ac:dyDescent="0.25">
      <c r="A1297" s="2" t="s">
        <v>922</v>
      </c>
      <c r="B1297" s="491" t="s">
        <v>1654</v>
      </c>
      <c r="C1297" s="2" t="s">
        <v>1469</v>
      </c>
      <c r="D1297" s="2">
        <v>600</v>
      </c>
      <c r="E1297" s="3" t="s">
        <v>1570</v>
      </c>
      <c r="F1297" s="270">
        <v>0</v>
      </c>
      <c r="H1297" s="14">
        <v>0</v>
      </c>
      <c r="L1297" s="2"/>
      <c r="P1297"/>
      <c r="Q1297"/>
      <c r="R1297"/>
      <c r="S1297"/>
      <c r="T1297"/>
    </row>
    <row r="1298" spans="1:20" s="14" customFormat="1" x14ac:dyDescent="0.25">
      <c r="A1298" s="2" t="s">
        <v>923</v>
      </c>
      <c r="B1298" s="491" t="s">
        <v>2203</v>
      </c>
      <c r="C1298" s="2" t="s">
        <v>2197</v>
      </c>
      <c r="D1298" s="2">
        <v>12</v>
      </c>
      <c r="E1298" s="3" t="s">
        <v>1666</v>
      </c>
      <c r="F1298" s="270">
        <v>0</v>
      </c>
      <c r="H1298" s="14">
        <v>0</v>
      </c>
      <c r="L1298" s="2"/>
      <c r="P1298"/>
      <c r="Q1298"/>
      <c r="R1298"/>
      <c r="S1298"/>
      <c r="T1298"/>
    </row>
    <row r="1299" spans="1:20" s="14" customFormat="1" x14ac:dyDescent="0.25">
      <c r="A1299" s="2" t="s">
        <v>1468</v>
      </c>
      <c r="B1299" s="491" t="s">
        <v>2204</v>
      </c>
      <c r="C1299" s="2" t="s">
        <v>2197</v>
      </c>
      <c r="D1299" s="2">
        <v>0</v>
      </c>
      <c r="E1299" s="3" t="s">
        <v>1666</v>
      </c>
      <c r="F1299" s="270">
        <v>0</v>
      </c>
      <c r="H1299" s="14">
        <v>0</v>
      </c>
      <c r="L1299" s="2"/>
      <c r="P1299"/>
      <c r="Q1299"/>
      <c r="R1299"/>
      <c r="S1299"/>
      <c r="T1299"/>
    </row>
    <row r="1300" spans="1:20" s="14" customFormat="1" x14ac:dyDescent="0.25">
      <c r="A1300" s="2" t="s">
        <v>1471</v>
      </c>
      <c r="B1300" s="491" t="s">
        <v>1655</v>
      </c>
      <c r="C1300" s="2" t="s">
        <v>1469</v>
      </c>
      <c r="D1300" s="2">
        <v>282</v>
      </c>
      <c r="E1300" s="3" t="s">
        <v>1570</v>
      </c>
      <c r="F1300" s="270">
        <v>4</v>
      </c>
      <c r="H1300" s="14">
        <v>3</v>
      </c>
      <c r="J1300" s="14">
        <v>2</v>
      </c>
      <c r="L1300" s="2"/>
      <c r="P1300"/>
      <c r="Q1300"/>
      <c r="R1300"/>
      <c r="S1300"/>
      <c r="T1300"/>
    </row>
    <row r="1301" spans="1:20" s="14" customFormat="1" x14ac:dyDescent="0.25">
      <c r="A1301" s="2" t="s">
        <v>1472</v>
      </c>
      <c r="B1301" s="491" t="s">
        <v>1656</v>
      </c>
      <c r="C1301" s="2" t="s">
        <v>1469</v>
      </c>
      <c r="D1301" s="2">
        <v>800</v>
      </c>
      <c r="E1301" s="3" t="s">
        <v>1570</v>
      </c>
      <c r="F1301" s="270">
        <v>0</v>
      </c>
      <c r="L1301" s="2"/>
      <c r="P1301"/>
      <c r="Q1301"/>
      <c r="R1301"/>
      <c r="S1301"/>
      <c r="T1301"/>
    </row>
    <row r="1302" spans="1:20" s="14" customFormat="1" x14ac:dyDescent="0.25">
      <c r="A1302" s="2" t="s">
        <v>1473</v>
      </c>
      <c r="B1302" s="491" t="s">
        <v>1657</v>
      </c>
      <c r="C1302" s="2" t="s">
        <v>1469</v>
      </c>
      <c r="D1302" s="2">
        <v>62</v>
      </c>
      <c r="E1302" s="3" t="s">
        <v>1570</v>
      </c>
      <c r="F1302" s="270">
        <v>1</v>
      </c>
      <c r="J1302" s="14">
        <v>1</v>
      </c>
      <c r="L1302" s="2"/>
      <c r="P1302"/>
      <c r="Q1302"/>
      <c r="R1302"/>
      <c r="S1302"/>
      <c r="T1302"/>
    </row>
    <row r="1303" spans="1:20" s="14" customFormat="1" x14ac:dyDescent="0.25">
      <c r="A1303" s="2" t="s">
        <v>1474</v>
      </c>
      <c r="B1303" s="491" t="s">
        <v>1658</v>
      </c>
      <c r="C1303" s="2" t="s">
        <v>1469</v>
      </c>
      <c r="D1303" s="2">
        <v>5</v>
      </c>
      <c r="E1303" s="3" t="s">
        <v>1570</v>
      </c>
      <c r="F1303" s="270">
        <v>5</v>
      </c>
      <c r="L1303" s="2"/>
      <c r="P1303"/>
      <c r="Q1303"/>
      <c r="R1303"/>
      <c r="S1303"/>
      <c r="T1303"/>
    </row>
    <row r="1304" spans="1:20" s="14" customFormat="1" x14ac:dyDescent="0.25">
      <c r="A1304" s="2" t="s">
        <v>1475</v>
      </c>
      <c r="B1304" s="491" t="s">
        <v>1659</v>
      </c>
      <c r="C1304" s="2" t="s">
        <v>1469</v>
      </c>
      <c r="D1304" s="2">
        <v>20</v>
      </c>
      <c r="E1304" s="3" t="s">
        <v>1570</v>
      </c>
      <c r="F1304" s="270">
        <v>0</v>
      </c>
      <c r="L1304" s="2"/>
      <c r="P1304"/>
      <c r="Q1304"/>
      <c r="R1304"/>
      <c r="S1304"/>
      <c r="T1304"/>
    </row>
    <row r="1305" spans="1:20" s="14" customFormat="1" x14ac:dyDescent="0.25">
      <c r="A1305" s="2" t="s">
        <v>1662</v>
      </c>
      <c r="B1305" s="491" t="s">
        <v>1660</v>
      </c>
      <c r="C1305" s="2" t="s">
        <v>1469</v>
      </c>
      <c r="D1305" s="2">
        <v>660</v>
      </c>
      <c r="E1305" s="3" t="s">
        <v>1570</v>
      </c>
      <c r="F1305" s="270">
        <v>1</v>
      </c>
      <c r="L1305" s="2"/>
      <c r="P1305"/>
      <c r="Q1305"/>
      <c r="R1305"/>
      <c r="S1305"/>
      <c r="T1305"/>
    </row>
    <row r="1306" spans="1:20" s="14" customFormat="1" x14ac:dyDescent="0.25">
      <c r="A1306" s="2" t="s">
        <v>1663</v>
      </c>
      <c r="B1306" s="491" t="s">
        <v>1661</v>
      </c>
      <c r="C1306" s="2" t="s">
        <v>1469</v>
      </c>
      <c r="D1306" s="2">
        <v>331</v>
      </c>
      <c r="E1306" s="3" t="s">
        <v>1570</v>
      </c>
      <c r="F1306" s="270">
        <v>1</v>
      </c>
      <c r="H1306" s="14">
        <v>1</v>
      </c>
      <c r="J1306" s="14">
        <v>1</v>
      </c>
      <c r="L1306" s="2"/>
      <c r="P1306"/>
      <c r="Q1306"/>
      <c r="R1306"/>
      <c r="S1306"/>
      <c r="T1306"/>
    </row>
    <row r="1307" spans="1:20" s="14" customFormat="1" x14ac:dyDescent="0.25">
      <c r="A1307" s="2" t="s">
        <v>1664</v>
      </c>
      <c r="B1307" s="491" t="s">
        <v>1713</v>
      </c>
      <c r="C1307" s="2" t="s">
        <v>1469</v>
      </c>
      <c r="D1307" s="2">
        <v>137</v>
      </c>
      <c r="E1307" s="3" t="s">
        <v>1570</v>
      </c>
      <c r="F1307" s="270">
        <v>185</v>
      </c>
      <c r="H1307" s="14">
        <v>64</v>
      </c>
      <c r="I1307" s="14">
        <v>72</v>
      </c>
      <c r="K1307" s="14">
        <v>120</v>
      </c>
      <c r="L1307" s="2"/>
      <c r="P1307"/>
      <c r="Q1307"/>
      <c r="R1307"/>
      <c r="S1307"/>
      <c r="T1307"/>
    </row>
    <row r="1308" spans="1:20" s="14" customFormat="1" x14ac:dyDescent="0.25">
      <c r="A1308" s="2" t="s">
        <v>1665</v>
      </c>
      <c r="B1308" s="491" t="s">
        <v>1914</v>
      </c>
      <c r="C1308" s="2" t="s">
        <v>1469</v>
      </c>
      <c r="D1308" s="2">
        <v>17</v>
      </c>
      <c r="E1308" s="3" t="s">
        <v>1570</v>
      </c>
      <c r="F1308" s="270"/>
      <c r="H1308" s="14">
        <v>13</v>
      </c>
      <c r="I1308" s="14">
        <v>8</v>
      </c>
      <c r="J1308" s="14">
        <v>0</v>
      </c>
      <c r="K1308" s="14">
        <v>0</v>
      </c>
      <c r="L1308" s="2">
        <v>7</v>
      </c>
      <c r="M1308" s="14">
        <v>2</v>
      </c>
      <c r="N1308" s="14">
        <v>7</v>
      </c>
      <c r="O1308" s="14">
        <v>2</v>
      </c>
      <c r="P1308"/>
      <c r="Q1308"/>
      <c r="R1308"/>
      <c r="S1308"/>
      <c r="T1308"/>
    </row>
    <row r="1309" spans="1:20" s="14" customFormat="1" x14ac:dyDescent="0.25">
      <c r="A1309" s="2" t="s">
        <v>1714</v>
      </c>
      <c r="B1309" s="491" t="s">
        <v>1884</v>
      </c>
      <c r="C1309" s="2" t="s">
        <v>1885</v>
      </c>
      <c r="D1309" s="2">
        <v>0</v>
      </c>
      <c r="E1309" s="3" t="s">
        <v>1876</v>
      </c>
      <c r="F1309" s="270"/>
      <c r="H1309" s="14">
        <v>0</v>
      </c>
      <c r="I1309" s="14">
        <v>0</v>
      </c>
      <c r="J1309" s="14">
        <v>0</v>
      </c>
      <c r="K1309" s="14">
        <v>0</v>
      </c>
      <c r="L1309" s="2">
        <v>0</v>
      </c>
      <c r="M1309" s="14">
        <v>0</v>
      </c>
      <c r="N1309" s="14">
        <v>0</v>
      </c>
      <c r="O1309" s="14">
        <v>0</v>
      </c>
      <c r="P1309"/>
      <c r="Q1309"/>
      <c r="R1309"/>
      <c r="S1309"/>
      <c r="T1309"/>
    </row>
    <row r="1310" spans="1:20" s="14" customFormat="1" x14ac:dyDescent="0.25">
      <c r="A1310" s="2" t="s">
        <v>1913</v>
      </c>
      <c r="B1310" s="491" t="s">
        <v>1963</v>
      </c>
      <c r="C1310" s="2" t="s">
        <v>1885</v>
      </c>
      <c r="D1310" s="2">
        <v>402</v>
      </c>
      <c r="E1310" s="3" t="s">
        <v>1876</v>
      </c>
      <c r="F1310" s="270">
        <v>286</v>
      </c>
      <c r="H1310" s="14">
        <v>695</v>
      </c>
      <c r="I1310" s="14">
        <v>414</v>
      </c>
      <c r="K1310" s="14">
        <v>112</v>
      </c>
      <c r="L1310" s="2"/>
      <c r="P1310"/>
      <c r="Q1310"/>
      <c r="R1310"/>
      <c r="S1310"/>
      <c r="T1310"/>
    </row>
    <row r="1311" spans="1:20" s="14" customFormat="1" x14ac:dyDescent="0.25">
      <c r="A1311" s="2" t="s">
        <v>2303</v>
      </c>
      <c r="B1311" s="491" t="s">
        <v>2205</v>
      </c>
      <c r="C1311" s="2" t="s">
        <v>2197</v>
      </c>
      <c r="D1311" s="2">
        <v>250</v>
      </c>
      <c r="E1311" s="3" t="s">
        <v>1570</v>
      </c>
      <c r="F1311" s="270">
        <v>252</v>
      </c>
      <c r="H1311" s="14">
        <v>168</v>
      </c>
      <c r="I1311" s="14">
        <v>10</v>
      </c>
      <c r="K1311" s="14">
        <v>174</v>
      </c>
      <c r="L1311" s="2"/>
      <c r="P1311"/>
      <c r="Q1311"/>
      <c r="R1311"/>
      <c r="S1311"/>
      <c r="T1311"/>
    </row>
    <row r="1312" spans="1:20" s="14" customFormat="1" x14ac:dyDescent="0.25">
      <c r="A1312" s="2" t="s">
        <v>1964</v>
      </c>
      <c r="B1312" s="491" t="s">
        <v>2202</v>
      </c>
      <c r="C1312" s="2" t="s">
        <v>2198</v>
      </c>
      <c r="D1312" s="2">
        <v>480</v>
      </c>
      <c r="E1312" s="3" t="s">
        <v>1570</v>
      </c>
      <c r="F1312" s="270">
        <v>8</v>
      </c>
      <c r="H1312" s="14">
        <v>40</v>
      </c>
      <c r="I1312" s="14">
        <v>0</v>
      </c>
      <c r="J1312" s="14">
        <v>4</v>
      </c>
      <c r="K1312" s="14">
        <v>16</v>
      </c>
      <c r="L1312" s="2"/>
      <c r="P1312"/>
      <c r="Q1312"/>
      <c r="R1312"/>
      <c r="S1312"/>
      <c r="T1312"/>
    </row>
    <row r="1313" spans="1:20" s="14" customFormat="1" x14ac:dyDescent="0.25">
      <c r="A1313" s="2" t="s">
        <v>2034</v>
      </c>
      <c r="B1313" s="491" t="s">
        <v>2064</v>
      </c>
      <c r="C1313" s="2" t="s">
        <v>2037</v>
      </c>
      <c r="D1313" s="2">
        <v>115</v>
      </c>
      <c r="E1313" s="3" t="s">
        <v>1570</v>
      </c>
      <c r="F1313" s="270">
        <v>2</v>
      </c>
      <c r="H1313" s="14">
        <v>9</v>
      </c>
      <c r="I1313" s="14">
        <v>0</v>
      </c>
      <c r="K1313" s="14">
        <v>16</v>
      </c>
      <c r="L1313" s="2"/>
      <c r="P1313"/>
      <c r="Q1313"/>
      <c r="R1313"/>
      <c r="S1313"/>
      <c r="T1313"/>
    </row>
    <row r="1314" spans="1:20" s="14" customFormat="1" x14ac:dyDescent="0.25">
      <c r="A1314" s="2" t="s">
        <v>2035</v>
      </c>
      <c r="B1314" s="491" t="s">
        <v>2206</v>
      </c>
      <c r="C1314" s="2" t="s">
        <v>2197</v>
      </c>
      <c r="D1314" s="2">
        <v>55</v>
      </c>
      <c r="E1314" s="3" t="s">
        <v>1570</v>
      </c>
      <c r="F1314" s="270">
        <v>1</v>
      </c>
      <c r="H1314" s="14">
        <v>26</v>
      </c>
      <c r="I1314" s="14">
        <v>0</v>
      </c>
      <c r="K1314" s="14">
        <v>18</v>
      </c>
      <c r="L1314" s="2"/>
      <c r="P1314"/>
      <c r="Q1314"/>
      <c r="R1314"/>
      <c r="S1314"/>
      <c r="T1314"/>
    </row>
    <row r="1315" spans="1:20" s="14" customFormat="1" x14ac:dyDescent="0.25">
      <c r="A1315" s="2" t="s">
        <v>2036</v>
      </c>
      <c r="B1315" s="491" t="s">
        <v>2967</v>
      </c>
      <c r="C1315" s="2" t="s">
        <v>2083</v>
      </c>
      <c r="D1315" s="2">
        <v>219</v>
      </c>
      <c r="E1315" s="3" t="s">
        <v>2092</v>
      </c>
      <c r="F1315" s="270">
        <v>38</v>
      </c>
      <c r="H1315" s="14">
        <v>160</v>
      </c>
      <c r="I1315" s="14">
        <v>168</v>
      </c>
      <c r="K1315" s="14">
        <v>144</v>
      </c>
      <c r="L1315" s="2"/>
      <c r="P1315"/>
      <c r="Q1315"/>
      <c r="R1315"/>
      <c r="S1315"/>
      <c r="T1315"/>
    </row>
    <row r="1316" spans="1:20" s="14" customFormat="1" x14ac:dyDescent="0.25">
      <c r="A1316" s="2" t="s">
        <v>2038</v>
      </c>
      <c r="B1316" s="491" t="s">
        <v>5884</v>
      </c>
      <c r="C1316" s="2" t="s">
        <v>794</v>
      </c>
      <c r="D1316" s="2">
        <v>242</v>
      </c>
      <c r="E1316" s="3" t="s">
        <v>1551</v>
      </c>
      <c r="F1316" s="270">
        <v>21</v>
      </c>
      <c r="H1316" s="14">
        <v>96</v>
      </c>
      <c r="I1316" s="14">
        <v>54</v>
      </c>
      <c r="K1316" s="14">
        <v>42</v>
      </c>
      <c r="L1316" s="2"/>
      <c r="P1316"/>
      <c r="Q1316"/>
      <c r="R1316"/>
      <c r="S1316"/>
      <c r="T1316"/>
    </row>
    <row r="1317" spans="1:20" s="14" customFormat="1" x14ac:dyDescent="0.25">
      <c r="A1317" s="2" t="s">
        <v>2082</v>
      </c>
      <c r="B1317" s="491" t="s">
        <v>5612</v>
      </c>
      <c r="C1317" s="2" t="s">
        <v>802</v>
      </c>
      <c r="D1317" s="2">
        <v>23</v>
      </c>
      <c r="E1317" s="3" t="s">
        <v>1570</v>
      </c>
      <c r="F1317" s="270">
        <v>16</v>
      </c>
      <c r="H1317" s="14">
        <v>11</v>
      </c>
      <c r="I1317" s="14">
        <v>2</v>
      </c>
      <c r="K1317" s="14">
        <v>6</v>
      </c>
      <c r="L1317" s="2"/>
      <c r="P1317"/>
      <c r="Q1317"/>
      <c r="R1317"/>
      <c r="S1317"/>
      <c r="T1317"/>
    </row>
    <row r="1318" spans="1:20" s="14" customFormat="1" x14ac:dyDescent="0.25">
      <c r="A1318" s="2" t="s">
        <v>2096</v>
      </c>
      <c r="B1318" s="491" t="s">
        <v>2196</v>
      </c>
      <c r="C1318" s="2" t="s">
        <v>2197</v>
      </c>
      <c r="D1318" s="2">
        <v>25</v>
      </c>
      <c r="E1318" s="3" t="s">
        <v>1570</v>
      </c>
      <c r="F1318" s="270">
        <v>0</v>
      </c>
      <c r="H1318" s="14">
        <v>9</v>
      </c>
      <c r="I1318" s="14">
        <v>6</v>
      </c>
      <c r="K1318" s="14">
        <v>8</v>
      </c>
      <c r="L1318" s="2"/>
      <c r="P1318"/>
      <c r="Q1318"/>
      <c r="R1318"/>
      <c r="S1318"/>
      <c r="T1318"/>
    </row>
    <row r="1319" spans="1:20" s="14" customFormat="1" x14ac:dyDescent="0.25">
      <c r="A1319" s="2" t="s">
        <v>2098</v>
      </c>
      <c r="B1319" s="491" t="s">
        <v>2288</v>
      </c>
      <c r="C1319" s="2" t="s">
        <v>1469</v>
      </c>
      <c r="D1319" s="2">
        <v>141</v>
      </c>
      <c r="E1319" s="3" t="s">
        <v>1570</v>
      </c>
      <c r="F1319" s="270"/>
      <c r="L1319" s="2"/>
      <c r="P1319"/>
      <c r="Q1319"/>
      <c r="R1319"/>
      <c r="S1319"/>
      <c r="T1319"/>
    </row>
    <row r="1320" spans="1:20" s="14" customFormat="1" x14ac:dyDescent="0.25">
      <c r="A1320" s="2" t="s">
        <v>2195</v>
      </c>
      <c r="B1320" s="491" t="s">
        <v>2307</v>
      </c>
      <c r="C1320" s="2" t="s">
        <v>2311</v>
      </c>
      <c r="D1320" s="2">
        <v>11</v>
      </c>
      <c r="E1320" s="3" t="s">
        <v>1876</v>
      </c>
      <c r="F1320" s="270"/>
      <c r="L1320" s="2"/>
      <c r="P1320"/>
      <c r="Q1320"/>
      <c r="R1320"/>
      <c r="S1320"/>
      <c r="T1320"/>
    </row>
    <row r="1321" spans="1:20" s="14" customFormat="1" x14ac:dyDescent="0.25">
      <c r="A1321" s="2" t="s">
        <v>2287</v>
      </c>
      <c r="B1321" s="491" t="s">
        <v>5174</v>
      </c>
      <c r="C1321" s="2" t="s">
        <v>2083</v>
      </c>
      <c r="D1321" s="2">
        <v>36</v>
      </c>
      <c r="E1321" s="3" t="s">
        <v>1572</v>
      </c>
      <c r="F1321" s="270"/>
      <c r="H1321" s="14">
        <v>17</v>
      </c>
      <c r="I1321" s="14">
        <v>6</v>
      </c>
      <c r="J1321" s="14">
        <v>6</v>
      </c>
      <c r="K1321" s="14">
        <v>2</v>
      </c>
      <c r="L1321" s="2">
        <v>0</v>
      </c>
      <c r="M1321" s="14">
        <v>0</v>
      </c>
      <c r="N1321" s="14">
        <v>0</v>
      </c>
      <c r="O1321" s="14">
        <v>0</v>
      </c>
      <c r="P1321"/>
      <c r="Q1321"/>
      <c r="R1321"/>
      <c r="S1321"/>
      <c r="T1321"/>
    </row>
    <row r="1322" spans="1:20" s="14" customFormat="1" x14ac:dyDescent="0.25">
      <c r="A1322" s="2" t="s">
        <v>2306</v>
      </c>
      <c r="B1322" s="491" t="s">
        <v>2335</v>
      </c>
      <c r="C1322" s="2" t="s">
        <v>2336</v>
      </c>
      <c r="D1322" s="2">
        <v>200</v>
      </c>
      <c r="E1322" s="3" t="s">
        <v>1572</v>
      </c>
      <c r="F1322" s="270"/>
      <c r="H1322" s="14">
        <v>0</v>
      </c>
      <c r="I1322" s="14">
        <v>100</v>
      </c>
      <c r="J1322" s="14">
        <v>20</v>
      </c>
      <c r="K1322" s="14">
        <v>50</v>
      </c>
      <c r="L1322" s="2">
        <v>120</v>
      </c>
      <c r="M1322" s="14">
        <v>100</v>
      </c>
      <c r="N1322" s="14">
        <v>100</v>
      </c>
      <c r="O1322" s="14">
        <v>40</v>
      </c>
      <c r="P1322"/>
      <c r="Q1322"/>
      <c r="R1322"/>
      <c r="S1322"/>
      <c r="T1322"/>
    </row>
    <row r="1323" spans="1:20" s="14" customFormat="1" x14ac:dyDescent="0.25">
      <c r="A1323" s="2" t="s">
        <v>2308</v>
      </c>
      <c r="B1323" s="491" t="s">
        <v>2338</v>
      </c>
      <c r="C1323" s="2" t="s">
        <v>2336</v>
      </c>
      <c r="D1323" s="2">
        <v>105</v>
      </c>
      <c r="E1323" s="3" t="s">
        <v>1572</v>
      </c>
      <c r="F1323" s="270"/>
      <c r="H1323" s="14">
        <v>0</v>
      </c>
      <c r="I1323" s="14">
        <v>28</v>
      </c>
      <c r="J1323" s="14">
        <v>28</v>
      </c>
      <c r="K1323" s="14">
        <v>14</v>
      </c>
      <c r="L1323" s="2">
        <v>62</v>
      </c>
      <c r="M1323" s="14">
        <v>56</v>
      </c>
      <c r="N1323" s="14">
        <v>56</v>
      </c>
      <c r="O1323" s="14">
        <v>7</v>
      </c>
      <c r="P1323"/>
      <c r="Q1323"/>
      <c r="R1323"/>
      <c r="S1323"/>
      <c r="T1323"/>
    </row>
    <row r="1324" spans="1:20" s="14" customFormat="1" x14ac:dyDescent="0.25">
      <c r="A1324" s="2" t="s">
        <v>2334</v>
      </c>
      <c r="B1324" s="491" t="s">
        <v>2340</v>
      </c>
      <c r="C1324" s="2" t="s">
        <v>2336</v>
      </c>
      <c r="D1324" s="2">
        <v>22</v>
      </c>
      <c r="E1324" s="3" t="s">
        <v>1572</v>
      </c>
      <c r="F1324" s="270"/>
      <c r="H1324" s="14">
        <v>15</v>
      </c>
      <c r="I1324" s="14">
        <v>2</v>
      </c>
      <c r="J1324" s="14">
        <v>1</v>
      </c>
      <c r="K1324" s="14">
        <v>0</v>
      </c>
      <c r="L1324" s="2">
        <v>0</v>
      </c>
      <c r="M1324" s="14">
        <v>9</v>
      </c>
      <c r="N1324" s="14">
        <v>3</v>
      </c>
      <c r="O1324" s="14">
        <v>1</v>
      </c>
      <c r="P1324"/>
      <c r="Q1324"/>
      <c r="R1324"/>
      <c r="S1324"/>
      <c r="T1324"/>
    </row>
    <row r="1325" spans="1:20" s="14" customFormat="1" x14ac:dyDescent="0.25">
      <c r="A1325" s="2" t="s">
        <v>2337</v>
      </c>
      <c r="B1325" s="491" t="s">
        <v>2356</v>
      </c>
      <c r="C1325" s="2" t="s">
        <v>802</v>
      </c>
      <c r="D1325" s="2">
        <v>1</v>
      </c>
      <c r="E1325" s="3" t="s">
        <v>2092</v>
      </c>
      <c r="F1325" s="270">
        <v>0</v>
      </c>
      <c r="J1325" s="14">
        <v>4</v>
      </c>
      <c r="L1325" s="2"/>
      <c r="P1325"/>
      <c r="Q1325"/>
      <c r="R1325"/>
      <c r="S1325"/>
      <c r="T1325"/>
    </row>
    <row r="1326" spans="1:20" s="14" customFormat="1" x14ac:dyDescent="0.25">
      <c r="A1326" s="2" t="s">
        <v>2339</v>
      </c>
      <c r="B1326" s="491" t="s">
        <v>2358</v>
      </c>
      <c r="C1326" s="2" t="s">
        <v>802</v>
      </c>
      <c r="D1326" s="2">
        <v>10</v>
      </c>
      <c r="E1326" s="3" t="s">
        <v>793</v>
      </c>
      <c r="F1326" s="270"/>
      <c r="G1326" s="14">
        <v>2</v>
      </c>
      <c r="H1326" s="14">
        <v>1</v>
      </c>
      <c r="I1326" s="14">
        <v>9</v>
      </c>
      <c r="L1326" s="2"/>
      <c r="M1326" s="14">
        <v>2</v>
      </c>
      <c r="P1326"/>
      <c r="Q1326"/>
      <c r="R1326"/>
      <c r="S1326"/>
      <c r="T1326"/>
    </row>
    <row r="1327" spans="1:20" s="14" customFormat="1" x14ac:dyDescent="0.25">
      <c r="A1327" s="2" t="s">
        <v>2355</v>
      </c>
      <c r="B1327" s="491" t="s">
        <v>4349</v>
      </c>
      <c r="C1327" s="2" t="s">
        <v>2083</v>
      </c>
      <c r="D1327" s="2">
        <v>18</v>
      </c>
      <c r="E1327" s="3" t="s">
        <v>2092</v>
      </c>
      <c r="F1327" s="270"/>
      <c r="H1327" s="14">
        <v>4</v>
      </c>
      <c r="I1327" s="14">
        <v>0</v>
      </c>
      <c r="L1327" s="2"/>
      <c r="M1327" s="14">
        <v>0</v>
      </c>
      <c r="P1327"/>
      <c r="Q1327"/>
      <c r="R1327"/>
      <c r="S1327"/>
      <c r="T1327"/>
    </row>
    <row r="1328" spans="1:20" x14ac:dyDescent="0.25">
      <c r="A1328" s="2" t="s">
        <v>2357</v>
      </c>
      <c r="B1328" s="491" t="s">
        <v>2606</v>
      </c>
      <c r="C1328" s="2" t="s">
        <v>2083</v>
      </c>
      <c r="D1328" s="2">
        <v>13</v>
      </c>
      <c r="E1328" s="3" t="s">
        <v>1572</v>
      </c>
      <c r="F1328" s="270"/>
      <c r="G1328" s="14"/>
      <c r="H1328" s="14">
        <v>20</v>
      </c>
      <c r="I1328" s="14">
        <v>16</v>
      </c>
      <c r="J1328" s="14">
        <v>3</v>
      </c>
      <c r="K1328" s="14">
        <v>0</v>
      </c>
      <c r="L1328" s="2">
        <v>0</v>
      </c>
      <c r="M1328" s="14">
        <v>5</v>
      </c>
      <c r="N1328" s="14">
        <v>2</v>
      </c>
      <c r="O1328" s="14">
        <v>4</v>
      </c>
    </row>
    <row r="1329" spans="1:15" x14ac:dyDescent="0.25">
      <c r="A1329" s="2" t="s">
        <v>2604</v>
      </c>
      <c r="B1329" s="491" t="s">
        <v>2610</v>
      </c>
      <c r="C1329" s="2" t="s">
        <v>2083</v>
      </c>
      <c r="D1329" s="2">
        <v>67</v>
      </c>
      <c r="E1329" s="3" t="s">
        <v>1570</v>
      </c>
      <c r="F1329" s="270">
        <v>10</v>
      </c>
      <c r="G1329" s="14"/>
      <c r="H1329" s="14">
        <v>10</v>
      </c>
      <c r="I1329" s="14">
        <v>9</v>
      </c>
      <c r="J1329" s="14"/>
      <c r="K1329" s="14">
        <v>0</v>
      </c>
      <c r="L1329" s="2"/>
      <c r="M1329" s="14"/>
      <c r="N1329" s="14"/>
      <c r="O1329" s="14"/>
    </row>
    <row r="1330" spans="1:15" x14ac:dyDescent="0.25">
      <c r="A1330" s="2" t="s">
        <v>2605</v>
      </c>
      <c r="B1330" s="491" t="s">
        <v>2612</v>
      </c>
      <c r="C1330" s="2" t="s">
        <v>2083</v>
      </c>
      <c r="D1330" s="2">
        <v>1</v>
      </c>
      <c r="E1330" s="3" t="s">
        <v>1666</v>
      </c>
      <c r="F1330" s="270">
        <v>2</v>
      </c>
      <c r="G1330" s="14"/>
      <c r="H1330" s="14"/>
      <c r="I1330" s="14"/>
      <c r="J1330" s="14">
        <v>1</v>
      </c>
      <c r="K1330" s="14"/>
      <c r="L1330" s="2"/>
      <c r="M1330" s="14"/>
      <c r="N1330" s="14"/>
      <c r="O1330" s="14"/>
    </row>
    <row r="1331" spans="1:15" x14ac:dyDescent="0.25">
      <c r="A1331" s="2" t="s">
        <v>2609</v>
      </c>
      <c r="B1331" s="491" t="s">
        <v>2617</v>
      </c>
      <c r="C1331" s="2" t="s">
        <v>2083</v>
      </c>
      <c r="D1331" s="2">
        <v>0</v>
      </c>
      <c r="E1331" s="3" t="s">
        <v>2092</v>
      </c>
      <c r="F1331" s="270">
        <v>1</v>
      </c>
      <c r="G1331" s="14"/>
      <c r="H1331" s="14"/>
      <c r="I1331" s="14"/>
      <c r="J1331" s="14">
        <v>2</v>
      </c>
      <c r="K1331" s="14"/>
      <c r="L1331" s="2"/>
      <c r="M1331" s="14"/>
      <c r="N1331" s="14"/>
      <c r="O1331" s="14"/>
    </row>
    <row r="1332" spans="1:15" x14ac:dyDescent="0.25">
      <c r="A1332" s="2" t="s">
        <v>2611</v>
      </c>
      <c r="B1332" s="491" t="s">
        <v>2618</v>
      </c>
      <c r="C1332" s="2" t="s">
        <v>2083</v>
      </c>
      <c r="D1332" s="2">
        <v>0</v>
      </c>
      <c r="E1332" s="3" t="s">
        <v>1876</v>
      </c>
      <c r="F1332" s="270"/>
      <c r="G1332" s="14"/>
      <c r="H1332" s="14"/>
      <c r="I1332" s="14"/>
      <c r="J1332" s="14"/>
      <c r="K1332" s="14"/>
      <c r="L1332" s="2"/>
      <c r="M1332" s="14"/>
      <c r="N1332" s="14"/>
      <c r="O1332" s="14"/>
    </row>
    <row r="1333" spans="1:15" x14ac:dyDescent="0.25">
      <c r="A1333" s="2" t="s">
        <v>2613</v>
      </c>
      <c r="B1333" s="491" t="s">
        <v>2616</v>
      </c>
      <c r="C1333" s="2" t="s">
        <v>2083</v>
      </c>
      <c r="D1333" s="2">
        <v>0</v>
      </c>
      <c r="E1333" s="3" t="s">
        <v>1876</v>
      </c>
      <c r="F1333" s="270"/>
      <c r="G1333" s="14"/>
      <c r="H1333" s="14"/>
      <c r="I1333" s="14"/>
      <c r="J1333" s="14"/>
      <c r="K1333" s="14"/>
      <c r="L1333" s="2"/>
      <c r="M1333" s="14"/>
      <c r="N1333" s="14"/>
      <c r="O1333" s="14"/>
    </row>
    <row r="1334" spans="1:15" x14ac:dyDescent="0.25">
      <c r="A1334" s="2" t="s">
        <v>2614</v>
      </c>
      <c r="B1334" s="491" t="s">
        <v>2644</v>
      </c>
      <c r="C1334" s="2" t="s">
        <v>1469</v>
      </c>
      <c r="D1334" s="2">
        <v>31</v>
      </c>
      <c r="E1334" s="3" t="s">
        <v>1570</v>
      </c>
      <c r="F1334" s="270"/>
      <c r="G1334" s="14"/>
      <c r="H1334" s="14"/>
      <c r="I1334" s="14"/>
      <c r="J1334" s="14"/>
      <c r="K1334" s="14"/>
      <c r="L1334" s="2"/>
      <c r="M1334" s="14"/>
      <c r="N1334" s="14"/>
      <c r="O1334" s="14"/>
    </row>
    <row r="1335" spans="1:15" x14ac:dyDescent="0.25">
      <c r="A1335" s="2" t="s">
        <v>2615</v>
      </c>
      <c r="B1335" s="491" t="s">
        <v>3598</v>
      </c>
      <c r="C1335" s="2" t="s">
        <v>3599</v>
      </c>
      <c r="D1335" s="2">
        <v>0</v>
      </c>
      <c r="E1335" s="3" t="s">
        <v>793</v>
      </c>
      <c r="F1335" s="270"/>
      <c r="G1335" s="14"/>
      <c r="H1335" s="14">
        <v>24</v>
      </c>
      <c r="I1335" s="14">
        <v>24</v>
      </c>
      <c r="J1335" s="14"/>
      <c r="K1335" s="14"/>
      <c r="L1335" s="2"/>
      <c r="M1335" s="14">
        <v>0</v>
      </c>
      <c r="N1335" s="14"/>
      <c r="O1335" s="14"/>
    </row>
    <row r="1336" spans="1:15" x14ac:dyDescent="0.25">
      <c r="A1336" s="2" t="s">
        <v>2643</v>
      </c>
      <c r="B1336" s="491" t="s">
        <v>3600</v>
      </c>
      <c r="C1336" s="2" t="s">
        <v>3601</v>
      </c>
      <c r="D1336" s="2">
        <v>0</v>
      </c>
      <c r="E1336" s="3" t="s">
        <v>793</v>
      </c>
      <c r="F1336" s="270"/>
      <c r="G1336" s="14"/>
      <c r="H1336" s="14">
        <v>24</v>
      </c>
      <c r="I1336" s="14">
        <v>24</v>
      </c>
      <c r="J1336" s="14"/>
      <c r="K1336" s="14"/>
      <c r="L1336" s="2"/>
      <c r="M1336" s="14">
        <v>0</v>
      </c>
      <c r="N1336" s="14"/>
      <c r="O1336" s="14"/>
    </row>
    <row r="1337" spans="1:15" x14ac:dyDescent="0.25">
      <c r="A1337" s="2" t="s">
        <v>3062</v>
      </c>
      <c r="B1337" s="491" t="s">
        <v>3042</v>
      </c>
      <c r="C1337" s="2" t="s">
        <v>3041</v>
      </c>
      <c r="D1337" s="2">
        <v>1</v>
      </c>
      <c r="E1337" s="3" t="s">
        <v>2092</v>
      </c>
      <c r="F1337" s="270"/>
      <c r="G1337" s="14"/>
      <c r="H1337" s="14"/>
      <c r="I1337" s="14"/>
      <c r="J1337" s="14">
        <v>1</v>
      </c>
      <c r="K1337" s="14"/>
      <c r="L1337" s="2"/>
      <c r="M1337" s="14"/>
      <c r="N1337" s="14"/>
      <c r="O1337" s="14"/>
    </row>
    <row r="1338" spans="1:15" x14ac:dyDescent="0.25">
      <c r="A1338" s="2" t="s">
        <v>3063</v>
      </c>
      <c r="B1338" s="491" t="s">
        <v>3043</v>
      </c>
      <c r="C1338" s="2" t="s">
        <v>3041</v>
      </c>
      <c r="D1338" s="2">
        <v>0</v>
      </c>
      <c r="E1338" s="3" t="s">
        <v>2092</v>
      </c>
      <c r="F1338" s="270"/>
      <c r="G1338" s="14"/>
      <c r="H1338" s="14"/>
      <c r="I1338" s="14"/>
      <c r="J1338" s="14"/>
      <c r="K1338" s="14"/>
      <c r="L1338" s="2"/>
      <c r="M1338" s="14"/>
      <c r="N1338" s="14"/>
      <c r="O1338" s="14"/>
    </row>
    <row r="1339" spans="1:15" x14ac:dyDescent="0.25">
      <c r="A1339" s="2" t="s">
        <v>3064</v>
      </c>
      <c r="B1339" s="491" t="s">
        <v>3044</v>
      </c>
      <c r="C1339" s="2" t="s">
        <v>3041</v>
      </c>
      <c r="D1339" s="2">
        <v>0</v>
      </c>
      <c r="E1339" s="3" t="s">
        <v>2092</v>
      </c>
      <c r="F1339" s="270"/>
      <c r="G1339" s="14"/>
      <c r="H1339" s="14"/>
      <c r="I1339" s="14"/>
      <c r="J1339" s="14"/>
      <c r="K1339" s="14"/>
      <c r="L1339" s="2"/>
      <c r="M1339" s="14"/>
      <c r="N1339" s="14"/>
      <c r="O1339" s="14"/>
    </row>
    <row r="1340" spans="1:15" x14ac:dyDescent="0.25">
      <c r="A1340" s="2" t="s">
        <v>3065</v>
      </c>
      <c r="B1340" s="491" t="s">
        <v>3045</v>
      </c>
      <c r="C1340" s="2" t="s">
        <v>3041</v>
      </c>
      <c r="D1340" s="2">
        <v>0</v>
      </c>
      <c r="E1340" s="3" t="s">
        <v>2092</v>
      </c>
      <c r="F1340" s="270"/>
      <c r="G1340" s="14"/>
      <c r="H1340" s="14"/>
      <c r="I1340" s="14"/>
      <c r="J1340" s="14"/>
      <c r="K1340" s="14"/>
      <c r="L1340" s="2"/>
      <c r="M1340" s="14"/>
      <c r="N1340" s="14"/>
      <c r="O1340" s="14"/>
    </row>
    <row r="1341" spans="1:15" x14ac:dyDescent="0.25">
      <c r="A1341" s="2" t="s">
        <v>3066</v>
      </c>
      <c r="B1341" s="491" t="s">
        <v>3046</v>
      </c>
      <c r="C1341" s="2" t="s">
        <v>3041</v>
      </c>
      <c r="D1341" s="2">
        <v>0</v>
      </c>
      <c r="E1341" s="3" t="s">
        <v>2092</v>
      </c>
      <c r="F1341" s="270"/>
      <c r="G1341" s="14"/>
      <c r="H1341" s="14"/>
      <c r="I1341" s="14"/>
      <c r="J1341" s="14"/>
      <c r="K1341" s="14"/>
      <c r="L1341" s="2"/>
      <c r="M1341" s="14"/>
      <c r="N1341" s="14"/>
      <c r="O1341" s="14"/>
    </row>
    <row r="1342" spans="1:15" x14ac:dyDescent="0.25">
      <c r="A1342" s="2" t="s">
        <v>3067</v>
      </c>
      <c r="B1342" s="491" t="s">
        <v>3047</v>
      </c>
      <c r="C1342" s="2" t="s">
        <v>3041</v>
      </c>
      <c r="D1342" s="2">
        <v>0</v>
      </c>
      <c r="E1342" s="3" t="s">
        <v>2092</v>
      </c>
      <c r="F1342" s="270"/>
      <c r="G1342" s="14"/>
      <c r="H1342" s="14"/>
      <c r="I1342" s="14"/>
      <c r="J1342" s="14"/>
      <c r="K1342" s="14"/>
      <c r="L1342" s="2"/>
      <c r="M1342" s="14"/>
      <c r="N1342" s="14"/>
      <c r="O1342" s="14"/>
    </row>
    <row r="1343" spans="1:15" x14ac:dyDescent="0.25">
      <c r="A1343" s="2" t="s">
        <v>3068</v>
      </c>
      <c r="B1343" s="491" t="s">
        <v>3048</v>
      </c>
      <c r="C1343" s="2" t="s">
        <v>3041</v>
      </c>
      <c r="D1343" s="2">
        <v>2</v>
      </c>
      <c r="E1343" s="3" t="s">
        <v>2092</v>
      </c>
      <c r="F1343" s="270"/>
      <c r="G1343" s="14"/>
      <c r="H1343" s="14"/>
      <c r="I1343" s="14"/>
      <c r="J1343" s="14"/>
      <c r="K1343" s="14"/>
      <c r="L1343" s="2"/>
      <c r="M1343" s="14"/>
      <c r="N1343" s="14"/>
      <c r="O1343" s="14"/>
    </row>
    <row r="1344" spans="1:15" x14ac:dyDescent="0.25">
      <c r="A1344" s="2" t="s">
        <v>3069</v>
      </c>
      <c r="B1344" s="491" t="s">
        <v>3049</v>
      </c>
      <c r="C1344" s="2" t="s">
        <v>3041</v>
      </c>
      <c r="D1344" s="2">
        <v>-1</v>
      </c>
      <c r="E1344" s="3" t="s">
        <v>1570</v>
      </c>
      <c r="F1344" s="270"/>
      <c r="G1344" s="14"/>
      <c r="H1344" s="14"/>
      <c r="I1344" s="14">
        <v>2</v>
      </c>
      <c r="J1344" s="14">
        <v>2</v>
      </c>
      <c r="K1344" s="14">
        <v>2</v>
      </c>
      <c r="L1344" s="2"/>
      <c r="M1344" s="14"/>
      <c r="N1344" s="14"/>
      <c r="O1344" s="14"/>
    </row>
    <row r="1345" spans="1:15" x14ac:dyDescent="0.25">
      <c r="A1345" s="2" t="s">
        <v>3070</v>
      </c>
      <c r="B1345" s="491" t="s">
        <v>3050</v>
      </c>
      <c r="C1345" s="2" t="s">
        <v>3041</v>
      </c>
      <c r="D1345" s="2">
        <v>-3</v>
      </c>
      <c r="E1345" s="3" t="s">
        <v>1548</v>
      </c>
      <c r="F1345" s="270"/>
      <c r="G1345" s="14"/>
      <c r="H1345" s="14"/>
      <c r="I1345" s="14"/>
      <c r="J1345" s="14"/>
      <c r="K1345" s="14"/>
      <c r="L1345" s="2"/>
      <c r="M1345" s="14"/>
      <c r="N1345" s="14"/>
      <c r="O1345" s="14"/>
    </row>
    <row r="1346" spans="1:15" x14ac:dyDescent="0.25">
      <c r="A1346" s="2" t="s">
        <v>3071</v>
      </c>
      <c r="B1346" s="491" t="s">
        <v>3051</v>
      </c>
      <c r="C1346" s="2" t="s">
        <v>3041</v>
      </c>
      <c r="D1346" s="2">
        <v>0</v>
      </c>
      <c r="E1346" s="3" t="s">
        <v>1548</v>
      </c>
      <c r="F1346" s="270"/>
      <c r="G1346" s="14"/>
      <c r="H1346" s="14"/>
      <c r="I1346" s="14"/>
      <c r="J1346" s="14"/>
      <c r="K1346" s="14"/>
      <c r="L1346" s="2"/>
      <c r="M1346" s="14"/>
      <c r="N1346" s="14"/>
      <c r="O1346" s="14"/>
    </row>
    <row r="1347" spans="1:15" x14ac:dyDescent="0.25">
      <c r="A1347" s="2" t="s">
        <v>3072</v>
      </c>
      <c r="B1347" s="491" t="s">
        <v>3052</v>
      </c>
      <c r="C1347" s="2" t="s">
        <v>3041</v>
      </c>
      <c r="D1347" s="2">
        <v>0</v>
      </c>
      <c r="E1347" s="3" t="s">
        <v>3024</v>
      </c>
      <c r="F1347" s="270"/>
      <c r="G1347" s="14"/>
      <c r="H1347" s="14"/>
      <c r="I1347" s="14"/>
      <c r="J1347" s="14"/>
      <c r="K1347" s="14"/>
      <c r="L1347" s="2"/>
      <c r="M1347" s="14"/>
      <c r="N1347" s="14"/>
      <c r="O1347" s="14"/>
    </row>
    <row r="1348" spans="1:15" x14ac:dyDescent="0.25">
      <c r="A1348" s="2" t="s">
        <v>3073</v>
      </c>
      <c r="B1348" s="491" t="s">
        <v>3053</v>
      </c>
      <c r="C1348" s="2" t="s">
        <v>3041</v>
      </c>
      <c r="D1348" s="2">
        <v>0</v>
      </c>
      <c r="E1348" s="3" t="s">
        <v>3024</v>
      </c>
      <c r="F1348" s="270"/>
      <c r="G1348" s="14"/>
      <c r="H1348" s="14"/>
      <c r="I1348" s="14"/>
      <c r="J1348" s="14"/>
      <c r="K1348" s="14"/>
      <c r="L1348" s="2"/>
      <c r="M1348" s="14"/>
      <c r="N1348" s="14"/>
      <c r="O1348" s="14"/>
    </row>
    <row r="1349" spans="1:15" x14ac:dyDescent="0.25">
      <c r="A1349" s="2" t="s">
        <v>3074</v>
      </c>
      <c r="B1349" s="491" t="s">
        <v>3054</v>
      </c>
      <c r="C1349" s="2" t="s">
        <v>3041</v>
      </c>
      <c r="D1349" s="2">
        <v>0</v>
      </c>
      <c r="E1349" s="3" t="s">
        <v>3024</v>
      </c>
      <c r="F1349" s="270"/>
      <c r="G1349" s="14"/>
      <c r="H1349" s="14"/>
      <c r="I1349" s="14"/>
      <c r="J1349" s="14"/>
      <c r="K1349" s="14"/>
      <c r="L1349" s="2"/>
      <c r="M1349" s="14"/>
      <c r="N1349" s="14"/>
      <c r="O1349" s="14"/>
    </row>
    <row r="1350" spans="1:15" x14ac:dyDescent="0.25">
      <c r="A1350" s="2" t="s">
        <v>3075</v>
      </c>
      <c r="B1350" s="491" t="s">
        <v>3055</v>
      </c>
      <c r="C1350" s="2" t="s">
        <v>3041</v>
      </c>
      <c r="D1350" s="2">
        <v>0</v>
      </c>
      <c r="E1350" s="3" t="s">
        <v>3024</v>
      </c>
      <c r="F1350" s="270"/>
      <c r="G1350" s="14"/>
      <c r="H1350" s="14"/>
      <c r="I1350" s="14"/>
      <c r="J1350" s="14"/>
      <c r="K1350" s="14"/>
      <c r="L1350" s="2"/>
      <c r="M1350" s="14"/>
      <c r="N1350" s="14"/>
      <c r="O1350" s="14"/>
    </row>
    <row r="1351" spans="1:15" x14ac:dyDescent="0.25">
      <c r="A1351" s="2" t="s">
        <v>3076</v>
      </c>
      <c r="B1351" s="491" t="s">
        <v>3056</v>
      </c>
      <c r="C1351" s="2" t="s">
        <v>3041</v>
      </c>
      <c r="D1351" s="2">
        <v>0</v>
      </c>
      <c r="E1351" s="3" t="s">
        <v>3024</v>
      </c>
      <c r="F1351" s="270"/>
      <c r="G1351" s="14"/>
      <c r="H1351" s="14"/>
      <c r="I1351" s="14"/>
      <c r="J1351" s="14"/>
      <c r="K1351" s="14"/>
      <c r="L1351" s="2"/>
      <c r="M1351" s="14"/>
      <c r="N1351" s="14"/>
      <c r="O1351" s="14"/>
    </row>
    <row r="1352" spans="1:15" x14ac:dyDescent="0.25">
      <c r="A1352" s="2" t="s">
        <v>3077</v>
      </c>
      <c r="B1352" s="491" t="s">
        <v>3057</v>
      </c>
      <c r="C1352" s="2" t="s">
        <v>3041</v>
      </c>
      <c r="D1352" s="2">
        <v>0</v>
      </c>
      <c r="E1352" s="3" t="s">
        <v>3024</v>
      </c>
      <c r="F1352" s="270"/>
      <c r="G1352" s="14"/>
      <c r="H1352" s="14"/>
      <c r="I1352" s="14"/>
      <c r="J1352" s="14"/>
      <c r="K1352" s="14"/>
      <c r="L1352" s="2"/>
      <c r="M1352" s="14"/>
      <c r="N1352" s="14"/>
      <c r="O1352" s="14"/>
    </row>
    <row r="1353" spans="1:15" x14ac:dyDescent="0.25">
      <c r="A1353" s="2" t="s">
        <v>3078</v>
      </c>
      <c r="B1353" s="491" t="s">
        <v>3058</v>
      </c>
      <c r="C1353" s="2" t="s">
        <v>3041</v>
      </c>
      <c r="D1353" s="2">
        <v>0</v>
      </c>
      <c r="E1353" s="3" t="s">
        <v>3024</v>
      </c>
      <c r="F1353" s="270"/>
      <c r="G1353" s="14"/>
      <c r="H1353" s="14"/>
      <c r="I1353" s="14"/>
      <c r="J1353" s="14"/>
      <c r="K1353" s="14"/>
      <c r="L1353" s="2"/>
      <c r="M1353" s="14"/>
      <c r="N1353" s="14"/>
      <c r="O1353" s="14"/>
    </row>
    <row r="1354" spans="1:15" x14ac:dyDescent="0.25">
      <c r="A1354" s="2" t="s">
        <v>3079</v>
      </c>
      <c r="B1354" s="491" t="s">
        <v>3059</v>
      </c>
      <c r="C1354" s="2" t="s">
        <v>3041</v>
      </c>
      <c r="D1354" s="2">
        <v>0</v>
      </c>
      <c r="E1354" s="3" t="s">
        <v>3024</v>
      </c>
      <c r="F1354" s="270"/>
      <c r="G1354" s="14"/>
      <c r="H1354" s="14"/>
      <c r="I1354" s="14"/>
      <c r="J1354" s="14"/>
      <c r="K1354" s="14"/>
      <c r="L1354" s="2"/>
      <c r="M1354" s="14"/>
      <c r="N1354" s="14"/>
      <c r="O1354" s="14"/>
    </row>
    <row r="1355" spans="1:15" x14ac:dyDescent="0.25">
      <c r="A1355" s="2" t="s">
        <v>3080</v>
      </c>
      <c r="B1355" s="491" t="s">
        <v>3060</v>
      </c>
      <c r="C1355" s="2" t="s">
        <v>3041</v>
      </c>
      <c r="D1355" s="2">
        <v>0</v>
      </c>
      <c r="E1355" s="3" t="s">
        <v>3024</v>
      </c>
      <c r="F1355" s="270"/>
      <c r="G1355" s="14"/>
      <c r="H1355" s="14"/>
      <c r="I1355" s="14"/>
      <c r="J1355" s="14"/>
      <c r="K1355" s="14"/>
      <c r="L1355" s="2"/>
      <c r="M1355" s="14"/>
      <c r="N1355" s="14"/>
      <c r="O1355" s="14"/>
    </row>
    <row r="1356" spans="1:15" x14ac:dyDescent="0.25">
      <c r="A1356" s="2" t="s">
        <v>3081</v>
      </c>
      <c r="B1356" s="491" t="s">
        <v>3061</v>
      </c>
      <c r="C1356" s="2" t="s">
        <v>3041</v>
      </c>
      <c r="D1356" s="2">
        <v>0</v>
      </c>
      <c r="E1356" s="3" t="s">
        <v>3024</v>
      </c>
      <c r="F1356" s="270"/>
      <c r="G1356" s="14"/>
      <c r="H1356" s="14"/>
      <c r="I1356" s="14"/>
      <c r="J1356" s="14"/>
      <c r="K1356" s="14"/>
      <c r="L1356" s="2"/>
      <c r="M1356" s="14"/>
      <c r="N1356" s="14"/>
      <c r="O1356" s="14"/>
    </row>
    <row r="1357" spans="1:15" x14ac:dyDescent="0.25">
      <c r="A1357" s="2" t="s">
        <v>3082</v>
      </c>
      <c r="B1357" s="491" t="s">
        <v>4498</v>
      </c>
      <c r="C1357" s="2" t="s">
        <v>3202</v>
      </c>
      <c r="D1357" s="2">
        <v>1</v>
      </c>
      <c r="E1357" s="3" t="s">
        <v>1551</v>
      </c>
      <c r="F1357" s="270"/>
      <c r="G1357" s="14"/>
      <c r="H1357" s="14"/>
      <c r="I1357" s="14"/>
      <c r="J1357" s="14"/>
      <c r="K1357" s="14"/>
      <c r="L1357" s="2"/>
      <c r="M1357" s="14"/>
      <c r="N1357" s="14"/>
      <c r="O1357" s="14"/>
    </row>
    <row r="1358" spans="1:15" x14ac:dyDescent="0.25">
      <c r="A1358" s="2" t="s">
        <v>3083</v>
      </c>
      <c r="B1358" s="491" t="s">
        <v>3238</v>
      </c>
      <c r="C1358" s="2" t="s">
        <v>3239</v>
      </c>
      <c r="D1358" s="2">
        <v>0</v>
      </c>
      <c r="E1358" s="3" t="s">
        <v>3024</v>
      </c>
      <c r="F1358" s="270"/>
      <c r="G1358" s="14"/>
      <c r="H1358" s="14"/>
      <c r="I1358" s="14"/>
      <c r="J1358" s="14"/>
      <c r="K1358" s="14"/>
      <c r="L1358" s="2"/>
      <c r="M1358" s="14"/>
      <c r="N1358" s="14"/>
      <c r="O1358" s="14"/>
    </row>
    <row r="1359" spans="1:15" x14ac:dyDescent="0.25">
      <c r="A1359" s="2" t="s">
        <v>3203</v>
      </c>
      <c r="B1359" s="491" t="s">
        <v>3406</v>
      </c>
      <c r="C1359" s="2" t="s">
        <v>1976</v>
      </c>
      <c r="D1359" s="2">
        <v>9</v>
      </c>
      <c r="E1359" s="3" t="s">
        <v>3024</v>
      </c>
      <c r="F1359" s="270"/>
      <c r="G1359" s="14"/>
      <c r="H1359" s="14"/>
      <c r="I1359" s="14"/>
      <c r="J1359" s="14"/>
      <c r="K1359" s="14"/>
      <c r="L1359" s="2"/>
      <c r="M1359" s="14"/>
      <c r="N1359" s="14"/>
      <c r="O1359" s="14"/>
    </row>
    <row r="1360" spans="1:15" x14ac:dyDescent="0.25">
      <c r="A1360" s="2" t="s">
        <v>3240</v>
      </c>
      <c r="B1360" s="491" t="s">
        <v>3476</v>
      </c>
      <c r="C1360" s="2" t="s">
        <v>3477</v>
      </c>
      <c r="D1360" s="2">
        <v>0</v>
      </c>
      <c r="E1360" s="3" t="s">
        <v>3024</v>
      </c>
      <c r="F1360" s="270"/>
      <c r="G1360" s="14"/>
      <c r="H1360" s="14"/>
      <c r="I1360" s="14"/>
      <c r="J1360" s="14"/>
      <c r="K1360" s="14"/>
      <c r="L1360" s="2"/>
      <c r="M1360" s="14"/>
      <c r="N1360" s="14"/>
      <c r="O1360" s="14"/>
    </row>
    <row r="1361" spans="1:15" x14ac:dyDescent="0.25">
      <c r="A1361" s="2" t="s">
        <v>3405</v>
      </c>
      <c r="B1361" s="491" t="s">
        <v>3967</v>
      </c>
      <c r="C1361" s="2" t="s">
        <v>1469</v>
      </c>
      <c r="D1361" s="2">
        <v>30</v>
      </c>
      <c r="E1361" s="3" t="s">
        <v>1570</v>
      </c>
      <c r="F1361" s="270"/>
      <c r="G1361" s="14"/>
      <c r="H1361" s="14"/>
      <c r="I1361" s="14"/>
      <c r="J1361" s="14"/>
      <c r="K1361" s="14"/>
      <c r="L1361" s="2"/>
      <c r="M1361" s="14"/>
      <c r="N1361" s="14"/>
      <c r="O1361" s="14"/>
    </row>
    <row r="1362" spans="1:15" x14ac:dyDescent="0.25">
      <c r="A1362" s="2" t="s">
        <v>3478</v>
      </c>
      <c r="B1362" s="491" t="s">
        <v>3977</v>
      </c>
      <c r="C1362" s="2" t="s">
        <v>1885</v>
      </c>
      <c r="D1362" s="2">
        <v>0</v>
      </c>
      <c r="E1362" s="3" t="s">
        <v>1876</v>
      </c>
      <c r="F1362" s="270"/>
      <c r="G1362" s="14"/>
      <c r="H1362" s="14"/>
      <c r="I1362" s="14"/>
      <c r="J1362" s="14"/>
      <c r="K1362" s="14"/>
      <c r="L1362" s="2"/>
      <c r="M1362" s="14"/>
      <c r="N1362" s="14"/>
      <c r="O1362" s="14"/>
    </row>
    <row r="1363" spans="1:15" x14ac:dyDescent="0.25">
      <c r="A1363" s="2" t="s">
        <v>3968</v>
      </c>
      <c r="B1363" s="491" t="s">
        <v>4018</v>
      </c>
      <c r="C1363" s="2" t="s">
        <v>4019</v>
      </c>
      <c r="D1363" s="2">
        <v>38</v>
      </c>
      <c r="E1363" s="3" t="s">
        <v>1551</v>
      </c>
      <c r="F1363" s="270"/>
      <c r="G1363" s="14"/>
      <c r="H1363" s="14"/>
      <c r="I1363" s="14"/>
      <c r="J1363" s="14"/>
      <c r="K1363" s="14"/>
      <c r="L1363" s="2"/>
      <c r="M1363" s="14"/>
      <c r="N1363" s="14"/>
      <c r="O1363" s="14"/>
    </row>
    <row r="1364" spans="1:15" x14ac:dyDescent="0.25">
      <c r="A1364" s="2" t="s">
        <v>3976</v>
      </c>
      <c r="B1364" s="491" t="s">
        <v>4021</v>
      </c>
      <c r="C1364" s="2" t="s">
        <v>4019</v>
      </c>
      <c r="D1364" s="2">
        <v>11</v>
      </c>
      <c r="E1364" s="3" t="s">
        <v>1551</v>
      </c>
      <c r="F1364" s="270"/>
      <c r="G1364" s="14"/>
      <c r="H1364" s="14"/>
      <c r="I1364" s="14"/>
      <c r="J1364" s="14"/>
      <c r="K1364" s="14"/>
      <c r="L1364" s="2"/>
      <c r="M1364" s="14"/>
      <c r="N1364" s="14"/>
      <c r="O1364" s="14"/>
    </row>
    <row r="1365" spans="1:15" x14ac:dyDescent="0.25">
      <c r="A1365" s="2" t="s">
        <v>4017</v>
      </c>
      <c r="B1365" s="491" t="s">
        <v>4022</v>
      </c>
      <c r="C1365" s="2" t="s">
        <v>794</v>
      </c>
      <c r="D1365" s="2">
        <v>0</v>
      </c>
      <c r="E1365" s="3" t="s">
        <v>3024</v>
      </c>
      <c r="F1365" s="270"/>
      <c r="G1365" s="14"/>
      <c r="H1365" s="14"/>
      <c r="I1365" s="14"/>
      <c r="J1365" s="14"/>
      <c r="K1365" s="14"/>
      <c r="L1365" s="2"/>
      <c r="M1365" s="14"/>
      <c r="N1365" s="14"/>
      <c r="O1365" s="14"/>
    </row>
    <row r="1366" spans="1:15" x14ac:dyDescent="0.25">
      <c r="A1366" s="2" t="s">
        <v>4020</v>
      </c>
      <c r="B1366" s="491" t="s">
        <v>4384</v>
      </c>
      <c r="C1366" s="2" t="s">
        <v>4019</v>
      </c>
      <c r="D1366" s="2">
        <v>15</v>
      </c>
      <c r="E1366" s="3" t="s">
        <v>1551</v>
      </c>
      <c r="F1366" s="270"/>
      <c r="G1366" s="14"/>
      <c r="H1366" s="14"/>
      <c r="I1366" s="14"/>
      <c r="J1366" s="14"/>
      <c r="K1366" s="14"/>
      <c r="L1366" s="2"/>
      <c r="M1366" s="14"/>
      <c r="N1366" s="14"/>
      <c r="O1366" s="14"/>
    </row>
    <row r="1367" spans="1:15" x14ac:dyDescent="0.25">
      <c r="A1367" s="2" t="s">
        <v>4352</v>
      </c>
      <c r="B1367" s="491" t="s">
        <v>4453</v>
      </c>
      <c r="C1367" s="2" t="s">
        <v>4454</v>
      </c>
      <c r="D1367" s="2">
        <v>8</v>
      </c>
      <c r="E1367" s="3" t="s">
        <v>1551</v>
      </c>
      <c r="F1367" s="270"/>
      <c r="G1367" s="14"/>
      <c r="H1367" s="14"/>
      <c r="I1367" s="14"/>
      <c r="J1367" s="14"/>
      <c r="K1367" s="14"/>
      <c r="L1367" s="2"/>
      <c r="M1367" s="14"/>
      <c r="N1367" s="14"/>
      <c r="O1367" s="14"/>
    </row>
    <row r="1368" spans="1:15" x14ac:dyDescent="0.25">
      <c r="A1368" s="2" t="s">
        <v>4437</v>
      </c>
      <c r="B1368" s="491" t="s">
        <v>4438</v>
      </c>
      <c r="C1368" s="2" t="s">
        <v>1504</v>
      </c>
      <c r="D1368" s="2">
        <v>65</v>
      </c>
      <c r="E1368" s="3" t="s">
        <v>4433</v>
      </c>
      <c r="F1368" s="270"/>
      <c r="G1368" s="14"/>
      <c r="H1368" s="14"/>
      <c r="I1368" s="14"/>
      <c r="J1368" s="14"/>
      <c r="K1368" s="14"/>
      <c r="L1368" s="2"/>
      <c r="M1368" s="14"/>
      <c r="N1368" s="14"/>
      <c r="O1368" s="14"/>
    </row>
    <row r="1369" spans="1:15" x14ac:dyDescent="0.25">
      <c r="A1369" s="2" t="s">
        <v>4439</v>
      </c>
      <c r="B1369" s="491" t="s">
        <v>4440</v>
      </c>
      <c r="C1369" s="2" t="s">
        <v>1504</v>
      </c>
      <c r="D1369" s="2"/>
      <c r="E1369" s="3" t="s">
        <v>4433</v>
      </c>
      <c r="F1369" s="270"/>
      <c r="G1369" s="14"/>
      <c r="H1369" s="14"/>
      <c r="I1369" s="14"/>
      <c r="J1369" s="14"/>
      <c r="K1369" s="14"/>
      <c r="L1369" s="2"/>
      <c r="M1369" s="14"/>
      <c r="N1369" s="14"/>
      <c r="O1369" s="14"/>
    </row>
    <row r="1370" spans="1:15" x14ac:dyDescent="0.25">
      <c r="A1370" s="2" t="s">
        <v>4514</v>
      </c>
      <c r="B1370" s="491" t="s">
        <v>4515</v>
      </c>
      <c r="C1370" s="2" t="s">
        <v>4445</v>
      </c>
      <c r="D1370" s="2">
        <v>5</v>
      </c>
      <c r="E1370" s="3" t="s">
        <v>1572</v>
      </c>
      <c r="F1370" s="270"/>
      <c r="G1370" s="14"/>
      <c r="H1370" s="14"/>
      <c r="I1370" s="14"/>
      <c r="J1370" s="14"/>
      <c r="K1370" s="14"/>
      <c r="L1370" s="2"/>
      <c r="M1370" s="14"/>
      <c r="N1370" s="14"/>
      <c r="O1370" s="14"/>
    </row>
    <row r="1371" spans="1:15" x14ac:dyDescent="0.25">
      <c r="A1371" s="2" t="s">
        <v>4525</v>
      </c>
      <c r="B1371" s="491" t="s">
        <v>4526</v>
      </c>
      <c r="C1371" s="2" t="s">
        <v>1469</v>
      </c>
      <c r="D1371" s="2">
        <v>60</v>
      </c>
      <c r="E1371" s="3" t="s">
        <v>1570</v>
      </c>
      <c r="F1371" s="270"/>
      <c r="G1371" s="14"/>
      <c r="H1371" s="14"/>
      <c r="I1371" s="14"/>
      <c r="J1371" s="14"/>
      <c r="K1371" s="14"/>
      <c r="L1371" s="2"/>
      <c r="M1371" s="14"/>
      <c r="N1371" s="14"/>
      <c r="O1371" s="14"/>
    </row>
    <row r="1372" spans="1:15" x14ac:dyDescent="0.25">
      <c r="A1372" s="2" t="s">
        <v>4557</v>
      </c>
      <c r="B1372" s="491" t="s">
        <v>4558</v>
      </c>
      <c r="C1372" s="2" t="s">
        <v>1504</v>
      </c>
      <c r="D1372" s="2">
        <v>10</v>
      </c>
      <c r="E1372" s="3" t="s">
        <v>4433</v>
      </c>
      <c r="F1372" s="270"/>
      <c r="G1372" s="14"/>
      <c r="H1372" s="14"/>
      <c r="I1372" s="14"/>
      <c r="J1372" s="14"/>
      <c r="K1372" s="14"/>
      <c r="L1372" s="2"/>
      <c r="M1372" s="14"/>
      <c r="N1372" s="14"/>
      <c r="O1372" s="14"/>
    </row>
    <row r="1373" spans="1:15" x14ac:dyDescent="0.25">
      <c r="A1373" s="2" t="s">
        <v>4572</v>
      </c>
      <c r="B1373" s="491" t="s">
        <v>4573</v>
      </c>
      <c r="C1373" s="2" t="s">
        <v>1504</v>
      </c>
      <c r="D1373" s="2"/>
      <c r="E1373" s="3" t="s">
        <v>4524</v>
      </c>
      <c r="F1373" s="270"/>
      <c r="G1373" s="14"/>
      <c r="H1373" s="14"/>
      <c r="I1373" s="14"/>
      <c r="J1373" s="14"/>
      <c r="K1373" s="14"/>
      <c r="L1373" s="2"/>
      <c r="M1373" s="14"/>
      <c r="N1373" s="14"/>
      <c r="O1373" s="14"/>
    </row>
    <row r="1374" spans="1:15" x14ac:dyDescent="0.25">
      <c r="A1374" s="2" t="s">
        <v>4603</v>
      </c>
      <c r="B1374" s="491" t="s">
        <v>5653</v>
      </c>
      <c r="C1374" s="2" t="s">
        <v>4604</v>
      </c>
      <c r="D1374" s="2">
        <v>22</v>
      </c>
      <c r="E1374" s="3" t="s">
        <v>4602</v>
      </c>
      <c r="F1374" s="270"/>
      <c r="G1374" s="14"/>
      <c r="H1374" s="14"/>
      <c r="I1374" s="14"/>
      <c r="J1374" s="14"/>
      <c r="K1374" s="14"/>
      <c r="L1374" s="2"/>
      <c r="M1374" s="14"/>
      <c r="N1374" s="14"/>
      <c r="O1374" s="14"/>
    </row>
    <row r="1375" spans="1:15" x14ac:dyDescent="0.25">
      <c r="A1375" s="2" t="s">
        <v>4605</v>
      </c>
      <c r="B1375" s="491" t="s">
        <v>5654</v>
      </c>
      <c r="C1375" s="2" t="s">
        <v>5655</v>
      </c>
      <c r="D1375" s="2">
        <v>16</v>
      </c>
      <c r="E1375" s="3" t="s">
        <v>4602</v>
      </c>
      <c r="F1375" s="270"/>
      <c r="G1375" s="14"/>
      <c r="H1375" s="14"/>
      <c r="I1375" s="14"/>
      <c r="J1375" s="14"/>
      <c r="K1375" s="14"/>
      <c r="L1375" s="2"/>
      <c r="M1375" s="14"/>
      <c r="N1375" s="14"/>
      <c r="O1375" s="14"/>
    </row>
    <row r="1376" spans="1:15" x14ac:dyDescent="0.25">
      <c r="A1376" s="2" t="s">
        <v>4606</v>
      </c>
      <c r="B1376" s="491" t="s">
        <v>4607</v>
      </c>
      <c r="C1376" s="2" t="s">
        <v>4604</v>
      </c>
      <c r="D1376" s="2"/>
      <c r="E1376" s="3" t="s">
        <v>4602</v>
      </c>
      <c r="F1376" s="270"/>
      <c r="G1376" s="14"/>
      <c r="H1376" s="14"/>
      <c r="I1376" s="14"/>
      <c r="J1376" s="14"/>
      <c r="K1376" s="14"/>
      <c r="L1376" s="2"/>
      <c r="M1376" s="14"/>
      <c r="N1376" s="14"/>
      <c r="O1376" s="14"/>
    </row>
    <row r="1377" spans="1:15" x14ac:dyDescent="0.25">
      <c r="A1377" s="2" t="s">
        <v>4608</v>
      </c>
      <c r="B1377" s="491" t="s">
        <v>5648</v>
      </c>
      <c r="C1377" s="2" t="s">
        <v>4604</v>
      </c>
      <c r="D1377" s="2"/>
      <c r="E1377" s="3" t="s">
        <v>4602</v>
      </c>
      <c r="F1377" s="270"/>
      <c r="G1377" s="14"/>
      <c r="H1377" s="14"/>
      <c r="I1377" s="14"/>
      <c r="J1377" s="14"/>
      <c r="K1377" s="14"/>
      <c r="L1377" s="2"/>
      <c r="M1377" s="14"/>
      <c r="N1377" s="14"/>
      <c r="O1377" s="14"/>
    </row>
    <row r="1378" spans="1:15" x14ac:dyDescent="0.25">
      <c r="A1378" s="2" t="s">
        <v>4609</v>
      </c>
      <c r="B1378" s="491" t="s">
        <v>5649</v>
      </c>
      <c r="C1378" s="2" t="s">
        <v>4604</v>
      </c>
      <c r="D1378" s="2">
        <v>5</v>
      </c>
      <c r="E1378" s="3" t="s">
        <v>4602</v>
      </c>
      <c r="F1378" s="270"/>
      <c r="G1378" s="14"/>
      <c r="H1378" s="14"/>
      <c r="I1378" s="14"/>
      <c r="J1378" s="14"/>
      <c r="K1378" s="14"/>
      <c r="L1378" s="2"/>
      <c r="M1378" s="14"/>
      <c r="N1378" s="14"/>
      <c r="O1378" s="14"/>
    </row>
    <row r="1379" spans="1:15" x14ac:dyDescent="0.25">
      <c r="A1379" s="2" t="s">
        <v>4611</v>
      </c>
      <c r="B1379" s="491" t="s">
        <v>4612</v>
      </c>
      <c r="C1379" s="2" t="s">
        <v>4604</v>
      </c>
      <c r="D1379" s="2"/>
      <c r="E1379" s="3" t="s">
        <v>4602</v>
      </c>
      <c r="F1379" s="270"/>
      <c r="G1379" s="14"/>
      <c r="H1379" s="14"/>
      <c r="I1379" s="14"/>
      <c r="J1379" s="14"/>
      <c r="K1379" s="14"/>
      <c r="L1379" s="2"/>
      <c r="M1379" s="14"/>
      <c r="N1379" s="14"/>
      <c r="O1379" s="14"/>
    </row>
    <row r="1380" spans="1:15" x14ac:dyDescent="0.25">
      <c r="A1380" s="2" t="s">
        <v>4613</v>
      </c>
      <c r="B1380" s="491" t="s">
        <v>4614</v>
      </c>
      <c r="C1380" s="2" t="s">
        <v>4604</v>
      </c>
      <c r="D1380" s="2"/>
      <c r="E1380" s="3" t="s">
        <v>4602</v>
      </c>
      <c r="F1380" s="270"/>
      <c r="G1380" s="14"/>
      <c r="H1380" s="14"/>
      <c r="I1380" s="14"/>
      <c r="J1380" s="14"/>
      <c r="K1380" s="14"/>
      <c r="L1380" s="2"/>
      <c r="M1380" s="14"/>
      <c r="N1380" s="14"/>
      <c r="O1380" s="14"/>
    </row>
    <row r="1381" spans="1:15" x14ac:dyDescent="0.25">
      <c r="A1381" s="2" t="s">
        <v>4615</v>
      </c>
      <c r="B1381" s="491" t="s">
        <v>5650</v>
      </c>
      <c r="C1381" s="2" t="s">
        <v>4604</v>
      </c>
      <c r="D1381" s="2"/>
      <c r="E1381" s="3" t="s">
        <v>4602</v>
      </c>
      <c r="F1381" s="270"/>
      <c r="G1381" s="14"/>
      <c r="H1381" s="14"/>
      <c r="I1381" s="14"/>
      <c r="J1381" s="14"/>
      <c r="K1381" s="14"/>
      <c r="L1381" s="2"/>
      <c r="M1381" s="14"/>
      <c r="N1381" s="14"/>
      <c r="O1381" s="14"/>
    </row>
    <row r="1382" spans="1:15" x14ac:dyDescent="0.25">
      <c r="A1382" s="2" t="s">
        <v>4616</v>
      </c>
      <c r="B1382" s="491" t="s">
        <v>5651</v>
      </c>
      <c r="C1382" s="2" t="s">
        <v>4604</v>
      </c>
      <c r="D1382" s="2"/>
      <c r="E1382" s="3" t="s">
        <v>4602</v>
      </c>
      <c r="F1382" s="270"/>
      <c r="G1382" s="14"/>
      <c r="H1382" s="14"/>
      <c r="I1382" s="14"/>
      <c r="J1382" s="14"/>
      <c r="K1382" s="14"/>
      <c r="L1382" s="2"/>
      <c r="M1382" s="14"/>
      <c r="N1382" s="14"/>
      <c r="O1382" s="14"/>
    </row>
    <row r="1383" spans="1:15" x14ac:dyDescent="0.25">
      <c r="A1383" s="2" t="s">
        <v>4617</v>
      </c>
      <c r="B1383" s="491" t="s">
        <v>5149</v>
      </c>
      <c r="C1383" s="2" t="s">
        <v>4618</v>
      </c>
      <c r="D1383" s="2">
        <v>9</v>
      </c>
      <c r="E1383" s="3" t="s">
        <v>4602</v>
      </c>
      <c r="F1383" s="270"/>
      <c r="G1383" s="14"/>
      <c r="H1383" s="14"/>
      <c r="I1383" s="14"/>
      <c r="J1383" s="14"/>
      <c r="K1383" s="14"/>
      <c r="L1383" s="2"/>
      <c r="M1383" s="14"/>
      <c r="N1383" s="14"/>
      <c r="O1383" s="14"/>
    </row>
    <row r="1384" spans="1:15" x14ac:dyDescent="0.25">
      <c r="A1384" s="2" t="s">
        <v>4619</v>
      </c>
      <c r="B1384" s="491" t="s">
        <v>5150</v>
      </c>
      <c r="C1384" s="2" t="s">
        <v>4618</v>
      </c>
      <c r="D1384" s="2"/>
      <c r="E1384" s="3" t="s">
        <v>4602</v>
      </c>
      <c r="F1384" s="270"/>
      <c r="G1384" s="14"/>
      <c r="H1384" s="14"/>
      <c r="I1384" s="14"/>
      <c r="J1384" s="14"/>
      <c r="K1384" s="14"/>
      <c r="L1384" s="2"/>
      <c r="M1384" s="14"/>
      <c r="N1384" s="14"/>
      <c r="O1384" s="14"/>
    </row>
    <row r="1385" spans="1:15" x14ac:dyDescent="0.25">
      <c r="A1385" s="2" t="s">
        <v>4620</v>
      </c>
      <c r="B1385" s="491" t="s">
        <v>4621</v>
      </c>
      <c r="C1385" s="2" t="s">
        <v>4622</v>
      </c>
      <c r="D1385" s="2">
        <v>38</v>
      </c>
      <c r="E1385" s="3" t="s">
        <v>4602</v>
      </c>
      <c r="F1385" s="270"/>
      <c r="G1385" s="14"/>
      <c r="H1385" s="14"/>
      <c r="I1385" s="14"/>
      <c r="J1385" s="14"/>
      <c r="K1385" s="14"/>
      <c r="L1385" s="2"/>
      <c r="M1385" s="14"/>
      <c r="N1385" s="14"/>
      <c r="O1385" s="14"/>
    </row>
    <row r="1386" spans="1:15" x14ac:dyDescent="0.25">
      <c r="A1386" s="2" t="s">
        <v>4623</v>
      </c>
      <c r="B1386" s="491" t="s">
        <v>4624</v>
      </c>
      <c r="C1386" s="2" t="s">
        <v>4622</v>
      </c>
      <c r="D1386" s="2"/>
      <c r="E1386" s="3" t="s">
        <v>4602</v>
      </c>
      <c r="F1386" s="270"/>
      <c r="G1386" s="14"/>
      <c r="H1386" s="14"/>
      <c r="I1386" s="14"/>
      <c r="J1386" s="14"/>
      <c r="K1386" s="14"/>
      <c r="L1386" s="2"/>
      <c r="M1386" s="14"/>
      <c r="N1386" s="14"/>
      <c r="O1386" s="14"/>
    </row>
    <row r="1387" spans="1:15" x14ac:dyDescent="0.25">
      <c r="A1387" s="2" t="s">
        <v>4625</v>
      </c>
      <c r="B1387" s="491" t="s">
        <v>4626</v>
      </c>
      <c r="C1387" s="2" t="s">
        <v>4622</v>
      </c>
      <c r="D1387" s="2"/>
      <c r="E1387" s="3" t="s">
        <v>4602</v>
      </c>
      <c r="F1387" s="270"/>
      <c r="G1387" s="14"/>
      <c r="H1387" s="14"/>
      <c r="I1387" s="14"/>
      <c r="J1387" s="14"/>
      <c r="K1387" s="14"/>
      <c r="L1387" s="2"/>
      <c r="M1387" s="14"/>
      <c r="N1387" s="14"/>
      <c r="O1387" s="14"/>
    </row>
    <row r="1388" spans="1:15" x14ac:dyDescent="0.25">
      <c r="A1388" s="2" t="s">
        <v>4627</v>
      </c>
      <c r="B1388" s="491" t="s">
        <v>5652</v>
      </c>
      <c r="C1388" s="2" t="s">
        <v>4604</v>
      </c>
      <c r="D1388" s="2"/>
      <c r="E1388" s="3" t="s">
        <v>4602</v>
      </c>
      <c r="F1388" s="270"/>
      <c r="G1388" s="14"/>
      <c r="H1388" s="14"/>
      <c r="I1388" s="14"/>
      <c r="J1388" s="14"/>
      <c r="K1388" s="14"/>
      <c r="L1388" s="2"/>
      <c r="M1388" s="14"/>
      <c r="N1388" s="14"/>
      <c r="O1388" s="14"/>
    </row>
    <row r="1389" spans="1:15" x14ac:dyDescent="0.25">
      <c r="A1389" s="2" t="s">
        <v>4744</v>
      </c>
      <c r="B1389" s="491" t="s">
        <v>4745</v>
      </c>
      <c r="C1389" s="2" t="s">
        <v>4746</v>
      </c>
      <c r="D1389" s="2">
        <v>6</v>
      </c>
      <c r="E1389" s="3" t="s">
        <v>2787</v>
      </c>
      <c r="F1389" s="270"/>
      <c r="G1389" s="14"/>
      <c r="H1389" s="14"/>
      <c r="I1389" s="14"/>
      <c r="J1389" s="14"/>
      <c r="K1389" s="14"/>
      <c r="L1389" s="2"/>
      <c r="M1389" s="14"/>
      <c r="N1389" s="14"/>
      <c r="O1389" s="14"/>
    </row>
    <row r="1390" spans="1:15" x14ac:dyDescent="0.25">
      <c r="A1390" s="2" t="s">
        <v>4747</v>
      </c>
      <c r="B1390" s="491" t="s">
        <v>4752</v>
      </c>
      <c r="C1390" s="2" t="s">
        <v>4746</v>
      </c>
      <c r="D1390" s="2"/>
      <c r="E1390" s="3" t="s">
        <v>2787</v>
      </c>
      <c r="F1390" s="270"/>
      <c r="G1390" s="14"/>
      <c r="H1390" s="14"/>
      <c r="I1390" s="14"/>
      <c r="J1390" s="14"/>
      <c r="K1390" s="14"/>
      <c r="L1390" s="2"/>
      <c r="M1390" s="14"/>
      <c r="N1390" s="14"/>
      <c r="O1390" s="14"/>
    </row>
    <row r="1391" spans="1:15" x14ac:dyDescent="0.25">
      <c r="A1391" s="2" t="s">
        <v>4748</v>
      </c>
      <c r="B1391" s="491" t="s">
        <v>4749</v>
      </c>
      <c r="C1391" s="2" t="s">
        <v>4746</v>
      </c>
      <c r="D1391" s="2"/>
      <c r="E1391" s="3" t="s">
        <v>2787</v>
      </c>
      <c r="F1391" s="270"/>
      <c r="G1391" s="14"/>
      <c r="H1391" s="14"/>
      <c r="I1391" s="14"/>
      <c r="J1391" s="14"/>
      <c r="K1391" s="14"/>
      <c r="L1391" s="2"/>
      <c r="M1391" s="14"/>
      <c r="N1391" s="14"/>
      <c r="O1391" s="14"/>
    </row>
    <row r="1392" spans="1:15" x14ac:dyDescent="0.25">
      <c r="A1392" s="2" t="s">
        <v>4750</v>
      </c>
      <c r="B1392" s="491" t="s">
        <v>4751</v>
      </c>
      <c r="C1392" s="2" t="s">
        <v>4746</v>
      </c>
      <c r="D1392" s="2"/>
      <c r="E1392" s="3" t="s">
        <v>2787</v>
      </c>
      <c r="F1392" s="270"/>
      <c r="G1392" s="14"/>
      <c r="H1392" s="14"/>
      <c r="I1392" s="14"/>
      <c r="J1392" s="14"/>
      <c r="K1392" s="14"/>
      <c r="L1392" s="2"/>
      <c r="M1392" s="14"/>
      <c r="N1392" s="14"/>
      <c r="O1392" s="14"/>
    </row>
    <row r="1393" spans="1:15" x14ac:dyDescent="0.25">
      <c r="A1393" s="2" t="s">
        <v>4755</v>
      </c>
      <c r="B1393" s="491" t="s">
        <v>4756</v>
      </c>
      <c r="C1393" s="2" t="s">
        <v>4746</v>
      </c>
      <c r="D1393" s="2"/>
      <c r="E1393" s="3" t="s">
        <v>2787</v>
      </c>
      <c r="F1393" s="270"/>
      <c r="G1393" s="14"/>
      <c r="H1393" s="14"/>
      <c r="I1393" s="14"/>
      <c r="J1393" s="14"/>
      <c r="K1393" s="14"/>
      <c r="L1393" s="2"/>
      <c r="M1393" s="14"/>
      <c r="N1393" s="14"/>
      <c r="O1393" s="14"/>
    </row>
    <row r="1394" spans="1:15" x14ac:dyDescent="0.25">
      <c r="A1394" s="2" t="s">
        <v>4837</v>
      </c>
      <c r="B1394" s="491" t="s">
        <v>4838</v>
      </c>
      <c r="C1394" s="2" t="s">
        <v>802</v>
      </c>
      <c r="D1394" s="2">
        <v>11</v>
      </c>
      <c r="E1394" s="3" t="s">
        <v>1551</v>
      </c>
      <c r="F1394" s="270"/>
      <c r="G1394" s="14"/>
      <c r="H1394" s="14"/>
      <c r="I1394" s="14"/>
      <c r="J1394" s="14"/>
      <c r="K1394" s="14"/>
      <c r="L1394" s="2"/>
      <c r="M1394" s="14"/>
      <c r="N1394" s="14"/>
      <c r="O1394" s="14"/>
    </row>
    <row r="1395" spans="1:15" x14ac:dyDescent="0.25">
      <c r="A1395" s="2" t="s">
        <v>4880</v>
      </c>
      <c r="B1395" s="491" t="s">
        <v>4904</v>
      </c>
      <c r="C1395" s="2" t="s">
        <v>4881</v>
      </c>
      <c r="D1395" s="2">
        <v>12</v>
      </c>
      <c r="E1395" s="3" t="s">
        <v>1572</v>
      </c>
      <c r="F1395" s="270"/>
      <c r="G1395" s="14"/>
      <c r="H1395" s="14"/>
      <c r="I1395" s="14"/>
      <c r="J1395" s="14"/>
      <c r="K1395" s="14"/>
      <c r="L1395" s="2"/>
      <c r="M1395" s="14"/>
      <c r="N1395" s="14"/>
      <c r="O1395" s="14"/>
    </row>
    <row r="1396" spans="1:15" x14ac:dyDescent="0.25">
      <c r="A1396" s="2" t="s">
        <v>4882</v>
      </c>
      <c r="B1396" s="491" t="s">
        <v>4903</v>
      </c>
      <c r="C1396" s="2" t="s">
        <v>4881</v>
      </c>
      <c r="D1396" s="2">
        <v>12</v>
      </c>
      <c r="E1396" s="3" t="s">
        <v>1572</v>
      </c>
      <c r="F1396" s="270"/>
      <c r="G1396" s="14"/>
      <c r="H1396" s="14"/>
      <c r="I1396" s="14"/>
      <c r="J1396" s="14"/>
      <c r="K1396" s="14"/>
      <c r="L1396" s="2"/>
      <c r="M1396" s="14"/>
      <c r="N1396" s="14"/>
      <c r="O1396" s="14"/>
    </row>
    <row r="1397" spans="1:15" x14ac:dyDescent="0.25">
      <c r="A1397" s="2" t="s">
        <v>4905</v>
      </c>
      <c r="B1397" s="491" t="s">
        <v>4906</v>
      </c>
      <c r="C1397" s="2" t="s">
        <v>2083</v>
      </c>
      <c r="D1397" s="2">
        <v>4</v>
      </c>
      <c r="E1397" s="3" t="s">
        <v>1549</v>
      </c>
      <c r="F1397" s="270"/>
      <c r="G1397" s="14"/>
      <c r="H1397" s="14"/>
      <c r="I1397" s="14"/>
      <c r="J1397" s="14"/>
      <c r="K1397" s="14"/>
      <c r="L1397" s="2"/>
      <c r="M1397" s="14"/>
      <c r="N1397" s="14"/>
      <c r="O1397" s="14"/>
    </row>
    <row r="1398" spans="1:15" x14ac:dyDescent="0.25">
      <c r="A1398" s="2" t="s">
        <v>4941</v>
      </c>
      <c r="B1398" s="491" t="s">
        <v>4942</v>
      </c>
      <c r="C1398" s="2" t="s">
        <v>4940</v>
      </c>
      <c r="D1398" s="2">
        <v>18</v>
      </c>
      <c r="E1398" s="3" t="s">
        <v>4934</v>
      </c>
      <c r="F1398" s="270"/>
      <c r="G1398" s="14"/>
      <c r="H1398" s="14"/>
      <c r="I1398" s="14"/>
      <c r="J1398" s="14"/>
      <c r="K1398" s="14"/>
      <c r="L1398" s="2"/>
      <c r="M1398" s="14"/>
      <c r="N1398" s="14"/>
      <c r="O1398" s="14"/>
    </row>
    <row r="1399" spans="1:15" x14ac:dyDescent="0.25">
      <c r="A1399" s="2" t="s">
        <v>4943</v>
      </c>
      <c r="B1399" s="491" t="s">
        <v>4944</v>
      </c>
      <c r="C1399" s="2" t="s">
        <v>4940</v>
      </c>
      <c r="D1399" s="2">
        <v>30</v>
      </c>
      <c r="E1399" s="3" t="s">
        <v>4934</v>
      </c>
      <c r="F1399" s="270"/>
      <c r="G1399" s="14"/>
      <c r="H1399" s="14"/>
      <c r="I1399" s="14"/>
      <c r="J1399" s="14"/>
      <c r="K1399" s="14"/>
      <c r="L1399" s="2"/>
      <c r="M1399" s="14"/>
      <c r="N1399" s="14"/>
      <c r="O1399" s="14"/>
    </row>
    <row r="1400" spans="1:15" x14ac:dyDescent="0.25">
      <c r="A1400" s="2" t="s">
        <v>4945</v>
      </c>
      <c r="B1400" s="491" t="s">
        <v>4946</v>
      </c>
      <c r="C1400" s="2" t="s">
        <v>4940</v>
      </c>
      <c r="D1400" s="2">
        <v>40</v>
      </c>
      <c r="E1400" s="3" t="s">
        <v>4934</v>
      </c>
      <c r="F1400" s="270"/>
      <c r="G1400" s="14"/>
      <c r="H1400" s="14"/>
      <c r="I1400" s="14"/>
      <c r="J1400" s="14"/>
      <c r="K1400" s="14"/>
      <c r="L1400" s="2"/>
      <c r="M1400" s="14"/>
      <c r="N1400" s="14"/>
      <c r="O1400" s="14"/>
    </row>
    <row r="1401" spans="1:15" x14ac:dyDescent="0.25">
      <c r="A1401" s="2" t="s">
        <v>4970</v>
      </c>
      <c r="B1401" s="491" t="s">
        <v>4972</v>
      </c>
      <c r="C1401" s="2" t="s">
        <v>4971</v>
      </c>
      <c r="D1401" s="2"/>
      <c r="E1401" s="3" t="s">
        <v>4965</v>
      </c>
      <c r="F1401" s="270"/>
      <c r="G1401" s="14"/>
      <c r="H1401" s="14"/>
      <c r="I1401" s="14"/>
      <c r="J1401" s="14"/>
      <c r="K1401" s="14"/>
      <c r="L1401" s="2"/>
      <c r="M1401" s="14"/>
      <c r="N1401" s="14"/>
      <c r="O1401" s="14"/>
    </row>
    <row r="1402" spans="1:15" x14ac:dyDescent="0.25">
      <c r="A1402" s="2" t="s">
        <v>4974</v>
      </c>
      <c r="B1402" s="491" t="s">
        <v>4571</v>
      </c>
      <c r="C1402" s="2" t="s">
        <v>4973</v>
      </c>
      <c r="D1402" s="2">
        <v>10</v>
      </c>
      <c r="E1402" s="3" t="s">
        <v>4965</v>
      </c>
      <c r="F1402" s="270"/>
      <c r="G1402" s="14"/>
      <c r="H1402" s="14"/>
      <c r="I1402" s="14"/>
      <c r="J1402" s="14"/>
      <c r="K1402" s="14"/>
      <c r="L1402" s="2"/>
      <c r="M1402" s="14"/>
      <c r="N1402" s="14"/>
      <c r="O1402" s="14"/>
    </row>
    <row r="1403" spans="1:15" x14ac:dyDescent="0.25">
      <c r="A1403" s="2" t="s">
        <v>5147</v>
      </c>
      <c r="B1403" s="491" t="s">
        <v>5148</v>
      </c>
      <c r="C1403" s="2" t="s">
        <v>4618</v>
      </c>
      <c r="D1403" s="2">
        <v>6</v>
      </c>
      <c r="E1403" s="3" t="s">
        <v>4602</v>
      </c>
      <c r="F1403" s="270"/>
      <c r="G1403" s="14"/>
      <c r="H1403" s="14"/>
      <c r="I1403" s="14"/>
      <c r="J1403" s="14"/>
      <c r="K1403" s="14"/>
      <c r="L1403" s="2"/>
      <c r="M1403" s="14"/>
      <c r="N1403" s="14"/>
      <c r="O1403" s="14"/>
    </row>
    <row r="1404" spans="1:15" x14ac:dyDescent="0.25">
      <c r="A1404" s="2" t="s">
        <v>5178</v>
      </c>
      <c r="B1404" s="491" t="s">
        <v>5179</v>
      </c>
      <c r="C1404" s="2" t="s">
        <v>4940</v>
      </c>
      <c r="D1404" s="2"/>
      <c r="E1404" s="3" t="s">
        <v>4934</v>
      </c>
      <c r="F1404" s="270"/>
      <c r="G1404" s="14"/>
      <c r="H1404" s="14"/>
      <c r="I1404" s="14"/>
      <c r="J1404" s="14"/>
      <c r="K1404" s="14"/>
      <c r="L1404" s="2"/>
      <c r="M1404" s="14"/>
      <c r="N1404" s="14"/>
      <c r="O1404" s="14"/>
    </row>
    <row r="1405" spans="1:15" x14ac:dyDescent="0.25">
      <c r="A1405" s="2" t="s">
        <v>5180</v>
      </c>
      <c r="B1405" s="491" t="s">
        <v>5181</v>
      </c>
      <c r="C1405" s="2" t="s">
        <v>4940</v>
      </c>
      <c r="D1405" s="2"/>
      <c r="E1405" s="3" t="s">
        <v>4934</v>
      </c>
      <c r="F1405" s="270"/>
      <c r="G1405" s="14"/>
      <c r="H1405" s="14"/>
      <c r="I1405" s="14"/>
      <c r="J1405" s="14"/>
      <c r="K1405" s="14"/>
      <c r="L1405" s="2"/>
      <c r="M1405" s="14"/>
      <c r="N1405" s="14"/>
      <c r="O1405" s="14"/>
    </row>
    <row r="1406" spans="1:15" x14ac:dyDescent="0.25">
      <c r="A1406" s="2" t="s">
        <v>5276</v>
      </c>
      <c r="B1406" s="491" t="s">
        <v>5319</v>
      </c>
      <c r="C1406" s="2" t="s">
        <v>5320</v>
      </c>
      <c r="D1406" s="2">
        <v>2</v>
      </c>
      <c r="E1406" s="3" t="s">
        <v>1551</v>
      </c>
      <c r="F1406" s="270"/>
      <c r="G1406" s="14"/>
      <c r="H1406" s="14"/>
      <c r="I1406" s="14"/>
      <c r="J1406" s="14"/>
      <c r="K1406" s="14"/>
      <c r="L1406" s="2"/>
      <c r="M1406" s="14"/>
      <c r="N1406" s="14"/>
      <c r="O1406" s="14"/>
    </row>
    <row r="1407" spans="1:15" x14ac:dyDescent="0.25">
      <c r="A1407" s="2" t="s">
        <v>5316</v>
      </c>
      <c r="B1407" s="491" t="s">
        <v>5317</v>
      </c>
      <c r="C1407" s="2" t="s">
        <v>5318</v>
      </c>
      <c r="D1407" s="2">
        <v>1</v>
      </c>
      <c r="E1407" s="3" t="s">
        <v>1551</v>
      </c>
      <c r="F1407" s="270"/>
      <c r="G1407" s="14"/>
      <c r="H1407" s="14"/>
      <c r="I1407" s="14"/>
      <c r="J1407" s="14"/>
      <c r="K1407" s="14"/>
      <c r="L1407" s="2"/>
      <c r="M1407" s="14"/>
      <c r="N1407" s="14"/>
      <c r="O1407" s="14"/>
    </row>
    <row r="1408" spans="1:15" x14ac:dyDescent="0.25">
      <c r="A1408" s="2" t="s">
        <v>5328</v>
      </c>
      <c r="B1408" s="491" t="s">
        <v>5327</v>
      </c>
      <c r="C1408" s="2" t="s">
        <v>5326</v>
      </c>
      <c r="D1408" s="2"/>
      <c r="E1408" s="3" t="s">
        <v>1551</v>
      </c>
      <c r="F1408" s="270"/>
      <c r="G1408" s="14"/>
      <c r="H1408" s="14"/>
      <c r="I1408" s="14"/>
      <c r="J1408" s="14"/>
      <c r="K1408" s="14"/>
      <c r="L1408" s="2"/>
      <c r="M1408" s="14"/>
      <c r="N1408" s="14"/>
      <c r="O1408" s="14"/>
    </row>
    <row r="1409" spans="1:15" x14ac:dyDescent="0.25">
      <c r="A1409" s="2" t="s">
        <v>5340</v>
      </c>
      <c r="B1409" s="491" t="s">
        <v>5385</v>
      </c>
      <c r="C1409" s="2" t="s">
        <v>5386</v>
      </c>
      <c r="D1409" s="2">
        <v>26</v>
      </c>
      <c r="E1409" s="3" t="s">
        <v>4524</v>
      </c>
      <c r="F1409" s="270"/>
      <c r="G1409" s="14"/>
      <c r="H1409" s="14"/>
      <c r="I1409" s="14"/>
      <c r="J1409" s="14"/>
      <c r="K1409" s="14"/>
      <c r="L1409" s="2"/>
      <c r="M1409" s="14"/>
      <c r="N1409" s="14"/>
      <c r="O1409" s="14"/>
    </row>
    <row r="1410" spans="1:15" x14ac:dyDescent="0.25">
      <c r="A1410" s="2" t="s">
        <v>5656</v>
      </c>
      <c r="B1410" s="491" t="s">
        <v>5657</v>
      </c>
      <c r="C1410" s="2" t="s">
        <v>4604</v>
      </c>
      <c r="D1410" s="2"/>
      <c r="E1410" s="3" t="s">
        <v>4602</v>
      </c>
      <c r="F1410" s="270"/>
      <c r="G1410" s="14"/>
      <c r="H1410" s="14"/>
      <c r="I1410" s="14"/>
      <c r="J1410" s="14"/>
      <c r="K1410" s="14"/>
      <c r="L1410" s="2"/>
      <c r="M1410" s="14"/>
      <c r="N1410" s="14"/>
      <c r="O1410" s="14"/>
    </row>
    <row r="1411" spans="1:15" x14ac:dyDescent="0.25">
      <c r="A1411" s="2" t="s">
        <v>5928</v>
      </c>
      <c r="B1411" s="491" t="s">
        <v>5929</v>
      </c>
      <c r="C1411" s="2" t="s">
        <v>5927</v>
      </c>
      <c r="D1411" s="2"/>
      <c r="E1411" s="3" t="s">
        <v>5926</v>
      </c>
      <c r="F1411" s="270"/>
      <c r="G1411" s="14"/>
      <c r="H1411" s="14"/>
      <c r="I1411" s="14"/>
      <c r="J1411" s="14"/>
      <c r="K1411" s="14"/>
      <c r="L1411" s="2"/>
      <c r="M1411" s="14"/>
      <c r="N1411" s="14"/>
      <c r="O1411" s="14"/>
    </row>
    <row r="1412" spans="1:15" x14ac:dyDescent="0.25">
      <c r="A1412" s="2" t="s">
        <v>5935</v>
      </c>
      <c r="B1412" s="491" t="s">
        <v>5934</v>
      </c>
      <c r="C1412" s="2" t="s">
        <v>5933</v>
      </c>
      <c r="D1412" s="2"/>
      <c r="E1412" s="3" t="s">
        <v>5926</v>
      </c>
      <c r="F1412" s="270"/>
      <c r="G1412" s="14"/>
      <c r="H1412" s="14"/>
      <c r="I1412" s="14"/>
      <c r="J1412" s="14"/>
      <c r="K1412" s="14"/>
      <c r="L1412" s="2"/>
      <c r="M1412" s="14"/>
      <c r="N1412" s="14"/>
      <c r="O1412" s="14"/>
    </row>
    <row r="1413" spans="1:15" x14ac:dyDescent="0.25">
      <c r="A1413" s="2" t="s">
        <v>5937</v>
      </c>
      <c r="B1413" s="491" t="s">
        <v>5938</v>
      </c>
      <c r="C1413" s="2" t="s">
        <v>5936</v>
      </c>
      <c r="D1413" s="2"/>
      <c r="E1413" s="3" t="s">
        <v>5926</v>
      </c>
      <c r="F1413" s="270"/>
      <c r="G1413" s="14"/>
      <c r="H1413" s="14"/>
      <c r="I1413" s="14"/>
      <c r="J1413" s="14"/>
      <c r="K1413" s="14"/>
      <c r="L1413" s="2"/>
      <c r="M1413" s="14"/>
      <c r="N1413" s="14"/>
      <c r="O1413" s="14"/>
    </row>
    <row r="1414" spans="1:15" x14ac:dyDescent="0.25">
      <c r="A1414" s="2" t="s">
        <v>5939</v>
      </c>
      <c r="B1414" s="491" t="s">
        <v>5940</v>
      </c>
      <c r="C1414" s="2" t="s">
        <v>5936</v>
      </c>
      <c r="D1414" s="2"/>
      <c r="E1414" s="3" t="s">
        <v>5926</v>
      </c>
      <c r="F1414" s="270"/>
      <c r="G1414" s="14"/>
      <c r="H1414" s="14"/>
      <c r="I1414" s="14"/>
      <c r="J1414" s="14"/>
      <c r="K1414" s="14"/>
      <c r="L1414" s="2"/>
      <c r="M1414" s="14"/>
      <c r="N1414" s="14"/>
      <c r="O1414" s="14"/>
    </row>
    <row r="1415" spans="1:15" x14ac:dyDescent="0.25">
      <c r="A1415" s="2" t="s">
        <v>5941</v>
      </c>
      <c r="B1415" s="491" t="s">
        <v>5942</v>
      </c>
      <c r="C1415" s="2" t="s">
        <v>5936</v>
      </c>
      <c r="D1415" s="2"/>
      <c r="E1415" s="3" t="s">
        <v>5926</v>
      </c>
      <c r="F1415" s="270"/>
      <c r="G1415" s="14"/>
      <c r="H1415" s="14"/>
      <c r="I1415" s="14"/>
      <c r="J1415" s="14"/>
      <c r="K1415" s="14"/>
      <c r="L1415" s="2"/>
      <c r="M1415" s="14"/>
      <c r="N1415" s="14"/>
      <c r="O1415" s="14"/>
    </row>
    <row r="1416" spans="1:15" x14ac:dyDescent="0.25">
      <c r="A1416" s="2" t="s">
        <v>5943</v>
      </c>
      <c r="B1416" s="491" t="s">
        <v>5944</v>
      </c>
      <c r="C1416" s="2" t="s">
        <v>5933</v>
      </c>
      <c r="D1416" s="2"/>
      <c r="E1416" s="3" t="s">
        <v>5926</v>
      </c>
      <c r="F1416" s="270"/>
      <c r="G1416" s="14"/>
      <c r="H1416" s="14"/>
      <c r="I1416" s="14"/>
      <c r="J1416" s="14"/>
      <c r="K1416" s="14"/>
      <c r="L1416" s="2"/>
      <c r="M1416" s="14"/>
      <c r="N1416" s="14"/>
      <c r="O1416" s="14"/>
    </row>
    <row r="1417" spans="1:15" x14ac:dyDescent="0.25">
      <c r="A1417" s="2" t="s">
        <v>5945</v>
      </c>
      <c r="B1417" s="491" t="s">
        <v>5946</v>
      </c>
      <c r="C1417" s="2" t="s">
        <v>5933</v>
      </c>
      <c r="D1417" s="2"/>
      <c r="E1417" s="3" t="s">
        <v>5926</v>
      </c>
      <c r="F1417" s="270"/>
      <c r="G1417" s="14"/>
      <c r="H1417" s="14"/>
      <c r="I1417" s="14"/>
      <c r="J1417" s="14"/>
      <c r="K1417" s="14"/>
      <c r="L1417" s="2"/>
      <c r="M1417" s="14"/>
      <c r="N1417" s="14"/>
      <c r="O1417" s="14"/>
    </row>
    <row r="1418" spans="1:15" x14ac:dyDescent="0.25">
      <c r="A1418" s="2" t="s">
        <v>5947</v>
      </c>
      <c r="B1418" s="491" t="s">
        <v>5948</v>
      </c>
      <c r="C1418" s="2" t="s">
        <v>5320</v>
      </c>
      <c r="D1418" s="2"/>
      <c r="E1418" s="3" t="s">
        <v>1551</v>
      </c>
      <c r="F1418" s="270"/>
      <c r="G1418" s="14"/>
      <c r="H1418" s="14"/>
      <c r="I1418" s="14"/>
      <c r="J1418" s="14"/>
      <c r="K1418" s="14"/>
      <c r="L1418" s="2"/>
      <c r="M1418" s="14"/>
      <c r="N1418" s="14"/>
      <c r="O1418" s="14"/>
    </row>
    <row r="1419" spans="1:15" x14ac:dyDescent="0.25">
      <c r="A1419" s="2" t="s">
        <v>5960</v>
      </c>
      <c r="B1419" s="491" t="s">
        <v>5961</v>
      </c>
      <c r="C1419" s="2" t="s">
        <v>5962</v>
      </c>
      <c r="D1419" s="2"/>
      <c r="E1419" s="3" t="s">
        <v>5955</v>
      </c>
      <c r="F1419" s="270"/>
      <c r="G1419" s="14"/>
      <c r="H1419" s="14"/>
      <c r="I1419" s="14"/>
      <c r="J1419" s="14"/>
      <c r="K1419" s="14"/>
      <c r="L1419" s="2"/>
      <c r="M1419" s="14"/>
      <c r="N1419" s="14"/>
      <c r="O1419" s="14"/>
    </row>
    <row r="1420" spans="1:15" x14ac:dyDescent="0.25">
      <c r="A1420" s="648" t="s">
        <v>6070</v>
      </c>
      <c r="B1420" s="649" t="s">
        <v>6071</v>
      </c>
      <c r="C1420" s="648" t="s">
        <v>1504</v>
      </c>
      <c r="D1420" s="648">
        <v>10</v>
      </c>
      <c r="E1420" s="650" t="s">
        <v>4524</v>
      </c>
      <c r="F1420" s="648"/>
      <c r="G1420" s="323"/>
      <c r="H1420" s="323"/>
      <c r="I1420" s="323"/>
      <c r="J1420" s="323"/>
      <c r="K1420" s="323"/>
      <c r="L1420" s="648"/>
      <c r="M1420" s="323"/>
      <c r="N1420" s="323"/>
      <c r="O1420" s="323"/>
    </row>
    <row r="1421" spans="1:15" x14ac:dyDescent="0.25">
      <c r="A1421" s="648" t="s">
        <v>6097</v>
      </c>
      <c r="B1421" s="649" t="s">
        <v>6098</v>
      </c>
      <c r="C1421" s="648" t="s">
        <v>5962</v>
      </c>
      <c r="D1421" s="648"/>
      <c r="E1421" s="650" t="s">
        <v>5955</v>
      </c>
      <c r="F1421" s="648"/>
      <c r="G1421" s="323"/>
      <c r="H1421" s="323"/>
      <c r="I1421" s="323"/>
      <c r="J1421" s="323"/>
      <c r="K1421" s="323"/>
      <c r="L1421" s="648"/>
      <c r="M1421" s="323"/>
      <c r="N1421" s="323"/>
      <c r="O1421" s="323"/>
    </row>
  </sheetData>
  <autoFilter ref="A2:O1396">
    <sortState ref="A3:O1421">
      <sortCondition ref="A2:A1396"/>
    </sortState>
  </autoFilter>
  <sortState ref="A3:O1086">
    <sortCondition ref="A2"/>
  </sortState>
  <pageMargins left="0.7" right="0.7" top="0.75" bottom="0.75" header="0.3" footer="0.3"/>
  <pageSetup scale="48" fitToHeight="0" orientation="portrait" horizontalDpi="4294967293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1:AK1138"/>
  <sheetViews>
    <sheetView showGridLines="0" zoomScale="86" zoomScaleNormal="86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2" sqref="E12"/>
    </sheetView>
  </sheetViews>
  <sheetFormatPr baseColWidth="10" defaultColWidth="10.7109375" defaultRowHeight="15" x14ac:dyDescent="0.25"/>
  <cols>
    <col min="1" max="1" width="9.28515625" style="4" customWidth="1"/>
    <col min="2" max="2" width="35.28515625" style="6" customWidth="1"/>
    <col min="3" max="3" width="7.140625" style="4" customWidth="1"/>
    <col min="4" max="4" width="9" style="4" customWidth="1"/>
    <col min="5" max="5" width="8.140625" style="4" customWidth="1"/>
    <col min="6" max="6" width="9.28515625" style="4" customWidth="1"/>
    <col min="7" max="7" width="9.85546875" style="4" customWidth="1"/>
    <col min="8" max="8" width="13" style="4" customWidth="1"/>
    <col min="9" max="9" width="12" style="107" bestFit="1" customWidth="1"/>
    <col min="10" max="10" width="12" style="107" customWidth="1"/>
    <col min="11" max="11" width="13" style="312" customWidth="1"/>
    <col min="12" max="12" width="6.28515625" style="4" customWidth="1"/>
    <col min="13" max="13" width="13.28515625" style="4" customWidth="1"/>
    <col min="14" max="14" width="11.42578125" style="4" customWidth="1"/>
    <col min="15" max="15" width="13" style="312" customWidth="1"/>
    <col min="16" max="16" width="13" style="4" customWidth="1"/>
    <col min="17" max="17" width="16" style="4" customWidth="1"/>
    <col min="18" max="18" width="10.85546875" style="4" customWidth="1"/>
    <col min="19" max="19" width="11.42578125" style="4" customWidth="1"/>
    <col min="20" max="20" width="12.42578125" style="4" customWidth="1"/>
    <col min="21" max="21" width="14.28515625" style="394" customWidth="1"/>
    <col min="22" max="22" width="13.28515625" style="4" customWidth="1"/>
    <col min="23" max="23" width="13" style="107" customWidth="1"/>
    <col min="24" max="24" width="13.140625" style="312" customWidth="1"/>
    <col min="25" max="25" width="11.5703125" style="4" customWidth="1"/>
    <col min="26" max="26" width="15.5703125" customWidth="1"/>
    <col min="27" max="27" width="13.42578125" style="4" customWidth="1"/>
    <col min="28" max="28" width="16.5703125" customWidth="1"/>
    <col min="29" max="30" width="10.7109375" customWidth="1"/>
    <col min="31" max="32" width="10.7109375" style="4" customWidth="1"/>
    <col min="33" max="33" width="10.7109375" style="4"/>
    <col min="34" max="34" width="12.140625" customWidth="1"/>
    <col min="35" max="35" width="11.140625" customWidth="1"/>
    <col min="36" max="36" width="10.85546875" customWidth="1"/>
    <col min="37" max="37" width="13.5703125" customWidth="1"/>
  </cols>
  <sheetData>
    <row r="1" spans="1:37" ht="32.25" customHeight="1" x14ac:dyDescent="0.4">
      <c r="M1" s="21">
        <f ca="1">+TODAY()</f>
        <v>44018</v>
      </c>
      <c r="O1" s="694" t="s">
        <v>1987</v>
      </c>
      <c r="P1" s="695"/>
      <c r="Q1" s="695"/>
      <c r="R1" s="695"/>
      <c r="S1" s="695"/>
      <c r="T1" s="695"/>
      <c r="U1" s="696"/>
      <c r="V1" s="690" t="s">
        <v>1990</v>
      </c>
      <c r="W1" s="691"/>
      <c r="X1" s="692"/>
      <c r="Y1" s="693"/>
    </row>
    <row r="2" spans="1:37" x14ac:dyDescent="0.25">
      <c r="A2" s="295" t="s">
        <v>1465</v>
      </c>
      <c r="B2" s="296" t="s">
        <v>924</v>
      </c>
      <c r="C2" s="296" t="s">
        <v>925</v>
      </c>
      <c r="D2" s="296" t="s">
        <v>1461</v>
      </c>
      <c r="E2" s="296" t="s">
        <v>2232</v>
      </c>
      <c r="F2" s="296" t="s">
        <v>2258</v>
      </c>
      <c r="G2" s="296" t="s">
        <v>1908</v>
      </c>
      <c r="H2" s="297" t="s">
        <v>2233</v>
      </c>
      <c r="I2" s="298" t="s">
        <v>2234</v>
      </c>
      <c r="J2" s="298" t="s">
        <v>2394</v>
      </c>
      <c r="K2" s="309" t="s">
        <v>1477</v>
      </c>
      <c r="L2" s="299" t="s">
        <v>1478</v>
      </c>
      <c r="M2" s="299" t="s">
        <v>1868</v>
      </c>
      <c r="N2" s="296" t="s">
        <v>1462</v>
      </c>
      <c r="O2" s="309" t="s">
        <v>1479</v>
      </c>
      <c r="P2" s="296" t="s">
        <v>1485</v>
      </c>
      <c r="Q2" s="296" t="s">
        <v>1466</v>
      </c>
      <c r="R2" s="296" t="s">
        <v>1929</v>
      </c>
      <c r="S2" s="296" t="s">
        <v>1451</v>
      </c>
      <c r="T2" s="296" t="s">
        <v>1487</v>
      </c>
      <c r="U2" s="391" t="s">
        <v>2134</v>
      </c>
      <c r="V2" s="296" t="s">
        <v>1988</v>
      </c>
      <c r="W2" s="297" t="s">
        <v>926</v>
      </c>
      <c r="X2" s="309" t="s">
        <v>1989</v>
      </c>
      <c r="Y2" s="296" t="s">
        <v>5221</v>
      </c>
      <c r="Z2" s="301" t="s">
        <v>987</v>
      </c>
      <c r="AA2" s="296" t="s">
        <v>2130</v>
      </c>
      <c r="AB2" s="296" t="s">
        <v>2133</v>
      </c>
      <c r="AC2" s="296" t="s">
        <v>2348</v>
      </c>
      <c r="AD2" s="296" t="s">
        <v>2347</v>
      </c>
      <c r="AE2" s="296" t="s">
        <v>1170</v>
      </c>
      <c r="AF2" s="296" t="s">
        <v>3484</v>
      </c>
      <c r="AG2" s="296" t="s">
        <v>2400</v>
      </c>
      <c r="AH2" s="296" t="s">
        <v>2981</v>
      </c>
      <c r="AI2" s="299" t="s">
        <v>2553</v>
      </c>
      <c r="AJ2" s="296" t="s">
        <v>1450</v>
      </c>
      <c r="AK2" s="302" t="s">
        <v>3511</v>
      </c>
    </row>
    <row r="3" spans="1:37" ht="15.75" customHeight="1" x14ac:dyDescent="0.25">
      <c r="A3" s="270" t="s">
        <v>1227</v>
      </c>
      <c r="B3" s="3" t="s">
        <v>933</v>
      </c>
      <c r="C3" s="2">
        <v>0</v>
      </c>
      <c r="D3" s="2">
        <v>2567</v>
      </c>
      <c r="E3" s="2"/>
      <c r="F3" s="2"/>
      <c r="G3" s="2">
        <v>5900</v>
      </c>
      <c r="H3" s="293">
        <v>13900</v>
      </c>
      <c r="I3" s="293"/>
      <c r="J3" s="126">
        <f t="shared" ref="J3:J66" si="0">+H3+I3</f>
        <v>13900</v>
      </c>
      <c r="K3" s="310">
        <v>43739</v>
      </c>
      <c r="L3" s="2">
        <v>0</v>
      </c>
      <c r="M3" s="9">
        <f t="shared" ref="M3:M66" si="1">+L3+K3</f>
        <v>43739</v>
      </c>
      <c r="N3" s="2" t="str">
        <f t="shared" ref="N3:N66" si="2">+IF(J3=0,"Nulo",IF(P3&gt;=J3,"Pagado",IF(P3&gt;0,"Abonado",IF(M3&lt;$M$1,"Vencido",IF(J3&gt;P3,"Pendiente","Vencido")))))</f>
        <v>Pagado</v>
      </c>
      <c r="O3" s="310">
        <v>43739</v>
      </c>
      <c r="P3" s="293">
        <v>13900</v>
      </c>
      <c r="Q3" s="2" t="s">
        <v>1481</v>
      </c>
      <c r="R3" s="2"/>
      <c r="S3" s="2"/>
      <c r="T3" s="9"/>
      <c r="U3" s="392"/>
      <c r="V3" s="2">
        <v>8025730</v>
      </c>
      <c r="W3" s="108">
        <v>13900</v>
      </c>
      <c r="X3" s="310"/>
      <c r="Y3" s="2"/>
      <c r="Z3" s="131" t="s">
        <v>1467</v>
      </c>
      <c r="AA3" s="108" t="str">
        <f t="shared" ref="AA3:AA66" si="3">+IF(LEFT(Q3,6)="Cheque",IF(T3="Chile","Chile","Otros"),"")</f>
        <v/>
      </c>
      <c r="AB3" s="2"/>
      <c r="AC3" s="131">
        <f t="shared" ref="AC3:AC66" si="4">+IF(C3="","",H3/1.19)</f>
        <v>11680.672268907563</v>
      </c>
      <c r="AD3" s="108">
        <f t="shared" ref="AD3:AD66" si="5">+IF(C3="","",H3-AC3)</f>
        <v>2219.3277310924368</v>
      </c>
      <c r="AE3" s="2" t="s">
        <v>1501</v>
      </c>
      <c r="AF3" s="23" t="s">
        <v>3489</v>
      </c>
      <c r="AG3" s="2" t="str">
        <f t="shared" ref="AG3:AG66" si="6">+IF(N3="Pagado","SI",IF(N3="NULO","SI","NO"))</f>
        <v>SI</v>
      </c>
      <c r="AH3" s="14"/>
      <c r="AI3" s="23"/>
      <c r="AJ3" s="2" t="str">
        <f t="shared" ref="AJ3:AJ66" si="7">+IF(C3=0,"NV","Factura")</f>
        <v>NV</v>
      </c>
      <c r="AK3" s="294"/>
    </row>
    <row r="4" spans="1:37" ht="15.75" customHeight="1" x14ac:dyDescent="0.25">
      <c r="A4" s="270" t="s">
        <v>3200</v>
      </c>
      <c r="B4" s="3" t="s">
        <v>3201</v>
      </c>
      <c r="C4" s="2">
        <v>0</v>
      </c>
      <c r="D4" s="2">
        <v>149</v>
      </c>
      <c r="E4" s="2"/>
      <c r="F4" s="2"/>
      <c r="G4" s="2">
        <v>5899</v>
      </c>
      <c r="H4" s="293">
        <v>45200</v>
      </c>
      <c r="I4" s="293"/>
      <c r="J4" s="126">
        <f t="shared" si="0"/>
        <v>45200</v>
      </c>
      <c r="K4" s="310">
        <v>43739</v>
      </c>
      <c r="L4" s="2">
        <v>0</v>
      </c>
      <c r="M4" s="9">
        <f t="shared" si="1"/>
        <v>43739</v>
      </c>
      <c r="N4" s="2" t="str">
        <f t="shared" si="2"/>
        <v>Pagado</v>
      </c>
      <c r="O4" s="310">
        <v>43739</v>
      </c>
      <c r="P4" s="293">
        <v>45200</v>
      </c>
      <c r="Q4" s="2" t="s">
        <v>1070</v>
      </c>
      <c r="R4" s="2" t="s">
        <v>2243</v>
      </c>
      <c r="S4" s="2">
        <v>149</v>
      </c>
      <c r="T4" s="9"/>
      <c r="U4" s="392"/>
      <c r="V4" s="2"/>
      <c r="W4" s="108"/>
      <c r="X4" s="310"/>
      <c r="Y4" s="2"/>
      <c r="Z4" s="131" t="s">
        <v>1467</v>
      </c>
      <c r="AA4" s="108" t="str">
        <f t="shared" si="3"/>
        <v/>
      </c>
      <c r="AB4" s="2"/>
      <c r="AC4" s="131">
        <f t="shared" si="4"/>
        <v>37983.193277310929</v>
      </c>
      <c r="AD4" s="108">
        <f t="shared" si="5"/>
        <v>7216.8067226890707</v>
      </c>
      <c r="AE4" s="2" t="s">
        <v>1501</v>
      </c>
      <c r="AF4" s="23" t="s">
        <v>3487</v>
      </c>
      <c r="AG4" s="2" t="str">
        <f t="shared" si="6"/>
        <v>SI</v>
      </c>
      <c r="AH4" s="14"/>
      <c r="AI4" s="23"/>
      <c r="AJ4" s="2" t="str">
        <f t="shared" si="7"/>
        <v>NV</v>
      </c>
      <c r="AK4" s="294"/>
    </row>
    <row r="5" spans="1:37" ht="15.75" customHeight="1" x14ac:dyDescent="0.25">
      <c r="A5" s="270" t="s">
        <v>1178</v>
      </c>
      <c r="B5" s="3" t="s">
        <v>950</v>
      </c>
      <c r="C5" s="2">
        <v>2925</v>
      </c>
      <c r="D5" s="2">
        <v>0</v>
      </c>
      <c r="E5" s="2"/>
      <c r="F5" s="2"/>
      <c r="G5" s="2" t="s">
        <v>2528</v>
      </c>
      <c r="H5" s="293">
        <v>108740</v>
      </c>
      <c r="I5" s="293"/>
      <c r="J5" s="126">
        <f t="shared" si="0"/>
        <v>108740</v>
      </c>
      <c r="K5" s="310">
        <v>43740</v>
      </c>
      <c r="L5" s="2">
        <v>7</v>
      </c>
      <c r="M5" s="9">
        <f t="shared" si="1"/>
        <v>43747</v>
      </c>
      <c r="N5" s="2" t="str">
        <f t="shared" si="2"/>
        <v>Pagado</v>
      </c>
      <c r="O5" s="310">
        <v>43747</v>
      </c>
      <c r="P5" s="293">
        <v>108740</v>
      </c>
      <c r="Q5" s="2" t="s">
        <v>2131</v>
      </c>
      <c r="R5" s="2"/>
      <c r="S5" s="2">
        <v>1115750</v>
      </c>
      <c r="T5" s="9" t="s">
        <v>1496</v>
      </c>
      <c r="U5" s="392">
        <v>43752</v>
      </c>
      <c r="V5" s="2">
        <v>134089</v>
      </c>
      <c r="W5" s="108">
        <v>108740</v>
      </c>
      <c r="X5" s="310">
        <v>43753</v>
      </c>
      <c r="Y5" s="2" t="s">
        <v>1488</v>
      </c>
      <c r="Z5" s="131" t="s">
        <v>1467</v>
      </c>
      <c r="AA5" s="108" t="str">
        <f t="shared" si="3"/>
        <v>Otros</v>
      </c>
      <c r="AB5" s="2"/>
      <c r="AC5" s="131">
        <f t="shared" si="4"/>
        <v>91378.151260504208</v>
      </c>
      <c r="AD5" s="108">
        <f t="shared" si="5"/>
        <v>17361.848739495792</v>
      </c>
      <c r="AE5" s="2" t="s">
        <v>2050</v>
      </c>
      <c r="AF5" s="23" t="s">
        <v>3490</v>
      </c>
      <c r="AG5" s="2" t="str">
        <f t="shared" si="6"/>
        <v>SI</v>
      </c>
      <c r="AH5" s="14"/>
      <c r="AI5" s="23"/>
      <c r="AJ5" s="2" t="str">
        <f t="shared" si="7"/>
        <v>Factura</v>
      </c>
      <c r="AK5" s="294"/>
    </row>
    <row r="6" spans="1:37" ht="15.75" customHeight="1" x14ac:dyDescent="0.25">
      <c r="A6" s="270" t="s">
        <v>1217</v>
      </c>
      <c r="B6" s="3" t="s">
        <v>938</v>
      </c>
      <c r="C6" s="2">
        <v>0</v>
      </c>
      <c r="D6" s="2">
        <v>2570</v>
      </c>
      <c r="E6" s="2"/>
      <c r="F6" s="2"/>
      <c r="G6" s="2">
        <v>5909</v>
      </c>
      <c r="H6" s="293">
        <v>23000</v>
      </c>
      <c r="I6" s="293"/>
      <c r="J6" s="126">
        <f t="shared" si="0"/>
        <v>23000</v>
      </c>
      <c r="K6" s="310">
        <v>43740</v>
      </c>
      <c r="L6" s="2">
        <v>0</v>
      </c>
      <c r="M6" s="9">
        <f t="shared" si="1"/>
        <v>43740</v>
      </c>
      <c r="N6" s="2" t="str">
        <f t="shared" si="2"/>
        <v>Pagado</v>
      </c>
      <c r="O6" s="310">
        <v>43755</v>
      </c>
      <c r="P6" s="293">
        <v>23000</v>
      </c>
      <c r="Q6" s="2" t="s">
        <v>1484</v>
      </c>
      <c r="R6" s="2"/>
      <c r="S6" s="2"/>
      <c r="T6" s="9" t="s">
        <v>1462</v>
      </c>
      <c r="U6" s="392"/>
      <c r="V6" s="2"/>
      <c r="W6" s="108"/>
      <c r="X6" s="310"/>
      <c r="Y6" s="2"/>
      <c r="Z6" s="131" t="s">
        <v>1467</v>
      </c>
      <c r="AA6" s="108" t="str">
        <f t="shared" si="3"/>
        <v/>
      </c>
      <c r="AB6" s="2"/>
      <c r="AC6" s="131">
        <f t="shared" si="4"/>
        <v>19327.731092436974</v>
      </c>
      <c r="AD6" s="108">
        <f t="shared" si="5"/>
        <v>3672.268907563026</v>
      </c>
      <c r="AE6" s="2" t="s">
        <v>1501</v>
      </c>
      <c r="AF6" s="23" t="s">
        <v>3489</v>
      </c>
      <c r="AG6" s="2" t="str">
        <f t="shared" si="6"/>
        <v>SI</v>
      </c>
      <c r="AH6" s="14"/>
      <c r="AI6" s="23"/>
      <c r="AJ6" s="2" t="str">
        <f t="shared" si="7"/>
        <v>NV</v>
      </c>
      <c r="AK6" s="294"/>
    </row>
    <row r="7" spans="1:37" ht="15.75" customHeight="1" x14ac:dyDescent="0.25">
      <c r="A7" s="270" t="s">
        <v>1347</v>
      </c>
      <c r="B7" s="3" t="s">
        <v>1069</v>
      </c>
      <c r="C7" s="2">
        <v>0</v>
      </c>
      <c r="D7" s="2">
        <v>2568</v>
      </c>
      <c r="E7" s="2"/>
      <c r="F7" s="2"/>
      <c r="G7" s="2">
        <v>5904</v>
      </c>
      <c r="H7" s="293">
        <v>19700</v>
      </c>
      <c r="I7" s="293"/>
      <c r="J7" s="126">
        <f t="shared" si="0"/>
        <v>19700</v>
      </c>
      <c r="K7" s="310">
        <v>43740</v>
      </c>
      <c r="L7" s="2">
        <v>0</v>
      </c>
      <c r="M7" s="9">
        <f t="shared" si="1"/>
        <v>43740</v>
      </c>
      <c r="N7" s="2" t="str">
        <f t="shared" si="2"/>
        <v>Pagado</v>
      </c>
      <c r="O7" s="310">
        <v>43740</v>
      </c>
      <c r="P7" s="293">
        <v>19700</v>
      </c>
      <c r="Q7" s="2" t="s">
        <v>1481</v>
      </c>
      <c r="R7" s="2"/>
      <c r="S7" s="2"/>
      <c r="T7" s="9"/>
      <c r="U7" s="392"/>
      <c r="V7" s="2">
        <v>8025730</v>
      </c>
      <c r="W7" s="108">
        <v>19700</v>
      </c>
      <c r="X7" s="310"/>
      <c r="Y7" s="2"/>
      <c r="Z7" s="131" t="s">
        <v>1467</v>
      </c>
      <c r="AA7" s="108" t="str">
        <f t="shared" si="3"/>
        <v/>
      </c>
      <c r="AB7" s="2"/>
      <c r="AC7" s="131">
        <f t="shared" si="4"/>
        <v>16554.621848739498</v>
      </c>
      <c r="AD7" s="108">
        <f t="shared" si="5"/>
        <v>3145.3781512605019</v>
      </c>
      <c r="AE7" s="2" t="s">
        <v>1501</v>
      </c>
      <c r="AF7" s="23" t="s">
        <v>3487</v>
      </c>
      <c r="AG7" s="2" t="str">
        <f t="shared" si="6"/>
        <v>SI</v>
      </c>
      <c r="AH7" s="14"/>
      <c r="AI7" s="23"/>
      <c r="AJ7" s="2" t="str">
        <f t="shared" si="7"/>
        <v>NV</v>
      </c>
      <c r="AK7" s="294"/>
    </row>
    <row r="8" spans="1:37" ht="15.75" customHeight="1" x14ac:dyDescent="0.25">
      <c r="A8" s="270" t="s">
        <v>1399</v>
      </c>
      <c r="B8" s="3" t="s">
        <v>1004</v>
      </c>
      <c r="C8" s="2">
        <v>0</v>
      </c>
      <c r="D8" s="2">
        <v>2569</v>
      </c>
      <c r="E8" s="2"/>
      <c r="F8" s="2"/>
      <c r="G8" s="2">
        <v>5907</v>
      </c>
      <c r="H8" s="293">
        <v>29900</v>
      </c>
      <c r="I8" s="293"/>
      <c r="J8" s="126">
        <f t="shared" si="0"/>
        <v>29900</v>
      </c>
      <c r="K8" s="310">
        <v>43740</v>
      </c>
      <c r="L8" s="2">
        <v>0</v>
      </c>
      <c r="M8" s="9">
        <f t="shared" si="1"/>
        <v>43740</v>
      </c>
      <c r="N8" s="2" t="str">
        <f t="shared" si="2"/>
        <v>Pagado</v>
      </c>
      <c r="O8" s="310">
        <v>43743</v>
      </c>
      <c r="P8" s="293">
        <v>29900</v>
      </c>
      <c r="Q8" s="2" t="s">
        <v>1484</v>
      </c>
      <c r="R8" s="2"/>
      <c r="S8" s="2"/>
      <c r="T8" s="9" t="s">
        <v>1488</v>
      </c>
      <c r="U8" s="392"/>
      <c r="V8" s="2"/>
      <c r="W8" s="108"/>
      <c r="X8" s="310"/>
      <c r="Y8" s="2"/>
      <c r="Z8" s="131" t="s">
        <v>1467</v>
      </c>
      <c r="AA8" s="108" t="str">
        <f t="shared" si="3"/>
        <v/>
      </c>
      <c r="AB8" s="2"/>
      <c r="AC8" s="131">
        <f t="shared" si="4"/>
        <v>25126.050420168067</v>
      </c>
      <c r="AD8" s="108">
        <f t="shared" si="5"/>
        <v>4773.9495798319331</v>
      </c>
      <c r="AE8" s="2" t="s">
        <v>1501</v>
      </c>
      <c r="AF8" s="23" t="s">
        <v>3487</v>
      </c>
      <c r="AG8" s="2" t="str">
        <f t="shared" si="6"/>
        <v>SI</v>
      </c>
      <c r="AH8" s="14"/>
      <c r="AI8" s="23"/>
      <c r="AJ8" s="2" t="str">
        <f t="shared" si="7"/>
        <v>NV</v>
      </c>
      <c r="AK8" s="294"/>
    </row>
    <row r="9" spans="1:37" ht="15.75" customHeight="1" x14ac:dyDescent="0.25">
      <c r="A9" s="270" t="s">
        <v>1250</v>
      </c>
      <c r="B9" s="3" t="s">
        <v>3398</v>
      </c>
      <c r="C9" s="2">
        <v>0</v>
      </c>
      <c r="D9" s="2">
        <v>0</v>
      </c>
      <c r="E9" s="2"/>
      <c r="F9" s="2"/>
      <c r="G9" s="2">
        <v>5908</v>
      </c>
      <c r="H9" s="293">
        <v>28100</v>
      </c>
      <c r="I9" s="293"/>
      <c r="J9" s="126">
        <f t="shared" si="0"/>
        <v>28100</v>
      </c>
      <c r="K9" s="310">
        <v>43740</v>
      </c>
      <c r="L9" s="2">
        <v>0</v>
      </c>
      <c r="M9" s="9">
        <f t="shared" si="1"/>
        <v>43740</v>
      </c>
      <c r="N9" s="2" t="str">
        <f t="shared" si="2"/>
        <v>Pagado</v>
      </c>
      <c r="O9" s="310">
        <v>43740</v>
      </c>
      <c r="P9" s="293">
        <v>28100</v>
      </c>
      <c r="Q9" s="2" t="s">
        <v>1481</v>
      </c>
      <c r="R9" s="2"/>
      <c r="S9" s="2"/>
      <c r="T9" s="9"/>
      <c r="U9" s="392"/>
      <c r="V9" s="2">
        <v>8025730</v>
      </c>
      <c r="W9" s="108">
        <v>28100</v>
      </c>
      <c r="X9" s="310"/>
      <c r="Y9" s="2"/>
      <c r="Z9" s="131" t="s">
        <v>1467</v>
      </c>
      <c r="AA9" s="108" t="str">
        <f t="shared" si="3"/>
        <v/>
      </c>
      <c r="AB9" s="2"/>
      <c r="AC9" s="131">
        <f t="shared" si="4"/>
        <v>23613.44537815126</v>
      </c>
      <c r="AD9" s="108">
        <f t="shared" si="5"/>
        <v>4486.5546218487398</v>
      </c>
      <c r="AE9" s="2" t="s">
        <v>1501</v>
      </c>
      <c r="AF9" s="23" t="s">
        <v>3489</v>
      </c>
      <c r="AG9" s="2" t="str">
        <f t="shared" si="6"/>
        <v>SI</v>
      </c>
      <c r="AH9" s="14"/>
      <c r="AI9" s="23"/>
      <c r="AJ9" s="2" t="str">
        <f t="shared" si="7"/>
        <v>NV</v>
      </c>
      <c r="AK9" s="294"/>
    </row>
    <row r="10" spans="1:37" ht="15.75" customHeight="1" x14ac:dyDescent="0.25">
      <c r="A10" s="270" t="s">
        <v>1179</v>
      </c>
      <c r="B10" s="3" t="s">
        <v>952</v>
      </c>
      <c r="C10" s="2">
        <v>2926</v>
      </c>
      <c r="D10" s="2">
        <v>0</v>
      </c>
      <c r="E10" s="2"/>
      <c r="F10" s="2"/>
      <c r="G10" s="2" t="s">
        <v>2528</v>
      </c>
      <c r="H10" s="553">
        <v>92148</v>
      </c>
      <c r="I10" s="293"/>
      <c r="J10" s="126">
        <f t="shared" si="0"/>
        <v>92148</v>
      </c>
      <c r="K10" s="310">
        <v>43740</v>
      </c>
      <c r="L10" s="2">
        <v>7</v>
      </c>
      <c r="M10" s="9">
        <f t="shared" si="1"/>
        <v>43747</v>
      </c>
      <c r="N10" s="2" t="str">
        <f t="shared" si="2"/>
        <v>Abonado</v>
      </c>
      <c r="O10" s="310">
        <v>43747</v>
      </c>
      <c r="P10" s="293">
        <v>91353</v>
      </c>
      <c r="Q10" s="2" t="s">
        <v>2132</v>
      </c>
      <c r="R10" s="2"/>
      <c r="S10" s="2">
        <v>257</v>
      </c>
      <c r="T10" s="9" t="s">
        <v>1496</v>
      </c>
      <c r="U10" s="392">
        <v>43743</v>
      </c>
      <c r="V10" s="2"/>
      <c r="W10" s="108"/>
      <c r="X10" s="310"/>
      <c r="Y10" s="2"/>
      <c r="Z10" s="131" t="s">
        <v>1467</v>
      </c>
      <c r="AA10" s="108" t="str">
        <f t="shared" si="3"/>
        <v>Otros</v>
      </c>
      <c r="AB10" s="2"/>
      <c r="AC10" s="131">
        <f t="shared" si="4"/>
        <v>77435.294117647063</v>
      </c>
      <c r="AD10" s="108">
        <f t="shared" si="5"/>
        <v>14712.705882352937</v>
      </c>
      <c r="AE10" s="2" t="s">
        <v>2050</v>
      </c>
      <c r="AF10" s="23" t="s">
        <v>3490</v>
      </c>
      <c r="AG10" s="2" t="str">
        <f t="shared" si="6"/>
        <v>NO</v>
      </c>
      <c r="AH10" s="14"/>
      <c r="AI10" s="23"/>
      <c r="AJ10" s="2" t="str">
        <f t="shared" si="7"/>
        <v>Factura</v>
      </c>
      <c r="AK10" s="294"/>
    </row>
    <row r="11" spans="1:37" ht="15.75" customHeight="1" x14ac:dyDescent="0.25">
      <c r="A11" s="270" t="s">
        <v>1179</v>
      </c>
      <c r="B11" s="3" t="s">
        <v>952</v>
      </c>
      <c r="C11" s="2">
        <v>2926</v>
      </c>
      <c r="D11" s="2" t="s">
        <v>2528</v>
      </c>
      <c r="E11" s="2"/>
      <c r="F11" s="2"/>
      <c r="G11" s="2"/>
      <c r="H11" s="293">
        <v>0</v>
      </c>
      <c r="I11" s="293"/>
      <c r="J11" s="126">
        <f t="shared" si="0"/>
        <v>0</v>
      </c>
      <c r="K11" s="310">
        <v>43740</v>
      </c>
      <c r="L11" s="2"/>
      <c r="M11" s="9">
        <f t="shared" si="1"/>
        <v>43740</v>
      </c>
      <c r="N11" s="2" t="str">
        <f t="shared" si="2"/>
        <v>Nulo</v>
      </c>
      <c r="O11" s="310">
        <v>43747</v>
      </c>
      <c r="P11" s="293">
        <v>795</v>
      </c>
      <c r="Q11" s="2" t="s">
        <v>1481</v>
      </c>
      <c r="R11" s="2"/>
      <c r="S11" s="2"/>
      <c r="T11" s="9"/>
      <c r="U11" s="392"/>
      <c r="V11" s="2"/>
      <c r="W11" s="108"/>
      <c r="X11" s="310"/>
      <c r="Y11" s="2"/>
      <c r="Z11" s="131"/>
      <c r="AA11" s="108" t="str">
        <f t="shared" si="3"/>
        <v/>
      </c>
      <c r="AB11" s="2"/>
      <c r="AC11" s="131">
        <f t="shared" si="4"/>
        <v>0</v>
      </c>
      <c r="AD11" s="108">
        <f t="shared" si="5"/>
        <v>0</v>
      </c>
      <c r="AE11" s="2"/>
      <c r="AF11" s="23"/>
      <c r="AG11" s="2" t="str">
        <f t="shared" si="6"/>
        <v>SI</v>
      </c>
      <c r="AH11" s="14"/>
      <c r="AI11" s="23"/>
      <c r="AJ11" s="2" t="str">
        <f t="shared" si="7"/>
        <v>Factura</v>
      </c>
      <c r="AK11" s="294"/>
    </row>
    <row r="12" spans="1:37" ht="15.75" customHeight="1" x14ac:dyDescent="0.25">
      <c r="A12" s="270" t="s">
        <v>4577</v>
      </c>
      <c r="B12" s="3" t="s">
        <v>4578</v>
      </c>
      <c r="C12" s="2">
        <v>0</v>
      </c>
      <c r="D12" s="2">
        <v>150</v>
      </c>
      <c r="E12" s="2"/>
      <c r="F12" s="2"/>
      <c r="G12" s="2">
        <v>5902</v>
      </c>
      <c r="H12" s="293">
        <v>45400</v>
      </c>
      <c r="I12" s="293"/>
      <c r="J12" s="126">
        <f t="shared" si="0"/>
        <v>45400</v>
      </c>
      <c r="K12" s="310">
        <v>43740</v>
      </c>
      <c r="L12" s="2">
        <v>0</v>
      </c>
      <c r="M12" s="9">
        <f t="shared" si="1"/>
        <v>43740</v>
      </c>
      <c r="N12" s="2" t="str">
        <f t="shared" si="2"/>
        <v>Pagado</v>
      </c>
      <c r="O12" s="310">
        <v>43740</v>
      </c>
      <c r="P12" s="293">
        <v>45400</v>
      </c>
      <c r="Q12" s="2" t="s">
        <v>1070</v>
      </c>
      <c r="R12" s="2" t="s">
        <v>2243</v>
      </c>
      <c r="S12" s="2">
        <v>150</v>
      </c>
      <c r="T12" s="9"/>
      <c r="U12" s="392"/>
      <c r="V12" s="2"/>
      <c r="W12" s="108"/>
      <c r="X12" s="310"/>
      <c r="Y12" s="2"/>
      <c r="Z12" s="131" t="s">
        <v>1467</v>
      </c>
      <c r="AA12" s="108" t="str">
        <f t="shared" si="3"/>
        <v/>
      </c>
      <c r="AB12" s="2"/>
      <c r="AC12" s="131">
        <f t="shared" si="4"/>
        <v>38151.26050420168</v>
      </c>
      <c r="AD12" s="108">
        <f t="shared" si="5"/>
        <v>7248.7394957983197</v>
      </c>
      <c r="AE12" s="2" t="s">
        <v>1501</v>
      </c>
      <c r="AF12" s="23" t="s">
        <v>3487</v>
      </c>
      <c r="AG12" s="2" t="str">
        <f t="shared" si="6"/>
        <v>SI</v>
      </c>
      <c r="AH12" s="14"/>
      <c r="AI12" s="23"/>
      <c r="AJ12" s="2" t="str">
        <f t="shared" si="7"/>
        <v>NV</v>
      </c>
      <c r="AK12" s="294"/>
    </row>
    <row r="13" spans="1:37" ht="15.75" customHeight="1" x14ac:dyDescent="0.25">
      <c r="A13" s="270" t="s">
        <v>4962</v>
      </c>
      <c r="B13" s="3" t="s">
        <v>4963</v>
      </c>
      <c r="C13" s="2">
        <v>0</v>
      </c>
      <c r="D13" s="2">
        <v>151</v>
      </c>
      <c r="E13" s="2"/>
      <c r="F13" s="2"/>
      <c r="G13" s="2">
        <v>5902</v>
      </c>
      <c r="H13" s="293">
        <v>26000</v>
      </c>
      <c r="I13" s="293"/>
      <c r="J13" s="126">
        <f t="shared" si="0"/>
        <v>26000</v>
      </c>
      <c r="K13" s="310">
        <v>43740</v>
      </c>
      <c r="L13" s="2">
        <v>0</v>
      </c>
      <c r="M13" s="9">
        <f t="shared" si="1"/>
        <v>43740</v>
      </c>
      <c r="N13" s="2" t="str">
        <f t="shared" si="2"/>
        <v>Pagado</v>
      </c>
      <c r="O13" s="310">
        <v>43740</v>
      </c>
      <c r="P13" s="293">
        <v>26000</v>
      </c>
      <c r="Q13" s="2" t="s">
        <v>1070</v>
      </c>
      <c r="R13" s="2" t="s">
        <v>2243</v>
      </c>
      <c r="S13" s="2">
        <v>151</v>
      </c>
      <c r="T13" s="9"/>
      <c r="U13" s="392"/>
      <c r="V13" s="2"/>
      <c r="W13" s="108"/>
      <c r="X13" s="310"/>
      <c r="Y13" s="2"/>
      <c r="Z13" s="131" t="s">
        <v>1467</v>
      </c>
      <c r="AA13" s="108" t="str">
        <f t="shared" si="3"/>
        <v/>
      </c>
      <c r="AB13" s="2"/>
      <c r="AC13" s="131">
        <f t="shared" si="4"/>
        <v>21848.73949579832</v>
      </c>
      <c r="AD13" s="108">
        <f t="shared" si="5"/>
        <v>4151.2605042016803</v>
      </c>
      <c r="AE13" s="2" t="s">
        <v>1501</v>
      </c>
      <c r="AF13" s="23" t="s">
        <v>3487</v>
      </c>
      <c r="AG13" s="2" t="str">
        <f t="shared" si="6"/>
        <v>SI</v>
      </c>
      <c r="AH13" s="14"/>
      <c r="AI13" s="23"/>
      <c r="AJ13" s="2" t="str">
        <f t="shared" si="7"/>
        <v>NV</v>
      </c>
      <c r="AK13" s="294"/>
    </row>
    <row r="14" spans="1:37" ht="15.75" customHeight="1" x14ac:dyDescent="0.25">
      <c r="A14" s="270" t="s">
        <v>4041</v>
      </c>
      <c r="B14" s="3" t="s">
        <v>4042</v>
      </c>
      <c r="C14" s="2">
        <v>0</v>
      </c>
      <c r="D14" s="2">
        <v>2571</v>
      </c>
      <c r="E14" s="2"/>
      <c r="F14" s="2"/>
      <c r="G14" s="2">
        <v>5910</v>
      </c>
      <c r="H14" s="293">
        <v>14800</v>
      </c>
      <c r="I14" s="293"/>
      <c r="J14" s="126">
        <f t="shared" si="0"/>
        <v>14800</v>
      </c>
      <c r="K14" s="310">
        <v>43740</v>
      </c>
      <c r="L14" s="2">
        <v>0</v>
      </c>
      <c r="M14" s="9">
        <f t="shared" si="1"/>
        <v>43740</v>
      </c>
      <c r="N14" s="2" t="str">
        <f t="shared" si="2"/>
        <v>Pagado</v>
      </c>
      <c r="O14" s="310">
        <v>43745</v>
      </c>
      <c r="P14" s="293">
        <v>14800</v>
      </c>
      <c r="Q14" s="2" t="s">
        <v>1484</v>
      </c>
      <c r="R14" s="2"/>
      <c r="S14" s="2"/>
      <c r="T14" s="9" t="s">
        <v>1462</v>
      </c>
      <c r="U14" s="392"/>
      <c r="V14" s="2"/>
      <c r="W14" s="108"/>
      <c r="X14" s="310"/>
      <c r="Y14" s="2"/>
      <c r="Z14" s="131" t="s">
        <v>1467</v>
      </c>
      <c r="AA14" s="108" t="str">
        <f t="shared" si="3"/>
        <v/>
      </c>
      <c r="AB14" s="2"/>
      <c r="AC14" s="131">
        <f t="shared" si="4"/>
        <v>12436.974789915967</v>
      </c>
      <c r="AD14" s="108">
        <f t="shared" si="5"/>
        <v>2363.0252100840335</v>
      </c>
      <c r="AE14" s="2" t="s">
        <v>1501</v>
      </c>
      <c r="AF14" s="23" t="s">
        <v>3489</v>
      </c>
      <c r="AG14" s="2" t="str">
        <f t="shared" si="6"/>
        <v>SI</v>
      </c>
      <c r="AH14" s="14"/>
      <c r="AI14" s="23"/>
      <c r="AJ14" s="2" t="str">
        <f t="shared" si="7"/>
        <v>NV</v>
      </c>
      <c r="AK14" s="294"/>
    </row>
    <row r="15" spans="1:37" x14ac:dyDescent="0.25">
      <c r="A15" s="270" t="s">
        <v>5232</v>
      </c>
      <c r="B15" s="3" t="s">
        <v>5233</v>
      </c>
      <c r="C15" s="2">
        <v>0</v>
      </c>
      <c r="D15" s="2">
        <v>2572</v>
      </c>
      <c r="E15" s="2"/>
      <c r="F15" s="2"/>
      <c r="G15" s="2">
        <v>5904</v>
      </c>
      <c r="H15" s="293">
        <v>14200</v>
      </c>
      <c r="I15" s="293"/>
      <c r="J15" s="126">
        <f t="shared" si="0"/>
        <v>14200</v>
      </c>
      <c r="K15" s="310">
        <v>43740</v>
      </c>
      <c r="L15" s="2">
        <v>0</v>
      </c>
      <c r="M15" s="9">
        <f t="shared" si="1"/>
        <v>43740</v>
      </c>
      <c r="N15" s="2" t="str">
        <f t="shared" si="2"/>
        <v>Pagado</v>
      </c>
      <c r="O15" s="310">
        <v>43740</v>
      </c>
      <c r="P15" s="293">
        <v>14200</v>
      </c>
      <c r="Q15" s="2" t="s">
        <v>1484</v>
      </c>
      <c r="R15" s="2"/>
      <c r="S15" s="2"/>
      <c r="T15" s="313" t="s">
        <v>1462</v>
      </c>
      <c r="U15" s="392"/>
      <c r="V15" s="2"/>
      <c r="W15" s="108"/>
      <c r="X15" s="310"/>
      <c r="Y15" s="2"/>
      <c r="Z15" s="131" t="s">
        <v>1467</v>
      </c>
      <c r="AA15" s="108" t="str">
        <f t="shared" si="3"/>
        <v/>
      </c>
      <c r="AB15" s="2"/>
      <c r="AC15" s="131">
        <f t="shared" si="4"/>
        <v>11932.773109243699</v>
      </c>
      <c r="AD15" s="108">
        <f t="shared" si="5"/>
        <v>2267.2268907563011</v>
      </c>
      <c r="AE15" s="2" t="s">
        <v>1501</v>
      </c>
      <c r="AF15" s="23" t="s">
        <v>3487</v>
      </c>
      <c r="AG15" s="2" t="str">
        <f t="shared" si="6"/>
        <v>SI</v>
      </c>
      <c r="AH15" s="14"/>
      <c r="AI15" s="23"/>
      <c r="AJ15" s="2" t="str">
        <f t="shared" si="7"/>
        <v>NV</v>
      </c>
      <c r="AK15" s="294"/>
    </row>
    <row r="16" spans="1:37" ht="15.75" customHeight="1" x14ac:dyDescent="0.25">
      <c r="A16" s="270" t="s">
        <v>3306</v>
      </c>
      <c r="B16" s="3" t="s">
        <v>3307</v>
      </c>
      <c r="C16" s="2">
        <v>0</v>
      </c>
      <c r="D16" s="2">
        <v>145</v>
      </c>
      <c r="E16" s="2"/>
      <c r="F16" s="2"/>
      <c r="G16" s="2">
        <v>5906</v>
      </c>
      <c r="H16" s="293">
        <v>59300</v>
      </c>
      <c r="I16" s="293"/>
      <c r="J16" s="126">
        <f t="shared" si="0"/>
        <v>59300</v>
      </c>
      <c r="K16" s="310">
        <v>43740</v>
      </c>
      <c r="L16" s="2">
        <v>0</v>
      </c>
      <c r="M16" s="9">
        <f t="shared" si="1"/>
        <v>43740</v>
      </c>
      <c r="N16" s="2" t="str">
        <f t="shared" si="2"/>
        <v>Pagado</v>
      </c>
      <c r="O16" s="310">
        <v>43740</v>
      </c>
      <c r="P16" s="293">
        <v>59300</v>
      </c>
      <c r="Q16" s="2" t="s">
        <v>1070</v>
      </c>
      <c r="R16" s="2" t="s">
        <v>2243</v>
      </c>
      <c r="S16" s="2">
        <v>145</v>
      </c>
      <c r="T16" s="313"/>
      <c r="U16" s="392"/>
      <c r="V16" s="2"/>
      <c r="W16" s="108"/>
      <c r="X16" s="310"/>
      <c r="Y16" s="2"/>
      <c r="Z16" s="131" t="s">
        <v>1467</v>
      </c>
      <c r="AA16" s="108" t="str">
        <f t="shared" si="3"/>
        <v/>
      </c>
      <c r="AB16" s="2"/>
      <c r="AC16" s="131">
        <f t="shared" si="4"/>
        <v>49831.932773109249</v>
      </c>
      <c r="AD16" s="108">
        <f t="shared" si="5"/>
        <v>9468.067226890751</v>
      </c>
      <c r="AE16" s="2" t="s">
        <v>1501</v>
      </c>
      <c r="AF16" s="23" t="s">
        <v>3489</v>
      </c>
      <c r="AG16" s="2" t="str">
        <f t="shared" si="6"/>
        <v>SI</v>
      </c>
      <c r="AH16" s="14"/>
      <c r="AI16" s="23"/>
      <c r="AJ16" s="2" t="str">
        <f t="shared" si="7"/>
        <v>NV</v>
      </c>
      <c r="AK16" s="294"/>
    </row>
    <row r="17" spans="1:37" ht="15.75" customHeight="1" x14ac:dyDescent="0.25">
      <c r="A17" s="270" t="s">
        <v>1192</v>
      </c>
      <c r="B17" s="3" t="s">
        <v>1061</v>
      </c>
      <c r="C17" s="2">
        <v>2928</v>
      </c>
      <c r="D17" s="2">
        <v>0</v>
      </c>
      <c r="E17" s="2"/>
      <c r="F17" s="2"/>
      <c r="G17" s="2" t="s">
        <v>4786</v>
      </c>
      <c r="H17" s="293">
        <v>87412</v>
      </c>
      <c r="I17" s="293"/>
      <c r="J17" s="126">
        <f t="shared" si="0"/>
        <v>87412</v>
      </c>
      <c r="K17" s="310">
        <v>43741</v>
      </c>
      <c r="L17" s="2">
        <v>0</v>
      </c>
      <c r="M17" s="9">
        <f t="shared" si="1"/>
        <v>43741</v>
      </c>
      <c r="N17" s="2" t="str">
        <f t="shared" si="2"/>
        <v>Pagado</v>
      </c>
      <c r="O17" s="310">
        <v>43748</v>
      </c>
      <c r="P17" s="293">
        <v>87412</v>
      </c>
      <c r="Q17" s="2" t="s">
        <v>1484</v>
      </c>
      <c r="R17" s="2"/>
      <c r="S17" s="2"/>
      <c r="T17" s="9" t="s">
        <v>1488</v>
      </c>
      <c r="U17" s="392"/>
      <c r="V17" s="2"/>
      <c r="W17" s="108"/>
      <c r="X17" s="310"/>
      <c r="Y17" s="2"/>
      <c r="Z17" s="310">
        <v>43710</v>
      </c>
      <c r="AA17" s="108" t="str">
        <f t="shared" si="3"/>
        <v/>
      </c>
      <c r="AB17" s="2"/>
      <c r="AC17" s="131">
        <f t="shared" si="4"/>
        <v>73455.462184873948</v>
      </c>
      <c r="AD17" s="108">
        <f t="shared" si="5"/>
        <v>13956.537815126052</v>
      </c>
      <c r="AE17" s="2" t="s">
        <v>1501</v>
      </c>
      <c r="AF17" s="23" t="s">
        <v>3490</v>
      </c>
      <c r="AG17" s="2" t="str">
        <f t="shared" si="6"/>
        <v>SI</v>
      </c>
      <c r="AH17" s="14"/>
      <c r="AI17" s="23"/>
      <c r="AJ17" s="2" t="str">
        <f t="shared" si="7"/>
        <v>Factura</v>
      </c>
      <c r="AK17" s="294"/>
    </row>
    <row r="18" spans="1:37" ht="15.75" customHeight="1" x14ac:dyDescent="0.25">
      <c r="A18" s="270" t="s">
        <v>1192</v>
      </c>
      <c r="B18" s="3" t="s">
        <v>1061</v>
      </c>
      <c r="C18" s="2">
        <v>2928</v>
      </c>
      <c r="D18" s="2">
        <v>0</v>
      </c>
      <c r="E18" s="2"/>
      <c r="F18" s="2"/>
      <c r="G18" s="2" t="s">
        <v>4844</v>
      </c>
      <c r="H18" s="293">
        <v>92652</v>
      </c>
      <c r="I18" s="293"/>
      <c r="J18" s="126">
        <f t="shared" si="0"/>
        <v>92652</v>
      </c>
      <c r="K18" s="310">
        <v>43741</v>
      </c>
      <c r="L18" s="2">
        <v>0</v>
      </c>
      <c r="M18" s="9">
        <f t="shared" si="1"/>
        <v>43741</v>
      </c>
      <c r="N18" s="2" t="str">
        <f t="shared" si="2"/>
        <v>Pagado</v>
      </c>
      <c r="O18" s="310">
        <v>43748</v>
      </c>
      <c r="P18" s="293">
        <v>92652</v>
      </c>
      <c r="Q18" s="2" t="s">
        <v>1484</v>
      </c>
      <c r="R18" s="2"/>
      <c r="S18" s="2"/>
      <c r="T18" s="9" t="s">
        <v>1488</v>
      </c>
      <c r="U18" s="392"/>
      <c r="V18" s="2"/>
      <c r="W18" s="108"/>
      <c r="X18" s="310"/>
      <c r="Y18" s="2"/>
      <c r="Z18" s="310">
        <v>43714</v>
      </c>
      <c r="AA18" s="108" t="str">
        <f t="shared" si="3"/>
        <v/>
      </c>
      <c r="AB18" s="2"/>
      <c r="AC18" s="131">
        <f t="shared" si="4"/>
        <v>77858.823529411762</v>
      </c>
      <c r="AD18" s="108">
        <f t="shared" si="5"/>
        <v>14793.176470588238</v>
      </c>
      <c r="AE18" s="2" t="s">
        <v>1501</v>
      </c>
      <c r="AF18" s="23" t="s">
        <v>3490</v>
      </c>
      <c r="AG18" s="2" t="str">
        <f t="shared" si="6"/>
        <v>SI</v>
      </c>
      <c r="AH18" s="14"/>
      <c r="AI18" s="23"/>
      <c r="AJ18" s="2" t="str">
        <f t="shared" si="7"/>
        <v>Factura</v>
      </c>
      <c r="AK18" s="294"/>
    </row>
    <row r="19" spans="1:37" ht="15.75" customHeight="1" x14ac:dyDescent="0.25">
      <c r="A19" s="270" t="s">
        <v>1192</v>
      </c>
      <c r="B19" s="3" t="s">
        <v>1061</v>
      </c>
      <c r="C19" s="2">
        <v>2928</v>
      </c>
      <c r="D19" s="2">
        <v>0</v>
      </c>
      <c r="E19" s="2"/>
      <c r="F19" s="2"/>
      <c r="G19" s="2" t="s">
        <v>4845</v>
      </c>
      <c r="H19" s="293">
        <v>102787</v>
      </c>
      <c r="I19" s="293"/>
      <c r="J19" s="126">
        <f t="shared" si="0"/>
        <v>102787</v>
      </c>
      <c r="K19" s="310">
        <v>43741</v>
      </c>
      <c r="L19" s="2">
        <v>0</v>
      </c>
      <c r="M19" s="9">
        <f t="shared" si="1"/>
        <v>43741</v>
      </c>
      <c r="N19" s="2" t="str">
        <f t="shared" si="2"/>
        <v>Pagado</v>
      </c>
      <c r="O19" s="310">
        <v>43748</v>
      </c>
      <c r="P19" s="293">
        <v>102787</v>
      </c>
      <c r="Q19" s="2" t="s">
        <v>1484</v>
      </c>
      <c r="R19" s="2"/>
      <c r="S19" s="2"/>
      <c r="T19" s="9" t="s">
        <v>1488</v>
      </c>
      <c r="U19" s="392"/>
      <c r="V19" s="2"/>
      <c r="W19" s="108"/>
      <c r="X19" s="310"/>
      <c r="Y19" s="2"/>
      <c r="Z19" s="310">
        <v>43729</v>
      </c>
      <c r="AA19" s="108" t="str">
        <f t="shared" si="3"/>
        <v/>
      </c>
      <c r="AB19" s="2"/>
      <c r="AC19" s="131">
        <f t="shared" si="4"/>
        <v>86375.630252100847</v>
      </c>
      <c r="AD19" s="108">
        <f t="shared" si="5"/>
        <v>16411.369747899153</v>
      </c>
      <c r="AE19" s="2" t="s">
        <v>1501</v>
      </c>
      <c r="AF19" s="23" t="s">
        <v>3490</v>
      </c>
      <c r="AG19" s="2" t="str">
        <f t="shared" si="6"/>
        <v>SI</v>
      </c>
      <c r="AH19" s="14"/>
      <c r="AI19" s="23"/>
      <c r="AJ19" s="2" t="str">
        <f t="shared" si="7"/>
        <v>Factura</v>
      </c>
      <c r="AK19" s="294"/>
    </row>
    <row r="20" spans="1:37" ht="15.75" customHeight="1" x14ac:dyDescent="0.25">
      <c r="A20" s="270" t="s">
        <v>1192</v>
      </c>
      <c r="B20" s="3" t="s">
        <v>1061</v>
      </c>
      <c r="C20" s="2">
        <v>2928</v>
      </c>
      <c r="D20" s="2">
        <v>0</v>
      </c>
      <c r="E20" s="2"/>
      <c r="F20" s="2"/>
      <c r="G20" s="2" t="s">
        <v>4429</v>
      </c>
      <c r="H20" s="293">
        <v>20786</v>
      </c>
      <c r="I20" s="293"/>
      <c r="J20" s="126">
        <f t="shared" si="0"/>
        <v>20786</v>
      </c>
      <c r="K20" s="310">
        <v>43741</v>
      </c>
      <c r="L20" s="2">
        <v>0</v>
      </c>
      <c r="M20" s="9">
        <f t="shared" si="1"/>
        <v>43741</v>
      </c>
      <c r="N20" s="2" t="str">
        <f t="shared" si="2"/>
        <v>Pagado</v>
      </c>
      <c r="O20" s="310">
        <v>43748</v>
      </c>
      <c r="P20" s="293">
        <v>20786</v>
      </c>
      <c r="Q20" s="2" t="s">
        <v>1484</v>
      </c>
      <c r="R20" s="2"/>
      <c r="S20" s="2"/>
      <c r="T20" s="9" t="s">
        <v>1488</v>
      </c>
      <c r="U20" s="392"/>
      <c r="V20" s="2"/>
      <c r="W20" s="108"/>
      <c r="X20" s="310"/>
      <c r="Y20" s="2"/>
      <c r="Z20" s="310">
        <v>43736</v>
      </c>
      <c r="AA20" s="108" t="str">
        <f t="shared" si="3"/>
        <v/>
      </c>
      <c r="AB20" s="2"/>
      <c r="AC20" s="131">
        <f t="shared" si="4"/>
        <v>17467.226890756305</v>
      </c>
      <c r="AD20" s="108">
        <f t="shared" si="5"/>
        <v>3318.7731092436952</v>
      </c>
      <c r="AE20" s="2" t="s">
        <v>1501</v>
      </c>
      <c r="AF20" s="23" t="s">
        <v>3490</v>
      </c>
      <c r="AG20" s="2" t="str">
        <f t="shared" si="6"/>
        <v>SI</v>
      </c>
      <c r="AH20" s="14"/>
      <c r="AI20" s="23"/>
      <c r="AJ20" s="2" t="str">
        <f t="shared" si="7"/>
        <v>Factura</v>
      </c>
      <c r="AK20" s="294"/>
    </row>
    <row r="21" spans="1:37" ht="15.75" customHeight="1" x14ac:dyDescent="0.25">
      <c r="A21" s="270" t="s">
        <v>5197</v>
      </c>
      <c r="B21" s="3" t="s">
        <v>5198</v>
      </c>
      <c r="C21" s="2">
        <v>2931</v>
      </c>
      <c r="D21" s="2">
        <v>0</v>
      </c>
      <c r="E21" s="2"/>
      <c r="F21" s="2"/>
      <c r="G21" s="2" t="s">
        <v>2528</v>
      </c>
      <c r="H21" s="293">
        <v>58365</v>
      </c>
      <c r="I21" s="293"/>
      <c r="J21" s="126">
        <f t="shared" si="0"/>
        <v>58365</v>
      </c>
      <c r="K21" s="310">
        <v>43742</v>
      </c>
      <c r="L21" s="2">
        <v>0</v>
      </c>
      <c r="M21" s="9">
        <f t="shared" si="1"/>
        <v>43742</v>
      </c>
      <c r="N21" s="2" t="str">
        <f t="shared" si="2"/>
        <v>Pagado</v>
      </c>
      <c r="O21" s="310">
        <v>43745</v>
      </c>
      <c r="P21" s="293">
        <v>58400</v>
      </c>
      <c r="Q21" s="2" t="s">
        <v>1484</v>
      </c>
      <c r="R21" s="2"/>
      <c r="S21" s="2"/>
      <c r="T21" s="9" t="s">
        <v>1488</v>
      </c>
      <c r="U21" s="392"/>
      <c r="V21" s="2"/>
      <c r="W21" s="108"/>
      <c r="X21" s="310"/>
      <c r="Y21" s="2"/>
      <c r="Z21" s="131" t="s">
        <v>1467</v>
      </c>
      <c r="AA21" s="108" t="str">
        <f t="shared" si="3"/>
        <v/>
      </c>
      <c r="AB21" s="2"/>
      <c r="AC21" s="131">
        <f t="shared" si="4"/>
        <v>49046.218487394959</v>
      </c>
      <c r="AD21" s="108">
        <f t="shared" si="5"/>
        <v>9318.7815126050409</v>
      </c>
      <c r="AE21" s="2" t="s">
        <v>1445</v>
      </c>
      <c r="AF21" s="23" t="s">
        <v>3489</v>
      </c>
      <c r="AG21" s="2" t="str">
        <f t="shared" si="6"/>
        <v>SI</v>
      </c>
      <c r="AH21" s="14"/>
      <c r="AI21" s="23"/>
      <c r="AJ21" s="2" t="str">
        <f t="shared" si="7"/>
        <v>Factura</v>
      </c>
      <c r="AK21" s="294"/>
    </row>
    <row r="22" spans="1:37" ht="15.75" customHeight="1" x14ac:dyDescent="0.25">
      <c r="A22" s="270" t="s">
        <v>3460</v>
      </c>
      <c r="B22" s="3" t="s">
        <v>3461</v>
      </c>
      <c r="C22" s="2">
        <v>2929</v>
      </c>
      <c r="D22" s="2">
        <v>0</v>
      </c>
      <c r="E22" s="2"/>
      <c r="F22" s="2"/>
      <c r="G22" s="2" t="s">
        <v>2528</v>
      </c>
      <c r="H22" s="293">
        <v>58835</v>
      </c>
      <c r="I22" s="293"/>
      <c r="J22" s="126">
        <f t="shared" si="0"/>
        <v>58835</v>
      </c>
      <c r="K22" s="310">
        <v>43742</v>
      </c>
      <c r="L22" s="2">
        <v>0</v>
      </c>
      <c r="M22" s="9">
        <f t="shared" si="1"/>
        <v>43742</v>
      </c>
      <c r="N22" s="2" t="str">
        <f t="shared" si="2"/>
        <v>Pagado</v>
      </c>
      <c r="O22" s="310">
        <v>43775</v>
      </c>
      <c r="P22" s="293">
        <v>58835</v>
      </c>
      <c r="Q22" s="2" t="s">
        <v>1484</v>
      </c>
      <c r="R22" s="2"/>
      <c r="S22" s="2"/>
      <c r="T22" s="9" t="s">
        <v>1496</v>
      </c>
      <c r="U22" s="392"/>
      <c r="V22" s="2"/>
      <c r="W22" s="108"/>
      <c r="X22" s="310"/>
      <c r="Y22" s="2"/>
      <c r="Z22" s="131" t="s">
        <v>1467</v>
      </c>
      <c r="AA22" s="108" t="str">
        <f t="shared" si="3"/>
        <v/>
      </c>
      <c r="AB22" s="2"/>
      <c r="AC22" s="131">
        <f t="shared" si="4"/>
        <v>49441.176470588238</v>
      </c>
      <c r="AD22" s="108">
        <f t="shared" si="5"/>
        <v>9393.8235294117621</v>
      </c>
      <c r="AE22" s="2" t="s">
        <v>1501</v>
      </c>
      <c r="AF22" s="23" t="s">
        <v>3490</v>
      </c>
      <c r="AG22" s="2" t="str">
        <f t="shared" si="6"/>
        <v>SI</v>
      </c>
      <c r="AH22" s="14"/>
      <c r="AI22" s="23"/>
      <c r="AJ22" s="2" t="str">
        <f t="shared" si="7"/>
        <v>Factura</v>
      </c>
      <c r="AK22" s="294"/>
    </row>
    <row r="23" spans="1:37" ht="15.75" customHeight="1" x14ac:dyDescent="0.25">
      <c r="A23" s="270" t="s">
        <v>4541</v>
      </c>
      <c r="B23" s="3" t="s">
        <v>3397</v>
      </c>
      <c r="C23" s="2">
        <v>0</v>
      </c>
      <c r="D23" s="2">
        <v>2573</v>
      </c>
      <c r="E23" s="2"/>
      <c r="F23" s="2"/>
      <c r="G23" s="2">
        <v>5911</v>
      </c>
      <c r="H23" s="293">
        <v>14800</v>
      </c>
      <c r="I23" s="293"/>
      <c r="J23" s="126">
        <f t="shared" si="0"/>
        <v>14800</v>
      </c>
      <c r="K23" s="310">
        <v>43742</v>
      </c>
      <c r="L23" s="2">
        <v>0</v>
      </c>
      <c r="M23" s="9">
        <f t="shared" si="1"/>
        <v>43742</v>
      </c>
      <c r="N23" s="2" t="str">
        <f t="shared" si="2"/>
        <v>Pagado</v>
      </c>
      <c r="O23" s="310">
        <v>43742</v>
      </c>
      <c r="P23" s="293">
        <v>14800</v>
      </c>
      <c r="Q23" s="2" t="s">
        <v>1481</v>
      </c>
      <c r="R23" s="2"/>
      <c r="S23" s="2"/>
      <c r="T23" s="9"/>
      <c r="U23" s="392"/>
      <c r="V23" s="2">
        <v>134087</v>
      </c>
      <c r="W23" s="108">
        <v>14800</v>
      </c>
      <c r="X23" s="310">
        <v>43752</v>
      </c>
      <c r="Y23" s="2" t="s">
        <v>1488</v>
      </c>
      <c r="Z23" s="131" t="s">
        <v>1467</v>
      </c>
      <c r="AA23" s="108" t="str">
        <f t="shared" si="3"/>
        <v/>
      </c>
      <c r="AB23" s="2"/>
      <c r="AC23" s="131">
        <f t="shared" si="4"/>
        <v>12436.974789915967</v>
      </c>
      <c r="AD23" s="108">
        <f t="shared" si="5"/>
        <v>2363.0252100840335</v>
      </c>
      <c r="AE23" s="2" t="s">
        <v>1501</v>
      </c>
      <c r="AF23" s="23" t="s">
        <v>3489</v>
      </c>
      <c r="AG23" s="2" t="str">
        <f t="shared" si="6"/>
        <v>SI</v>
      </c>
      <c r="AH23" s="14"/>
      <c r="AI23" s="23"/>
      <c r="AJ23" s="2" t="str">
        <f t="shared" si="7"/>
        <v>NV</v>
      </c>
      <c r="AK23" s="294"/>
    </row>
    <row r="24" spans="1:37" ht="15.75" customHeight="1" x14ac:dyDescent="0.25">
      <c r="A24" s="270" t="s">
        <v>1181</v>
      </c>
      <c r="B24" s="3" t="s">
        <v>939</v>
      </c>
      <c r="C24" s="2" t="s">
        <v>2528</v>
      </c>
      <c r="D24" s="2">
        <v>0</v>
      </c>
      <c r="E24" s="2"/>
      <c r="F24" s="2"/>
      <c r="G24" s="2" t="s">
        <v>2528</v>
      </c>
      <c r="H24" s="293">
        <v>24421</v>
      </c>
      <c r="I24" s="293"/>
      <c r="J24" s="126">
        <f t="shared" si="0"/>
        <v>24421</v>
      </c>
      <c r="K24" s="310">
        <v>43742</v>
      </c>
      <c r="L24" s="2">
        <v>0</v>
      </c>
      <c r="M24" s="9">
        <f t="shared" si="1"/>
        <v>43742</v>
      </c>
      <c r="N24" s="2" t="str">
        <f t="shared" si="2"/>
        <v>Pagado</v>
      </c>
      <c r="O24" s="310">
        <v>43742</v>
      </c>
      <c r="P24" s="293">
        <v>24421</v>
      </c>
      <c r="Q24" s="2" t="s">
        <v>1481</v>
      </c>
      <c r="R24" s="2"/>
      <c r="S24" s="2"/>
      <c r="T24" s="9"/>
      <c r="U24" s="392"/>
      <c r="V24" s="2"/>
      <c r="W24" s="108"/>
      <c r="X24" s="310"/>
      <c r="Y24" s="2"/>
      <c r="Z24" s="131" t="s">
        <v>1467</v>
      </c>
      <c r="AA24" s="108" t="str">
        <f t="shared" si="3"/>
        <v/>
      </c>
      <c r="AB24" s="2"/>
      <c r="AC24" s="131">
        <f t="shared" si="4"/>
        <v>20521.848739495799</v>
      </c>
      <c r="AD24" s="108">
        <f t="shared" si="5"/>
        <v>3899.1512605042008</v>
      </c>
      <c r="AE24" s="2" t="s">
        <v>1445</v>
      </c>
      <c r="AF24" s="23" t="s">
        <v>3490</v>
      </c>
      <c r="AG24" s="2" t="str">
        <f t="shared" si="6"/>
        <v>SI</v>
      </c>
      <c r="AH24" s="14"/>
      <c r="AI24" s="23"/>
      <c r="AJ24" s="2" t="str">
        <f t="shared" si="7"/>
        <v>Factura</v>
      </c>
      <c r="AK24" s="294"/>
    </row>
    <row r="25" spans="1:37" ht="15.75" customHeight="1" x14ac:dyDescent="0.25">
      <c r="A25" s="270" t="s">
        <v>2656</v>
      </c>
      <c r="B25" s="3" t="s">
        <v>3362</v>
      </c>
      <c r="C25" s="2">
        <v>0</v>
      </c>
      <c r="D25" s="2">
        <v>0</v>
      </c>
      <c r="E25" s="2"/>
      <c r="F25" s="2"/>
      <c r="G25" s="2">
        <v>5914</v>
      </c>
      <c r="H25" s="293">
        <v>14800</v>
      </c>
      <c r="I25" s="293"/>
      <c r="J25" s="126">
        <f t="shared" si="0"/>
        <v>14800</v>
      </c>
      <c r="K25" s="310">
        <v>43742</v>
      </c>
      <c r="L25" s="2">
        <v>0</v>
      </c>
      <c r="M25" s="9">
        <f t="shared" si="1"/>
        <v>43742</v>
      </c>
      <c r="N25" s="2" t="str">
        <f t="shared" si="2"/>
        <v>Pagado</v>
      </c>
      <c r="O25" s="310">
        <v>43742</v>
      </c>
      <c r="P25" s="293">
        <v>14800</v>
      </c>
      <c r="Q25" s="2" t="s">
        <v>1484</v>
      </c>
      <c r="R25" s="2"/>
      <c r="S25" s="2"/>
      <c r="T25" s="9" t="s">
        <v>1462</v>
      </c>
      <c r="U25" s="392"/>
      <c r="V25" s="2"/>
      <c r="W25" s="108"/>
      <c r="X25" s="310"/>
      <c r="Y25" s="2"/>
      <c r="Z25" s="131" t="s">
        <v>1467</v>
      </c>
      <c r="AA25" s="108" t="str">
        <f t="shared" si="3"/>
        <v/>
      </c>
      <c r="AB25" s="2"/>
      <c r="AC25" s="131">
        <f t="shared" si="4"/>
        <v>12436.974789915967</v>
      </c>
      <c r="AD25" s="108">
        <f t="shared" si="5"/>
        <v>2363.0252100840335</v>
      </c>
      <c r="AE25" s="2" t="s">
        <v>1501</v>
      </c>
      <c r="AF25" s="23" t="s">
        <v>3489</v>
      </c>
      <c r="AG25" s="2" t="str">
        <f t="shared" si="6"/>
        <v>SI</v>
      </c>
      <c r="AH25" s="14"/>
      <c r="AI25" s="23"/>
      <c r="AJ25" s="2" t="str">
        <f t="shared" si="7"/>
        <v>NV</v>
      </c>
      <c r="AK25" s="294"/>
    </row>
    <row r="26" spans="1:37" ht="15.75" customHeight="1" x14ac:dyDescent="0.25">
      <c r="A26" s="270" t="s">
        <v>4580</v>
      </c>
      <c r="B26" s="3" t="s">
        <v>4581</v>
      </c>
      <c r="C26" s="2">
        <v>0</v>
      </c>
      <c r="D26" s="2">
        <v>2575</v>
      </c>
      <c r="E26" s="2"/>
      <c r="F26" s="2"/>
      <c r="G26" s="2">
        <v>5913</v>
      </c>
      <c r="H26" s="293">
        <v>96500</v>
      </c>
      <c r="I26" s="293"/>
      <c r="J26" s="126">
        <f t="shared" si="0"/>
        <v>96500</v>
      </c>
      <c r="K26" s="310">
        <v>43742</v>
      </c>
      <c r="L26" s="2">
        <v>0</v>
      </c>
      <c r="M26" s="9">
        <f t="shared" si="1"/>
        <v>43742</v>
      </c>
      <c r="N26" s="2" t="str">
        <f t="shared" si="2"/>
        <v>Pagado</v>
      </c>
      <c r="O26" s="310">
        <v>43745</v>
      </c>
      <c r="P26" s="293">
        <v>96500</v>
      </c>
      <c r="Q26" s="2" t="s">
        <v>1484</v>
      </c>
      <c r="R26" s="2"/>
      <c r="S26" s="2"/>
      <c r="T26" s="313" t="s">
        <v>1462</v>
      </c>
      <c r="U26" s="392"/>
      <c r="V26" s="2"/>
      <c r="W26" s="108"/>
      <c r="X26" s="310"/>
      <c r="Y26" s="2"/>
      <c r="Z26" s="131" t="s">
        <v>1467</v>
      </c>
      <c r="AA26" s="108" t="str">
        <f t="shared" si="3"/>
        <v/>
      </c>
      <c r="AB26" s="2"/>
      <c r="AC26" s="131">
        <f t="shared" si="4"/>
        <v>81092.436974789918</v>
      </c>
      <c r="AD26" s="108">
        <f t="shared" si="5"/>
        <v>15407.563025210082</v>
      </c>
      <c r="AE26" s="2" t="s">
        <v>1501</v>
      </c>
      <c r="AF26" s="23" t="s">
        <v>3487</v>
      </c>
      <c r="AG26" s="2" t="str">
        <f t="shared" si="6"/>
        <v>SI</v>
      </c>
      <c r="AH26" s="14"/>
      <c r="AI26" s="23"/>
      <c r="AJ26" s="2" t="str">
        <f t="shared" si="7"/>
        <v>NV</v>
      </c>
      <c r="AK26" s="294"/>
    </row>
    <row r="27" spans="1:37" ht="15.75" customHeight="1" x14ac:dyDescent="0.25">
      <c r="A27" s="270" t="s">
        <v>1387</v>
      </c>
      <c r="B27" s="3" t="s">
        <v>1080</v>
      </c>
      <c r="C27" s="2">
        <v>0</v>
      </c>
      <c r="D27" s="2">
        <v>0</v>
      </c>
      <c r="E27" s="2"/>
      <c r="F27" s="2"/>
      <c r="G27" s="2">
        <v>5916</v>
      </c>
      <c r="H27" s="293">
        <v>29600</v>
      </c>
      <c r="I27" s="293"/>
      <c r="J27" s="126">
        <f t="shared" si="0"/>
        <v>29600</v>
      </c>
      <c r="K27" s="310">
        <v>43742</v>
      </c>
      <c r="L27" s="2">
        <v>0</v>
      </c>
      <c r="M27" s="9">
        <f t="shared" si="1"/>
        <v>43742</v>
      </c>
      <c r="N27" s="2" t="str">
        <f t="shared" si="2"/>
        <v>Pagado</v>
      </c>
      <c r="O27" s="310">
        <v>43752</v>
      </c>
      <c r="P27" s="293">
        <v>29600</v>
      </c>
      <c r="Q27" s="2" t="s">
        <v>1484</v>
      </c>
      <c r="R27" s="2"/>
      <c r="S27" s="2"/>
      <c r="T27" s="9" t="s">
        <v>1490</v>
      </c>
      <c r="U27" s="392"/>
      <c r="V27" s="2"/>
      <c r="W27" s="108"/>
      <c r="X27" s="310"/>
      <c r="Y27" s="2"/>
      <c r="Z27" s="131" t="s">
        <v>1467</v>
      </c>
      <c r="AA27" s="108" t="str">
        <f t="shared" si="3"/>
        <v/>
      </c>
      <c r="AB27" s="2"/>
      <c r="AC27" s="131">
        <f t="shared" si="4"/>
        <v>24873.949579831933</v>
      </c>
      <c r="AD27" s="108">
        <f t="shared" si="5"/>
        <v>4726.0504201680669</v>
      </c>
      <c r="AE27" s="2" t="s">
        <v>1501</v>
      </c>
      <c r="AF27" s="23" t="s">
        <v>3487</v>
      </c>
      <c r="AG27" s="2" t="str">
        <f t="shared" si="6"/>
        <v>SI</v>
      </c>
      <c r="AH27" s="14"/>
      <c r="AI27" s="23"/>
      <c r="AJ27" s="2" t="str">
        <f t="shared" si="7"/>
        <v>NV</v>
      </c>
      <c r="AK27" s="294"/>
    </row>
    <row r="28" spans="1:37" ht="15.75" customHeight="1" x14ac:dyDescent="0.25">
      <c r="A28" s="270" t="s">
        <v>3421</v>
      </c>
      <c r="B28" s="3" t="s">
        <v>3422</v>
      </c>
      <c r="C28" s="2">
        <v>0</v>
      </c>
      <c r="D28" s="2">
        <v>2574</v>
      </c>
      <c r="E28" s="2"/>
      <c r="F28" s="2"/>
      <c r="G28" s="2">
        <v>5912</v>
      </c>
      <c r="H28" s="293">
        <v>28100</v>
      </c>
      <c r="I28" s="293"/>
      <c r="J28" s="126">
        <f t="shared" si="0"/>
        <v>28100</v>
      </c>
      <c r="K28" s="310">
        <v>43742</v>
      </c>
      <c r="L28" s="2">
        <v>0</v>
      </c>
      <c r="M28" s="9">
        <f t="shared" si="1"/>
        <v>43742</v>
      </c>
      <c r="N28" s="2" t="str">
        <f t="shared" si="2"/>
        <v>Pagado</v>
      </c>
      <c r="O28" s="310">
        <v>43742</v>
      </c>
      <c r="P28" s="293">
        <v>28100</v>
      </c>
      <c r="Q28" s="2" t="s">
        <v>1484</v>
      </c>
      <c r="R28" s="2"/>
      <c r="S28" s="2"/>
      <c r="T28" s="9" t="s">
        <v>1488</v>
      </c>
      <c r="U28" s="392"/>
      <c r="V28" s="2"/>
      <c r="W28" s="108"/>
      <c r="X28" s="310"/>
      <c r="Y28" s="2"/>
      <c r="Z28" s="131" t="s">
        <v>1467</v>
      </c>
      <c r="AA28" s="108" t="str">
        <f t="shared" si="3"/>
        <v/>
      </c>
      <c r="AB28" s="2"/>
      <c r="AC28" s="131">
        <f t="shared" si="4"/>
        <v>23613.44537815126</v>
      </c>
      <c r="AD28" s="108">
        <f t="shared" si="5"/>
        <v>4486.5546218487398</v>
      </c>
      <c r="AE28" s="2" t="s">
        <v>1501</v>
      </c>
      <c r="AF28" s="23" t="s">
        <v>3489</v>
      </c>
      <c r="AG28" s="2" t="str">
        <f t="shared" si="6"/>
        <v>SI</v>
      </c>
      <c r="AH28" s="14"/>
      <c r="AI28" s="23"/>
      <c r="AJ28" s="2" t="str">
        <f t="shared" si="7"/>
        <v>NV</v>
      </c>
      <c r="AK28" s="294"/>
    </row>
    <row r="29" spans="1:37" ht="15.75" customHeight="1" x14ac:dyDescent="0.25">
      <c r="A29" s="270" t="s">
        <v>1322</v>
      </c>
      <c r="B29" s="3" t="s">
        <v>2317</v>
      </c>
      <c r="C29" s="2">
        <v>0</v>
      </c>
      <c r="D29" s="2">
        <v>2576</v>
      </c>
      <c r="E29" s="2"/>
      <c r="F29" s="2"/>
      <c r="G29" s="2">
        <v>5915</v>
      </c>
      <c r="H29" s="293">
        <v>20900</v>
      </c>
      <c r="I29" s="293"/>
      <c r="J29" s="126">
        <f t="shared" si="0"/>
        <v>20900</v>
      </c>
      <c r="K29" s="310">
        <v>43742</v>
      </c>
      <c r="L29" s="2">
        <v>0</v>
      </c>
      <c r="M29" s="9">
        <f t="shared" si="1"/>
        <v>43742</v>
      </c>
      <c r="N29" s="2" t="str">
        <f t="shared" si="2"/>
        <v>Pagado</v>
      </c>
      <c r="O29" s="310">
        <v>43752</v>
      </c>
      <c r="P29" s="293">
        <v>20900</v>
      </c>
      <c r="Q29" s="2" t="s">
        <v>1484</v>
      </c>
      <c r="R29" s="2"/>
      <c r="S29" s="2"/>
      <c r="T29" s="9" t="s">
        <v>1493</v>
      </c>
      <c r="U29" s="392"/>
      <c r="V29" s="2"/>
      <c r="W29" s="108"/>
      <c r="X29" s="310"/>
      <c r="Y29" s="2"/>
      <c r="Z29" s="131" t="s">
        <v>1467</v>
      </c>
      <c r="AA29" s="108" t="str">
        <f t="shared" si="3"/>
        <v/>
      </c>
      <c r="AB29" s="2"/>
      <c r="AC29" s="131">
        <f t="shared" si="4"/>
        <v>17563.025210084033</v>
      </c>
      <c r="AD29" s="108">
        <f t="shared" si="5"/>
        <v>3336.9747899159665</v>
      </c>
      <c r="AE29" s="2" t="s">
        <v>1501</v>
      </c>
      <c r="AF29" s="23" t="s">
        <v>3489</v>
      </c>
      <c r="AG29" s="2" t="str">
        <f t="shared" si="6"/>
        <v>SI</v>
      </c>
      <c r="AH29" s="14"/>
      <c r="AI29" s="23"/>
      <c r="AJ29" s="2" t="str">
        <f t="shared" si="7"/>
        <v>NV</v>
      </c>
      <c r="AK29" s="294"/>
    </row>
    <row r="30" spans="1:37" ht="15.75" customHeight="1" x14ac:dyDescent="0.25">
      <c r="A30" s="270" t="s">
        <v>4486</v>
      </c>
      <c r="B30" s="3" t="s">
        <v>4346</v>
      </c>
      <c r="C30" s="2">
        <v>0</v>
      </c>
      <c r="D30" s="2">
        <v>0</v>
      </c>
      <c r="E30" s="2"/>
      <c r="F30" s="2"/>
      <c r="G30" s="2">
        <v>5917</v>
      </c>
      <c r="H30" s="293">
        <v>46100</v>
      </c>
      <c r="I30" s="293"/>
      <c r="J30" s="126">
        <f t="shared" si="0"/>
        <v>46100</v>
      </c>
      <c r="K30" s="310">
        <v>43742</v>
      </c>
      <c r="L30" s="2">
        <v>0</v>
      </c>
      <c r="M30" s="9">
        <f t="shared" si="1"/>
        <v>43742</v>
      </c>
      <c r="N30" s="2" t="str">
        <f t="shared" si="2"/>
        <v>Pagado</v>
      </c>
      <c r="O30" s="310">
        <v>43836</v>
      </c>
      <c r="P30" s="293">
        <v>46100</v>
      </c>
      <c r="Q30" s="2" t="s">
        <v>1481</v>
      </c>
      <c r="R30" s="2"/>
      <c r="S30" s="2"/>
      <c r="T30" s="313"/>
      <c r="U30" s="392"/>
      <c r="V30" s="2">
        <v>2719729</v>
      </c>
      <c r="W30" s="108">
        <v>46100</v>
      </c>
      <c r="X30" s="310">
        <v>43836</v>
      </c>
      <c r="Y30" s="2" t="s">
        <v>1488</v>
      </c>
      <c r="Z30" s="131" t="s">
        <v>1467</v>
      </c>
      <c r="AA30" s="108" t="str">
        <f t="shared" si="3"/>
        <v/>
      </c>
      <c r="AB30" s="2"/>
      <c r="AC30" s="131">
        <f t="shared" si="4"/>
        <v>38739.495798319331</v>
      </c>
      <c r="AD30" s="108">
        <f t="shared" si="5"/>
        <v>7360.5042016806692</v>
      </c>
      <c r="AE30" s="2" t="s">
        <v>1501</v>
      </c>
      <c r="AF30" s="23" t="s">
        <v>3487</v>
      </c>
      <c r="AG30" s="2" t="str">
        <f t="shared" si="6"/>
        <v>SI</v>
      </c>
      <c r="AH30" s="14"/>
      <c r="AI30" s="23"/>
      <c r="AJ30" s="2" t="str">
        <f t="shared" si="7"/>
        <v>NV</v>
      </c>
      <c r="AK30" s="294"/>
    </row>
    <row r="31" spans="1:37" ht="15.75" customHeight="1" x14ac:dyDescent="0.25">
      <c r="A31" s="270" t="s">
        <v>1193</v>
      </c>
      <c r="B31" s="3" t="s">
        <v>1017</v>
      </c>
      <c r="C31" s="2">
        <v>2930</v>
      </c>
      <c r="D31" s="2">
        <v>0</v>
      </c>
      <c r="E31" s="2">
        <v>264</v>
      </c>
      <c r="F31" s="2"/>
      <c r="G31" s="2" t="s">
        <v>2528</v>
      </c>
      <c r="H31" s="293">
        <v>91460</v>
      </c>
      <c r="I31" s="293">
        <v>-26781</v>
      </c>
      <c r="J31" s="126">
        <f t="shared" si="0"/>
        <v>64679</v>
      </c>
      <c r="K31" s="310">
        <v>43742</v>
      </c>
      <c r="L31" s="2">
        <v>0</v>
      </c>
      <c r="M31" s="9">
        <f t="shared" si="1"/>
        <v>43742</v>
      </c>
      <c r="N31" s="2" t="str">
        <f t="shared" si="2"/>
        <v>Pagado</v>
      </c>
      <c r="O31" s="310">
        <v>43742</v>
      </c>
      <c r="P31" s="293">
        <v>64685</v>
      </c>
      <c r="Q31" s="2" t="s">
        <v>1481</v>
      </c>
      <c r="R31" s="2"/>
      <c r="S31" s="2"/>
      <c r="T31" s="313"/>
      <c r="U31" s="392"/>
      <c r="V31" s="2"/>
      <c r="W31" s="108"/>
      <c r="X31" s="310"/>
      <c r="Y31" s="2"/>
      <c r="Z31" s="131" t="s">
        <v>1467</v>
      </c>
      <c r="AA31" s="108" t="str">
        <f t="shared" si="3"/>
        <v/>
      </c>
      <c r="AB31" s="2"/>
      <c r="AC31" s="131">
        <f t="shared" si="4"/>
        <v>76857.142857142855</v>
      </c>
      <c r="AD31" s="108">
        <f t="shared" si="5"/>
        <v>14602.857142857145</v>
      </c>
      <c r="AE31" s="2" t="s">
        <v>1445</v>
      </c>
      <c r="AF31" s="23" t="s">
        <v>3490</v>
      </c>
      <c r="AG31" s="2" t="str">
        <f t="shared" si="6"/>
        <v>SI</v>
      </c>
      <c r="AH31" s="14"/>
      <c r="AI31" s="23"/>
      <c r="AJ31" s="2" t="str">
        <f t="shared" si="7"/>
        <v>Factura</v>
      </c>
      <c r="AK31" s="294"/>
    </row>
    <row r="32" spans="1:37" ht="15.75" customHeight="1" x14ac:dyDescent="0.25">
      <c r="A32" s="270" t="s">
        <v>1233</v>
      </c>
      <c r="B32" s="3" t="s">
        <v>1046</v>
      </c>
      <c r="C32" s="2">
        <v>0</v>
      </c>
      <c r="D32" s="2">
        <v>0</v>
      </c>
      <c r="E32" s="2"/>
      <c r="F32" s="2"/>
      <c r="G32" s="2">
        <v>5919</v>
      </c>
      <c r="H32" s="293">
        <v>73850</v>
      </c>
      <c r="I32" s="293"/>
      <c r="J32" s="126">
        <f t="shared" si="0"/>
        <v>73850</v>
      </c>
      <c r="K32" s="310">
        <v>43745</v>
      </c>
      <c r="L32" s="2">
        <v>0</v>
      </c>
      <c r="M32" s="9">
        <f t="shared" si="1"/>
        <v>43745</v>
      </c>
      <c r="N32" s="2" t="str">
        <f t="shared" si="2"/>
        <v>Pagado</v>
      </c>
      <c r="O32" s="310">
        <v>43760</v>
      </c>
      <c r="P32" s="293">
        <v>73850</v>
      </c>
      <c r="Q32" s="2" t="s">
        <v>1484</v>
      </c>
      <c r="R32" s="2"/>
      <c r="S32" s="2"/>
      <c r="T32" s="9" t="s">
        <v>1492</v>
      </c>
      <c r="U32" s="392"/>
      <c r="V32" s="2"/>
      <c r="W32" s="108"/>
      <c r="X32" s="310"/>
      <c r="Y32" s="2"/>
      <c r="Z32" s="131" t="s">
        <v>1467</v>
      </c>
      <c r="AA32" s="108" t="str">
        <f t="shared" si="3"/>
        <v/>
      </c>
      <c r="AB32" s="2"/>
      <c r="AC32" s="131">
        <f t="shared" si="4"/>
        <v>62058.823529411769</v>
      </c>
      <c r="AD32" s="108">
        <f t="shared" si="5"/>
        <v>11791.176470588231</v>
      </c>
      <c r="AE32" s="2" t="s">
        <v>1501</v>
      </c>
      <c r="AF32" s="23" t="s">
        <v>3489</v>
      </c>
      <c r="AG32" s="2" t="str">
        <f t="shared" si="6"/>
        <v>SI</v>
      </c>
      <c r="AH32" s="14"/>
      <c r="AI32" s="23"/>
      <c r="AJ32" s="2" t="str">
        <f t="shared" si="7"/>
        <v>NV</v>
      </c>
      <c r="AK32" s="294"/>
    </row>
    <row r="33" spans="1:37" ht="15.75" customHeight="1" x14ac:dyDescent="0.25">
      <c r="A33" s="270" t="s">
        <v>1233</v>
      </c>
      <c r="B33" s="3" t="s">
        <v>1046</v>
      </c>
      <c r="C33" s="2">
        <v>0</v>
      </c>
      <c r="D33" s="2">
        <v>0</v>
      </c>
      <c r="E33" s="2"/>
      <c r="F33" s="2"/>
      <c r="G33" s="2">
        <v>5919</v>
      </c>
      <c r="H33" s="293">
        <v>21290</v>
      </c>
      <c r="I33" s="293"/>
      <c r="J33" s="126">
        <f t="shared" si="0"/>
        <v>21290</v>
      </c>
      <c r="K33" s="310">
        <v>43745</v>
      </c>
      <c r="L33" s="2">
        <v>0</v>
      </c>
      <c r="M33" s="9">
        <f t="shared" si="1"/>
        <v>43745</v>
      </c>
      <c r="N33" s="2" t="str">
        <f t="shared" si="2"/>
        <v>Pagado</v>
      </c>
      <c r="O33" s="310">
        <v>43760</v>
      </c>
      <c r="P33" s="293">
        <v>21290</v>
      </c>
      <c r="Q33" s="2" t="s">
        <v>1484</v>
      </c>
      <c r="R33" s="2"/>
      <c r="S33" s="2"/>
      <c r="T33" s="9" t="s">
        <v>1492</v>
      </c>
      <c r="U33" s="392"/>
      <c r="V33" s="2"/>
      <c r="W33" s="108"/>
      <c r="X33" s="310"/>
      <c r="Y33" s="2"/>
      <c r="Z33" s="131" t="s">
        <v>1467</v>
      </c>
      <c r="AA33" s="108" t="str">
        <f t="shared" si="3"/>
        <v/>
      </c>
      <c r="AB33" s="2"/>
      <c r="AC33" s="131">
        <f t="shared" si="4"/>
        <v>17890.756302521007</v>
      </c>
      <c r="AD33" s="108">
        <f t="shared" si="5"/>
        <v>3399.2436974789925</v>
      </c>
      <c r="AE33" s="2" t="s">
        <v>1501</v>
      </c>
      <c r="AF33" s="23" t="s">
        <v>3489</v>
      </c>
      <c r="AG33" s="2" t="str">
        <f t="shared" si="6"/>
        <v>SI</v>
      </c>
      <c r="AH33" s="14"/>
      <c r="AI33" s="23"/>
      <c r="AJ33" s="2" t="str">
        <f t="shared" si="7"/>
        <v>NV</v>
      </c>
      <c r="AK33" s="294"/>
    </row>
    <row r="34" spans="1:37" ht="15.75" customHeight="1" x14ac:dyDescent="0.25">
      <c r="A34" s="270" t="s">
        <v>1233</v>
      </c>
      <c r="B34" s="3" t="s">
        <v>1046</v>
      </c>
      <c r="C34" s="2">
        <v>0</v>
      </c>
      <c r="D34" s="2">
        <v>0</v>
      </c>
      <c r="E34" s="2"/>
      <c r="F34" s="2"/>
      <c r="G34" s="2" t="s">
        <v>2528</v>
      </c>
      <c r="H34" s="293">
        <v>15600</v>
      </c>
      <c r="I34" s="293"/>
      <c r="J34" s="126">
        <f t="shared" si="0"/>
        <v>15600</v>
      </c>
      <c r="K34" s="310">
        <v>43745</v>
      </c>
      <c r="L34" s="2">
        <v>0</v>
      </c>
      <c r="M34" s="9">
        <f t="shared" si="1"/>
        <v>43745</v>
      </c>
      <c r="N34" s="2" t="str">
        <f t="shared" si="2"/>
        <v>Pagado</v>
      </c>
      <c r="O34" s="310">
        <v>43760</v>
      </c>
      <c r="P34" s="293">
        <v>15600</v>
      </c>
      <c r="Q34" s="2" t="s">
        <v>1484</v>
      </c>
      <c r="R34" s="2"/>
      <c r="S34" s="2"/>
      <c r="T34" s="9" t="s">
        <v>1492</v>
      </c>
      <c r="U34" s="392"/>
      <c r="V34" s="2"/>
      <c r="W34" s="108"/>
      <c r="X34" s="310"/>
      <c r="Y34" s="2"/>
      <c r="Z34" s="131" t="s">
        <v>1467</v>
      </c>
      <c r="AA34" s="108" t="str">
        <f t="shared" si="3"/>
        <v/>
      </c>
      <c r="AB34" s="2"/>
      <c r="AC34" s="131">
        <f t="shared" si="4"/>
        <v>13109.243697478993</v>
      </c>
      <c r="AD34" s="108">
        <f t="shared" si="5"/>
        <v>2490.7563025210075</v>
      </c>
      <c r="AE34" s="2" t="s">
        <v>1501</v>
      </c>
      <c r="AF34" s="23" t="s">
        <v>3489</v>
      </c>
      <c r="AG34" s="2" t="str">
        <f t="shared" si="6"/>
        <v>SI</v>
      </c>
      <c r="AH34" s="14"/>
      <c r="AI34" s="23"/>
      <c r="AJ34" s="2" t="str">
        <f t="shared" si="7"/>
        <v>NV</v>
      </c>
      <c r="AK34" s="294"/>
    </row>
    <row r="35" spans="1:37" ht="15.75" customHeight="1" x14ac:dyDescent="0.25">
      <c r="A35" s="270" t="s">
        <v>3987</v>
      </c>
      <c r="B35" s="3" t="s">
        <v>3988</v>
      </c>
      <c r="C35" s="2">
        <v>0</v>
      </c>
      <c r="D35" s="2">
        <v>2579</v>
      </c>
      <c r="E35" s="2"/>
      <c r="F35" s="2"/>
      <c r="G35" s="2">
        <v>5927</v>
      </c>
      <c r="H35" s="293">
        <v>19900</v>
      </c>
      <c r="I35" s="293"/>
      <c r="J35" s="126">
        <f t="shared" si="0"/>
        <v>19900</v>
      </c>
      <c r="K35" s="310">
        <v>43745</v>
      </c>
      <c r="L35" s="2">
        <v>0</v>
      </c>
      <c r="M35" s="9">
        <f t="shared" si="1"/>
        <v>43745</v>
      </c>
      <c r="N35" s="2" t="str">
        <f t="shared" si="2"/>
        <v>Pagado</v>
      </c>
      <c r="O35" s="310">
        <v>43746</v>
      </c>
      <c r="P35" s="293">
        <v>19900</v>
      </c>
      <c r="Q35" s="2" t="s">
        <v>1484</v>
      </c>
      <c r="R35" s="2"/>
      <c r="S35" s="2"/>
      <c r="T35" s="9" t="s">
        <v>1492</v>
      </c>
      <c r="U35" s="392"/>
      <c r="V35" s="2"/>
      <c r="W35" s="108"/>
      <c r="X35" s="310"/>
      <c r="Y35" s="2"/>
      <c r="Z35" s="131" t="s">
        <v>1467</v>
      </c>
      <c r="AA35" s="108" t="str">
        <f t="shared" si="3"/>
        <v/>
      </c>
      <c r="AB35" s="2"/>
      <c r="AC35" s="131">
        <f t="shared" si="4"/>
        <v>16722.689075630253</v>
      </c>
      <c r="AD35" s="108">
        <f t="shared" si="5"/>
        <v>3177.3109243697472</v>
      </c>
      <c r="AE35" s="2" t="s">
        <v>1501</v>
      </c>
      <c r="AF35" s="23" t="s">
        <v>3488</v>
      </c>
      <c r="AG35" s="2" t="str">
        <f t="shared" si="6"/>
        <v>SI</v>
      </c>
      <c r="AH35" s="14"/>
      <c r="AI35" s="23"/>
      <c r="AJ35" s="2" t="str">
        <f t="shared" si="7"/>
        <v>NV</v>
      </c>
      <c r="AK35" s="294"/>
    </row>
    <row r="36" spans="1:37" ht="15.75" customHeight="1" x14ac:dyDescent="0.25">
      <c r="A36" s="270" t="s">
        <v>1239</v>
      </c>
      <c r="B36" s="3" t="s">
        <v>3501</v>
      </c>
      <c r="C36" s="2">
        <v>0</v>
      </c>
      <c r="D36" s="2">
        <v>0</v>
      </c>
      <c r="E36" s="2"/>
      <c r="F36" s="2"/>
      <c r="G36" s="2">
        <v>5921</v>
      </c>
      <c r="H36" s="293">
        <v>8000</v>
      </c>
      <c r="I36" s="293"/>
      <c r="J36" s="126">
        <f t="shared" si="0"/>
        <v>8000</v>
      </c>
      <c r="K36" s="310">
        <v>43745</v>
      </c>
      <c r="L36" s="2">
        <v>30</v>
      </c>
      <c r="M36" s="9">
        <f t="shared" si="1"/>
        <v>43775</v>
      </c>
      <c r="N36" s="2" t="str">
        <f t="shared" si="2"/>
        <v>Pagado</v>
      </c>
      <c r="O36" s="310">
        <v>43901</v>
      </c>
      <c r="P36" s="293">
        <v>8000</v>
      </c>
      <c r="Q36" s="2" t="s">
        <v>1484</v>
      </c>
      <c r="R36" s="2"/>
      <c r="S36" s="2"/>
      <c r="T36" s="9" t="s">
        <v>1462</v>
      </c>
      <c r="U36" s="392"/>
      <c r="V36" s="2"/>
      <c r="W36" s="108"/>
      <c r="X36" s="310"/>
      <c r="Y36" s="2"/>
      <c r="Z36" s="131" t="s">
        <v>1467</v>
      </c>
      <c r="AA36" s="108" t="str">
        <f t="shared" si="3"/>
        <v/>
      </c>
      <c r="AB36" s="2"/>
      <c r="AC36" s="131">
        <f t="shared" si="4"/>
        <v>6722.6890756302528</v>
      </c>
      <c r="AD36" s="108">
        <f t="shared" si="5"/>
        <v>1277.3109243697472</v>
      </c>
      <c r="AE36" s="2" t="s">
        <v>1849</v>
      </c>
      <c r="AF36" s="23" t="s">
        <v>3489</v>
      </c>
      <c r="AG36" s="2" t="str">
        <f t="shared" si="6"/>
        <v>SI</v>
      </c>
      <c r="AH36" s="14"/>
      <c r="AI36" s="23"/>
      <c r="AJ36" s="2" t="str">
        <f t="shared" si="7"/>
        <v>NV</v>
      </c>
      <c r="AK36" s="294"/>
    </row>
    <row r="37" spans="1:37" ht="15.75" customHeight="1" x14ac:dyDescent="0.25">
      <c r="A37" s="270" t="s">
        <v>1239</v>
      </c>
      <c r="B37" s="3" t="s">
        <v>3501</v>
      </c>
      <c r="C37" s="2">
        <v>2934</v>
      </c>
      <c r="D37" s="2">
        <v>0</v>
      </c>
      <c r="E37" s="2"/>
      <c r="F37" s="2"/>
      <c r="G37" s="2" t="s">
        <v>2528</v>
      </c>
      <c r="H37" s="293">
        <v>19594</v>
      </c>
      <c r="I37" s="293"/>
      <c r="J37" s="126">
        <f t="shared" si="0"/>
        <v>19594</v>
      </c>
      <c r="K37" s="310">
        <v>43745</v>
      </c>
      <c r="L37" s="2">
        <v>30</v>
      </c>
      <c r="M37" s="9">
        <f t="shared" si="1"/>
        <v>43775</v>
      </c>
      <c r="N37" s="2" t="str">
        <f t="shared" si="2"/>
        <v>Pagado</v>
      </c>
      <c r="O37" s="310">
        <v>43794</v>
      </c>
      <c r="P37" s="293">
        <v>19594</v>
      </c>
      <c r="Q37" s="2" t="s">
        <v>1484</v>
      </c>
      <c r="R37" s="2"/>
      <c r="S37" s="2"/>
      <c r="T37" s="9" t="s">
        <v>1462</v>
      </c>
      <c r="U37" s="392"/>
      <c r="V37" s="2"/>
      <c r="W37" s="108"/>
      <c r="X37" s="310"/>
      <c r="Y37" s="2"/>
      <c r="Z37" s="131" t="s">
        <v>1467</v>
      </c>
      <c r="AA37" s="108" t="str">
        <f t="shared" si="3"/>
        <v/>
      </c>
      <c r="AB37" s="2"/>
      <c r="AC37" s="131">
        <f t="shared" si="4"/>
        <v>16465.546218487394</v>
      </c>
      <c r="AD37" s="108">
        <f t="shared" si="5"/>
        <v>3128.4537815126059</v>
      </c>
      <c r="AE37" s="2" t="s">
        <v>1849</v>
      </c>
      <c r="AF37" s="23" t="s">
        <v>3489</v>
      </c>
      <c r="AG37" s="2" t="str">
        <f t="shared" si="6"/>
        <v>SI</v>
      </c>
      <c r="AH37" s="14"/>
      <c r="AI37" s="23"/>
      <c r="AJ37" s="2" t="str">
        <f t="shared" si="7"/>
        <v>Factura</v>
      </c>
      <c r="AK37" s="294"/>
    </row>
    <row r="38" spans="1:37" ht="15.75" customHeight="1" x14ac:dyDescent="0.25">
      <c r="A38" s="270" t="s">
        <v>4545</v>
      </c>
      <c r="B38" s="3" t="s">
        <v>4546</v>
      </c>
      <c r="C38" s="2">
        <v>0</v>
      </c>
      <c r="D38" s="2">
        <v>2581</v>
      </c>
      <c r="E38" s="2"/>
      <c r="F38" s="2"/>
      <c r="G38" s="2">
        <v>5922</v>
      </c>
      <c r="H38" s="293">
        <v>66800</v>
      </c>
      <c r="I38" s="293"/>
      <c r="J38" s="126">
        <f t="shared" si="0"/>
        <v>66800</v>
      </c>
      <c r="K38" s="310">
        <v>43745</v>
      </c>
      <c r="L38" s="2">
        <v>0</v>
      </c>
      <c r="M38" s="9">
        <f t="shared" si="1"/>
        <v>43745</v>
      </c>
      <c r="N38" s="2" t="str">
        <f t="shared" si="2"/>
        <v>Pagado</v>
      </c>
      <c r="O38" s="310">
        <v>43747</v>
      </c>
      <c r="P38" s="293">
        <v>66800</v>
      </c>
      <c r="Q38" s="2" t="s">
        <v>1484</v>
      </c>
      <c r="R38" s="2"/>
      <c r="S38" s="2"/>
      <c r="T38" s="9" t="s">
        <v>1488</v>
      </c>
      <c r="U38" s="392"/>
      <c r="V38" s="2"/>
      <c r="W38" s="108"/>
      <c r="X38" s="310"/>
      <c r="Y38" s="2"/>
      <c r="Z38" s="131" t="s">
        <v>1467</v>
      </c>
      <c r="AA38" s="108" t="str">
        <f t="shared" si="3"/>
        <v/>
      </c>
      <c r="AB38" s="2"/>
      <c r="AC38" s="131">
        <f t="shared" si="4"/>
        <v>56134.45378151261</v>
      </c>
      <c r="AD38" s="108">
        <f t="shared" si="5"/>
        <v>10665.54621848739</v>
      </c>
      <c r="AE38" s="2" t="s">
        <v>1501</v>
      </c>
      <c r="AF38" s="23" t="s">
        <v>3487</v>
      </c>
      <c r="AG38" s="2" t="str">
        <f t="shared" si="6"/>
        <v>SI</v>
      </c>
      <c r="AH38" s="14"/>
      <c r="AI38" s="23"/>
      <c r="AJ38" s="2" t="str">
        <f t="shared" si="7"/>
        <v>NV</v>
      </c>
      <c r="AK38" s="294"/>
    </row>
    <row r="39" spans="1:37" ht="15.75" customHeight="1" x14ac:dyDescent="0.25">
      <c r="A39" s="270" t="s">
        <v>4947</v>
      </c>
      <c r="B39" s="3" t="s">
        <v>4948</v>
      </c>
      <c r="C39" s="2">
        <v>0</v>
      </c>
      <c r="D39" s="2">
        <v>2582</v>
      </c>
      <c r="E39" s="2"/>
      <c r="F39" s="2"/>
      <c r="G39" s="2">
        <v>5923</v>
      </c>
      <c r="H39" s="293">
        <v>14800</v>
      </c>
      <c r="I39" s="293"/>
      <c r="J39" s="126">
        <f t="shared" si="0"/>
        <v>14800</v>
      </c>
      <c r="K39" s="310">
        <v>43745</v>
      </c>
      <c r="L39" s="2">
        <v>0</v>
      </c>
      <c r="M39" s="9">
        <f t="shared" si="1"/>
        <v>43745</v>
      </c>
      <c r="N39" s="2" t="str">
        <f t="shared" si="2"/>
        <v>Pagado</v>
      </c>
      <c r="O39" s="310">
        <v>43746</v>
      </c>
      <c r="P39" s="293">
        <v>14800</v>
      </c>
      <c r="Q39" s="2" t="s">
        <v>1484</v>
      </c>
      <c r="R39" s="2"/>
      <c r="S39" s="2"/>
      <c r="T39" s="9" t="s">
        <v>1488</v>
      </c>
      <c r="U39" s="392"/>
      <c r="V39" s="2"/>
      <c r="W39" s="108"/>
      <c r="X39" s="310"/>
      <c r="Y39" s="2"/>
      <c r="Z39" s="131" t="s">
        <v>1467</v>
      </c>
      <c r="AA39" s="108" t="str">
        <f t="shared" si="3"/>
        <v/>
      </c>
      <c r="AB39" s="2"/>
      <c r="AC39" s="131">
        <f t="shared" si="4"/>
        <v>12436.974789915967</v>
      </c>
      <c r="AD39" s="108">
        <f t="shared" si="5"/>
        <v>2363.0252100840335</v>
      </c>
      <c r="AE39" s="2" t="s">
        <v>1501</v>
      </c>
      <c r="AF39" s="23" t="s">
        <v>3487</v>
      </c>
      <c r="AG39" s="2" t="str">
        <f t="shared" si="6"/>
        <v>SI</v>
      </c>
      <c r="AH39" s="14"/>
      <c r="AI39" s="23"/>
      <c r="AJ39" s="2" t="str">
        <f t="shared" si="7"/>
        <v>NV</v>
      </c>
      <c r="AK39" s="294"/>
    </row>
    <row r="40" spans="1:37" ht="15.75" customHeight="1" x14ac:dyDescent="0.25">
      <c r="A40" s="270" t="s">
        <v>5235</v>
      </c>
      <c r="B40" s="3" t="s">
        <v>5236</v>
      </c>
      <c r="C40" s="2">
        <v>0</v>
      </c>
      <c r="D40" s="2">
        <v>152</v>
      </c>
      <c r="E40" s="2"/>
      <c r="F40" s="2"/>
      <c r="G40" s="2">
        <v>5918</v>
      </c>
      <c r="H40" s="293">
        <v>41000</v>
      </c>
      <c r="I40" s="293"/>
      <c r="J40" s="126">
        <f t="shared" si="0"/>
        <v>41000</v>
      </c>
      <c r="K40" s="310">
        <v>43745</v>
      </c>
      <c r="L40" s="2">
        <v>0</v>
      </c>
      <c r="M40" s="9">
        <f t="shared" si="1"/>
        <v>43745</v>
      </c>
      <c r="N40" s="2" t="str">
        <f t="shared" si="2"/>
        <v>Pagado</v>
      </c>
      <c r="O40" s="310">
        <v>43745</v>
      </c>
      <c r="P40" s="293">
        <v>41000</v>
      </c>
      <c r="Q40" s="2" t="s">
        <v>1070</v>
      </c>
      <c r="R40" s="2" t="s">
        <v>2243</v>
      </c>
      <c r="S40" s="2">
        <v>152</v>
      </c>
      <c r="T40" s="9"/>
      <c r="U40" s="392"/>
      <c r="V40" s="2"/>
      <c r="W40" s="108"/>
      <c r="X40" s="310"/>
      <c r="Y40" s="2"/>
      <c r="Z40" s="131" t="s">
        <v>1467</v>
      </c>
      <c r="AA40" s="108" t="str">
        <f t="shared" si="3"/>
        <v/>
      </c>
      <c r="AB40" s="2"/>
      <c r="AC40" s="131">
        <f t="shared" si="4"/>
        <v>34453.781512605041</v>
      </c>
      <c r="AD40" s="108">
        <f t="shared" si="5"/>
        <v>6546.2184873949591</v>
      </c>
      <c r="AE40" s="2" t="s">
        <v>1501</v>
      </c>
      <c r="AF40" s="23" t="s">
        <v>3489</v>
      </c>
      <c r="AG40" s="2" t="str">
        <f t="shared" si="6"/>
        <v>SI</v>
      </c>
      <c r="AH40" s="14"/>
      <c r="AI40" s="23"/>
      <c r="AJ40" s="2" t="str">
        <f t="shared" si="7"/>
        <v>NV</v>
      </c>
      <c r="AK40" s="294"/>
    </row>
    <row r="41" spans="1:37" ht="15.75" customHeight="1" x14ac:dyDescent="0.25">
      <c r="A41" s="270" t="s">
        <v>4471</v>
      </c>
      <c r="B41" s="3" t="s">
        <v>4873</v>
      </c>
      <c r="C41" s="2">
        <v>0</v>
      </c>
      <c r="D41" s="2">
        <v>2578</v>
      </c>
      <c r="E41" s="2"/>
      <c r="F41" s="2"/>
      <c r="G41" s="2">
        <v>5928</v>
      </c>
      <c r="H41" s="293">
        <v>21900</v>
      </c>
      <c r="I41" s="293"/>
      <c r="J41" s="126">
        <f t="shared" si="0"/>
        <v>21900</v>
      </c>
      <c r="K41" s="310">
        <v>43745</v>
      </c>
      <c r="L41" s="2">
        <v>0</v>
      </c>
      <c r="M41" s="9">
        <f t="shared" si="1"/>
        <v>43745</v>
      </c>
      <c r="N41" s="2" t="str">
        <f t="shared" si="2"/>
        <v>Pagado</v>
      </c>
      <c r="O41" s="310">
        <v>43746</v>
      </c>
      <c r="P41" s="293">
        <v>21900</v>
      </c>
      <c r="Q41" s="2" t="s">
        <v>1484</v>
      </c>
      <c r="R41" s="2"/>
      <c r="S41" s="2"/>
      <c r="T41" s="9" t="s">
        <v>1492</v>
      </c>
      <c r="U41" s="392"/>
      <c r="V41" s="2"/>
      <c r="W41" s="108"/>
      <c r="X41" s="310"/>
      <c r="Y41" s="2"/>
      <c r="Z41" s="131" t="s">
        <v>1467</v>
      </c>
      <c r="AA41" s="108" t="str">
        <f t="shared" si="3"/>
        <v/>
      </c>
      <c r="AB41" s="2"/>
      <c r="AC41" s="131">
        <f t="shared" si="4"/>
        <v>18403.361344537814</v>
      </c>
      <c r="AD41" s="108">
        <f t="shared" si="5"/>
        <v>3496.6386554621859</v>
      </c>
      <c r="AE41" s="2" t="s">
        <v>1501</v>
      </c>
      <c r="AF41" s="23" t="s">
        <v>3487</v>
      </c>
      <c r="AG41" s="2" t="str">
        <f t="shared" si="6"/>
        <v>SI</v>
      </c>
      <c r="AH41" s="14"/>
      <c r="AI41" s="23"/>
      <c r="AJ41" s="2" t="str">
        <f t="shared" si="7"/>
        <v>NV</v>
      </c>
      <c r="AK41" s="294"/>
    </row>
    <row r="42" spans="1:37" ht="15.75" customHeight="1" x14ac:dyDescent="0.25">
      <c r="A42" s="270" t="s">
        <v>1197</v>
      </c>
      <c r="B42" s="3" t="s">
        <v>2236</v>
      </c>
      <c r="C42" s="2">
        <v>2933</v>
      </c>
      <c r="D42" s="2">
        <v>0</v>
      </c>
      <c r="E42" s="2"/>
      <c r="F42" s="2"/>
      <c r="G42" s="2" t="s">
        <v>2528</v>
      </c>
      <c r="H42" s="293">
        <v>265487</v>
      </c>
      <c r="I42" s="293"/>
      <c r="J42" s="126">
        <f t="shared" si="0"/>
        <v>265487</v>
      </c>
      <c r="K42" s="310">
        <v>43745</v>
      </c>
      <c r="L42" s="2">
        <v>30</v>
      </c>
      <c r="M42" s="9">
        <f t="shared" si="1"/>
        <v>43775</v>
      </c>
      <c r="N42" s="2" t="str">
        <f t="shared" si="2"/>
        <v>Pagado</v>
      </c>
      <c r="O42" s="310">
        <v>43766</v>
      </c>
      <c r="P42" s="293">
        <v>265487</v>
      </c>
      <c r="Q42" s="2" t="s">
        <v>2131</v>
      </c>
      <c r="R42" s="2"/>
      <c r="S42" s="2">
        <v>9262952</v>
      </c>
      <c r="T42" s="313" t="s">
        <v>1493</v>
      </c>
      <c r="U42" s="392">
        <v>43401</v>
      </c>
      <c r="V42" s="2"/>
      <c r="W42" s="108"/>
      <c r="X42" s="310"/>
      <c r="Y42" s="2"/>
      <c r="Z42" s="131" t="s">
        <v>1467</v>
      </c>
      <c r="AA42" s="108" t="str">
        <f t="shared" si="3"/>
        <v>Otros</v>
      </c>
      <c r="AB42" s="2"/>
      <c r="AC42" s="131">
        <f t="shared" si="4"/>
        <v>223098.31932773109</v>
      </c>
      <c r="AD42" s="108">
        <f t="shared" si="5"/>
        <v>42388.680672268907</v>
      </c>
      <c r="AE42" s="2" t="s">
        <v>1501</v>
      </c>
      <c r="AF42" s="23" t="s">
        <v>3490</v>
      </c>
      <c r="AG42" s="2" t="str">
        <f t="shared" si="6"/>
        <v>SI</v>
      </c>
      <c r="AH42" s="14"/>
      <c r="AI42" s="23"/>
      <c r="AJ42" s="2" t="str">
        <f t="shared" si="7"/>
        <v>Factura</v>
      </c>
      <c r="AK42" s="294"/>
    </row>
    <row r="43" spans="1:37" ht="15.75" customHeight="1" x14ac:dyDescent="0.25">
      <c r="A43" s="270" t="s">
        <v>3562</v>
      </c>
      <c r="B43" s="3" t="s">
        <v>3563</v>
      </c>
      <c r="C43" s="2">
        <v>0</v>
      </c>
      <c r="D43" s="2">
        <v>2577</v>
      </c>
      <c r="E43" s="2"/>
      <c r="F43" s="2"/>
      <c r="G43" s="2">
        <v>5920</v>
      </c>
      <c r="H43" s="293">
        <v>29000</v>
      </c>
      <c r="I43" s="293"/>
      <c r="J43" s="126">
        <f t="shared" si="0"/>
        <v>29000</v>
      </c>
      <c r="K43" s="310">
        <v>43745</v>
      </c>
      <c r="L43" s="2">
        <v>0</v>
      </c>
      <c r="M43" s="9">
        <f t="shared" si="1"/>
        <v>43745</v>
      </c>
      <c r="N43" s="2" t="str">
        <f t="shared" si="2"/>
        <v>Pagado</v>
      </c>
      <c r="O43" s="310">
        <v>43745</v>
      </c>
      <c r="P43" s="293">
        <v>29000</v>
      </c>
      <c r="Q43" s="2" t="s">
        <v>1481</v>
      </c>
      <c r="R43" s="2"/>
      <c r="S43" s="2"/>
      <c r="T43" s="9"/>
      <c r="U43" s="392"/>
      <c r="V43" s="2">
        <v>134087</v>
      </c>
      <c r="W43" s="108">
        <v>29000</v>
      </c>
      <c r="X43" s="310">
        <v>43752</v>
      </c>
      <c r="Y43" s="2" t="s">
        <v>1488</v>
      </c>
      <c r="Z43" s="131" t="s">
        <v>1467</v>
      </c>
      <c r="AA43" s="108" t="str">
        <f t="shared" si="3"/>
        <v/>
      </c>
      <c r="AB43" s="2"/>
      <c r="AC43" s="131">
        <f t="shared" si="4"/>
        <v>24369.747899159665</v>
      </c>
      <c r="AD43" s="108">
        <f t="shared" si="5"/>
        <v>4630.2521008403346</v>
      </c>
      <c r="AE43" s="2" t="s">
        <v>1501</v>
      </c>
      <c r="AF43" s="23" t="s">
        <v>3489</v>
      </c>
      <c r="AG43" s="2" t="str">
        <f t="shared" si="6"/>
        <v>SI</v>
      </c>
      <c r="AH43" s="14"/>
      <c r="AI43" s="23"/>
      <c r="AJ43" s="2" t="str">
        <f t="shared" si="7"/>
        <v>NV</v>
      </c>
      <c r="AK43" s="294"/>
    </row>
    <row r="44" spans="1:37" ht="15.75" customHeight="1" x14ac:dyDescent="0.25">
      <c r="A44" s="270" t="s">
        <v>1198</v>
      </c>
      <c r="B44" s="3" t="s">
        <v>2158</v>
      </c>
      <c r="C44" s="2">
        <v>0</v>
      </c>
      <c r="D44" s="2">
        <v>2580</v>
      </c>
      <c r="E44" s="2"/>
      <c r="F44" s="2"/>
      <c r="G44" s="2">
        <v>5926</v>
      </c>
      <c r="H44" s="293">
        <v>46000</v>
      </c>
      <c r="I44" s="293"/>
      <c r="J44" s="126">
        <f t="shared" si="0"/>
        <v>46000</v>
      </c>
      <c r="K44" s="310">
        <v>43746</v>
      </c>
      <c r="L44" s="2">
        <v>0</v>
      </c>
      <c r="M44" s="9">
        <f t="shared" si="1"/>
        <v>43746</v>
      </c>
      <c r="N44" s="2" t="str">
        <f t="shared" si="2"/>
        <v>Pagado</v>
      </c>
      <c r="O44" s="310">
        <v>43779</v>
      </c>
      <c r="P44" s="293">
        <v>46000</v>
      </c>
      <c r="Q44" s="2" t="s">
        <v>1484</v>
      </c>
      <c r="R44" s="2"/>
      <c r="S44" s="2"/>
      <c r="T44" s="9" t="s">
        <v>1493</v>
      </c>
      <c r="U44" s="392"/>
      <c r="V44" s="2"/>
      <c r="W44" s="108"/>
      <c r="X44" s="310"/>
      <c r="Y44" s="2"/>
      <c r="Z44" s="131" t="s">
        <v>1467</v>
      </c>
      <c r="AA44" s="108" t="str">
        <f t="shared" si="3"/>
        <v/>
      </c>
      <c r="AB44" s="2"/>
      <c r="AC44" s="131">
        <f t="shared" si="4"/>
        <v>38655.462184873948</v>
      </c>
      <c r="AD44" s="108">
        <f t="shared" si="5"/>
        <v>7344.537815126052</v>
      </c>
      <c r="AE44" s="2" t="s">
        <v>1501</v>
      </c>
      <c r="AF44" s="23" t="s">
        <v>3489</v>
      </c>
      <c r="AG44" s="2" t="str">
        <f t="shared" si="6"/>
        <v>SI</v>
      </c>
      <c r="AH44" s="14"/>
      <c r="AI44" s="23"/>
      <c r="AJ44" s="2" t="str">
        <f t="shared" si="7"/>
        <v>NV</v>
      </c>
      <c r="AK44" s="294"/>
    </row>
    <row r="45" spans="1:37" ht="15.75" customHeight="1" x14ac:dyDescent="0.25">
      <c r="A45" s="270" t="s">
        <v>1301</v>
      </c>
      <c r="B45" s="3" t="s">
        <v>968</v>
      </c>
      <c r="C45" s="2">
        <v>0</v>
      </c>
      <c r="D45" s="2">
        <v>2584</v>
      </c>
      <c r="E45" s="2"/>
      <c r="F45" s="2"/>
      <c r="G45" s="2">
        <v>5931</v>
      </c>
      <c r="H45" s="293">
        <v>29600</v>
      </c>
      <c r="I45" s="293"/>
      <c r="J45" s="126">
        <f t="shared" si="0"/>
        <v>29600</v>
      </c>
      <c r="K45" s="310">
        <v>43746</v>
      </c>
      <c r="L45" s="2">
        <v>0</v>
      </c>
      <c r="M45" s="9">
        <f t="shared" si="1"/>
        <v>43746</v>
      </c>
      <c r="N45" s="2" t="str">
        <f t="shared" si="2"/>
        <v>Pagado</v>
      </c>
      <c r="O45" s="310">
        <v>43767</v>
      </c>
      <c r="P45" s="293">
        <v>29600</v>
      </c>
      <c r="Q45" s="2" t="s">
        <v>1484</v>
      </c>
      <c r="R45" s="2"/>
      <c r="S45" s="2"/>
      <c r="T45" s="9" t="s">
        <v>1496</v>
      </c>
      <c r="U45" s="392"/>
      <c r="V45" s="2"/>
      <c r="W45" s="108"/>
      <c r="X45" s="310"/>
      <c r="Y45" s="2"/>
      <c r="Z45" s="131" t="s">
        <v>1467</v>
      </c>
      <c r="AA45" s="108" t="str">
        <f t="shared" si="3"/>
        <v/>
      </c>
      <c r="AB45" s="2"/>
      <c r="AC45" s="131">
        <f t="shared" si="4"/>
        <v>24873.949579831933</v>
      </c>
      <c r="AD45" s="108">
        <f t="shared" si="5"/>
        <v>4726.0504201680669</v>
      </c>
      <c r="AE45" s="2" t="s">
        <v>1501</v>
      </c>
      <c r="AF45" s="23" t="s">
        <v>3489</v>
      </c>
      <c r="AG45" s="2" t="str">
        <f t="shared" si="6"/>
        <v>SI</v>
      </c>
      <c r="AH45" s="14"/>
      <c r="AI45" s="23"/>
      <c r="AJ45" s="2" t="str">
        <f t="shared" si="7"/>
        <v>NV</v>
      </c>
      <c r="AK45" s="294"/>
    </row>
    <row r="46" spans="1:37" ht="15.75" customHeight="1" x14ac:dyDescent="0.25">
      <c r="A46" s="270" t="s">
        <v>2733</v>
      </c>
      <c r="B46" s="3" t="s">
        <v>2734</v>
      </c>
      <c r="C46" s="2">
        <v>0</v>
      </c>
      <c r="D46" s="2">
        <v>2583</v>
      </c>
      <c r="E46" s="2"/>
      <c r="F46" s="2"/>
      <c r="G46" s="2">
        <v>5932</v>
      </c>
      <c r="H46" s="293">
        <v>34700</v>
      </c>
      <c r="I46" s="293"/>
      <c r="J46" s="126">
        <f t="shared" si="0"/>
        <v>34700</v>
      </c>
      <c r="K46" s="310">
        <v>43746</v>
      </c>
      <c r="L46" s="2">
        <v>0</v>
      </c>
      <c r="M46" s="9">
        <f t="shared" si="1"/>
        <v>43746</v>
      </c>
      <c r="N46" s="2" t="str">
        <f t="shared" si="2"/>
        <v>Pagado</v>
      </c>
      <c r="O46" s="310">
        <v>43753</v>
      </c>
      <c r="P46" s="293">
        <v>34700</v>
      </c>
      <c r="Q46" s="2" t="s">
        <v>1484</v>
      </c>
      <c r="R46" s="2"/>
      <c r="S46" s="2"/>
      <c r="T46" s="9" t="s">
        <v>1496</v>
      </c>
      <c r="U46" s="392"/>
      <c r="V46" s="2"/>
      <c r="W46" s="108"/>
      <c r="X46" s="310"/>
      <c r="Y46" s="2"/>
      <c r="Z46" s="131" t="s">
        <v>1467</v>
      </c>
      <c r="AA46" s="108" t="str">
        <f t="shared" si="3"/>
        <v/>
      </c>
      <c r="AB46" s="2"/>
      <c r="AC46" s="131">
        <f t="shared" si="4"/>
        <v>29159.663865546219</v>
      </c>
      <c r="AD46" s="108">
        <f t="shared" si="5"/>
        <v>5540.3361344537807</v>
      </c>
      <c r="AE46" s="2" t="s">
        <v>1501</v>
      </c>
      <c r="AF46" s="23" t="s">
        <v>3489</v>
      </c>
      <c r="AG46" s="2" t="str">
        <f t="shared" si="6"/>
        <v>SI</v>
      </c>
      <c r="AH46" s="14"/>
      <c r="AI46" s="23"/>
      <c r="AJ46" s="2" t="str">
        <f t="shared" si="7"/>
        <v>NV</v>
      </c>
      <c r="AK46" s="294"/>
    </row>
    <row r="47" spans="1:37" ht="15.75" customHeight="1" x14ac:dyDescent="0.25">
      <c r="A47" s="270" t="s">
        <v>5253</v>
      </c>
      <c r="B47" s="3" t="s">
        <v>5254</v>
      </c>
      <c r="C47" s="2">
        <v>0</v>
      </c>
      <c r="D47" s="2">
        <v>154</v>
      </c>
      <c r="E47" s="2"/>
      <c r="F47" s="2"/>
      <c r="G47" s="2">
        <v>5940</v>
      </c>
      <c r="H47" s="293">
        <v>15600</v>
      </c>
      <c r="I47" s="293"/>
      <c r="J47" s="126">
        <f t="shared" si="0"/>
        <v>15600</v>
      </c>
      <c r="K47" s="310">
        <v>43746</v>
      </c>
      <c r="L47" s="2">
        <v>0</v>
      </c>
      <c r="M47" s="9">
        <f t="shared" si="1"/>
        <v>43746</v>
      </c>
      <c r="N47" s="2" t="str">
        <f t="shared" si="2"/>
        <v>Pagado</v>
      </c>
      <c r="O47" s="310">
        <v>43746</v>
      </c>
      <c r="P47" s="293">
        <v>15600</v>
      </c>
      <c r="Q47" s="2" t="s">
        <v>1070</v>
      </c>
      <c r="R47" s="2" t="s">
        <v>2243</v>
      </c>
      <c r="S47" s="2">
        <v>154</v>
      </c>
      <c r="T47" s="313"/>
      <c r="U47" s="392"/>
      <c r="V47" s="2"/>
      <c r="W47" s="108"/>
      <c r="X47" s="310"/>
      <c r="Y47" s="2"/>
      <c r="Z47" s="131" t="s">
        <v>1467</v>
      </c>
      <c r="AA47" s="108" t="str">
        <f t="shared" si="3"/>
        <v/>
      </c>
      <c r="AB47" s="2"/>
      <c r="AC47" s="131">
        <f t="shared" si="4"/>
        <v>13109.243697478993</v>
      </c>
      <c r="AD47" s="108">
        <f t="shared" si="5"/>
        <v>2490.7563025210075</v>
      </c>
      <c r="AE47" s="2" t="s">
        <v>1501</v>
      </c>
      <c r="AF47" s="23" t="s">
        <v>3487</v>
      </c>
      <c r="AG47" s="2" t="str">
        <f t="shared" si="6"/>
        <v>SI</v>
      </c>
      <c r="AH47" s="14"/>
      <c r="AI47" s="23"/>
      <c r="AJ47" s="2" t="str">
        <f t="shared" si="7"/>
        <v>NV</v>
      </c>
      <c r="AK47" s="294"/>
    </row>
    <row r="48" spans="1:37" ht="15.75" customHeight="1" x14ac:dyDescent="0.25">
      <c r="A48" s="270" t="s">
        <v>5245</v>
      </c>
      <c r="B48" s="3" t="s">
        <v>5246</v>
      </c>
      <c r="C48" s="2">
        <v>0</v>
      </c>
      <c r="D48" s="2">
        <v>2585</v>
      </c>
      <c r="E48" s="2"/>
      <c r="F48" s="2"/>
      <c r="G48" s="2">
        <v>5930</v>
      </c>
      <c r="H48" s="293">
        <v>25500</v>
      </c>
      <c r="I48" s="293"/>
      <c r="J48" s="126">
        <f t="shared" si="0"/>
        <v>25500</v>
      </c>
      <c r="K48" s="310">
        <v>43746</v>
      </c>
      <c r="L48" s="2">
        <v>0</v>
      </c>
      <c r="M48" s="9">
        <f t="shared" si="1"/>
        <v>43746</v>
      </c>
      <c r="N48" s="2" t="str">
        <f t="shared" si="2"/>
        <v>Pagado</v>
      </c>
      <c r="O48" s="310">
        <v>43746</v>
      </c>
      <c r="P48" s="293">
        <v>25500</v>
      </c>
      <c r="Q48" s="2" t="s">
        <v>1481</v>
      </c>
      <c r="R48" s="2"/>
      <c r="S48" s="2"/>
      <c r="T48" s="9"/>
      <c r="U48" s="392"/>
      <c r="V48" s="2"/>
      <c r="W48" s="108"/>
      <c r="X48" s="310"/>
      <c r="Y48" s="2"/>
      <c r="Z48" s="131" t="s">
        <v>1467</v>
      </c>
      <c r="AA48" s="108" t="str">
        <f t="shared" si="3"/>
        <v/>
      </c>
      <c r="AB48" s="2"/>
      <c r="AC48" s="131">
        <f t="shared" si="4"/>
        <v>21428.571428571431</v>
      </c>
      <c r="AD48" s="108">
        <f t="shared" si="5"/>
        <v>4071.4285714285688</v>
      </c>
      <c r="AE48" s="2" t="s">
        <v>1501</v>
      </c>
      <c r="AF48" s="23" t="s">
        <v>3487</v>
      </c>
      <c r="AG48" s="2" t="str">
        <f t="shared" si="6"/>
        <v>SI</v>
      </c>
      <c r="AH48" s="14"/>
      <c r="AI48" s="23"/>
      <c r="AJ48" s="2" t="str">
        <f t="shared" si="7"/>
        <v>NV</v>
      </c>
      <c r="AK48" s="294"/>
    </row>
    <row r="49" spans="1:37" ht="15.75" customHeight="1" x14ac:dyDescent="0.25">
      <c r="A49" s="270" t="s">
        <v>1234</v>
      </c>
      <c r="B49" s="3" t="s">
        <v>970</v>
      </c>
      <c r="C49" s="2">
        <v>0</v>
      </c>
      <c r="D49" s="2">
        <v>153</v>
      </c>
      <c r="E49" s="2"/>
      <c r="F49" s="2"/>
      <c r="G49" s="2">
        <v>5925</v>
      </c>
      <c r="H49" s="293">
        <v>28200</v>
      </c>
      <c r="I49" s="293"/>
      <c r="J49" s="126">
        <f t="shared" si="0"/>
        <v>28200</v>
      </c>
      <c r="K49" s="310">
        <v>43746</v>
      </c>
      <c r="L49" s="2">
        <v>0</v>
      </c>
      <c r="M49" s="9">
        <f t="shared" si="1"/>
        <v>43746</v>
      </c>
      <c r="N49" s="2" t="str">
        <f t="shared" si="2"/>
        <v>Pagado</v>
      </c>
      <c r="O49" s="310">
        <v>43746</v>
      </c>
      <c r="P49" s="293">
        <v>28200</v>
      </c>
      <c r="Q49" s="2" t="s">
        <v>1070</v>
      </c>
      <c r="R49" s="2" t="s">
        <v>2243</v>
      </c>
      <c r="S49" s="2">
        <v>153</v>
      </c>
      <c r="T49" s="313"/>
      <c r="U49" s="392"/>
      <c r="V49" s="2"/>
      <c r="W49" s="108"/>
      <c r="X49" s="310"/>
      <c r="Y49" s="2"/>
      <c r="Z49" s="131" t="s">
        <v>1467</v>
      </c>
      <c r="AA49" s="108" t="str">
        <f t="shared" si="3"/>
        <v/>
      </c>
      <c r="AB49" s="2"/>
      <c r="AC49" s="131">
        <f t="shared" si="4"/>
        <v>23697.478991596639</v>
      </c>
      <c r="AD49" s="108">
        <f t="shared" si="5"/>
        <v>4502.5210084033606</v>
      </c>
      <c r="AE49" s="2" t="s">
        <v>1501</v>
      </c>
      <c r="AF49" s="23" t="s">
        <v>3489</v>
      </c>
      <c r="AG49" s="2" t="str">
        <f t="shared" si="6"/>
        <v>SI</v>
      </c>
      <c r="AH49" s="14"/>
      <c r="AI49" s="23"/>
      <c r="AJ49" s="2" t="str">
        <f t="shared" si="7"/>
        <v>NV</v>
      </c>
      <c r="AK49" s="294"/>
    </row>
    <row r="50" spans="1:37" ht="15.75" customHeight="1" x14ac:dyDescent="0.25">
      <c r="A50" s="270" t="s">
        <v>1253</v>
      </c>
      <c r="B50" s="3" t="s">
        <v>990</v>
      </c>
      <c r="C50" s="2">
        <v>0</v>
      </c>
      <c r="D50" s="2">
        <v>2587</v>
      </c>
      <c r="E50" s="2"/>
      <c r="F50" s="2"/>
      <c r="G50" s="2">
        <v>5934</v>
      </c>
      <c r="H50" s="293">
        <v>9600</v>
      </c>
      <c r="I50" s="293"/>
      <c r="J50" s="126">
        <f t="shared" si="0"/>
        <v>9600</v>
      </c>
      <c r="K50" s="310">
        <v>43747</v>
      </c>
      <c r="L50" s="2">
        <v>0</v>
      </c>
      <c r="M50" s="9">
        <f t="shared" si="1"/>
        <v>43747</v>
      </c>
      <c r="N50" s="2" t="str">
        <f t="shared" si="2"/>
        <v>Pagado</v>
      </c>
      <c r="O50" s="310">
        <v>43747</v>
      </c>
      <c r="P50" s="293">
        <v>9600</v>
      </c>
      <c r="Q50" s="2" t="s">
        <v>1481</v>
      </c>
      <c r="R50" s="2"/>
      <c r="S50" s="2"/>
      <c r="T50" s="9"/>
      <c r="U50" s="392"/>
      <c r="V50" s="2">
        <v>134087</v>
      </c>
      <c r="W50" s="108">
        <v>9600</v>
      </c>
      <c r="X50" s="310">
        <v>43752</v>
      </c>
      <c r="Y50" s="2" t="s">
        <v>1488</v>
      </c>
      <c r="Z50" s="131" t="s">
        <v>1467</v>
      </c>
      <c r="AA50" s="108" t="str">
        <f t="shared" si="3"/>
        <v/>
      </c>
      <c r="AB50" s="2"/>
      <c r="AC50" s="131">
        <f t="shared" si="4"/>
        <v>8067.226890756303</v>
      </c>
      <c r="AD50" s="108">
        <f t="shared" si="5"/>
        <v>1532.773109243697</v>
      </c>
      <c r="AE50" s="2" t="s">
        <v>1501</v>
      </c>
      <c r="AF50" s="23" t="s">
        <v>3489</v>
      </c>
      <c r="AG50" s="2" t="str">
        <f t="shared" si="6"/>
        <v>SI</v>
      </c>
      <c r="AH50" s="14"/>
      <c r="AI50" s="23"/>
      <c r="AJ50" s="2" t="str">
        <f t="shared" si="7"/>
        <v>NV</v>
      </c>
      <c r="AK50" s="294"/>
    </row>
    <row r="51" spans="1:37" ht="15.75" customHeight="1" x14ac:dyDescent="0.25">
      <c r="A51" s="270" t="s">
        <v>3460</v>
      </c>
      <c r="B51" s="3" t="s">
        <v>3461</v>
      </c>
      <c r="C51" s="2">
        <v>2932</v>
      </c>
      <c r="D51" s="2">
        <v>0</v>
      </c>
      <c r="E51" s="2"/>
      <c r="F51" s="2"/>
      <c r="G51" s="2" t="s">
        <v>2528</v>
      </c>
      <c r="H51" s="293">
        <v>29350</v>
      </c>
      <c r="I51" s="293"/>
      <c r="J51" s="126">
        <f t="shared" si="0"/>
        <v>29350</v>
      </c>
      <c r="K51" s="310">
        <v>43747</v>
      </c>
      <c r="L51" s="2">
        <v>0</v>
      </c>
      <c r="M51" s="9">
        <f t="shared" si="1"/>
        <v>43747</v>
      </c>
      <c r="N51" s="2" t="str">
        <f t="shared" si="2"/>
        <v>Pagado</v>
      </c>
      <c r="O51" s="310">
        <v>43753</v>
      </c>
      <c r="P51" s="293">
        <v>29350</v>
      </c>
      <c r="Q51" s="2" t="s">
        <v>1484</v>
      </c>
      <c r="R51" s="2"/>
      <c r="S51" s="2"/>
      <c r="T51" s="9" t="s">
        <v>1496</v>
      </c>
      <c r="U51" s="392"/>
      <c r="V51" s="2"/>
      <c r="W51" s="108"/>
      <c r="X51" s="310"/>
      <c r="Y51" s="2"/>
      <c r="Z51" s="131" t="s">
        <v>1467</v>
      </c>
      <c r="AA51" s="108" t="str">
        <f t="shared" si="3"/>
        <v/>
      </c>
      <c r="AB51" s="2"/>
      <c r="AC51" s="131">
        <f t="shared" si="4"/>
        <v>24663.865546218487</v>
      </c>
      <c r="AD51" s="108">
        <f t="shared" si="5"/>
        <v>4686.134453781513</v>
      </c>
      <c r="AE51" s="2" t="s">
        <v>1501</v>
      </c>
      <c r="AF51" s="23" t="s">
        <v>3490</v>
      </c>
      <c r="AG51" s="2" t="str">
        <f t="shared" si="6"/>
        <v>SI</v>
      </c>
      <c r="AH51" s="14"/>
      <c r="AI51" s="23"/>
      <c r="AJ51" s="2" t="str">
        <f t="shared" si="7"/>
        <v>Factura</v>
      </c>
      <c r="AK51" s="294"/>
    </row>
    <row r="52" spans="1:37" ht="15.75" customHeight="1" x14ac:dyDescent="0.25">
      <c r="A52" s="270" t="s">
        <v>5250</v>
      </c>
      <c r="B52" s="3" t="s">
        <v>5251</v>
      </c>
      <c r="C52" s="2">
        <v>0</v>
      </c>
      <c r="D52" s="2">
        <v>2588</v>
      </c>
      <c r="E52" s="2"/>
      <c r="F52" s="2"/>
      <c r="G52" s="2">
        <v>5935</v>
      </c>
      <c r="H52" s="293">
        <v>19700</v>
      </c>
      <c r="I52" s="293"/>
      <c r="J52" s="126">
        <f t="shared" si="0"/>
        <v>19700</v>
      </c>
      <c r="K52" s="310">
        <v>43747</v>
      </c>
      <c r="L52" s="2">
        <v>0</v>
      </c>
      <c r="M52" s="9">
        <f t="shared" si="1"/>
        <v>43747</v>
      </c>
      <c r="N52" s="2" t="str">
        <f t="shared" si="2"/>
        <v>Pagado</v>
      </c>
      <c r="O52" s="310">
        <v>43747</v>
      </c>
      <c r="P52" s="293">
        <v>19700</v>
      </c>
      <c r="Q52" s="2" t="s">
        <v>1481</v>
      </c>
      <c r="R52" s="2"/>
      <c r="S52" s="2"/>
      <c r="T52" s="313"/>
      <c r="U52" s="392"/>
      <c r="V52" s="2">
        <v>134087</v>
      </c>
      <c r="W52" s="108">
        <v>19700</v>
      </c>
      <c r="X52" s="310">
        <v>43752</v>
      </c>
      <c r="Y52" s="2" t="s">
        <v>1488</v>
      </c>
      <c r="Z52" s="131" t="s">
        <v>1467</v>
      </c>
      <c r="AA52" s="108" t="str">
        <f t="shared" si="3"/>
        <v/>
      </c>
      <c r="AB52" s="2"/>
      <c r="AC52" s="131">
        <f t="shared" si="4"/>
        <v>16554.621848739498</v>
      </c>
      <c r="AD52" s="108">
        <f t="shared" si="5"/>
        <v>3145.3781512605019</v>
      </c>
      <c r="AE52" s="2" t="s">
        <v>1501</v>
      </c>
      <c r="AF52" s="23" t="s">
        <v>3487</v>
      </c>
      <c r="AG52" s="2" t="str">
        <f t="shared" si="6"/>
        <v>SI</v>
      </c>
      <c r="AH52" s="14"/>
      <c r="AI52" s="23"/>
      <c r="AJ52" s="2" t="str">
        <f t="shared" si="7"/>
        <v>NV</v>
      </c>
      <c r="AK52" s="294"/>
    </row>
    <row r="53" spans="1:37" ht="15.75" customHeight="1" x14ac:dyDescent="0.25">
      <c r="A53" s="270" t="s">
        <v>1419</v>
      </c>
      <c r="B53" s="3" t="s">
        <v>1119</v>
      </c>
      <c r="C53" s="2">
        <v>0</v>
      </c>
      <c r="D53" s="2">
        <v>0</v>
      </c>
      <c r="E53" s="2"/>
      <c r="F53" s="2"/>
      <c r="G53" s="2">
        <v>5936</v>
      </c>
      <c r="H53" s="293">
        <v>35200</v>
      </c>
      <c r="I53" s="293"/>
      <c r="J53" s="126">
        <f t="shared" si="0"/>
        <v>35200</v>
      </c>
      <c r="K53" s="310">
        <v>43747</v>
      </c>
      <c r="L53" s="2">
        <v>0</v>
      </c>
      <c r="M53" s="9">
        <f t="shared" si="1"/>
        <v>43747</v>
      </c>
      <c r="N53" s="2" t="str">
        <f t="shared" si="2"/>
        <v>Pagado</v>
      </c>
      <c r="O53" s="310">
        <v>43747</v>
      </c>
      <c r="P53" s="293">
        <v>35200</v>
      </c>
      <c r="Q53" s="2" t="s">
        <v>1481</v>
      </c>
      <c r="R53" s="2"/>
      <c r="S53" s="2"/>
      <c r="T53" s="9"/>
      <c r="U53" s="392"/>
      <c r="V53" s="2">
        <v>134087</v>
      </c>
      <c r="W53" s="108">
        <v>35200</v>
      </c>
      <c r="X53" s="310">
        <v>43752</v>
      </c>
      <c r="Y53" s="2" t="s">
        <v>1488</v>
      </c>
      <c r="Z53" s="131" t="s">
        <v>1467</v>
      </c>
      <c r="AA53" s="108" t="str">
        <f t="shared" si="3"/>
        <v/>
      </c>
      <c r="AB53" s="2"/>
      <c r="AC53" s="131">
        <f t="shared" si="4"/>
        <v>29579.831932773111</v>
      </c>
      <c r="AD53" s="108">
        <f t="shared" si="5"/>
        <v>5620.1680672268885</v>
      </c>
      <c r="AE53" s="2" t="s">
        <v>1501</v>
      </c>
      <c r="AF53" s="23" t="s">
        <v>3489</v>
      </c>
      <c r="AG53" s="2" t="str">
        <f t="shared" si="6"/>
        <v>SI</v>
      </c>
      <c r="AH53" s="14"/>
      <c r="AI53" s="23"/>
      <c r="AJ53" s="2" t="str">
        <f t="shared" si="7"/>
        <v>NV</v>
      </c>
      <c r="AK53" s="294"/>
    </row>
    <row r="54" spans="1:37" ht="15.75" customHeight="1" x14ac:dyDescent="0.25">
      <c r="A54" s="270" t="s">
        <v>1177</v>
      </c>
      <c r="B54" s="3" t="s">
        <v>1060</v>
      </c>
      <c r="C54" s="2">
        <v>2935</v>
      </c>
      <c r="D54" s="2">
        <v>0</v>
      </c>
      <c r="E54" s="2"/>
      <c r="F54" s="2"/>
      <c r="G54" s="2" t="s">
        <v>2528</v>
      </c>
      <c r="H54" s="293">
        <v>153151</v>
      </c>
      <c r="I54" s="293"/>
      <c r="J54" s="126">
        <f t="shared" si="0"/>
        <v>153151</v>
      </c>
      <c r="K54" s="310">
        <v>43747</v>
      </c>
      <c r="L54" s="2">
        <v>30</v>
      </c>
      <c r="M54" s="9">
        <f t="shared" si="1"/>
        <v>43777</v>
      </c>
      <c r="N54" s="2" t="str">
        <f t="shared" si="2"/>
        <v>Pagado</v>
      </c>
      <c r="O54" s="310">
        <v>43747</v>
      </c>
      <c r="P54" s="293">
        <v>153151</v>
      </c>
      <c r="Q54" s="2" t="s">
        <v>2131</v>
      </c>
      <c r="R54" s="2"/>
      <c r="S54" s="2">
        <v>7000931</v>
      </c>
      <c r="T54" s="9" t="s">
        <v>1462</v>
      </c>
      <c r="U54" s="392">
        <v>43778</v>
      </c>
      <c r="V54" s="2"/>
      <c r="W54" s="108"/>
      <c r="X54" s="310"/>
      <c r="Y54" s="2"/>
      <c r="Z54" s="131" t="s">
        <v>1467</v>
      </c>
      <c r="AA54" s="108" t="str">
        <f t="shared" si="3"/>
        <v>Otros</v>
      </c>
      <c r="AB54" s="2"/>
      <c r="AC54" s="131">
        <f t="shared" si="4"/>
        <v>128698.31932773109</v>
      </c>
      <c r="AD54" s="108">
        <f t="shared" si="5"/>
        <v>24452.680672268907</v>
      </c>
      <c r="AE54" s="2" t="s">
        <v>2050</v>
      </c>
      <c r="AF54" s="23" t="s">
        <v>3490</v>
      </c>
      <c r="AG54" s="2" t="str">
        <f t="shared" si="6"/>
        <v>SI</v>
      </c>
      <c r="AH54" s="14"/>
      <c r="AI54" s="23"/>
      <c r="AJ54" s="2" t="str">
        <f t="shared" si="7"/>
        <v>Factura</v>
      </c>
      <c r="AK54" s="294"/>
    </row>
    <row r="55" spans="1:37" ht="15.75" customHeight="1" x14ac:dyDescent="0.25">
      <c r="A55" s="270" t="s">
        <v>1214</v>
      </c>
      <c r="B55" s="3" t="s">
        <v>2143</v>
      </c>
      <c r="C55" s="2">
        <v>0</v>
      </c>
      <c r="D55" s="2">
        <v>2589</v>
      </c>
      <c r="E55" s="2"/>
      <c r="F55" s="2"/>
      <c r="G55" s="2">
        <v>5937</v>
      </c>
      <c r="H55" s="293">
        <v>20900</v>
      </c>
      <c r="I55" s="293"/>
      <c r="J55" s="126">
        <f t="shared" si="0"/>
        <v>20900</v>
      </c>
      <c r="K55" s="310">
        <v>43747</v>
      </c>
      <c r="L55" s="2">
        <v>0</v>
      </c>
      <c r="M55" s="9">
        <f t="shared" si="1"/>
        <v>43747</v>
      </c>
      <c r="N55" s="2" t="str">
        <f t="shared" si="2"/>
        <v>Pagado</v>
      </c>
      <c r="O55" s="310">
        <v>43747</v>
      </c>
      <c r="P55" s="293">
        <v>20900</v>
      </c>
      <c r="Q55" s="2" t="s">
        <v>1484</v>
      </c>
      <c r="R55" s="2"/>
      <c r="S55" s="2"/>
      <c r="T55" s="9" t="s">
        <v>1494</v>
      </c>
      <c r="U55" s="392"/>
      <c r="V55" s="2"/>
      <c r="W55" s="108"/>
      <c r="X55" s="310"/>
      <c r="Y55" s="2"/>
      <c r="Z55" s="131" t="s">
        <v>1467</v>
      </c>
      <c r="AA55" s="108" t="str">
        <f t="shared" si="3"/>
        <v/>
      </c>
      <c r="AB55" s="2"/>
      <c r="AC55" s="131">
        <f t="shared" si="4"/>
        <v>17563.025210084033</v>
      </c>
      <c r="AD55" s="108">
        <f t="shared" si="5"/>
        <v>3336.9747899159665</v>
      </c>
      <c r="AE55" s="2" t="s">
        <v>1501</v>
      </c>
      <c r="AF55" s="23" t="s">
        <v>3489</v>
      </c>
      <c r="AG55" s="2" t="str">
        <f t="shared" si="6"/>
        <v>SI</v>
      </c>
      <c r="AH55" s="14"/>
      <c r="AI55" s="23"/>
      <c r="AJ55" s="2" t="str">
        <f t="shared" si="7"/>
        <v>NV</v>
      </c>
      <c r="AK55" s="294"/>
    </row>
    <row r="56" spans="1:37" ht="15.75" customHeight="1" x14ac:dyDescent="0.25">
      <c r="A56" s="270" t="s">
        <v>1244</v>
      </c>
      <c r="B56" s="3" t="s">
        <v>971</v>
      </c>
      <c r="C56" s="2">
        <v>0</v>
      </c>
      <c r="D56" s="2">
        <v>2586</v>
      </c>
      <c r="E56" s="2"/>
      <c r="F56" s="2"/>
      <c r="G56" s="2">
        <v>5933</v>
      </c>
      <c r="H56" s="293">
        <v>14200</v>
      </c>
      <c r="I56" s="293"/>
      <c r="J56" s="126">
        <f t="shared" si="0"/>
        <v>14200</v>
      </c>
      <c r="K56" s="310">
        <v>43747</v>
      </c>
      <c r="L56" s="2">
        <v>0</v>
      </c>
      <c r="M56" s="9">
        <f t="shared" si="1"/>
        <v>43747</v>
      </c>
      <c r="N56" s="2" t="str">
        <f t="shared" si="2"/>
        <v>Pagado</v>
      </c>
      <c r="O56" s="310">
        <v>43747</v>
      </c>
      <c r="P56" s="293">
        <v>14200</v>
      </c>
      <c r="Q56" s="2" t="s">
        <v>1481</v>
      </c>
      <c r="R56" s="2"/>
      <c r="S56" s="2"/>
      <c r="T56" s="9"/>
      <c r="U56" s="392"/>
      <c r="V56" s="2">
        <v>134087</v>
      </c>
      <c r="W56" s="108">
        <v>14200</v>
      </c>
      <c r="X56" s="310">
        <v>43752</v>
      </c>
      <c r="Y56" s="2" t="s">
        <v>1488</v>
      </c>
      <c r="Z56" s="131" t="s">
        <v>1467</v>
      </c>
      <c r="AA56" s="108" t="str">
        <f t="shared" si="3"/>
        <v/>
      </c>
      <c r="AB56" s="2"/>
      <c r="AC56" s="131">
        <f t="shared" si="4"/>
        <v>11932.773109243699</v>
      </c>
      <c r="AD56" s="108">
        <f t="shared" si="5"/>
        <v>2267.2268907563011</v>
      </c>
      <c r="AE56" s="2" t="s">
        <v>1501</v>
      </c>
      <c r="AF56" s="23" t="s">
        <v>3489</v>
      </c>
      <c r="AG56" s="2" t="str">
        <f t="shared" si="6"/>
        <v>SI</v>
      </c>
      <c r="AH56" s="14"/>
      <c r="AI56" s="23"/>
      <c r="AJ56" s="2" t="str">
        <f t="shared" si="7"/>
        <v>NV</v>
      </c>
      <c r="AK56" s="294"/>
    </row>
    <row r="57" spans="1:37" ht="15.75" customHeight="1" x14ac:dyDescent="0.25">
      <c r="A57" s="270" t="s">
        <v>4953</v>
      </c>
      <c r="B57" s="3" t="s">
        <v>4954</v>
      </c>
      <c r="C57" s="2">
        <v>0</v>
      </c>
      <c r="D57" s="2">
        <v>0</v>
      </c>
      <c r="E57" s="2"/>
      <c r="F57" s="2"/>
      <c r="G57" s="2">
        <v>5924</v>
      </c>
      <c r="H57" s="293">
        <v>19700</v>
      </c>
      <c r="I57" s="293"/>
      <c r="J57" s="126">
        <f t="shared" si="0"/>
        <v>19700</v>
      </c>
      <c r="K57" s="310">
        <v>43747</v>
      </c>
      <c r="L57" s="2">
        <v>0</v>
      </c>
      <c r="M57" s="9">
        <f t="shared" si="1"/>
        <v>43747</v>
      </c>
      <c r="N57" s="2" t="str">
        <f t="shared" si="2"/>
        <v>Pagado</v>
      </c>
      <c r="O57" s="310">
        <v>43747</v>
      </c>
      <c r="P57" s="293">
        <v>19700</v>
      </c>
      <c r="Q57" s="2" t="s">
        <v>1481</v>
      </c>
      <c r="R57" s="2"/>
      <c r="S57" s="2"/>
      <c r="T57" s="9"/>
      <c r="U57" s="392"/>
      <c r="V57" s="2"/>
      <c r="W57" s="108"/>
      <c r="X57" s="310"/>
      <c r="Y57" s="2"/>
      <c r="Z57" s="131" t="s">
        <v>1467</v>
      </c>
      <c r="AA57" s="108" t="str">
        <f t="shared" si="3"/>
        <v/>
      </c>
      <c r="AB57" s="2"/>
      <c r="AC57" s="131">
        <f t="shared" si="4"/>
        <v>16554.621848739498</v>
      </c>
      <c r="AD57" s="108">
        <f t="shared" si="5"/>
        <v>3145.3781512605019</v>
      </c>
      <c r="AE57" s="2" t="s">
        <v>1501</v>
      </c>
      <c r="AF57" s="23" t="s">
        <v>3487</v>
      </c>
      <c r="AG57" s="2" t="str">
        <f t="shared" si="6"/>
        <v>SI</v>
      </c>
      <c r="AH57" s="14"/>
      <c r="AI57" s="23"/>
      <c r="AJ57" s="2" t="str">
        <f t="shared" si="7"/>
        <v>NV</v>
      </c>
      <c r="AK57" s="294"/>
    </row>
    <row r="58" spans="1:37" ht="15.75" customHeight="1" x14ac:dyDescent="0.25">
      <c r="A58" s="270" t="s">
        <v>1175</v>
      </c>
      <c r="B58" s="3" t="s">
        <v>1144</v>
      </c>
      <c r="C58" s="2">
        <v>2936</v>
      </c>
      <c r="D58" s="2">
        <v>0</v>
      </c>
      <c r="E58" s="2"/>
      <c r="F58" s="2"/>
      <c r="G58" s="2" t="s">
        <v>2528</v>
      </c>
      <c r="H58" s="293">
        <v>130000</v>
      </c>
      <c r="I58" s="293"/>
      <c r="J58" s="126">
        <f t="shared" si="0"/>
        <v>130000</v>
      </c>
      <c r="K58" s="310">
        <v>43747</v>
      </c>
      <c r="L58" s="2">
        <v>30</v>
      </c>
      <c r="M58" s="9">
        <f t="shared" si="1"/>
        <v>43777</v>
      </c>
      <c r="N58" s="2" t="str">
        <f t="shared" si="2"/>
        <v>Pagado</v>
      </c>
      <c r="O58" s="310">
        <v>43780</v>
      </c>
      <c r="P58" s="293">
        <v>130000</v>
      </c>
      <c r="Q58" s="2" t="s">
        <v>1484</v>
      </c>
      <c r="R58" s="2"/>
      <c r="S58" s="2"/>
      <c r="T58" s="9" t="s">
        <v>1496</v>
      </c>
      <c r="U58" s="392"/>
      <c r="V58" s="2"/>
      <c r="W58" s="108"/>
      <c r="X58" s="310"/>
      <c r="Y58" s="2"/>
      <c r="Z58" s="131" t="s">
        <v>1467</v>
      </c>
      <c r="AA58" s="108" t="str">
        <f t="shared" si="3"/>
        <v/>
      </c>
      <c r="AB58" s="2"/>
      <c r="AC58" s="131">
        <f t="shared" si="4"/>
        <v>109243.6974789916</v>
      </c>
      <c r="AD58" s="108">
        <f t="shared" si="5"/>
        <v>20756.302521008402</v>
      </c>
      <c r="AE58" s="2" t="s">
        <v>2050</v>
      </c>
      <c r="AF58" s="23" t="s">
        <v>3490</v>
      </c>
      <c r="AG58" s="2" t="str">
        <f t="shared" si="6"/>
        <v>SI</v>
      </c>
      <c r="AH58" s="14"/>
      <c r="AI58" s="23"/>
      <c r="AJ58" s="2" t="str">
        <f t="shared" si="7"/>
        <v>Factura</v>
      </c>
      <c r="AK58" s="294"/>
    </row>
    <row r="59" spans="1:37" ht="15.75" customHeight="1" x14ac:dyDescent="0.25">
      <c r="A59" s="270" t="s">
        <v>1175</v>
      </c>
      <c r="B59" s="3" t="s">
        <v>1144</v>
      </c>
      <c r="C59" s="2">
        <v>2937</v>
      </c>
      <c r="D59" s="2">
        <v>0</v>
      </c>
      <c r="E59" s="2">
        <v>257</v>
      </c>
      <c r="F59" s="2"/>
      <c r="G59" s="2" t="s">
        <v>2528</v>
      </c>
      <c r="H59" s="293">
        <v>272950</v>
      </c>
      <c r="I59" s="293">
        <v>-29581</v>
      </c>
      <c r="J59" s="126">
        <f t="shared" si="0"/>
        <v>243369</v>
      </c>
      <c r="K59" s="310">
        <v>43747</v>
      </c>
      <c r="L59" s="2">
        <v>30</v>
      </c>
      <c r="M59" s="9">
        <f t="shared" si="1"/>
        <v>43777</v>
      </c>
      <c r="N59" s="2" t="str">
        <f t="shared" si="2"/>
        <v>Pagado</v>
      </c>
      <c r="O59" s="310">
        <v>43780</v>
      </c>
      <c r="P59" s="293">
        <v>243369</v>
      </c>
      <c r="Q59" s="2" t="s">
        <v>1484</v>
      </c>
      <c r="R59" s="2"/>
      <c r="S59" s="2"/>
      <c r="T59" s="9" t="s">
        <v>1496</v>
      </c>
      <c r="U59" s="392"/>
      <c r="V59" s="2"/>
      <c r="W59" s="108"/>
      <c r="X59" s="310"/>
      <c r="Y59" s="2"/>
      <c r="Z59" s="131" t="s">
        <v>1467</v>
      </c>
      <c r="AA59" s="108" t="str">
        <f t="shared" si="3"/>
        <v/>
      </c>
      <c r="AB59" s="2"/>
      <c r="AC59" s="131">
        <f t="shared" si="4"/>
        <v>229369.74789915967</v>
      </c>
      <c r="AD59" s="108">
        <f t="shared" si="5"/>
        <v>43580.252100840327</v>
      </c>
      <c r="AE59" s="2" t="s">
        <v>2050</v>
      </c>
      <c r="AF59" s="23" t="s">
        <v>3490</v>
      </c>
      <c r="AG59" s="2" t="str">
        <f t="shared" si="6"/>
        <v>SI</v>
      </c>
      <c r="AH59" s="14"/>
      <c r="AI59" s="23"/>
      <c r="AJ59" s="2" t="str">
        <f t="shared" si="7"/>
        <v>Factura</v>
      </c>
      <c r="AK59" s="294"/>
    </row>
    <row r="60" spans="1:37" ht="15.75" customHeight="1" x14ac:dyDescent="0.25">
      <c r="A60" s="270" t="s">
        <v>1175</v>
      </c>
      <c r="B60" s="3" t="s">
        <v>1144</v>
      </c>
      <c r="C60" s="2">
        <v>2938</v>
      </c>
      <c r="D60" s="2">
        <v>0</v>
      </c>
      <c r="E60" s="2"/>
      <c r="F60" s="2"/>
      <c r="G60" s="2" t="s">
        <v>2528</v>
      </c>
      <c r="H60" s="293">
        <v>276467</v>
      </c>
      <c r="I60" s="293"/>
      <c r="J60" s="126">
        <f t="shared" si="0"/>
        <v>276467</v>
      </c>
      <c r="K60" s="310">
        <v>43747</v>
      </c>
      <c r="L60" s="2">
        <v>30</v>
      </c>
      <c r="M60" s="9">
        <f t="shared" si="1"/>
        <v>43777</v>
      </c>
      <c r="N60" s="2" t="str">
        <f t="shared" si="2"/>
        <v>Pagado</v>
      </c>
      <c r="O60" s="310">
        <v>43780</v>
      </c>
      <c r="P60" s="293">
        <v>276467</v>
      </c>
      <c r="Q60" s="2" t="s">
        <v>1484</v>
      </c>
      <c r="R60" s="2"/>
      <c r="S60" s="2"/>
      <c r="T60" s="313" t="s">
        <v>1496</v>
      </c>
      <c r="U60" s="392"/>
      <c r="V60" s="2"/>
      <c r="W60" s="108"/>
      <c r="X60" s="310"/>
      <c r="Y60" s="2"/>
      <c r="Z60" s="131" t="s">
        <v>1467</v>
      </c>
      <c r="AA60" s="108" t="str">
        <f t="shared" si="3"/>
        <v/>
      </c>
      <c r="AB60" s="2"/>
      <c r="AC60" s="131">
        <f t="shared" si="4"/>
        <v>232325.21008403364</v>
      </c>
      <c r="AD60" s="108">
        <f t="shared" si="5"/>
        <v>44141.789915966365</v>
      </c>
      <c r="AE60" s="2" t="s">
        <v>2050</v>
      </c>
      <c r="AF60" s="23" t="s">
        <v>3490</v>
      </c>
      <c r="AG60" s="2" t="str">
        <f t="shared" si="6"/>
        <v>SI</v>
      </c>
      <c r="AH60" s="14"/>
      <c r="AI60" s="23"/>
      <c r="AJ60" s="2" t="str">
        <f t="shared" si="7"/>
        <v>Factura</v>
      </c>
      <c r="AK60" s="294"/>
    </row>
    <row r="61" spans="1:37" ht="15.75" customHeight="1" x14ac:dyDescent="0.25">
      <c r="A61" s="270" t="s">
        <v>1175</v>
      </c>
      <c r="B61" s="3" t="s">
        <v>1144</v>
      </c>
      <c r="C61" s="2">
        <v>2939</v>
      </c>
      <c r="D61" s="2">
        <v>0</v>
      </c>
      <c r="E61" s="2"/>
      <c r="F61" s="2"/>
      <c r="G61" s="2" t="s">
        <v>2528</v>
      </c>
      <c r="H61" s="293">
        <v>139215</v>
      </c>
      <c r="I61" s="293"/>
      <c r="J61" s="126">
        <f t="shared" si="0"/>
        <v>139215</v>
      </c>
      <c r="K61" s="310">
        <v>43747</v>
      </c>
      <c r="L61" s="2">
        <v>30</v>
      </c>
      <c r="M61" s="9">
        <f t="shared" si="1"/>
        <v>43777</v>
      </c>
      <c r="N61" s="2" t="str">
        <f t="shared" si="2"/>
        <v>Pagado</v>
      </c>
      <c r="O61" s="310">
        <v>43780</v>
      </c>
      <c r="P61" s="293">
        <v>139215</v>
      </c>
      <c r="Q61" s="2" t="s">
        <v>1484</v>
      </c>
      <c r="R61" s="2"/>
      <c r="S61" s="2"/>
      <c r="T61" s="9" t="s">
        <v>1496</v>
      </c>
      <c r="U61" s="392"/>
      <c r="V61" s="2"/>
      <c r="W61" s="108"/>
      <c r="X61" s="310"/>
      <c r="Y61" s="2"/>
      <c r="Z61" s="131" t="s">
        <v>1467</v>
      </c>
      <c r="AA61" s="108" t="str">
        <f t="shared" si="3"/>
        <v/>
      </c>
      <c r="AB61" s="2"/>
      <c r="AC61" s="131">
        <f t="shared" si="4"/>
        <v>116987.3949579832</v>
      </c>
      <c r="AD61" s="108">
        <f t="shared" si="5"/>
        <v>22227.605042016803</v>
      </c>
      <c r="AE61" s="2" t="s">
        <v>2050</v>
      </c>
      <c r="AF61" s="23" t="s">
        <v>3490</v>
      </c>
      <c r="AG61" s="2" t="str">
        <f t="shared" si="6"/>
        <v>SI</v>
      </c>
      <c r="AH61" s="14"/>
      <c r="AI61" s="23"/>
      <c r="AJ61" s="2" t="str">
        <f t="shared" si="7"/>
        <v>Factura</v>
      </c>
      <c r="AK61" s="294"/>
    </row>
    <row r="62" spans="1:37" ht="15.75" customHeight="1" x14ac:dyDescent="0.25">
      <c r="A62" s="270" t="s">
        <v>1209</v>
      </c>
      <c r="B62" s="3" t="s">
        <v>974</v>
      </c>
      <c r="C62" s="2">
        <v>0</v>
      </c>
      <c r="D62" s="2">
        <v>2590</v>
      </c>
      <c r="E62" s="2"/>
      <c r="F62" s="2"/>
      <c r="G62" s="2">
        <v>5929</v>
      </c>
      <c r="H62" s="293">
        <v>44700</v>
      </c>
      <c r="I62" s="293"/>
      <c r="J62" s="126">
        <f t="shared" si="0"/>
        <v>44700</v>
      </c>
      <c r="K62" s="310">
        <v>43747</v>
      </c>
      <c r="L62" s="2">
        <v>0</v>
      </c>
      <c r="M62" s="9">
        <f t="shared" si="1"/>
        <v>43747</v>
      </c>
      <c r="N62" s="2" t="str">
        <f t="shared" si="2"/>
        <v>Pagado</v>
      </c>
      <c r="O62" s="310">
        <v>43753</v>
      </c>
      <c r="P62" s="293">
        <v>44700</v>
      </c>
      <c r="Q62" s="2" t="s">
        <v>1484</v>
      </c>
      <c r="R62" s="2"/>
      <c r="S62" s="2"/>
      <c r="T62" s="313" t="s">
        <v>1490</v>
      </c>
      <c r="U62" s="392"/>
      <c r="V62" s="2"/>
      <c r="W62" s="108"/>
      <c r="X62" s="310"/>
      <c r="Y62" s="2"/>
      <c r="Z62" s="131" t="s">
        <v>1467</v>
      </c>
      <c r="AA62" s="108" t="str">
        <f t="shared" si="3"/>
        <v/>
      </c>
      <c r="AB62" s="2"/>
      <c r="AC62" s="131">
        <f t="shared" si="4"/>
        <v>37563.025210084037</v>
      </c>
      <c r="AD62" s="108">
        <f t="shared" si="5"/>
        <v>7136.9747899159629</v>
      </c>
      <c r="AE62" s="2" t="s">
        <v>2050</v>
      </c>
      <c r="AF62" s="23" t="s">
        <v>3487</v>
      </c>
      <c r="AG62" s="2" t="str">
        <f t="shared" si="6"/>
        <v>SI</v>
      </c>
      <c r="AH62" s="14"/>
      <c r="AI62" s="23"/>
      <c r="AJ62" s="2" t="str">
        <f t="shared" si="7"/>
        <v>NV</v>
      </c>
      <c r="AK62" s="294"/>
    </row>
    <row r="63" spans="1:37" ht="15.75" customHeight="1" x14ac:dyDescent="0.25">
      <c r="A63" s="270" t="s">
        <v>1213</v>
      </c>
      <c r="B63" s="3" t="s">
        <v>985</v>
      </c>
      <c r="C63" s="2">
        <v>0</v>
      </c>
      <c r="D63" s="2">
        <v>0</v>
      </c>
      <c r="E63" s="2"/>
      <c r="F63" s="2"/>
      <c r="G63" s="2">
        <v>5939</v>
      </c>
      <c r="H63" s="293">
        <v>38000</v>
      </c>
      <c r="I63" s="293"/>
      <c r="J63" s="126">
        <f t="shared" si="0"/>
        <v>38000</v>
      </c>
      <c r="K63" s="310">
        <v>43748</v>
      </c>
      <c r="L63" s="2">
        <v>0</v>
      </c>
      <c r="M63" s="9">
        <f t="shared" si="1"/>
        <v>43748</v>
      </c>
      <c r="N63" s="2" t="str">
        <f t="shared" si="2"/>
        <v>Pagado</v>
      </c>
      <c r="O63" s="310">
        <v>43770</v>
      </c>
      <c r="P63" s="293">
        <v>38000</v>
      </c>
      <c r="Q63" s="2" t="s">
        <v>1481</v>
      </c>
      <c r="R63" s="2"/>
      <c r="S63" s="2"/>
      <c r="T63" s="313"/>
      <c r="U63" s="392"/>
      <c r="V63" s="2"/>
      <c r="W63" s="108"/>
      <c r="X63" s="310"/>
      <c r="Y63" s="2"/>
      <c r="Z63" s="131" t="s">
        <v>1467</v>
      </c>
      <c r="AA63" s="108" t="str">
        <f t="shared" si="3"/>
        <v/>
      </c>
      <c r="AB63" s="2"/>
      <c r="AC63" s="131">
        <f t="shared" si="4"/>
        <v>31932.773109243699</v>
      </c>
      <c r="AD63" s="108">
        <f t="shared" si="5"/>
        <v>6067.2268907563011</v>
      </c>
      <c r="AE63" s="2" t="s">
        <v>1501</v>
      </c>
      <c r="AF63" s="23" t="s">
        <v>3489</v>
      </c>
      <c r="AG63" s="2" t="str">
        <f t="shared" si="6"/>
        <v>SI</v>
      </c>
      <c r="AH63" s="14"/>
      <c r="AI63" s="23"/>
      <c r="AJ63" s="2" t="str">
        <f t="shared" si="7"/>
        <v>NV</v>
      </c>
      <c r="AK63" s="294"/>
    </row>
    <row r="64" spans="1:37" ht="15.75" customHeight="1" x14ac:dyDescent="0.25">
      <c r="A64" s="270" t="s">
        <v>5235</v>
      </c>
      <c r="B64" s="3" t="s">
        <v>5236</v>
      </c>
      <c r="C64" s="2">
        <v>0</v>
      </c>
      <c r="D64" s="2">
        <v>155</v>
      </c>
      <c r="E64" s="2"/>
      <c r="F64" s="2"/>
      <c r="G64" s="2">
        <v>5942</v>
      </c>
      <c r="H64" s="293">
        <v>18000</v>
      </c>
      <c r="I64" s="293"/>
      <c r="J64" s="126">
        <f t="shared" si="0"/>
        <v>18000</v>
      </c>
      <c r="K64" s="310">
        <v>43748</v>
      </c>
      <c r="L64" s="2">
        <v>0</v>
      </c>
      <c r="M64" s="9">
        <f t="shared" si="1"/>
        <v>43748</v>
      </c>
      <c r="N64" s="2" t="str">
        <f t="shared" si="2"/>
        <v>Pagado</v>
      </c>
      <c r="O64" s="310">
        <v>43749</v>
      </c>
      <c r="P64" s="293">
        <v>18000</v>
      </c>
      <c r="Q64" s="2" t="s">
        <v>1070</v>
      </c>
      <c r="R64" s="2" t="s">
        <v>2243</v>
      </c>
      <c r="S64" s="2">
        <v>155</v>
      </c>
      <c r="T64" s="313"/>
      <c r="U64" s="392"/>
      <c r="V64" s="2"/>
      <c r="W64" s="108"/>
      <c r="X64" s="310"/>
      <c r="Y64" s="2"/>
      <c r="Z64" s="131" t="s">
        <v>1467</v>
      </c>
      <c r="AA64" s="108" t="str">
        <f t="shared" si="3"/>
        <v/>
      </c>
      <c r="AB64" s="2"/>
      <c r="AC64" s="131">
        <f t="shared" si="4"/>
        <v>15126.050420168069</v>
      </c>
      <c r="AD64" s="108">
        <f t="shared" si="5"/>
        <v>2873.9495798319313</v>
      </c>
      <c r="AE64" s="2" t="s">
        <v>1501</v>
      </c>
      <c r="AF64" s="23" t="s">
        <v>3489</v>
      </c>
      <c r="AG64" s="2" t="str">
        <f t="shared" si="6"/>
        <v>SI</v>
      </c>
      <c r="AH64" s="14"/>
      <c r="AI64" s="23"/>
      <c r="AJ64" s="2" t="str">
        <f t="shared" si="7"/>
        <v>NV</v>
      </c>
      <c r="AK64" s="294"/>
    </row>
    <row r="65" spans="1:37" ht="15.75" customHeight="1" x14ac:dyDescent="0.25">
      <c r="A65" s="270" t="s">
        <v>4794</v>
      </c>
      <c r="B65" s="3" t="s">
        <v>4795</v>
      </c>
      <c r="C65" s="2">
        <v>0</v>
      </c>
      <c r="D65" s="2">
        <v>2593</v>
      </c>
      <c r="E65" s="2"/>
      <c r="F65" s="2"/>
      <c r="G65" s="2">
        <v>5938</v>
      </c>
      <c r="H65" s="293">
        <v>33000</v>
      </c>
      <c r="I65" s="293"/>
      <c r="J65" s="126">
        <f t="shared" si="0"/>
        <v>33000</v>
      </c>
      <c r="K65" s="310">
        <v>43748</v>
      </c>
      <c r="L65" s="2">
        <v>0</v>
      </c>
      <c r="M65" s="9">
        <f t="shared" si="1"/>
        <v>43748</v>
      </c>
      <c r="N65" s="2" t="str">
        <f t="shared" si="2"/>
        <v>Pagado</v>
      </c>
      <c r="O65" s="310">
        <v>43749</v>
      </c>
      <c r="P65" s="293">
        <v>33000</v>
      </c>
      <c r="Q65" s="2" t="s">
        <v>1484</v>
      </c>
      <c r="R65" s="2"/>
      <c r="S65" s="2"/>
      <c r="T65" s="9" t="s">
        <v>1492</v>
      </c>
      <c r="U65" s="392"/>
      <c r="V65" s="2"/>
      <c r="W65" s="108"/>
      <c r="X65" s="310"/>
      <c r="Y65" s="2"/>
      <c r="Z65" s="131" t="s">
        <v>1467</v>
      </c>
      <c r="AA65" s="108" t="str">
        <f t="shared" si="3"/>
        <v/>
      </c>
      <c r="AB65" s="2"/>
      <c r="AC65" s="131">
        <f t="shared" si="4"/>
        <v>27731.092436974792</v>
      </c>
      <c r="AD65" s="108">
        <f t="shared" si="5"/>
        <v>5268.9075630252082</v>
      </c>
      <c r="AE65" s="2" t="s">
        <v>1501</v>
      </c>
      <c r="AF65" s="23" t="s">
        <v>3487</v>
      </c>
      <c r="AG65" s="2" t="str">
        <f t="shared" si="6"/>
        <v>SI</v>
      </c>
      <c r="AH65" s="14"/>
      <c r="AI65" s="23"/>
      <c r="AJ65" s="2" t="str">
        <f t="shared" si="7"/>
        <v>NV</v>
      </c>
      <c r="AK65" s="294"/>
    </row>
    <row r="66" spans="1:37" ht="15.75" customHeight="1" x14ac:dyDescent="0.25">
      <c r="A66" s="270" t="s">
        <v>5203</v>
      </c>
      <c r="B66" s="3" t="s">
        <v>5204</v>
      </c>
      <c r="C66" s="2">
        <v>0</v>
      </c>
      <c r="D66" s="2">
        <v>2592</v>
      </c>
      <c r="E66" s="2"/>
      <c r="F66" s="2"/>
      <c r="G66" s="2">
        <v>5943</v>
      </c>
      <c r="H66" s="293">
        <v>14800</v>
      </c>
      <c r="I66" s="293"/>
      <c r="J66" s="126">
        <f t="shared" si="0"/>
        <v>14800</v>
      </c>
      <c r="K66" s="310">
        <v>43748</v>
      </c>
      <c r="L66" s="2">
        <v>0</v>
      </c>
      <c r="M66" s="9">
        <f t="shared" si="1"/>
        <v>43748</v>
      </c>
      <c r="N66" s="2" t="str">
        <f t="shared" si="2"/>
        <v>Pagado</v>
      </c>
      <c r="O66" s="310">
        <v>43749</v>
      </c>
      <c r="P66" s="293">
        <v>14800</v>
      </c>
      <c r="Q66" s="2" t="s">
        <v>1481</v>
      </c>
      <c r="R66" s="2"/>
      <c r="S66" s="2"/>
      <c r="T66" s="9"/>
      <c r="U66" s="392"/>
      <c r="V66" s="2">
        <v>134087</v>
      </c>
      <c r="W66" s="108">
        <v>14800</v>
      </c>
      <c r="X66" s="310">
        <v>43752</v>
      </c>
      <c r="Y66" s="2" t="s">
        <v>1488</v>
      </c>
      <c r="Z66" s="131" t="s">
        <v>1467</v>
      </c>
      <c r="AA66" s="108" t="str">
        <f t="shared" si="3"/>
        <v/>
      </c>
      <c r="AB66" s="2"/>
      <c r="AC66" s="131">
        <f t="shared" si="4"/>
        <v>12436.974789915967</v>
      </c>
      <c r="AD66" s="108">
        <f t="shared" si="5"/>
        <v>2363.0252100840335</v>
      </c>
      <c r="AE66" s="2" t="s">
        <v>1501</v>
      </c>
      <c r="AF66" s="23" t="s">
        <v>3487</v>
      </c>
      <c r="AG66" s="2" t="str">
        <f t="shared" si="6"/>
        <v>SI</v>
      </c>
      <c r="AH66" s="14"/>
      <c r="AI66" s="23"/>
      <c r="AJ66" s="2" t="str">
        <f t="shared" si="7"/>
        <v>NV</v>
      </c>
      <c r="AK66" s="294"/>
    </row>
    <row r="67" spans="1:37" ht="15.75" customHeight="1" x14ac:dyDescent="0.25">
      <c r="A67" s="270" t="s">
        <v>1244</v>
      </c>
      <c r="B67" s="3" t="s">
        <v>971</v>
      </c>
      <c r="C67" s="2">
        <v>0</v>
      </c>
      <c r="D67" s="2">
        <v>2591</v>
      </c>
      <c r="E67" s="2"/>
      <c r="F67" s="2"/>
      <c r="G67" s="2">
        <v>5941</v>
      </c>
      <c r="H67" s="293">
        <v>19700</v>
      </c>
      <c r="I67" s="293"/>
      <c r="J67" s="126">
        <f t="shared" ref="J67:J130" si="8">+H67+I67</f>
        <v>19700</v>
      </c>
      <c r="K67" s="310">
        <v>43748</v>
      </c>
      <c r="L67" s="2">
        <v>0</v>
      </c>
      <c r="M67" s="9">
        <f t="shared" ref="M67:M130" si="9">+L67+K67</f>
        <v>43748</v>
      </c>
      <c r="N67" s="2" t="str">
        <f t="shared" ref="N67:N130" si="10">+IF(J67=0,"Nulo",IF(P67&gt;=J67,"Pagado",IF(P67&gt;0,"Abonado",IF(M67&lt;$M$1,"Vencido",IF(J67&gt;P67,"Pendiente","Vencido")))))</f>
        <v>Pagado</v>
      </c>
      <c r="O67" s="310">
        <v>43749</v>
      </c>
      <c r="P67" s="293">
        <v>19700</v>
      </c>
      <c r="Q67" s="2" t="s">
        <v>1481</v>
      </c>
      <c r="R67" s="2"/>
      <c r="S67" s="2"/>
      <c r="T67" s="313"/>
      <c r="U67" s="392"/>
      <c r="V67" s="2">
        <v>134087</v>
      </c>
      <c r="W67" s="108">
        <v>19700</v>
      </c>
      <c r="X67" s="310">
        <v>43752</v>
      </c>
      <c r="Y67" s="2" t="s">
        <v>1488</v>
      </c>
      <c r="Z67" s="131" t="s">
        <v>1467</v>
      </c>
      <c r="AA67" s="108" t="str">
        <f t="shared" ref="AA67:AA130" si="11">+IF(LEFT(Q67,6)="Cheque",IF(T67="Chile","Chile","Otros"),"")</f>
        <v/>
      </c>
      <c r="AB67" s="2"/>
      <c r="AC67" s="131">
        <f t="shared" ref="AC67:AC130" si="12">+IF(C67="","",H67/1.19)</f>
        <v>16554.621848739498</v>
      </c>
      <c r="AD67" s="108">
        <f t="shared" ref="AD67:AD130" si="13">+IF(C67="","",H67-AC67)</f>
        <v>3145.3781512605019</v>
      </c>
      <c r="AE67" s="2" t="s">
        <v>1501</v>
      </c>
      <c r="AF67" s="23" t="s">
        <v>3489</v>
      </c>
      <c r="AG67" s="2" t="str">
        <f t="shared" ref="AG67:AG130" si="14">+IF(N67="Pagado","SI",IF(N67="NULO","SI","NO"))</f>
        <v>SI</v>
      </c>
      <c r="AH67" s="14"/>
      <c r="AI67" s="23"/>
      <c r="AJ67" s="2" t="str">
        <f t="shared" ref="AJ67:AJ130" si="15">+IF(C67=0,"NV","Factura")</f>
        <v>NV</v>
      </c>
      <c r="AK67" s="294"/>
    </row>
    <row r="68" spans="1:37" ht="15.75" customHeight="1" x14ac:dyDescent="0.25">
      <c r="A68" s="270" t="s">
        <v>1182</v>
      </c>
      <c r="B68" s="3" t="s">
        <v>1044</v>
      </c>
      <c r="C68" s="2">
        <v>2943</v>
      </c>
      <c r="D68" s="2">
        <v>0</v>
      </c>
      <c r="E68" s="2">
        <v>258</v>
      </c>
      <c r="F68" s="2"/>
      <c r="G68" s="2" t="s">
        <v>2528</v>
      </c>
      <c r="H68" s="293">
        <v>137038</v>
      </c>
      <c r="I68" s="293">
        <v>-1483</v>
      </c>
      <c r="J68" s="126">
        <f t="shared" si="8"/>
        <v>135555</v>
      </c>
      <c r="K68" s="310">
        <v>43749</v>
      </c>
      <c r="L68" s="2">
        <v>7</v>
      </c>
      <c r="M68" s="9">
        <f t="shared" si="9"/>
        <v>43756</v>
      </c>
      <c r="N68" s="2" t="str">
        <f t="shared" si="10"/>
        <v>Pagado</v>
      </c>
      <c r="O68" s="310">
        <v>43749</v>
      </c>
      <c r="P68" s="293">
        <v>135555</v>
      </c>
      <c r="Q68" s="2" t="s">
        <v>2131</v>
      </c>
      <c r="R68" s="2"/>
      <c r="S68" s="2" t="s">
        <v>5257</v>
      </c>
      <c r="T68" s="9" t="s">
        <v>1493</v>
      </c>
      <c r="U68" s="392">
        <v>43753</v>
      </c>
      <c r="V68" s="2">
        <v>134090</v>
      </c>
      <c r="W68" s="108">
        <v>135555</v>
      </c>
      <c r="X68" s="310">
        <v>43753</v>
      </c>
      <c r="Y68" s="2" t="s">
        <v>1488</v>
      </c>
      <c r="Z68" s="131" t="s">
        <v>1467</v>
      </c>
      <c r="AA68" s="108" t="str">
        <f t="shared" si="11"/>
        <v>Otros</v>
      </c>
      <c r="AB68" s="2"/>
      <c r="AC68" s="131">
        <f t="shared" si="12"/>
        <v>115157.98319327732</v>
      </c>
      <c r="AD68" s="108">
        <f t="shared" si="13"/>
        <v>21880.016806722677</v>
      </c>
      <c r="AE68" s="2" t="s">
        <v>1445</v>
      </c>
      <c r="AF68" s="23" t="s">
        <v>3490</v>
      </c>
      <c r="AG68" s="2" t="str">
        <f t="shared" si="14"/>
        <v>SI</v>
      </c>
      <c r="AH68" s="14"/>
      <c r="AI68" s="23"/>
      <c r="AJ68" s="2" t="str">
        <f t="shared" si="15"/>
        <v>Factura</v>
      </c>
      <c r="AK68" s="294"/>
    </row>
    <row r="69" spans="1:37" ht="15.75" customHeight="1" x14ac:dyDescent="0.25">
      <c r="A69" s="270" t="s">
        <v>1184</v>
      </c>
      <c r="B69" s="3" t="s">
        <v>2297</v>
      </c>
      <c r="C69" s="2">
        <v>2942</v>
      </c>
      <c r="D69" s="2">
        <v>0</v>
      </c>
      <c r="E69" s="2"/>
      <c r="F69" s="2"/>
      <c r="G69" s="2" t="s">
        <v>2528</v>
      </c>
      <c r="H69" s="293">
        <v>34623</v>
      </c>
      <c r="I69" s="293"/>
      <c r="J69" s="126">
        <f t="shared" si="8"/>
        <v>34623</v>
      </c>
      <c r="K69" s="310">
        <v>43749</v>
      </c>
      <c r="L69" s="2">
        <v>0</v>
      </c>
      <c r="M69" s="9">
        <f t="shared" si="9"/>
        <v>43749</v>
      </c>
      <c r="N69" s="2" t="str">
        <f t="shared" si="10"/>
        <v>Pagado</v>
      </c>
      <c r="O69" s="310">
        <v>43749</v>
      </c>
      <c r="P69" s="293">
        <v>34623</v>
      </c>
      <c r="Q69" s="2" t="s">
        <v>1481</v>
      </c>
      <c r="R69" s="2"/>
      <c r="S69" s="2"/>
      <c r="T69" s="9"/>
      <c r="U69" s="392"/>
      <c r="V69" s="2">
        <v>134085</v>
      </c>
      <c r="W69" s="108">
        <v>34623</v>
      </c>
      <c r="X69" s="310">
        <v>43752</v>
      </c>
      <c r="Y69" s="2" t="s">
        <v>1488</v>
      </c>
      <c r="Z69" s="131" t="s">
        <v>1467</v>
      </c>
      <c r="AA69" s="108" t="str">
        <f t="shared" si="11"/>
        <v/>
      </c>
      <c r="AB69" s="2"/>
      <c r="AC69" s="131">
        <f t="shared" si="12"/>
        <v>29094.957983193279</v>
      </c>
      <c r="AD69" s="108">
        <f t="shared" si="13"/>
        <v>5528.0420168067212</v>
      </c>
      <c r="AE69" s="2" t="s">
        <v>1445</v>
      </c>
      <c r="AF69" s="23" t="s">
        <v>3490</v>
      </c>
      <c r="AG69" s="2" t="str">
        <f t="shared" si="14"/>
        <v>SI</v>
      </c>
      <c r="AH69" s="14"/>
      <c r="AI69" s="23"/>
      <c r="AJ69" s="2" t="str">
        <f t="shared" si="15"/>
        <v>Factura</v>
      </c>
      <c r="AK69" s="294"/>
    </row>
    <row r="70" spans="1:37" ht="15.75" customHeight="1" x14ac:dyDescent="0.25">
      <c r="A70" s="270" t="s">
        <v>2273</v>
      </c>
      <c r="B70" s="3" t="s">
        <v>2274</v>
      </c>
      <c r="C70" s="2">
        <v>0</v>
      </c>
      <c r="D70" s="2">
        <v>2594</v>
      </c>
      <c r="E70" s="2"/>
      <c r="F70" s="2"/>
      <c r="G70" s="2">
        <v>5944</v>
      </c>
      <c r="H70" s="293">
        <v>23900</v>
      </c>
      <c r="I70" s="293"/>
      <c r="J70" s="126">
        <f t="shared" si="8"/>
        <v>23900</v>
      </c>
      <c r="K70" s="310">
        <v>43749</v>
      </c>
      <c r="L70" s="2">
        <v>0</v>
      </c>
      <c r="M70" s="9">
        <f t="shared" si="9"/>
        <v>43749</v>
      </c>
      <c r="N70" s="2" t="str">
        <f t="shared" si="10"/>
        <v>Pagado</v>
      </c>
      <c r="O70" s="310">
        <v>43749</v>
      </c>
      <c r="P70" s="293">
        <v>23900</v>
      </c>
      <c r="Q70" s="2" t="s">
        <v>1481</v>
      </c>
      <c r="R70" s="2"/>
      <c r="S70" s="2"/>
      <c r="T70" s="313"/>
      <c r="U70" s="392"/>
      <c r="V70" s="2">
        <v>134087</v>
      </c>
      <c r="W70" s="108">
        <v>23900</v>
      </c>
      <c r="X70" s="310">
        <v>43752</v>
      </c>
      <c r="Y70" s="2" t="s">
        <v>1488</v>
      </c>
      <c r="Z70" s="131" t="s">
        <v>1467</v>
      </c>
      <c r="AA70" s="108" t="str">
        <f t="shared" si="11"/>
        <v/>
      </c>
      <c r="AB70" s="2"/>
      <c r="AC70" s="131">
        <f t="shared" si="12"/>
        <v>20084.033613445379</v>
      </c>
      <c r="AD70" s="108">
        <f t="shared" si="13"/>
        <v>3815.9663865546208</v>
      </c>
      <c r="AE70" s="2" t="s">
        <v>1501</v>
      </c>
      <c r="AF70" s="23" t="s">
        <v>3487</v>
      </c>
      <c r="AG70" s="2" t="str">
        <f t="shared" si="14"/>
        <v>SI</v>
      </c>
      <c r="AH70" s="14"/>
      <c r="AI70" s="23"/>
      <c r="AJ70" s="2" t="str">
        <f t="shared" si="15"/>
        <v>NV</v>
      </c>
      <c r="AK70" s="294"/>
    </row>
    <row r="71" spans="1:37" ht="15.75" customHeight="1" x14ac:dyDescent="0.25">
      <c r="A71" s="270" t="s">
        <v>2344</v>
      </c>
      <c r="B71" s="3" t="s">
        <v>2345</v>
      </c>
      <c r="C71" s="2">
        <v>0</v>
      </c>
      <c r="D71" s="2">
        <v>2595</v>
      </c>
      <c r="E71" s="2"/>
      <c r="F71" s="2"/>
      <c r="G71" s="2">
        <v>5946</v>
      </c>
      <c r="H71" s="293">
        <v>18700</v>
      </c>
      <c r="I71" s="293"/>
      <c r="J71" s="126">
        <f t="shared" si="8"/>
        <v>18700</v>
      </c>
      <c r="K71" s="310">
        <v>43749</v>
      </c>
      <c r="L71" s="2">
        <v>0</v>
      </c>
      <c r="M71" s="9">
        <f t="shared" si="9"/>
        <v>43749</v>
      </c>
      <c r="N71" s="2" t="str">
        <f t="shared" si="10"/>
        <v>Pagado</v>
      </c>
      <c r="O71" s="310">
        <v>43752</v>
      </c>
      <c r="P71" s="293">
        <v>18700</v>
      </c>
      <c r="Q71" s="2" t="s">
        <v>1484</v>
      </c>
      <c r="R71" s="2"/>
      <c r="S71" s="2"/>
      <c r="T71" s="313" t="s">
        <v>1496</v>
      </c>
      <c r="U71" s="392"/>
      <c r="V71" s="2"/>
      <c r="W71" s="108"/>
      <c r="X71" s="310"/>
      <c r="Y71" s="2"/>
      <c r="Z71" s="131" t="s">
        <v>1467</v>
      </c>
      <c r="AA71" s="108" t="str">
        <f t="shared" si="11"/>
        <v/>
      </c>
      <c r="AB71" s="2"/>
      <c r="AC71" s="131">
        <f t="shared" si="12"/>
        <v>15714.285714285716</v>
      </c>
      <c r="AD71" s="108">
        <f t="shared" si="13"/>
        <v>2985.7142857142844</v>
      </c>
      <c r="AE71" s="2" t="s">
        <v>1501</v>
      </c>
      <c r="AF71" s="23" t="s">
        <v>3487</v>
      </c>
      <c r="AG71" s="2" t="str">
        <f t="shared" si="14"/>
        <v>SI</v>
      </c>
      <c r="AH71" s="14"/>
      <c r="AI71" s="23"/>
      <c r="AJ71" s="2" t="str">
        <f t="shared" si="15"/>
        <v>NV</v>
      </c>
      <c r="AK71" s="294"/>
    </row>
    <row r="72" spans="1:37" ht="15.75" customHeight="1" x14ac:dyDescent="0.25">
      <c r="A72" s="270" t="s">
        <v>1181</v>
      </c>
      <c r="B72" s="3" t="s">
        <v>939</v>
      </c>
      <c r="C72" s="2" t="s">
        <v>2528</v>
      </c>
      <c r="D72" s="2">
        <v>0</v>
      </c>
      <c r="E72" s="2"/>
      <c r="F72" s="2"/>
      <c r="G72" s="2" t="s">
        <v>2528</v>
      </c>
      <c r="H72" s="293">
        <v>29747</v>
      </c>
      <c r="I72" s="293"/>
      <c r="J72" s="126">
        <f t="shared" si="8"/>
        <v>29747</v>
      </c>
      <c r="K72" s="310">
        <v>43749</v>
      </c>
      <c r="L72" s="2">
        <v>0</v>
      </c>
      <c r="M72" s="9">
        <f t="shared" si="9"/>
        <v>43749</v>
      </c>
      <c r="N72" s="2" t="str">
        <f t="shared" si="10"/>
        <v>Pagado</v>
      </c>
      <c r="O72" s="310">
        <v>43749</v>
      </c>
      <c r="P72" s="293">
        <v>29747</v>
      </c>
      <c r="Q72" s="2" t="s">
        <v>1481</v>
      </c>
      <c r="R72" s="2"/>
      <c r="S72" s="2"/>
      <c r="T72" s="313"/>
      <c r="U72" s="392"/>
      <c r="V72" s="2">
        <v>134085</v>
      </c>
      <c r="W72" s="108">
        <v>29747</v>
      </c>
      <c r="X72" s="310">
        <v>43752</v>
      </c>
      <c r="Y72" s="2" t="s">
        <v>1488</v>
      </c>
      <c r="Z72" s="131" t="s">
        <v>1467</v>
      </c>
      <c r="AA72" s="108" t="str">
        <f t="shared" si="11"/>
        <v/>
      </c>
      <c r="AB72" s="2"/>
      <c r="AC72" s="131">
        <f t="shared" si="12"/>
        <v>24997.478991596639</v>
      </c>
      <c r="AD72" s="108">
        <f t="shared" si="13"/>
        <v>4749.5210084033606</v>
      </c>
      <c r="AE72" s="2" t="s">
        <v>1445</v>
      </c>
      <c r="AF72" s="23" t="s">
        <v>3490</v>
      </c>
      <c r="AG72" s="2" t="str">
        <f t="shared" si="14"/>
        <v>SI</v>
      </c>
      <c r="AH72" s="14"/>
      <c r="AI72" s="23"/>
      <c r="AJ72" s="2" t="str">
        <f t="shared" si="15"/>
        <v>Factura</v>
      </c>
      <c r="AK72" s="294"/>
    </row>
    <row r="73" spans="1:37" ht="15.75" customHeight="1" x14ac:dyDescent="0.25">
      <c r="A73" s="270" t="s">
        <v>1282</v>
      </c>
      <c r="B73" s="3" t="s">
        <v>2389</v>
      </c>
      <c r="C73" s="2">
        <v>2940</v>
      </c>
      <c r="D73" s="2">
        <v>0</v>
      </c>
      <c r="E73" s="2"/>
      <c r="F73" s="2"/>
      <c r="G73" s="2" t="s">
        <v>2528</v>
      </c>
      <c r="H73" s="293">
        <v>231196</v>
      </c>
      <c r="I73" s="293"/>
      <c r="J73" s="126">
        <f t="shared" si="8"/>
        <v>231196</v>
      </c>
      <c r="K73" s="310">
        <v>43749</v>
      </c>
      <c r="L73" s="2">
        <v>0</v>
      </c>
      <c r="M73" s="9">
        <f t="shared" si="9"/>
        <v>43749</v>
      </c>
      <c r="N73" s="2" t="str">
        <f t="shared" si="10"/>
        <v>Pagado</v>
      </c>
      <c r="O73" s="310">
        <v>43749</v>
      </c>
      <c r="P73" s="293">
        <v>231196</v>
      </c>
      <c r="Q73" s="2" t="s">
        <v>1481</v>
      </c>
      <c r="R73" s="2"/>
      <c r="S73" s="2"/>
      <c r="T73" s="313"/>
      <c r="U73" s="392"/>
      <c r="V73" s="2">
        <v>134085</v>
      </c>
      <c r="W73" s="108">
        <v>231196</v>
      </c>
      <c r="X73" s="310">
        <v>43752</v>
      </c>
      <c r="Y73" s="2" t="s">
        <v>1488</v>
      </c>
      <c r="Z73" s="131" t="s">
        <v>1467</v>
      </c>
      <c r="AA73" s="108" t="str">
        <f t="shared" si="11"/>
        <v/>
      </c>
      <c r="AB73" s="2"/>
      <c r="AC73" s="131">
        <f t="shared" si="12"/>
        <v>194282.35294117648</v>
      </c>
      <c r="AD73" s="108">
        <f t="shared" si="13"/>
        <v>36913.647058823524</v>
      </c>
      <c r="AE73" s="2" t="s">
        <v>1445</v>
      </c>
      <c r="AF73" s="23" t="s">
        <v>3490</v>
      </c>
      <c r="AG73" s="2" t="str">
        <f t="shared" si="14"/>
        <v>SI</v>
      </c>
      <c r="AH73" s="14"/>
      <c r="AI73" s="23"/>
      <c r="AJ73" s="2" t="str">
        <f t="shared" si="15"/>
        <v>Factura</v>
      </c>
      <c r="AK73" s="294"/>
    </row>
    <row r="74" spans="1:37" ht="15.75" customHeight="1" x14ac:dyDescent="0.25">
      <c r="A74" s="270" t="s">
        <v>1282</v>
      </c>
      <c r="B74" s="3" t="s">
        <v>2389</v>
      </c>
      <c r="C74" s="2">
        <v>2941</v>
      </c>
      <c r="D74" s="2">
        <v>0</v>
      </c>
      <c r="E74" s="2"/>
      <c r="F74" s="2"/>
      <c r="G74" s="2" t="s">
        <v>2528</v>
      </c>
      <c r="H74" s="293">
        <v>9639</v>
      </c>
      <c r="I74" s="293"/>
      <c r="J74" s="126">
        <f t="shared" si="8"/>
        <v>9639</v>
      </c>
      <c r="K74" s="310">
        <v>43749</v>
      </c>
      <c r="L74" s="2">
        <v>0</v>
      </c>
      <c r="M74" s="9">
        <f t="shared" si="9"/>
        <v>43749</v>
      </c>
      <c r="N74" s="2" t="str">
        <f t="shared" si="10"/>
        <v>Pagado</v>
      </c>
      <c r="O74" s="310">
        <v>43749</v>
      </c>
      <c r="P74" s="293">
        <v>9639</v>
      </c>
      <c r="Q74" s="2" t="s">
        <v>1481</v>
      </c>
      <c r="R74" s="2"/>
      <c r="S74" s="2"/>
      <c r="T74" s="313"/>
      <c r="U74" s="392"/>
      <c r="V74" s="2">
        <v>134085</v>
      </c>
      <c r="W74" s="108">
        <v>9639</v>
      </c>
      <c r="X74" s="310">
        <v>43752</v>
      </c>
      <c r="Y74" s="2" t="s">
        <v>1488</v>
      </c>
      <c r="Z74" s="131" t="s">
        <v>1467</v>
      </c>
      <c r="AA74" s="108" t="str">
        <f t="shared" si="11"/>
        <v/>
      </c>
      <c r="AB74" s="2"/>
      <c r="AC74" s="131">
        <f t="shared" si="12"/>
        <v>8100</v>
      </c>
      <c r="AD74" s="108">
        <f t="shared" si="13"/>
        <v>1539</v>
      </c>
      <c r="AE74" s="2" t="s">
        <v>1445</v>
      </c>
      <c r="AF74" s="23" t="s">
        <v>3490</v>
      </c>
      <c r="AG74" s="2" t="str">
        <f t="shared" si="14"/>
        <v>SI</v>
      </c>
      <c r="AH74" s="14"/>
      <c r="AI74" s="23"/>
      <c r="AJ74" s="2" t="str">
        <f t="shared" si="15"/>
        <v>Factura</v>
      </c>
      <c r="AK74" s="294"/>
    </row>
    <row r="75" spans="1:37" ht="15.75" customHeight="1" x14ac:dyDescent="0.25">
      <c r="A75" s="270" t="s">
        <v>4034</v>
      </c>
      <c r="B75" s="3" t="s">
        <v>4035</v>
      </c>
      <c r="C75" s="2">
        <v>0</v>
      </c>
      <c r="D75" s="2">
        <v>0</v>
      </c>
      <c r="E75" s="2"/>
      <c r="F75" s="2"/>
      <c r="G75" s="2">
        <v>5945</v>
      </c>
      <c r="H75" s="293">
        <v>16500</v>
      </c>
      <c r="I75" s="293"/>
      <c r="J75" s="126">
        <f t="shared" si="8"/>
        <v>16500</v>
      </c>
      <c r="K75" s="310">
        <v>43749</v>
      </c>
      <c r="L75" s="2">
        <v>0</v>
      </c>
      <c r="M75" s="9">
        <f t="shared" si="9"/>
        <v>43749</v>
      </c>
      <c r="N75" s="2" t="str">
        <f t="shared" si="10"/>
        <v>Pagado</v>
      </c>
      <c r="O75" s="310">
        <v>43752</v>
      </c>
      <c r="P75" s="293">
        <v>16500</v>
      </c>
      <c r="Q75" s="2" t="s">
        <v>1484</v>
      </c>
      <c r="R75" s="2"/>
      <c r="S75" s="2"/>
      <c r="T75" s="313" t="s">
        <v>1496</v>
      </c>
      <c r="U75" s="392"/>
      <c r="V75" s="2"/>
      <c r="W75" s="108"/>
      <c r="X75" s="310"/>
      <c r="Y75" s="2"/>
      <c r="Z75" s="131" t="s">
        <v>1467</v>
      </c>
      <c r="AA75" s="108" t="str">
        <f t="shared" si="11"/>
        <v/>
      </c>
      <c r="AB75" s="2"/>
      <c r="AC75" s="131">
        <f t="shared" si="12"/>
        <v>13865.546218487396</v>
      </c>
      <c r="AD75" s="108">
        <f t="shared" si="13"/>
        <v>2634.4537815126041</v>
      </c>
      <c r="AE75" s="2" t="s">
        <v>1501</v>
      </c>
      <c r="AF75" s="23" t="s">
        <v>3488</v>
      </c>
      <c r="AG75" s="2" t="str">
        <f t="shared" si="14"/>
        <v>SI</v>
      </c>
      <c r="AH75" s="14"/>
      <c r="AI75" s="23"/>
      <c r="AJ75" s="2" t="str">
        <f t="shared" si="15"/>
        <v>NV</v>
      </c>
      <c r="AK75" s="294"/>
    </row>
    <row r="76" spans="1:37" ht="15.75" customHeight="1" x14ac:dyDescent="0.25">
      <c r="A76" s="270" t="s">
        <v>1402</v>
      </c>
      <c r="B76" s="3" t="s">
        <v>3588</v>
      </c>
      <c r="C76" s="2">
        <v>0</v>
      </c>
      <c r="D76" s="2">
        <v>2600</v>
      </c>
      <c r="E76" s="2"/>
      <c r="F76" s="2"/>
      <c r="G76" s="2">
        <v>5949</v>
      </c>
      <c r="H76" s="293">
        <v>20900</v>
      </c>
      <c r="I76" s="293"/>
      <c r="J76" s="126">
        <f t="shared" si="8"/>
        <v>20900</v>
      </c>
      <c r="K76" s="310">
        <v>43752</v>
      </c>
      <c r="L76" s="2">
        <v>0</v>
      </c>
      <c r="M76" s="9">
        <f t="shared" si="9"/>
        <v>43752</v>
      </c>
      <c r="N76" s="2" t="str">
        <f t="shared" si="10"/>
        <v>Pagado</v>
      </c>
      <c r="O76" s="310">
        <v>43762</v>
      </c>
      <c r="P76" s="293">
        <v>20900</v>
      </c>
      <c r="Q76" s="2" t="s">
        <v>1484</v>
      </c>
      <c r="R76" s="2"/>
      <c r="S76" s="2"/>
      <c r="T76" s="9" t="s">
        <v>1488</v>
      </c>
      <c r="U76" s="392"/>
      <c r="V76" s="2"/>
      <c r="W76" s="108"/>
      <c r="X76" s="310"/>
      <c r="Y76" s="2"/>
      <c r="Z76" s="131" t="s">
        <v>1467</v>
      </c>
      <c r="AA76" s="108" t="str">
        <f t="shared" si="11"/>
        <v/>
      </c>
      <c r="AB76" s="2"/>
      <c r="AC76" s="131">
        <f t="shared" si="12"/>
        <v>17563.025210084033</v>
      </c>
      <c r="AD76" s="108">
        <f t="shared" si="13"/>
        <v>3336.9747899159665</v>
      </c>
      <c r="AE76" s="2" t="s">
        <v>1501</v>
      </c>
      <c r="AF76" s="23" t="s">
        <v>3489</v>
      </c>
      <c r="AG76" s="2" t="str">
        <f t="shared" si="14"/>
        <v>SI</v>
      </c>
      <c r="AH76" s="14"/>
      <c r="AI76" s="23"/>
      <c r="AJ76" s="2" t="str">
        <f t="shared" si="15"/>
        <v>NV</v>
      </c>
      <c r="AK76" s="294"/>
    </row>
    <row r="77" spans="1:37" ht="15.75" customHeight="1" x14ac:dyDescent="0.25">
      <c r="A77" s="270" t="s">
        <v>1236</v>
      </c>
      <c r="B77" s="3" t="s">
        <v>1920</v>
      </c>
      <c r="C77" s="2">
        <v>0</v>
      </c>
      <c r="D77" s="2">
        <v>2598</v>
      </c>
      <c r="E77" s="2"/>
      <c r="F77" s="2"/>
      <c r="G77" s="2">
        <v>5951</v>
      </c>
      <c r="H77" s="293">
        <v>27750</v>
      </c>
      <c r="I77" s="293"/>
      <c r="J77" s="126">
        <f t="shared" si="8"/>
        <v>27750</v>
      </c>
      <c r="K77" s="310">
        <v>43752</v>
      </c>
      <c r="L77" s="2">
        <v>0</v>
      </c>
      <c r="M77" s="9">
        <f t="shared" si="9"/>
        <v>43752</v>
      </c>
      <c r="N77" s="2" t="str">
        <f t="shared" si="10"/>
        <v>Pagado</v>
      </c>
      <c r="O77" s="310">
        <v>43752</v>
      </c>
      <c r="P77" s="293">
        <v>27750</v>
      </c>
      <c r="Q77" s="2" t="s">
        <v>2132</v>
      </c>
      <c r="R77" s="2"/>
      <c r="S77" s="2">
        <v>2827017</v>
      </c>
      <c r="T77" s="9" t="s">
        <v>1491</v>
      </c>
      <c r="U77" s="392">
        <v>43753</v>
      </c>
      <c r="V77" s="2">
        <v>134088</v>
      </c>
      <c r="W77" s="108">
        <v>27750</v>
      </c>
      <c r="X77" s="310">
        <v>43753</v>
      </c>
      <c r="Y77" s="2" t="s">
        <v>1488</v>
      </c>
      <c r="Z77" s="131" t="s">
        <v>1467</v>
      </c>
      <c r="AA77" s="108" t="str">
        <f t="shared" si="11"/>
        <v>Otros</v>
      </c>
      <c r="AB77" s="2"/>
      <c r="AC77" s="131">
        <f t="shared" si="12"/>
        <v>23319.327731092439</v>
      </c>
      <c r="AD77" s="108">
        <f t="shared" si="13"/>
        <v>4430.6722689075614</v>
      </c>
      <c r="AE77" s="2" t="s">
        <v>1501</v>
      </c>
      <c r="AF77" s="23" t="s">
        <v>3489</v>
      </c>
      <c r="AG77" s="2" t="str">
        <f t="shared" si="14"/>
        <v>SI</v>
      </c>
      <c r="AH77" s="14"/>
      <c r="AI77" s="23"/>
      <c r="AJ77" s="2" t="str">
        <f t="shared" si="15"/>
        <v>NV</v>
      </c>
      <c r="AK77" s="294"/>
    </row>
    <row r="78" spans="1:37" ht="15.75" customHeight="1" x14ac:dyDescent="0.25">
      <c r="A78" s="270" t="s">
        <v>5261</v>
      </c>
      <c r="B78" s="3" t="s">
        <v>5262</v>
      </c>
      <c r="C78" s="2">
        <v>0</v>
      </c>
      <c r="D78" s="2">
        <v>146</v>
      </c>
      <c r="E78" s="2"/>
      <c r="F78" s="2"/>
      <c r="G78" s="2">
        <v>5953</v>
      </c>
      <c r="H78" s="293">
        <v>25000</v>
      </c>
      <c r="I78" s="293"/>
      <c r="J78" s="126">
        <f t="shared" si="8"/>
        <v>25000</v>
      </c>
      <c r="K78" s="310">
        <v>43752</v>
      </c>
      <c r="L78" s="2">
        <v>0</v>
      </c>
      <c r="M78" s="9">
        <f t="shared" si="9"/>
        <v>43752</v>
      </c>
      <c r="N78" s="2" t="str">
        <f t="shared" si="10"/>
        <v>Pagado</v>
      </c>
      <c r="O78" s="310">
        <v>43752</v>
      </c>
      <c r="P78" s="293">
        <v>25000</v>
      </c>
      <c r="Q78" s="2" t="s">
        <v>1070</v>
      </c>
      <c r="R78" s="2" t="s">
        <v>2243</v>
      </c>
      <c r="S78" s="2">
        <v>146</v>
      </c>
      <c r="T78" s="9"/>
      <c r="U78" s="392"/>
      <c r="V78" s="2"/>
      <c r="W78" s="108"/>
      <c r="X78" s="310"/>
      <c r="Y78" s="2"/>
      <c r="Z78" s="131" t="s">
        <v>1467</v>
      </c>
      <c r="AA78" s="108" t="str">
        <f t="shared" si="11"/>
        <v/>
      </c>
      <c r="AB78" s="2"/>
      <c r="AC78" s="131">
        <f t="shared" si="12"/>
        <v>21008.403361344539</v>
      </c>
      <c r="AD78" s="108">
        <f t="shared" si="13"/>
        <v>3991.596638655461</v>
      </c>
      <c r="AE78" s="2" t="s">
        <v>1501</v>
      </c>
      <c r="AF78" s="23" t="s">
        <v>3487</v>
      </c>
      <c r="AG78" s="2" t="str">
        <f t="shared" si="14"/>
        <v>SI</v>
      </c>
      <c r="AH78" s="14"/>
      <c r="AI78" s="23"/>
      <c r="AJ78" s="2" t="str">
        <f t="shared" si="15"/>
        <v>NV</v>
      </c>
      <c r="AK78" s="294"/>
    </row>
    <row r="79" spans="1:37" ht="15.75" customHeight="1" x14ac:dyDescent="0.25">
      <c r="A79" s="270" t="s">
        <v>5258</v>
      </c>
      <c r="B79" s="3" t="s">
        <v>5259</v>
      </c>
      <c r="C79" s="2">
        <v>0</v>
      </c>
      <c r="D79" s="2">
        <v>0</v>
      </c>
      <c r="E79" s="2"/>
      <c r="F79" s="2"/>
      <c r="G79" s="2">
        <v>5952</v>
      </c>
      <c r="H79" s="293">
        <v>19700</v>
      </c>
      <c r="I79" s="293"/>
      <c r="J79" s="126">
        <f t="shared" si="8"/>
        <v>19700</v>
      </c>
      <c r="K79" s="310">
        <v>43752</v>
      </c>
      <c r="L79" s="2">
        <v>0</v>
      </c>
      <c r="M79" s="9">
        <f t="shared" si="9"/>
        <v>43752</v>
      </c>
      <c r="N79" s="2" t="str">
        <f t="shared" si="10"/>
        <v>Pagado</v>
      </c>
      <c r="O79" s="310">
        <v>43752</v>
      </c>
      <c r="P79" s="293">
        <v>19700</v>
      </c>
      <c r="Q79" s="2" t="s">
        <v>1484</v>
      </c>
      <c r="R79" s="2"/>
      <c r="S79" s="2"/>
      <c r="T79" s="9" t="s">
        <v>1462</v>
      </c>
      <c r="U79" s="392"/>
      <c r="V79" s="2"/>
      <c r="W79" s="108"/>
      <c r="X79" s="310"/>
      <c r="Y79" s="2"/>
      <c r="Z79" s="131" t="s">
        <v>1467</v>
      </c>
      <c r="AA79" s="108" t="str">
        <f t="shared" si="11"/>
        <v/>
      </c>
      <c r="AB79" s="2"/>
      <c r="AC79" s="131">
        <f t="shared" si="12"/>
        <v>16554.621848739498</v>
      </c>
      <c r="AD79" s="108">
        <f t="shared" si="13"/>
        <v>3145.3781512605019</v>
      </c>
      <c r="AE79" s="2" t="s">
        <v>1501</v>
      </c>
      <c r="AF79" s="23" t="s">
        <v>3487</v>
      </c>
      <c r="AG79" s="2" t="str">
        <f t="shared" si="14"/>
        <v>SI</v>
      </c>
      <c r="AH79" s="14"/>
      <c r="AI79" s="23"/>
      <c r="AJ79" s="2" t="str">
        <f t="shared" si="15"/>
        <v>NV</v>
      </c>
      <c r="AK79" s="294"/>
    </row>
    <row r="80" spans="1:37" ht="15.75" customHeight="1" x14ac:dyDescent="0.25">
      <c r="A80" s="270" t="s">
        <v>4323</v>
      </c>
      <c r="B80" s="3" t="s">
        <v>4324</v>
      </c>
      <c r="C80" s="2">
        <v>0</v>
      </c>
      <c r="D80" s="2">
        <v>2596</v>
      </c>
      <c r="E80" s="2"/>
      <c r="F80" s="2"/>
      <c r="G80" s="2">
        <v>5948</v>
      </c>
      <c r="H80" s="293">
        <v>16500</v>
      </c>
      <c r="I80" s="293"/>
      <c r="J80" s="126">
        <f t="shared" si="8"/>
        <v>16500</v>
      </c>
      <c r="K80" s="310">
        <v>43752</v>
      </c>
      <c r="L80" s="2">
        <v>0</v>
      </c>
      <c r="M80" s="9">
        <f t="shared" si="9"/>
        <v>43752</v>
      </c>
      <c r="N80" s="2" t="str">
        <f t="shared" si="10"/>
        <v>Pagado</v>
      </c>
      <c r="O80" s="310">
        <v>43752</v>
      </c>
      <c r="P80" s="293">
        <v>16500</v>
      </c>
      <c r="Q80" s="2" t="s">
        <v>1481</v>
      </c>
      <c r="R80" s="2"/>
      <c r="S80" s="2"/>
      <c r="T80" s="9"/>
      <c r="U80" s="392"/>
      <c r="V80" s="2"/>
      <c r="W80" s="108"/>
      <c r="X80" s="310"/>
      <c r="Y80" s="2"/>
      <c r="Z80" s="131" t="s">
        <v>1467</v>
      </c>
      <c r="AA80" s="108" t="str">
        <f t="shared" si="11"/>
        <v/>
      </c>
      <c r="AB80" s="2"/>
      <c r="AC80" s="131">
        <f t="shared" si="12"/>
        <v>13865.546218487396</v>
      </c>
      <c r="AD80" s="108">
        <f t="shared" si="13"/>
        <v>2634.4537815126041</v>
      </c>
      <c r="AE80" s="2" t="s">
        <v>1501</v>
      </c>
      <c r="AF80" s="23" t="s">
        <v>3487</v>
      </c>
      <c r="AG80" s="2" t="str">
        <f t="shared" si="14"/>
        <v>SI</v>
      </c>
      <c r="AH80" s="14"/>
      <c r="AI80" s="23"/>
      <c r="AJ80" s="2" t="str">
        <f t="shared" si="15"/>
        <v>NV</v>
      </c>
      <c r="AK80" s="294"/>
    </row>
    <row r="81" spans="1:37" ht="15.75" customHeight="1" x14ac:dyDescent="0.25">
      <c r="A81" s="270" t="s">
        <v>4462</v>
      </c>
      <c r="B81" s="3" t="s">
        <v>4463</v>
      </c>
      <c r="C81" s="2">
        <v>0</v>
      </c>
      <c r="D81" s="2">
        <v>2599</v>
      </c>
      <c r="E81" s="2"/>
      <c r="F81" s="2"/>
      <c r="G81" s="2">
        <v>5950</v>
      </c>
      <c r="H81" s="293">
        <v>16500</v>
      </c>
      <c r="I81" s="293"/>
      <c r="J81" s="126">
        <f t="shared" si="8"/>
        <v>16500</v>
      </c>
      <c r="K81" s="310">
        <v>43752</v>
      </c>
      <c r="L81" s="2">
        <v>0</v>
      </c>
      <c r="M81" s="313">
        <f t="shared" si="9"/>
        <v>43752</v>
      </c>
      <c r="N81" s="2" t="str">
        <f t="shared" si="10"/>
        <v>Pagado</v>
      </c>
      <c r="O81" s="310">
        <v>43808</v>
      </c>
      <c r="P81" s="293">
        <v>16500</v>
      </c>
      <c r="Q81" s="2" t="s">
        <v>1484</v>
      </c>
      <c r="R81" s="2"/>
      <c r="S81" s="2"/>
      <c r="T81" s="313" t="s">
        <v>1462</v>
      </c>
      <c r="U81" s="392"/>
      <c r="V81" s="2"/>
      <c r="W81" s="108"/>
      <c r="X81" s="310"/>
      <c r="Y81" s="2"/>
      <c r="Z81" s="131" t="s">
        <v>1467</v>
      </c>
      <c r="AA81" s="108" t="str">
        <f t="shared" si="11"/>
        <v/>
      </c>
      <c r="AB81" s="2"/>
      <c r="AC81" s="131">
        <f t="shared" si="12"/>
        <v>13865.546218487396</v>
      </c>
      <c r="AD81" s="108">
        <f t="shared" si="13"/>
        <v>2634.4537815126041</v>
      </c>
      <c r="AE81" s="2" t="s">
        <v>1501</v>
      </c>
      <c r="AF81" s="23" t="s">
        <v>3487</v>
      </c>
      <c r="AG81" s="2" t="str">
        <f t="shared" si="14"/>
        <v>SI</v>
      </c>
      <c r="AH81" s="14"/>
      <c r="AI81" s="23"/>
      <c r="AJ81" s="2" t="str">
        <f t="shared" si="15"/>
        <v>NV</v>
      </c>
      <c r="AK81" s="294"/>
    </row>
    <row r="82" spans="1:37" ht="15.75" customHeight="1" x14ac:dyDescent="0.25">
      <c r="A82" s="270" t="s">
        <v>3990</v>
      </c>
      <c r="B82" s="3" t="s">
        <v>3993</v>
      </c>
      <c r="C82" s="2">
        <v>0</v>
      </c>
      <c r="D82" s="2">
        <v>2597</v>
      </c>
      <c r="E82" s="2"/>
      <c r="F82" s="2"/>
      <c r="G82" s="2">
        <v>5947</v>
      </c>
      <c r="H82" s="293">
        <v>19700</v>
      </c>
      <c r="I82" s="293"/>
      <c r="J82" s="126">
        <f t="shared" si="8"/>
        <v>19700</v>
      </c>
      <c r="K82" s="310">
        <v>43752</v>
      </c>
      <c r="L82" s="2">
        <v>0</v>
      </c>
      <c r="M82" s="9">
        <f t="shared" si="9"/>
        <v>43752</v>
      </c>
      <c r="N82" s="2" t="str">
        <f t="shared" si="10"/>
        <v>Pagado</v>
      </c>
      <c r="O82" s="310">
        <v>43752</v>
      </c>
      <c r="P82" s="293">
        <v>19700</v>
      </c>
      <c r="Q82" s="2" t="s">
        <v>1481</v>
      </c>
      <c r="R82" s="2"/>
      <c r="S82" s="2"/>
      <c r="T82" s="9"/>
      <c r="U82" s="392"/>
      <c r="V82" s="2"/>
      <c r="W82" s="108"/>
      <c r="X82" s="310"/>
      <c r="Y82" s="2"/>
      <c r="Z82" s="131" t="s">
        <v>1467</v>
      </c>
      <c r="AA82" s="108" t="str">
        <f t="shared" si="11"/>
        <v/>
      </c>
      <c r="AB82" s="2"/>
      <c r="AC82" s="131">
        <f t="shared" si="12"/>
        <v>16554.621848739498</v>
      </c>
      <c r="AD82" s="108">
        <f t="shared" si="13"/>
        <v>3145.3781512605019</v>
      </c>
      <c r="AE82" s="2" t="s">
        <v>2050</v>
      </c>
      <c r="AF82" s="23" t="s">
        <v>3489</v>
      </c>
      <c r="AG82" s="2" t="str">
        <f t="shared" si="14"/>
        <v>SI</v>
      </c>
      <c r="AH82" s="14"/>
      <c r="AI82" s="23"/>
      <c r="AJ82" s="2" t="str">
        <f t="shared" si="15"/>
        <v>NV</v>
      </c>
      <c r="AK82" s="294"/>
    </row>
    <row r="83" spans="1:37" ht="15.75" customHeight="1" x14ac:dyDescent="0.25">
      <c r="A83" s="270" t="s">
        <v>1269</v>
      </c>
      <c r="B83" s="3" t="s">
        <v>1031</v>
      </c>
      <c r="C83" s="2">
        <v>0</v>
      </c>
      <c r="D83" s="2">
        <v>0</v>
      </c>
      <c r="E83" s="2"/>
      <c r="F83" s="2"/>
      <c r="G83" s="2">
        <v>5960</v>
      </c>
      <c r="H83" s="293">
        <v>15600</v>
      </c>
      <c r="I83" s="293"/>
      <c r="J83" s="126">
        <f t="shared" si="8"/>
        <v>15600</v>
      </c>
      <c r="K83" s="310">
        <v>43753</v>
      </c>
      <c r="L83" s="2">
        <v>0</v>
      </c>
      <c r="M83" s="9">
        <f t="shared" si="9"/>
        <v>43753</v>
      </c>
      <c r="N83" s="2" t="str">
        <f t="shared" si="10"/>
        <v>Pagado</v>
      </c>
      <c r="O83" s="310">
        <v>43753</v>
      </c>
      <c r="P83" s="293">
        <v>15600</v>
      </c>
      <c r="Q83" s="2" t="s">
        <v>1484</v>
      </c>
      <c r="R83" s="2"/>
      <c r="S83" s="2"/>
      <c r="T83" s="313" t="s">
        <v>1496</v>
      </c>
      <c r="U83" s="392"/>
      <c r="V83" s="2"/>
      <c r="W83" s="108"/>
      <c r="X83" s="310"/>
      <c r="Y83" s="2"/>
      <c r="Z83" s="131" t="s">
        <v>1467</v>
      </c>
      <c r="AA83" s="108" t="str">
        <f t="shared" si="11"/>
        <v/>
      </c>
      <c r="AB83" s="2"/>
      <c r="AC83" s="131">
        <f t="shared" si="12"/>
        <v>13109.243697478993</v>
      </c>
      <c r="AD83" s="108">
        <f t="shared" si="13"/>
        <v>2490.7563025210075</v>
      </c>
      <c r="AE83" s="2" t="s">
        <v>1849</v>
      </c>
      <c r="AF83" s="23" t="s">
        <v>3489</v>
      </c>
      <c r="AG83" s="2" t="str">
        <f t="shared" si="14"/>
        <v>SI</v>
      </c>
      <c r="AH83" s="14"/>
      <c r="AI83" s="23"/>
      <c r="AJ83" s="2" t="str">
        <f t="shared" si="15"/>
        <v>NV</v>
      </c>
      <c r="AK83" s="294"/>
    </row>
    <row r="84" spans="1:37" ht="15.75" customHeight="1" x14ac:dyDescent="0.25">
      <c r="A84" s="270" t="s">
        <v>1200</v>
      </c>
      <c r="B84" s="3" t="s">
        <v>2316</v>
      </c>
      <c r="C84" s="2">
        <v>0</v>
      </c>
      <c r="D84" s="2">
        <v>0</v>
      </c>
      <c r="E84" s="2"/>
      <c r="F84" s="2"/>
      <c r="G84" s="2">
        <v>5955</v>
      </c>
      <c r="H84" s="293">
        <v>34500</v>
      </c>
      <c r="I84" s="293"/>
      <c r="J84" s="126">
        <f t="shared" si="8"/>
        <v>34500</v>
      </c>
      <c r="K84" s="310">
        <v>43753</v>
      </c>
      <c r="L84" s="2">
        <v>0</v>
      </c>
      <c r="M84" s="9">
        <f t="shared" si="9"/>
        <v>43753</v>
      </c>
      <c r="N84" s="2" t="str">
        <f t="shared" si="10"/>
        <v>Pagado</v>
      </c>
      <c r="O84" s="310">
        <v>43787</v>
      </c>
      <c r="P84" s="293">
        <v>34500</v>
      </c>
      <c r="Q84" s="2" t="s">
        <v>1484</v>
      </c>
      <c r="R84" s="2"/>
      <c r="S84" s="2"/>
      <c r="T84" s="9" t="s">
        <v>1493</v>
      </c>
      <c r="U84" s="392"/>
      <c r="V84" s="2"/>
      <c r="W84" s="108"/>
      <c r="X84" s="310"/>
      <c r="Y84" s="2"/>
      <c r="Z84" s="131" t="s">
        <v>1467</v>
      </c>
      <c r="AA84" s="108" t="str">
        <f t="shared" si="11"/>
        <v/>
      </c>
      <c r="AB84" s="2"/>
      <c r="AC84" s="131">
        <f t="shared" si="12"/>
        <v>28991.596638655465</v>
      </c>
      <c r="AD84" s="108">
        <f t="shared" si="13"/>
        <v>5508.4033613445354</v>
      </c>
      <c r="AE84" s="2" t="s">
        <v>1445</v>
      </c>
      <c r="AF84" s="23" t="s">
        <v>3489</v>
      </c>
      <c r="AG84" s="2" t="str">
        <f t="shared" si="14"/>
        <v>SI</v>
      </c>
      <c r="AH84" s="14"/>
      <c r="AI84" s="23"/>
      <c r="AJ84" s="2" t="str">
        <f t="shared" si="15"/>
        <v>NV</v>
      </c>
      <c r="AK84" s="294"/>
    </row>
    <row r="85" spans="1:37" ht="15.75" customHeight="1" x14ac:dyDescent="0.25">
      <c r="A85" s="270" t="s">
        <v>1204</v>
      </c>
      <c r="B85" s="3" t="s">
        <v>1052</v>
      </c>
      <c r="C85" s="2">
        <v>0</v>
      </c>
      <c r="D85" s="2">
        <v>0</v>
      </c>
      <c r="E85" s="2"/>
      <c r="F85" s="2"/>
      <c r="G85" s="2">
        <v>5954</v>
      </c>
      <c r="H85" s="293">
        <v>40300</v>
      </c>
      <c r="I85" s="293"/>
      <c r="J85" s="126">
        <f t="shared" si="8"/>
        <v>40300</v>
      </c>
      <c r="K85" s="310">
        <v>43753</v>
      </c>
      <c r="L85" s="2">
        <v>0</v>
      </c>
      <c r="M85" s="9">
        <f t="shared" si="9"/>
        <v>43753</v>
      </c>
      <c r="N85" s="2" t="str">
        <f t="shared" si="10"/>
        <v>Pagado</v>
      </c>
      <c r="O85" s="310">
        <v>43789</v>
      </c>
      <c r="P85" s="293">
        <v>40300</v>
      </c>
      <c r="Q85" s="2" t="s">
        <v>2132</v>
      </c>
      <c r="R85" s="2"/>
      <c r="S85" s="2">
        <v>745691</v>
      </c>
      <c r="T85" s="9" t="s">
        <v>1492</v>
      </c>
      <c r="U85" s="313">
        <v>47442</v>
      </c>
      <c r="V85" s="2">
        <v>133955</v>
      </c>
      <c r="W85" s="108">
        <v>40300</v>
      </c>
      <c r="X85" s="310">
        <v>43789</v>
      </c>
      <c r="Y85" s="2" t="s">
        <v>1488</v>
      </c>
      <c r="Z85" s="131" t="s">
        <v>1467</v>
      </c>
      <c r="AA85" s="108" t="str">
        <f t="shared" si="11"/>
        <v>Otros</v>
      </c>
      <c r="AB85" s="2"/>
      <c r="AC85" s="131">
        <f t="shared" si="12"/>
        <v>33865.546218487398</v>
      </c>
      <c r="AD85" s="108">
        <f t="shared" si="13"/>
        <v>6434.4537815126023</v>
      </c>
      <c r="AE85" s="2" t="s">
        <v>1501</v>
      </c>
      <c r="AF85" s="23" t="s">
        <v>3489</v>
      </c>
      <c r="AG85" s="2" t="str">
        <f t="shared" si="14"/>
        <v>SI</v>
      </c>
      <c r="AH85" s="14"/>
      <c r="AI85" s="23"/>
      <c r="AJ85" s="2" t="str">
        <f t="shared" si="15"/>
        <v>NV</v>
      </c>
      <c r="AK85" s="294"/>
    </row>
    <row r="86" spans="1:37" ht="15.75" customHeight="1" x14ac:dyDescent="0.25">
      <c r="A86" s="270" t="s">
        <v>4403</v>
      </c>
      <c r="B86" s="3" t="s">
        <v>4405</v>
      </c>
      <c r="C86" s="2">
        <v>0</v>
      </c>
      <c r="D86" s="2">
        <v>2605</v>
      </c>
      <c r="E86" s="2"/>
      <c r="F86" s="2"/>
      <c r="G86" s="2">
        <v>5964</v>
      </c>
      <c r="H86" s="293">
        <v>29600</v>
      </c>
      <c r="I86" s="293"/>
      <c r="J86" s="126">
        <f t="shared" si="8"/>
        <v>29600</v>
      </c>
      <c r="K86" s="310">
        <v>43754</v>
      </c>
      <c r="L86" s="2">
        <v>0</v>
      </c>
      <c r="M86" s="9">
        <f t="shared" si="9"/>
        <v>43754</v>
      </c>
      <c r="N86" s="2" t="str">
        <f t="shared" si="10"/>
        <v>Pagado</v>
      </c>
      <c r="O86" s="310">
        <v>43755</v>
      </c>
      <c r="P86" s="293">
        <v>29600</v>
      </c>
      <c r="Q86" s="2" t="s">
        <v>1484</v>
      </c>
      <c r="R86" s="2"/>
      <c r="S86" s="2"/>
      <c r="T86" s="9" t="s">
        <v>1488</v>
      </c>
      <c r="U86" s="392"/>
      <c r="V86" s="2"/>
      <c r="W86" s="108"/>
      <c r="X86" s="310"/>
      <c r="Y86" s="2"/>
      <c r="Z86" s="131" t="s">
        <v>1467</v>
      </c>
      <c r="AA86" s="108" t="str">
        <f t="shared" si="11"/>
        <v/>
      </c>
      <c r="AB86" s="2"/>
      <c r="AC86" s="131">
        <f t="shared" si="12"/>
        <v>24873.949579831933</v>
      </c>
      <c r="AD86" s="108">
        <f t="shared" si="13"/>
        <v>4726.0504201680669</v>
      </c>
      <c r="AE86" s="2" t="s">
        <v>1501</v>
      </c>
      <c r="AF86" s="23" t="s">
        <v>3487</v>
      </c>
      <c r="AG86" s="2" t="str">
        <f t="shared" si="14"/>
        <v>SI</v>
      </c>
      <c r="AH86" s="14"/>
      <c r="AI86" s="23"/>
      <c r="AJ86" s="2" t="str">
        <f t="shared" si="15"/>
        <v>NV</v>
      </c>
      <c r="AK86" s="294"/>
    </row>
    <row r="87" spans="1:37" ht="15.75" customHeight="1" x14ac:dyDescent="0.25">
      <c r="A87" s="270" t="s">
        <v>1178</v>
      </c>
      <c r="B87" s="3" t="s">
        <v>950</v>
      </c>
      <c r="C87" s="2">
        <v>2945</v>
      </c>
      <c r="D87" s="2">
        <v>0</v>
      </c>
      <c r="E87" s="2"/>
      <c r="F87" s="2"/>
      <c r="G87" s="2" t="s">
        <v>2528</v>
      </c>
      <c r="H87" s="293">
        <v>118240</v>
      </c>
      <c r="I87" s="293"/>
      <c r="J87" s="126">
        <f t="shared" si="8"/>
        <v>118240</v>
      </c>
      <c r="K87" s="310">
        <v>43754</v>
      </c>
      <c r="L87" s="2">
        <v>7</v>
      </c>
      <c r="M87" s="313">
        <f t="shared" si="9"/>
        <v>43761</v>
      </c>
      <c r="N87" s="2" t="str">
        <f t="shared" si="10"/>
        <v>Pagado</v>
      </c>
      <c r="O87" s="310">
        <v>43761</v>
      </c>
      <c r="P87" s="293">
        <v>118240</v>
      </c>
      <c r="Q87" s="2" t="s">
        <v>2131</v>
      </c>
      <c r="R87" s="2"/>
      <c r="S87" s="2">
        <v>1115830</v>
      </c>
      <c r="T87" s="313" t="s">
        <v>1496</v>
      </c>
      <c r="U87" s="392">
        <v>43761</v>
      </c>
      <c r="V87" s="2">
        <v>134215</v>
      </c>
      <c r="W87" s="108">
        <v>118240</v>
      </c>
      <c r="X87" s="310">
        <v>43766</v>
      </c>
      <c r="Y87" s="2" t="s">
        <v>1488</v>
      </c>
      <c r="Z87" s="131" t="s">
        <v>1467</v>
      </c>
      <c r="AA87" s="108" t="str">
        <f t="shared" si="11"/>
        <v>Otros</v>
      </c>
      <c r="AB87" s="2"/>
      <c r="AC87" s="131">
        <f t="shared" si="12"/>
        <v>99361.344537815137</v>
      </c>
      <c r="AD87" s="108">
        <f t="shared" si="13"/>
        <v>18878.655462184863</v>
      </c>
      <c r="AE87" s="2" t="s">
        <v>2050</v>
      </c>
      <c r="AF87" s="23" t="s">
        <v>3490</v>
      </c>
      <c r="AG87" s="2" t="str">
        <f t="shared" si="14"/>
        <v>SI</v>
      </c>
      <c r="AH87" s="14"/>
      <c r="AI87" s="23"/>
      <c r="AJ87" s="2" t="str">
        <f t="shared" si="15"/>
        <v>Factura</v>
      </c>
      <c r="AK87" s="294"/>
    </row>
    <row r="88" spans="1:37" ht="15.75" customHeight="1" x14ac:dyDescent="0.25">
      <c r="A88" s="270" t="s">
        <v>5265</v>
      </c>
      <c r="B88" s="3" t="s">
        <v>5266</v>
      </c>
      <c r="C88" s="2">
        <v>0</v>
      </c>
      <c r="D88" s="2">
        <v>2608</v>
      </c>
      <c r="E88" s="2"/>
      <c r="F88" s="2"/>
      <c r="G88" s="2">
        <v>5959</v>
      </c>
      <c r="H88" s="293">
        <v>13400</v>
      </c>
      <c r="I88" s="293"/>
      <c r="J88" s="126">
        <f t="shared" si="8"/>
        <v>13400</v>
      </c>
      <c r="K88" s="310">
        <v>43754</v>
      </c>
      <c r="L88" s="2">
        <v>0</v>
      </c>
      <c r="M88" s="9">
        <f t="shared" si="9"/>
        <v>43754</v>
      </c>
      <c r="N88" s="2" t="str">
        <f t="shared" si="10"/>
        <v>Pagado</v>
      </c>
      <c r="O88" s="310">
        <v>43754</v>
      </c>
      <c r="P88" s="293">
        <v>13400</v>
      </c>
      <c r="Q88" s="2" t="s">
        <v>1481</v>
      </c>
      <c r="R88" s="2"/>
      <c r="S88" s="2"/>
      <c r="T88" s="9"/>
      <c r="U88" s="392"/>
      <c r="V88" s="2"/>
      <c r="W88" s="108"/>
      <c r="X88" s="310"/>
      <c r="Y88" s="2"/>
      <c r="Z88" s="131" t="s">
        <v>1467</v>
      </c>
      <c r="AA88" s="108" t="str">
        <f t="shared" si="11"/>
        <v/>
      </c>
      <c r="AB88" s="2"/>
      <c r="AC88" s="131">
        <f t="shared" si="12"/>
        <v>11260.504201680673</v>
      </c>
      <c r="AD88" s="108">
        <f t="shared" si="13"/>
        <v>2139.4957983193272</v>
      </c>
      <c r="AE88" s="2" t="s">
        <v>1501</v>
      </c>
      <c r="AF88" s="23" t="s">
        <v>3487</v>
      </c>
      <c r="AG88" s="2" t="str">
        <f t="shared" si="14"/>
        <v>SI</v>
      </c>
      <c r="AH88" s="14"/>
      <c r="AI88" s="23"/>
      <c r="AJ88" s="2" t="str">
        <f t="shared" si="15"/>
        <v>NV</v>
      </c>
      <c r="AK88" s="294"/>
    </row>
    <row r="89" spans="1:37" ht="15.75" customHeight="1" x14ac:dyDescent="0.25">
      <c r="A89" s="270" t="s">
        <v>2598</v>
      </c>
      <c r="B89" s="3" t="s">
        <v>2599</v>
      </c>
      <c r="C89" s="2">
        <v>0</v>
      </c>
      <c r="D89" s="2">
        <v>2607</v>
      </c>
      <c r="E89" s="2"/>
      <c r="F89" s="2"/>
      <c r="G89" s="2">
        <v>5965</v>
      </c>
      <c r="H89" s="293">
        <v>14800</v>
      </c>
      <c r="I89" s="293"/>
      <c r="J89" s="126">
        <f t="shared" si="8"/>
        <v>14800</v>
      </c>
      <c r="K89" s="310">
        <v>43754</v>
      </c>
      <c r="L89" s="2">
        <v>0</v>
      </c>
      <c r="M89" s="9">
        <f t="shared" si="9"/>
        <v>43754</v>
      </c>
      <c r="N89" s="2" t="str">
        <f t="shared" si="10"/>
        <v>Pagado</v>
      </c>
      <c r="O89" s="310">
        <v>43808</v>
      </c>
      <c r="P89" s="293">
        <v>14800</v>
      </c>
      <c r="Q89" s="2" t="s">
        <v>1481</v>
      </c>
      <c r="R89" s="2"/>
      <c r="S89" s="2"/>
      <c r="T89" s="9"/>
      <c r="U89" s="392"/>
      <c r="V89" s="2">
        <v>4955438</v>
      </c>
      <c r="W89" s="108">
        <v>14800</v>
      </c>
      <c r="X89" s="310">
        <v>43810</v>
      </c>
      <c r="Y89" s="2" t="s">
        <v>1488</v>
      </c>
      <c r="Z89" s="131" t="s">
        <v>1467</v>
      </c>
      <c r="AA89" s="108" t="str">
        <f t="shared" si="11"/>
        <v/>
      </c>
      <c r="AB89" s="2"/>
      <c r="AC89" s="131">
        <f t="shared" si="12"/>
        <v>12436.974789915967</v>
      </c>
      <c r="AD89" s="108">
        <f t="shared" si="13"/>
        <v>2363.0252100840335</v>
      </c>
      <c r="AE89" s="2" t="s">
        <v>1501</v>
      </c>
      <c r="AF89" s="23" t="s">
        <v>3489</v>
      </c>
      <c r="AG89" s="2" t="str">
        <f t="shared" si="14"/>
        <v>SI</v>
      </c>
      <c r="AH89" s="14"/>
      <c r="AI89" s="23"/>
      <c r="AJ89" s="2" t="str">
        <f t="shared" si="15"/>
        <v>NV</v>
      </c>
      <c r="AK89" s="294"/>
    </row>
    <row r="90" spans="1:37" ht="15.75" customHeight="1" x14ac:dyDescent="0.25">
      <c r="A90" s="270" t="s">
        <v>4706</v>
      </c>
      <c r="B90" s="3" t="s">
        <v>4707</v>
      </c>
      <c r="C90" s="2">
        <v>0</v>
      </c>
      <c r="D90" s="2">
        <v>2606</v>
      </c>
      <c r="E90" s="2"/>
      <c r="F90" s="2"/>
      <c r="G90" s="2">
        <v>5962</v>
      </c>
      <c r="H90" s="293">
        <v>19700</v>
      </c>
      <c r="I90" s="293"/>
      <c r="J90" s="126">
        <f t="shared" si="8"/>
        <v>19700</v>
      </c>
      <c r="K90" s="310">
        <v>43754</v>
      </c>
      <c r="L90" s="2">
        <v>0</v>
      </c>
      <c r="M90" s="9">
        <f t="shared" si="9"/>
        <v>43754</v>
      </c>
      <c r="N90" s="2" t="str">
        <f t="shared" si="10"/>
        <v>Pagado</v>
      </c>
      <c r="O90" s="310">
        <v>43754</v>
      </c>
      <c r="P90" s="293">
        <v>19700</v>
      </c>
      <c r="Q90" s="2" t="s">
        <v>1484</v>
      </c>
      <c r="R90" s="2"/>
      <c r="S90" s="2"/>
      <c r="T90" s="313" t="s">
        <v>1462</v>
      </c>
      <c r="U90" s="392"/>
      <c r="V90" s="2"/>
      <c r="W90" s="108"/>
      <c r="X90" s="310"/>
      <c r="Y90" s="2"/>
      <c r="Z90" s="131" t="s">
        <v>1467</v>
      </c>
      <c r="AA90" s="108" t="str">
        <f t="shared" si="11"/>
        <v/>
      </c>
      <c r="AB90" s="2"/>
      <c r="AC90" s="131">
        <f t="shared" si="12"/>
        <v>16554.621848739498</v>
      </c>
      <c r="AD90" s="108">
        <f t="shared" si="13"/>
        <v>3145.3781512605019</v>
      </c>
      <c r="AE90" s="2" t="s">
        <v>1501</v>
      </c>
      <c r="AF90" s="23" t="s">
        <v>3487</v>
      </c>
      <c r="AG90" s="2" t="str">
        <f t="shared" si="14"/>
        <v>SI</v>
      </c>
      <c r="AH90" s="14"/>
      <c r="AI90" s="23"/>
      <c r="AJ90" s="2" t="str">
        <f t="shared" si="15"/>
        <v>NV</v>
      </c>
      <c r="AK90" s="294"/>
    </row>
    <row r="91" spans="1:37" ht="15.75" customHeight="1" x14ac:dyDescent="0.25">
      <c r="A91" s="270" t="s">
        <v>1179</v>
      </c>
      <c r="B91" s="3" t="s">
        <v>952</v>
      </c>
      <c r="C91" s="2">
        <v>2944</v>
      </c>
      <c r="D91" s="2">
        <v>0</v>
      </c>
      <c r="E91" s="2"/>
      <c r="F91" s="2"/>
      <c r="G91" s="2" t="s">
        <v>2528</v>
      </c>
      <c r="H91" s="293">
        <v>23863</v>
      </c>
      <c r="I91" s="293"/>
      <c r="J91" s="126">
        <f t="shared" si="8"/>
        <v>23863</v>
      </c>
      <c r="K91" s="310">
        <v>43754</v>
      </c>
      <c r="L91" s="2">
        <v>7</v>
      </c>
      <c r="M91" s="9">
        <f t="shared" si="9"/>
        <v>43761</v>
      </c>
      <c r="N91" s="2" t="str">
        <f t="shared" si="10"/>
        <v>Pagado</v>
      </c>
      <c r="O91" s="310">
        <v>43775</v>
      </c>
      <c r="P91" s="293">
        <v>23863</v>
      </c>
      <c r="Q91" s="2" t="s">
        <v>1481</v>
      </c>
      <c r="R91" s="2"/>
      <c r="S91" s="2"/>
      <c r="T91" s="313"/>
      <c r="U91" s="392"/>
      <c r="V91" s="2"/>
      <c r="W91" s="108"/>
      <c r="X91" s="310"/>
      <c r="Y91" s="2"/>
      <c r="Z91" s="131" t="s">
        <v>1467</v>
      </c>
      <c r="AA91" s="108" t="str">
        <f t="shared" si="11"/>
        <v/>
      </c>
      <c r="AB91" s="2"/>
      <c r="AC91" s="131">
        <f t="shared" si="12"/>
        <v>20052.941176470587</v>
      </c>
      <c r="AD91" s="108">
        <f t="shared" si="13"/>
        <v>3810.0588235294126</v>
      </c>
      <c r="AE91" s="2" t="s">
        <v>2050</v>
      </c>
      <c r="AF91" s="23" t="s">
        <v>3490</v>
      </c>
      <c r="AG91" s="2" t="str">
        <f t="shared" si="14"/>
        <v>SI</v>
      </c>
      <c r="AH91" s="14"/>
      <c r="AI91" s="23"/>
      <c r="AJ91" s="2" t="str">
        <f t="shared" si="15"/>
        <v>Factura</v>
      </c>
      <c r="AK91" s="294"/>
    </row>
    <row r="92" spans="1:37" ht="15.75" customHeight="1" x14ac:dyDescent="0.25">
      <c r="A92" s="270" t="s">
        <v>3175</v>
      </c>
      <c r="B92" s="3" t="s">
        <v>3176</v>
      </c>
      <c r="C92" s="2">
        <v>0</v>
      </c>
      <c r="D92" s="2">
        <v>2602</v>
      </c>
      <c r="E92" s="2"/>
      <c r="F92" s="2"/>
      <c r="G92" s="2">
        <v>5958</v>
      </c>
      <c r="H92" s="293">
        <v>29000</v>
      </c>
      <c r="I92" s="293"/>
      <c r="J92" s="126">
        <f t="shared" si="8"/>
        <v>29000</v>
      </c>
      <c r="K92" s="310">
        <v>43754</v>
      </c>
      <c r="L92" s="2">
        <v>0</v>
      </c>
      <c r="M92" s="9">
        <f t="shared" si="9"/>
        <v>43754</v>
      </c>
      <c r="N92" s="2" t="str">
        <f t="shared" si="10"/>
        <v>Pagado</v>
      </c>
      <c r="O92" s="310">
        <v>43777</v>
      </c>
      <c r="P92" s="293">
        <v>29000</v>
      </c>
      <c r="Q92" s="2" t="s">
        <v>1484</v>
      </c>
      <c r="R92" s="2"/>
      <c r="S92" s="2"/>
      <c r="T92" s="9" t="s">
        <v>2353</v>
      </c>
      <c r="U92" s="392"/>
      <c r="V92" s="2"/>
      <c r="W92" s="108"/>
      <c r="X92" s="310"/>
      <c r="Y92" s="2"/>
      <c r="Z92" s="131" t="s">
        <v>1467</v>
      </c>
      <c r="AA92" s="108" t="str">
        <f t="shared" si="11"/>
        <v/>
      </c>
      <c r="AB92" s="2"/>
      <c r="AC92" s="131">
        <f t="shared" si="12"/>
        <v>24369.747899159665</v>
      </c>
      <c r="AD92" s="108">
        <f t="shared" si="13"/>
        <v>4630.2521008403346</v>
      </c>
      <c r="AE92" s="2" t="s">
        <v>1501</v>
      </c>
      <c r="AF92" s="23" t="s">
        <v>3489</v>
      </c>
      <c r="AG92" s="2" t="str">
        <f t="shared" si="14"/>
        <v>SI</v>
      </c>
      <c r="AH92" s="14"/>
      <c r="AI92" s="23"/>
      <c r="AJ92" s="2" t="str">
        <f t="shared" si="15"/>
        <v>NV</v>
      </c>
      <c r="AK92" s="294"/>
    </row>
    <row r="93" spans="1:37" ht="15.75" customHeight="1" x14ac:dyDescent="0.25">
      <c r="A93" s="270" t="s">
        <v>3175</v>
      </c>
      <c r="B93" s="3" t="s">
        <v>3176</v>
      </c>
      <c r="C93" s="2">
        <v>0</v>
      </c>
      <c r="D93" s="2">
        <v>2602</v>
      </c>
      <c r="E93" s="2"/>
      <c r="F93" s="2"/>
      <c r="G93" s="2">
        <v>5958</v>
      </c>
      <c r="H93" s="293">
        <v>3900</v>
      </c>
      <c r="I93" s="293"/>
      <c r="J93" s="126">
        <f t="shared" si="8"/>
        <v>3900</v>
      </c>
      <c r="K93" s="310">
        <v>43754</v>
      </c>
      <c r="L93" s="2">
        <v>0</v>
      </c>
      <c r="M93" s="9">
        <f t="shared" si="9"/>
        <v>43754</v>
      </c>
      <c r="N93" s="2" t="str">
        <f t="shared" si="10"/>
        <v>Pagado</v>
      </c>
      <c r="O93" s="310">
        <v>43777</v>
      </c>
      <c r="P93" s="293">
        <v>3900</v>
      </c>
      <c r="Q93" s="2" t="s">
        <v>1484</v>
      </c>
      <c r="R93" s="2"/>
      <c r="S93" s="2"/>
      <c r="T93" s="9" t="s">
        <v>2353</v>
      </c>
      <c r="U93" s="392"/>
      <c r="V93" s="2"/>
      <c r="W93" s="108"/>
      <c r="X93" s="310"/>
      <c r="Y93" s="2"/>
      <c r="Z93" s="131" t="s">
        <v>1467</v>
      </c>
      <c r="AA93" s="108" t="str">
        <f t="shared" si="11"/>
        <v/>
      </c>
      <c r="AB93" s="2"/>
      <c r="AC93" s="131">
        <f t="shared" si="12"/>
        <v>3277.3109243697481</v>
      </c>
      <c r="AD93" s="108">
        <f t="shared" si="13"/>
        <v>622.68907563025186</v>
      </c>
      <c r="AE93" s="2" t="s">
        <v>1501</v>
      </c>
      <c r="AF93" s="23" t="s">
        <v>3489</v>
      </c>
      <c r="AG93" s="2" t="str">
        <f t="shared" si="14"/>
        <v>SI</v>
      </c>
      <c r="AH93" s="14"/>
      <c r="AI93" s="23"/>
      <c r="AJ93" s="2" t="str">
        <f t="shared" si="15"/>
        <v>NV</v>
      </c>
      <c r="AK93" s="294"/>
    </row>
    <row r="94" spans="1:37" ht="15.75" customHeight="1" x14ac:dyDescent="0.25">
      <c r="A94" s="270" t="s">
        <v>1258</v>
      </c>
      <c r="B94" s="3" t="s">
        <v>1059</v>
      </c>
      <c r="C94" s="2">
        <v>0</v>
      </c>
      <c r="D94" s="2">
        <v>2601</v>
      </c>
      <c r="E94" s="2"/>
      <c r="F94" s="2"/>
      <c r="G94" s="2">
        <v>5957</v>
      </c>
      <c r="H94" s="293">
        <v>69000</v>
      </c>
      <c r="I94" s="293"/>
      <c r="J94" s="126">
        <f t="shared" si="8"/>
        <v>69000</v>
      </c>
      <c r="K94" s="310">
        <v>43754</v>
      </c>
      <c r="L94" s="2">
        <v>0</v>
      </c>
      <c r="M94" s="313">
        <f t="shared" si="9"/>
        <v>43754</v>
      </c>
      <c r="N94" s="2" t="str">
        <f t="shared" si="10"/>
        <v>Pagado</v>
      </c>
      <c r="O94" s="310">
        <v>43754</v>
      </c>
      <c r="P94" s="293">
        <v>69000</v>
      </c>
      <c r="Q94" s="2" t="s">
        <v>1484</v>
      </c>
      <c r="R94" s="2"/>
      <c r="S94" s="2"/>
      <c r="T94" s="313" t="s">
        <v>1491</v>
      </c>
      <c r="U94" s="392"/>
      <c r="V94" s="2"/>
      <c r="W94" s="108"/>
      <c r="X94" s="310"/>
      <c r="Y94" s="2"/>
      <c r="Z94" s="131" t="s">
        <v>1467</v>
      </c>
      <c r="AA94" s="108" t="str">
        <f t="shared" si="11"/>
        <v/>
      </c>
      <c r="AB94" s="2"/>
      <c r="AC94" s="131">
        <f t="shared" si="12"/>
        <v>57983.193277310929</v>
      </c>
      <c r="AD94" s="108">
        <f t="shared" si="13"/>
        <v>11016.806722689071</v>
      </c>
      <c r="AE94" s="2" t="s">
        <v>1501</v>
      </c>
      <c r="AF94" s="23" t="s">
        <v>3487</v>
      </c>
      <c r="AG94" s="2" t="str">
        <f t="shared" si="14"/>
        <v>SI</v>
      </c>
      <c r="AH94" s="14"/>
      <c r="AI94" s="23"/>
      <c r="AJ94" s="2" t="str">
        <f t="shared" si="15"/>
        <v>NV</v>
      </c>
      <c r="AK94" s="294"/>
    </row>
    <row r="95" spans="1:37" ht="15.75" customHeight="1" x14ac:dyDescent="0.25">
      <c r="A95" s="270" t="s">
        <v>1216</v>
      </c>
      <c r="B95" s="3" t="s">
        <v>2209</v>
      </c>
      <c r="C95" s="2">
        <v>0</v>
      </c>
      <c r="D95" s="2">
        <v>2604</v>
      </c>
      <c r="E95" s="2"/>
      <c r="F95" s="2"/>
      <c r="G95" s="2">
        <v>5963</v>
      </c>
      <c r="H95" s="293">
        <v>42400</v>
      </c>
      <c r="I95" s="293"/>
      <c r="J95" s="126">
        <f t="shared" si="8"/>
        <v>42400</v>
      </c>
      <c r="K95" s="310">
        <v>43754</v>
      </c>
      <c r="L95" s="2">
        <v>0</v>
      </c>
      <c r="M95" s="313">
        <f t="shared" si="9"/>
        <v>43754</v>
      </c>
      <c r="N95" s="2" t="str">
        <f t="shared" si="10"/>
        <v>Pagado</v>
      </c>
      <c r="O95" s="310">
        <v>43754</v>
      </c>
      <c r="P95" s="293">
        <v>42400</v>
      </c>
      <c r="Q95" s="2" t="s">
        <v>1484</v>
      </c>
      <c r="R95" s="2"/>
      <c r="S95" s="2"/>
      <c r="T95" s="313" t="s">
        <v>1488</v>
      </c>
      <c r="U95" s="392"/>
      <c r="V95" s="2"/>
      <c r="W95" s="108"/>
      <c r="X95" s="310"/>
      <c r="Y95" s="2"/>
      <c r="Z95" s="131" t="s">
        <v>1467</v>
      </c>
      <c r="AA95" s="108" t="str">
        <f t="shared" si="11"/>
        <v/>
      </c>
      <c r="AB95" s="2"/>
      <c r="AC95" s="131">
        <f t="shared" si="12"/>
        <v>35630.252100840335</v>
      </c>
      <c r="AD95" s="108">
        <f t="shared" si="13"/>
        <v>6769.7478991596654</v>
      </c>
      <c r="AE95" s="2" t="s">
        <v>1501</v>
      </c>
      <c r="AF95" s="23" t="s">
        <v>3489</v>
      </c>
      <c r="AG95" s="2" t="str">
        <f t="shared" si="14"/>
        <v>SI</v>
      </c>
      <c r="AH95" s="14"/>
      <c r="AI95" s="23"/>
      <c r="AJ95" s="2" t="str">
        <f t="shared" si="15"/>
        <v>NV</v>
      </c>
      <c r="AK95" s="294"/>
    </row>
    <row r="96" spans="1:37" ht="15.75" customHeight="1" x14ac:dyDescent="0.25">
      <c r="A96" s="270" t="s">
        <v>1177</v>
      </c>
      <c r="B96" s="3" t="s">
        <v>1060</v>
      </c>
      <c r="C96" s="2">
        <v>2946</v>
      </c>
      <c r="D96" s="2">
        <v>0</v>
      </c>
      <c r="E96" s="2"/>
      <c r="F96" s="2"/>
      <c r="G96" s="2" t="s">
        <v>1910</v>
      </c>
      <c r="H96" s="293">
        <v>81071</v>
      </c>
      <c r="I96" s="293"/>
      <c r="J96" s="126">
        <f t="shared" si="8"/>
        <v>81071</v>
      </c>
      <c r="K96" s="310">
        <v>43754</v>
      </c>
      <c r="L96" s="2">
        <v>30</v>
      </c>
      <c r="M96" s="313">
        <f t="shared" si="9"/>
        <v>43784</v>
      </c>
      <c r="N96" s="2" t="str">
        <f t="shared" si="10"/>
        <v>Pagado</v>
      </c>
      <c r="O96" s="310">
        <v>43754</v>
      </c>
      <c r="P96" s="293">
        <v>81071</v>
      </c>
      <c r="Q96" s="2" t="s">
        <v>2131</v>
      </c>
      <c r="R96" s="2"/>
      <c r="S96" s="2">
        <v>7000965</v>
      </c>
      <c r="T96" s="313" t="s">
        <v>1462</v>
      </c>
      <c r="U96" s="392">
        <v>43785</v>
      </c>
      <c r="V96" s="2"/>
      <c r="W96" s="108"/>
      <c r="X96" s="310"/>
      <c r="Y96" s="2"/>
      <c r="Z96" s="131" t="s">
        <v>1467</v>
      </c>
      <c r="AA96" s="108" t="str">
        <f t="shared" si="11"/>
        <v>Otros</v>
      </c>
      <c r="AB96" s="2"/>
      <c r="AC96" s="131">
        <f t="shared" si="12"/>
        <v>68126.890756302528</v>
      </c>
      <c r="AD96" s="108">
        <f t="shared" si="13"/>
        <v>12944.109243697472</v>
      </c>
      <c r="AE96" s="2" t="s">
        <v>2050</v>
      </c>
      <c r="AF96" s="23" t="s">
        <v>3490</v>
      </c>
      <c r="AG96" s="2" t="str">
        <f t="shared" si="14"/>
        <v>SI</v>
      </c>
      <c r="AH96" s="14"/>
      <c r="AI96" s="23"/>
      <c r="AJ96" s="2" t="str">
        <f t="shared" si="15"/>
        <v>Factura</v>
      </c>
      <c r="AK96" s="294"/>
    </row>
    <row r="97" spans="1:37" ht="15.75" customHeight="1" x14ac:dyDescent="0.25">
      <c r="A97" s="270" t="s">
        <v>4034</v>
      </c>
      <c r="B97" s="3" t="s">
        <v>4035</v>
      </c>
      <c r="C97" s="2">
        <v>0</v>
      </c>
      <c r="D97" s="2">
        <v>2603</v>
      </c>
      <c r="E97" s="2"/>
      <c r="F97" s="2"/>
      <c r="G97" s="2">
        <v>5956</v>
      </c>
      <c r="H97" s="293">
        <v>16500</v>
      </c>
      <c r="I97" s="293"/>
      <c r="J97" s="126">
        <f t="shared" si="8"/>
        <v>16500</v>
      </c>
      <c r="K97" s="310">
        <v>43754</v>
      </c>
      <c r="L97" s="2">
        <v>0</v>
      </c>
      <c r="M97" s="313">
        <f t="shared" si="9"/>
        <v>43754</v>
      </c>
      <c r="N97" s="2" t="str">
        <f t="shared" si="10"/>
        <v>Pagado</v>
      </c>
      <c r="O97" s="310">
        <v>43754</v>
      </c>
      <c r="P97" s="293">
        <v>17000</v>
      </c>
      <c r="Q97" s="2" t="s">
        <v>1484</v>
      </c>
      <c r="R97" s="2"/>
      <c r="S97" s="2"/>
      <c r="T97" s="313" t="s">
        <v>1496</v>
      </c>
      <c r="U97" s="392"/>
      <c r="V97" s="2"/>
      <c r="W97" s="108"/>
      <c r="X97" s="310"/>
      <c r="Y97" s="2"/>
      <c r="Z97" s="131" t="s">
        <v>1467</v>
      </c>
      <c r="AA97" s="108" t="str">
        <f t="shared" si="11"/>
        <v/>
      </c>
      <c r="AB97" s="2"/>
      <c r="AC97" s="131">
        <f t="shared" si="12"/>
        <v>13865.546218487396</v>
      </c>
      <c r="AD97" s="108">
        <f t="shared" si="13"/>
        <v>2634.4537815126041</v>
      </c>
      <c r="AE97" s="2" t="s">
        <v>1501</v>
      </c>
      <c r="AF97" s="23" t="s">
        <v>3488</v>
      </c>
      <c r="AG97" s="2" t="str">
        <f t="shared" si="14"/>
        <v>SI</v>
      </c>
      <c r="AH97" s="14"/>
      <c r="AI97" s="23"/>
      <c r="AJ97" s="2" t="str">
        <f t="shared" si="15"/>
        <v>NV</v>
      </c>
      <c r="AK97" s="294"/>
    </row>
    <row r="98" spans="1:37" ht="15.75" customHeight="1" x14ac:dyDescent="0.25">
      <c r="A98" s="270" t="s">
        <v>1217</v>
      </c>
      <c r="B98" s="3" t="s">
        <v>938</v>
      </c>
      <c r="C98" s="2">
        <v>0</v>
      </c>
      <c r="D98" s="2">
        <v>2610</v>
      </c>
      <c r="E98" s="2"/>
      <c r="F98" s="2"/>
      <c r="G98" s="2">
        <v>5967</v>
      </c>
      <c r="H98" s="293">
        <v>23000</v>
      </c>
      <c r="I98" s="293"/>
      <c r="J98" s="126">
        <f t="shared" si="8"/>
        <v>23000</v>
      </c>
      <c r="K98" s="310">
        <v>43755</v>
      </c>
      <c r="L98" s="2">
        <v>0</v>
      </c>
      <c r="M98" s="313">
        <f t="shared" si="9"/>
        <v>43755</v>
      </c>
      <c r="N98" s="2" t="str">
        <f t="shared" si="10"/>
        <v>Pagado</v>
      </c>
      <c r="O98" s="310">
        <v>43817</v>
      </c>
      <c r="P98" s="293">
        <v>23000</v>
      </c>
      <c r="Q98" s="2" t="s">
        <v>1484</v>
      </c>
      <c r="R98" s="2"/>
      <c r="S98" s="2"/>
      <c r="T98" s="313" t="s">
        <v>1462</v>
      </c>
      <c r="U98" s="392"/>
      <c r="V98" s="2"/>
      <c r="W98" s="108"/>
      <c r="X98" s="310"/>
      <c r="Y98" s="2"/>
      <c r="Z98" s="131" t="s">
        <v>1467</v>
      </c>
      <c r="AA98" s="108" t="str">
        <f t="shared" si="11"/>
        <v/>
      </c>
      <c r="AB98" s="2"/>
      <c r="AC98" s="131">
        <f t="shared" si="12"/>
        <v>19327.731092436974</v>
      </c>
      <c r="AD98" s="108">
        <f t="shared" si="13"/>
        <v>3672.268907563026</v>
      </c>
      <c r="AE98" s="2" t="s">
        <v>1501</v>
      </c>
      <c r="AF98" s="23" t="s">
        <v>3489</v>
      </c>
      <c r="AG98" s="2" t="str">
        <f t="shared" si="14"/>
        <v>SI</v>
      </c>
      <c r="AH98" s="14"/>
      <c r="AI98" s="23"/>
      <c r="AJ98" s="2" t="str">
        <f t="shared" si="15"/>
        <v>NV</v>
      </c>
      <c r="AK98" s="294"/>
    </row>
    <row r="99" spans="1:37" ht="15.75" customHeight="1" x14ac:dyDescent="0.25">
      <c r="A99" s="270" t="s">
        <v>5270</v>
      </c>
      <c r="B99" s="3" t="s">
        <v>5271</v>
      </c>
      <c r="C99" s="2">
        <v>0</v>
      </c>
      <c r="D99" s="2">
        <v>2609</v>
      </c>
      <c r="E99" s="2"/>
      <c r="F99" s="2"/>
      <c r="G99" s="2">
        <v>5966</v>
      </c>
      <c r="H99" s="293">
        <v>19700</v>
      </c>
      <c r="I99" s="293"/>
      <c r="J99" s="126">
        <f t="shared" si="8"/>
        <v>19700</v>
      </c>
      <c r="K99" s="310">
        <v>43755</v>
      </c>
      <c r="L99" s="2">
        <v>0</v>
      </c>
      <c r="M99" s="313">
        <f t="shared" si="9"/>
        <v>43755</v>
      </c>
      <c r="N99" s="2" t="str">
        <f t="shared" si="10"/>
        <v>Pagado</v>
      </c>
      <c r="O99" s="310">
        <v>43755</v>
      </c>
      <c r="P99" s="293">
        <v>19700</v>
      </c>
      <c r="Q99" s="2" t="s">
        <v>1481</v>
      </c>
      <c r="R99" s="2"/>
      <c r="S99" s="2"/>
      <c r="T99" s="313"/>
      <c r="U99" s="392"/>
      <c r="V99" s="2"/>
      <c r="W99" s="108"/>
      <c r="X99" s="310"/>
      <c r="Y99" s="2"/>
      <c r="Z99" s="131" t="s">
        <v>1467</v>
      </c>
      <c r="AA99" s="108" t="str">
        <f t="shared" si="11"/>
        <v/>
      </c>
      <c r="AB99" s="2"/>
      <c r="AC99" s="131">
        <f t="shared" si="12"/>
        <v>16554.621848739498</v>
      </c>
      <c r="AD99" s="108">
        <f t="shared" si="13"/>
        <v>3145.3781512605019</v>
      </c>
      <c r="AE99" s="2" t="s">
        <v>1501</v>
      </c>
      <c r="AF99" s="23" t="s">
        <v>3487</v>
      </c>
      <c r="AG99" s="2" t="str">
        <f t="shared" si="14"/>
        <v>SI</v>
      </c>
      <c r="AH99" s="14"/>
      <c r="AI99" s="23"/>
      <c r="AJ99" s="2" t="str">
        <f t="shared" si="15"/>
        <v>NV</v>
      </c>
      <c r="AK99" s="294"/>
    </row>
    <row r="100" spans="1:37" ht="15.75" customHeight="1" x14ac:dyDescent="0.25">
      <c r="A100" s="270" t="s">
        <v>5250</v>
      </c>
      <c r="B100" s="3" t="s">
        <v>5251</v>
      </c>
      <c r="C100" s="2">
        <v>0</v>
      </c>
      <c r="D100" s="2">
        <v>2611</v>
      </c>
      <c r="E100" s="2"/>
      <c r="F100" s="2"/>
      <c r="G100" s="2">
        <v>5969</v>
      </c>
      <c r="H100" s="293">
        <v>19700</v>
      </c>
      <c r="I100" s="293"/>
      <c r="J100" s="126">
        <f t="shared" si="8"/>
        <v>19700</v>
      </c>
      <c r="K100" s="310">
        <v>43755</v>
      </c>
      <c r="L100" s="2">
        <v>0</v>
      </c>
      <c r="M100" s="313">
        <f t="shared" si="9"/>
        <v>43755</v>
      </c>
      <c r="N100" s="2" t="str">
        <f t="shared" si="10"/>
        <v>Pagado</v>
      </c>
      <c r="O100" s="310">
        <v>43755</v>
      </c>
      <c r="P100" s="293">
        <v>19700</v>
      </c>
      <c r="Q100" s="2" t="s">
        <v>1481</v>
      </c>
      <c r="R100" s="2"/>
      <c r="S100" s="2"/>
      <c r="T100" s="313"/>
      <c r="U100" s="392"/>
      <c r="V100" s="2"/>
      <c r="W100" s="108"/>
      <c r="X100" s="310"/>
      <c r="Y100" s="2"/>
      <c r="Z100" s="131" t="s">
        <v>1467</v>
      </c>
      <c r="AA100" s="108" t="str">
        <f t="shared" si="11"/>
        <v/>
      </c>
      <c r="AB100" s="2"/>
      <c r="AC100" s="131">
        <f t="shared" si="12"/>
        <v>16554.621848739498</v>
      </c>
      <c r="AD100" s="108">
        <f t="shared" si="13"/>
        <v>3145.3781512605019</v>
      </c>
      <c r="AE100" s="2" t="s">
        <v>1501</v>
      </c>
      <c r="AF100" s="23" t="s">
        <v>3487</v>
      </c>
      <c r="AG100" s="2" t="str">
        <f t="shared" si="14"/>
        <v>SI</v>
      </c>
      <c r="AH100" s="14"/>
      <c r="AI100" s="23"/>
      <c r="AJ100" s="2" t="str">
        <f t="shared" si="15"/>
        <v>NV</v>
      </c>
      <c r="AK100" s="294"/>
    </row>
    <row r="101" spans="1:37" ht="15.75" customHeight="1" x14ac:dyDescent="0.25">
      <c r="A101" s="270" t="s">
        <v>5273</v>
      </c>
      <c r="B101" s="3" t="s">
        <v>5274</v>
      </c>
      <c r="C101" s="2">
        <v>0</v>
      </c>
      <c r="D101" s="2">
        <v>0</v>
      </c>
      <c r="E101" s="2"/>
      <c r="F101" s="2"/>
      <c r="G101" s="2">
        <v>5968</v>
      </c>
      <c r="H101" s="293">
        <v>19700</v>
      </c>
      <c r="I101" s="293"/>
      <c r="J101" s="126">
        <f t="shared" si="8"/>
        <v>19700</v>
      </c>
      <c r="K101" s="310">
        <v>43755</v>
      </c>
      <c r="L101" s="2">
        <v>0</v>
      </c>
      <c r="M101" s="9">
        <f t="shared" si="9"/>
        <v>43755</v>
      </c>
      <c r="N101" s="2" t="str">
        <f t="shared" si="10"/>
        <v>Pagado</v>
      </c>
      <c r="O101" s="310">
        <v>43755</v>
      </c>
      <c r="P101" s="293">
        <v>19700</v>
      </c>
      <c r="Q101" s="2" t="s">
        <v>1484</v>
      </c>
      <c r="R101" s="2"/>
      <c r="S101" s="2"/>
      <c r="T101" s="9" t="s">
        <v>1462</v>
      </c>
      <c r="U101" s="392"/>
      <c r="V101" s="2"/>
      <c r="W101" s="108"/>
      <c r="X101" s="310"/>
      <c r="Y101" s="2"/>
      <c r="Z101" s="131" t="s">
        <v>1467</v>
      </c>
      <c r="AA101" s="108" t="str">
        <f t="shared" si="11"/>
        <v/>
      </c>
      <c r="AB101" s="2"/>
      <c r="AC101" s="131">
        <f t="shared" si="12"/>
        <v>16554.621848739498</v>
      </c>
      <c r="AD101" s="108">
        <f t="shared" si="13"/>
        <v>3145.3781512605019</v>
      </c>
      <c r="AE101" s="2" t="s">
        <v>1501</v>
      </c>
      <c r="AF101" s="23" t="s">
        <v>3487</v>
      </c>
      <c r="AG101" s="2" t="str">
        <f t="shared" si="14"/>
        <v>SI</v>
      </c>
      <c r="AH101" s="14"/>
      <c r="AI101" s="23"/>
      <c r="AJ101" s="2" t="str">
        <f t="shared" si="15"/>
        <v>NV</v>
      </c>
      <c r="AK101" s="294"/>
    </row>
    <row r="102" spans="1:37" ht="15.75" customHeight="1" x14ac:dyDescent="0.25">
      <c r="A102" s="270" t="s">
        <v>4947</v>
      </c>
      <c r="B102" s="3" t="s">
        <v>4948</v>
      </c>
      <c r="C102" s="2">
        <v>0</v>
      </c>
      <c r="D102" s="2">
        <v>2612</v>
      </c>
      <c r="E102" s="2"/>
      <c r="F102" s="2"/>
      <c r="G102" s="2">
        <v>5974</v>
      </c>
      <c r="H102" s="293">
        <v>14800</v>
      </c>
      <c r="I102" s="293"/>
      <c r="J102" s="126">
        <f t="shared" si="8"/>
        <v>14800</v>
      </c>
      <c r="K102" s="310">
        <v>43756</v>
      </c>
      <c r="L102" s="2">
        <v>0</v>
      </c>
      <c r="M102" s="9">
        <f t="shared" si="9"/>
        <v>43756</v>
      </c>
      <c r="N102" s="2" t="str">
        <f t="shared" si="10"/>
        <v>Pagado</v>
      </c>
      <c r="O102" s="310">
        <v>43756</v>
      </c>
      <c r="P102" s="293">
        <v>14800</v>
      </c>
      <c r="Q102" s="2" t="s">
        <v>1481</v>
      </c>
      <c r="R102" s="2"/>
      <c r="S102" s="2"/>
      <c r="T102" s="9"/>
      <c r="U102" s="392"/>
      <c r="V102" s="2"/>
      <c r="W102" s="108"/>
      <c r="X102" s="310"/>
      <c r="Y102" s="2"/>
      <c r="Z102" s="131" t="s">
        <v>1467</v>
      </c>
      <c r="AA102" s="108" t="str">
        <f t="shared" si="11"/>
        <v/>
      </c>
      <c r="AB102" s="2"/>
      <c r="AC102" s="131">
        <f t="shared" si="12"/>
        <v>12436.974789915967</v>
      </c>
      <c r="AD102" s="108">
        <f t="shared" si="13"/>
        <v>2363.0252100840335</v>
      </c>
      <c r="AE102" s="2" t="s">
        <v>1501</v>
      </c>
      <c r="AF102" s="23" t="s">
        <v>3487</v>
      </c>
      <c r="AG102" s="2" t="str">
        <f t="shared" si="14"/>
        <v>SI</v>
      </c>
      <c r="AH102" s="14"/>
      <c r="AI102" s="23"/>
      <c r="AJ102" s="2" t="str">
        <f t="shared" si="15"/>
        <v>NV</v>
      </c>
      <c r="AK102" s="294"/>
    </row>
    <row r="103" spans="1:37" ht="15.75" customHeight="1" x14ac:dyDescent="0.25">
      <c r="A103" s="270" t="s">
        <v>4586</v>
      </c>
      <c r="B103" s="3" t="s">
        <v>4587</v>
      </c>
      <c r="C103" s="2">
        <v>0</v>
      </c>
      <c r="D103" s="2">
        <v>2616</v>
      </c>
      <c r="E103" s="2"/>
      <c r="F103" s="2"/>
      <c r="G103" s="2">
        <v>5975</v>
      </c>
      <c r="H103" s="293">
        <v>14800</v>
      </c>
      <c r="I103" s="293"/>
      <c r="J103" s="126">
        <f t="shared" si="8"/>
        <v>14800</v>
      </c>
      <c r="K103" s="310">
        <v>43756</v>
      </c>
      <c r="L103" s="2">
        <v>0</v>
      </c>
      <c r="M103" s="9">
        <f t="shared" si="9"/>
        <v>43756</v>
      </c>
      <c r="N103" s="2" t="str">
        <f t="shared" si="10"/>
        <v>Pagado</v>
      </c>
      <c r="O103" s="310">
        <v>43756</v>
      </c>
      <c r="P103" s="293">
        <v>14800</v>
      </c>
      <c r="Q103" s="2" t="s">
        <v>1481</v>
      </c>
      <c r="R103" s="2"/>
      <c r="S103" s="2"/>
      <c r="T103" s="9"/>
      <c r="U103" s="392"/>
      <c r="V103" s="2">
        <v>134213</v>
      </c>
      <c r="W103" s="108">
        <v>14800</v>
      </c>
      <c r="X103" s="310">
        <v>43763</v>
      </c>
      <c r="Y103" s="2" t="s">
        <v>1488</v>
      </c>
      <c r="Z103" s="131" t="s">
        <v>1467</v>
      </c>
      <c r="AA103" s="108" t="str">
        <f t="shared" si="11"/>
        <v/>
      </c>
      <c r="AB103" s="2"/>
      <c r="AC103" s="131">
        <f t="shared" si="12"/>
        <v>12436.974789915967</v>
      </c>
      <c r="AD103" s="108">
        <f t="shared" si="13"/>
        <v>2363.0252100840335</v>
      </c>
      <c r="AE103" s="2" t="s">
        <v>1501</v>
      </c>
      <c r="AF103" s="23" t="s">
        <v>3487</v>
      </c>
      <c r="AG103" s="2" t="str">
        <f t="shared" si="14"/>
        <v>SI</v>
      </c>
      <c r="AH103" s="14"/>
      <c r="AI103" s="23"/>
      <c r="AJ103" s="2" t="str">
        <f t="shared" si="15"/>
        <v>NV</v>
      </c>
      <c r="AK103" s="294"/>
    </row>
    <row r="104" spans="1:37" ht="15.75" customHeight="1" x14ac:dyDescent="0.25">
      <c r="A104" s="270" t="s">
        <v>4586</v>
      </c>
      <c r="B104" s="3" t="s">
        <v>4587</v>
      </c>
      <c r="C104" s="2" t="s">
        <v>2528</v>
      </c>
      <c r="D104" s="2">
        <v>2616</v>
      </c>
      <c r="E104" s="2"/>
      <c r="F104" s="2"/>
      <c r="G104" s="2">
        <v>5975</v>
      </c>
      <c r="H104" s="293">
        <v>14800</v>
      </c>
      <c r="I104" s="293"/>
      <c r="J104" s="126">
        <f t="shared" si="8"/>
        <v>14800</v>
      </c>
      <c r="K104" s="310">
        <v>43756</v>
      </c>
      <c r="L104" s="2">
        <v>0</v>
      </c>
      <c r="M104" s="9">
        <f t="shared" si="9"/>
        <v>43756</v>
      </c>
      <c r="N104" s="2" t="str">
        <f t="shared" si="10"/>
        <v>Pagado</v>
      </c>
      <c r="O104" s="310">
        <v>43756</v>
      </c>
      <c r="P104" s="293">
        <v>14800</v>
      </c>
      <c r="Q104" s="2" t="s">
        <v>1481</v>
      </c>
      <c r="R104" s="2"/>
      <c r="S104" s="2"/>
      <c r="T104" s="9"/>
      <c r="U104" s="392"/>
      <c r="V104" s="2"/>
      <c r="W104" s="108"/>
      <c r="X104" s="310"/>
      <c r="Y104" s="2"/>
      <c r="Z104" s="131" t="s">
        <v>1467</v>
      </c>
      <c r="AA104" s="108" t="str">
        <f t="shared" si="11"/>
        <v/>
      </c>
      <c r="AB104" s="2"/>
      <c r="AC104" s="131">
        <f t="shared" si="12"/>
        <v>12436.974789915967</v>
      </c>
      <c r="AD104" s="108">
        <f t="shared" si="13"/>
        <v>2363.0252100840335</v>
      </c>
      <c r="AE104" s="2" t="s">
        <v>1501</v>
      </c>
      <c r="AF104" s="23" t="s">
        <v>3487</v>
      </c>
      <c r="AG104" s="2" t="str">
        <f t="shared" si="14"/>
        <v>SI</v>
      </c>
      <c r="AH104" s="14"/>
      <c r="AI104" s="23"/>
      <c r="AJ104" s="2" t="str">
        <f t="shared" si="15"/>
        <v>Factura</v>
      </c>
      <c r="AK104" s="294"/>
    </row>
    <row r="105" spans="1:37" ht="15.75" customHeight="1" x14ac:dyDescent="0.25">
      <c r="A105" s="270" t="s">
        <v>3460</v>
      </c>
      <c r="B105" s="3" t="s">
        <v>3461</v>
      </c>
      <c r="C105" s="2">
        <v>2948</v>
      </c>
      <c r="D105" s="2">
        <v>0</v>
      </c>
      <c r="E105" s="2"/>
      <c r="F105" s="2"/>
      <c r="G105" s="2" t="s">
        <v>2528</v>
      </c>
      <c r="H105" s="293">
        <v>92884</v>
      </c>
      <c r="I105" s="293"/>
      <c r="J105" s="126">
        <f t="shared" si="8"/>
        <v>92884</v>
      </c>
      <c r="K105" s="310">
        <v>43756</v>
      </c>
      <c r="L105" s="2">
        <v>0</v>
      </c>
      <c r="M105" s="9">
        <f t="shared" si="9"/>
        <v>43756</v>
      </c>
      <c r="N105" s="2" t="str">
        <f t="shared" si="10"/>
        <v>Pagado</v>
      </c>
      <c r="O105" s="310">
        <v>43782</v>
      </c>
      <c r="P105" s="293">
        <v>92884</v>
      </c>
      <c r="Q105" s="2" t="s">
        <v>1484</v>
      </c>
      <c r="R105" s="2"/>
      <c r="S105" s="2"/>
      <c r="T105" s="9" t="s">
        <v>1496</v>
      </c>
      <c r="U105" s="392"/>
      <c r="V105" s="2"/>
      <c r="W105" s="108"/>
      <c r="X105" s="310"/>
      <c r="Y105" s="2"/>
      <c r="Z105" s="131" t="s">
        <v>1467</v>
      </c>
      <c r="AA105" s="108" t="str">
        <f t="shared" si="11"/>
        <v/>
      </c>
      <c r="AB105" s="2"/>
      <c r="AC105" s="131">
        <f t="shared" si="12"/>
        <v>78053.781512605041</v>
      </c>
      <c r="AD105" s="108">
        <f t="shared" si="13"/>
        <v>14830.218487394959</v>
      </c>
      <c r="AE105" s="2" t="s">
        <v>1501</v>
      </c>
      <c r="AF105" s="23" t="s">
        <v>3490</v>
      </c>
      <c r="AG105" s="2" t="str">
        <f t="shared" si="14"/>
        <v>SI</v>
      </c>
      <c r="AH105" s="14"/>
      <c r="AI105" s="23"/>
      <c r="AJ105" s="2" t="str">
        <f t="shared" si="15"/>
        <v>Factura</v>
      </c>
      <c r="AK105" s="294"/>
    </row>
    <row r="106" spans="1:37" ht="15.75" customHeight="1" x14ac:dyDescent="0.25">
      <c r="A106" s="270" t="s">
        <v>4541</v>
      </c>
      <c r="B106" s="3" t="s">
        <v>3397</v>
      </c>
      <c r="C106" s="2" t="s">
        <v>2528</v>
      </c>
      <c r="D106" s="2">
        <v>2615</v>
      </c>
      <c r="E106" s="2"/>
      <c r="F106" s="2"/>
      <c r="G106" s="2">
        <v>5971</v>
      </c>
      <c r="H106" s="293">
        <v>14800</v>
      </c>
      <c r="I106" s="293"/>
      <c r="J106" s="126">
        <f t="shared" si="8"/>
        <v>14800</v>
      </c>
      <c r="K106" s="310">
        <v>43756</v>
      </c>
      <c r="L106" s="2">
        <v>0</v>
      </c>
      <c r="M106" s="9">
        <f t="shared" si="9"/>
        <v>43756</v>
      </c>
      <c r="N106" s="2" t="str">
        <f t="shared" si="10"/>
        <v>Pagado</v>
      </c>
      <c r="O106" s="310">
        <v>43756</v>
      </c>
      <c r="P106" s="293">
        <v>14800</v>
      </c>
      <c r="Q106" s="2" t="s">
        <v>1481</v>
      </c>
      <c r="R106" s="2"/>
      <c r="S106" s="2"/>
      <c r="T106" s="313"/>
      <c r="U106" s="392"/>
      <c r="V106" s="2">
        <v>134213</v>
      </c>
      <c r="W106" s="108">
        <v>14800</v>
      </c>
      <c r="X106" s="310">
        <v>43763</v>
      </c>
      <c r="Y106" s="2" t="s">
        <v>1488</v>
      </c>
      <c r="Z106" s="131" t="s">
        <v>1467</v>
      </c>
      <c r="AA106" s="108" t="str">
        <f t="shared" si="11"/>
        <v/>
      </c>
      <c r="AB106" s="2"/>
      <c r="AC106" s="131">
        <f t="shared" si="12"/>
        <v>12436.974789915967</v>
      </c>
      <c r="AD106" s="108">
        <f t="shared" si="13"/>
        <v>2363.0252100840335</v>
      </c>
      <c r="AE106" s="2" t="s">
        <v>1501</v>
      </c>
      <c r="AF106" s="23" t="s">
        <v>3489</v>
      </c>
      <c r="AG106" s="2" t="str">
        <f t="shared" si="14"/>
        <v>SI</v>
      </c>
      <c r="AH106" s="14"/>
      <c r="AI106" s="23"/>
      <c r="AJ106" s="2" t="str">
        <f t="shared" si="15"/>
        <v>Factura</v>
      </c>
      <c r="AK106" s="294"/>
    </row>
    <row r="107" spans="1:37" ht="15.75" customHeight="1" x14ac:dyDescent="0.25">
      <c r="A107" s="270" t="s">
        <v>2344</v>
      </c>
      <c r="B107" s="3" t="s">
        <v>2345</v>
      </c>
      <c r="C107" s="2">
        <v>0</v>
      </c>
      <c r="D107" s="2">
        <v>2613</v>
      </c>
      <c r="E107" s="2"/>
      <c r="F107" s="2"/>
      <c r="G107" s="2">
        <v>5970</v>
      </c>
      <c r="H107" s="293">
        <v>16500</v>
      </c>
      <c r="I107" s="293"/>
      <c r="J107" s="126">
        <f t="shared" si="8"/>
        <v>16500</v>
      </c>
      <c r="K107" s="310">
        <v>43756</v>
      </c>
      <c r="L107" s="2">
        <v>0</v>
      </c>
      <c r="M107" s="9">
        <f t="shared" si="9"/>
        <v>43756</v>
      </c>
      <c r="N107" s="2" t="str">
        <f t="shared" si="10"/>
        <v>Pagado</v>
      </c>
      <c r="O107" s="310">
        <v>43760</v>
      </c>
      <c r="P107" s="293">
        <v>16500</v>
      </c>
      <c r="Q107" s="2" t="s">
        <v>1484</v>
      </c>
      <c r="R107" s="2"/>
      <c r="S107" s="2"/>
      <c r="T107" s="9" t="s">
        <v>1496</v>
      </c>
      <c r="U107" s="392"/>
      <c r="V107" s="2"/>
      <c r="W107" s="108"/>
      <c r="X107" s="310"/>
      <c r="Y107" s="2"/>
      <c r="Z107" s="131" t="s">
        <v>1467</v>
      </c>
      <c r="AA107" s="108" t="str">
        <f t="shared" si="11"/>
        <v/>
      </c>
      <c r="AB107" s="2"/>
      <c r="AC107" s="131">
        <f t="shared" si="12"/>
        <v>13865.546218487396</v>
      </c>
      <c r="AD107" s="108">
        <f t="shared" si="13"/>
        <v>2634.4537815126041</v>
      </c>
      <c r="AE107" s="2" t="s">
        <v>1501</v>
      </c>
      <c r="AF107" s="23" t="s">
        <v>3487</v>
      </c>
      <c r="AG107" s="2" t="str">
        <f t="shared" si="14"/>
        <v>SI</v>
      </c>
      <c r="AH107" s="14"/>
      <c r="AI107" s="23"/>
      <c r="AJ107" s="2" t="str">
        <f t="shared" si="15"/>
        <v>NV</v>
      </c>
      <c r="AK107" s="294"/>
    </row>
    <row r="108" spans="1:37" ht="15.75" customHeight="1" x14ac:dyDescent="0.25">
      <c r="A108" s="270" t="s">
        <v>1207</v>
      </c>
      <c r="B108" s="3" t="s">
        <v>963</v>
      </c>
      <c r="C108" s="2">
        <v>2947</v>
      </c>
      <c r="D108" s="2">
        <v>0</v>
      </c>
      <c r="E108" s="2"/>
      <c r="F108" s="2"/>
      <c r="G108" s="2" t="s">
        <v>2528</v>
      </c>
      <c r="H108" s="293">
        <v>36080</v>
      </c>
      <c r="I108" s="293"/>
      <c r="J108" s="126">
        <f t="shared" si="8"/>
        <v>36080</v>
      </c>
      <c r="K108" s="310">
        <v>43756</v>
      </c>
      <c r="L108" s="2">
        <v>0</v>
      </c>
      <c r="M108" s="313">
        <f t="shared" si="9"/>
        <v>43756</v>
      </c>
      <c r="N108" s="2" t="str">
        <f t="shared" si="10"/>
        <v>Pagado</v>
      </c>
      <c r="O108" s="310">
        <v>43756</v>
      </c>
      <c r="P108" s="293">
        <v>36080</v>
      </c>
      <c r="Q108" s="2" t="s">
        <v>1481</v>
      </c>
      <c r="R108" s="2"/>
      <c r="S108" s="2"/>
      <c r="T108" s="313"/>
      <c r="U108" s="392"/>
      <c r="V108" s="2"/>
      <c r="W108" s="108"/>
      <c r="X108" s="310"/>
      <c r="Y108" s="2"/>
      <c r="Z108" s="131" t="s">
        <v>1467</v>
      </c>
      <c r="AA108" s="108" t="str">
        <f t="shared" si="11"/>
        <v/>
      </c>
      <c r="AB108" s="2"/>
      <c r="AC108" s="131">
        <f t="shared" si="12"/>
        <v>30319.327731092439</v>
      </c>
      <c r="AD108" s="108">
        <f t="shared" si="13"/>
        <v>5760.6722689075614</v>
      </c>
      <c r="AE108" s="2" t="s">
        <v>1445</v>
      </c>
      <c r="AF108" s="23" t="s">
        <v>3490</v>
      </c>
      <c r="AG108" s="2" t="str">
        <f t="shared" si="14"/>
        <v>SI</v>
      </c>
      <c r="AH108" s="14"/>
      <c r="AI108" s="23"/>
      <c r="AJ108" s="2" t="str">
        <f t="shared" si="15"/>
        <v>Factura</v>
      </c>
      <c r="AK108" s="294"/>
    </row>
    <row r="109" spans="1:37" ht="15.75" customHeight="1" x14ac:dyDescent="0.25">
      <c r="A109" s="270" t="s">
        <v>1234</v>
      </c>
      <c r="B109" s="3" t="s">
        <v>970</v>
      </c>
      <c r="C109" s="2">
        <v>0</v>
      </c>
      <c r="D109" s="2">
        <v>147</v>
      </c>
      <c r="E109" s="2"/>
      <c r="F109" s="2"/>
      <c r="G109" s="2">
        <v>5972</v>
      </c>
      <c r="H109" s="293">
        <v>19900</v>
      </c>
      <c r="I109" s="293"/>
      <c r="J109" s="126">
        <f t="shared" si="8"/>
        <v>19900</v>
      </c>
      <c r="K109" s="310">
        <v>43756</v>
      </c>
      <c r="L109" s="2">
        <v>0</v>
      </c>
      <c r="M109" s="9">
        <f t="shared" si="9"/>
        <v>43756</v>
      </c>
      <c r="N109" s="2" t="str">
        <f t="shared" si="10"/>
        <v>Pagado</v>
      </c>
      <c r="O109" s="310">
        <v>43756</v>
      </c>
      <c r="P109" s="293">
        <v>19900</v>
      </c>
      <c r="Q109" s="2" t="s">
        <v>1070</v>
      </c>
      <c r="R109" s="2" t="s">
        <v>2243</v>
      </c>
      <c r="S109" s="2">
        <v>147</v>
      </c>
      <c r="T109" s="313"/>
      <c r="U109" s="392"/>
      <c r="V109" s="2"/>
      <c r="W109" s="108"/>
      <c r="X109" s="310"/>
      <c r="Y109" s="2"/>
      <c r="Z109" s="131" t="s">
        <v>1467</v>
      </c>
      <c r="AA109" s="108" t="str">
        <f t="shared" si="11"/>
        <v/>
      </c>
      <c r="AB109" s="2"/>
      <c r="AC109" s="131">
        <f t="shared" si="12"/>
        <v>16722.689075630253</v>
      </c>
      <c r="AD109" s="108">
        <f t="shared" si="13"/>
        <v>3177.3109243697472</v>
      </c>
      <c r="AE109" s="2" t="s">
        <v>1501</v>
      </c>
      <c r="AF109" s="23" t="s">
        <v>3489</v>
      </c>
      <c r="AG109" s="2" t="str">
        <f t="shared" si="14"/>
        <v>SI</v>
      </c>
      <c r="AH109" s="14"/>
      <c r="AI109" s="23"/>
      <c r="AJ109" s="2" t="str">
        <f t="shared" si="15"/>
        <v>NV</v>
      </c>
      <c r="AK109" s="294"/>
    </row>
    <row r="110" spans="1:37" ht="15.75" customHeight="1" x14ac:dyDescent="0.25">
      <c r="A110" s="270" t="s">
        <v>5154</v>
      </c>
      <c r="B110" s="3" t="s">
        <v>5155</v>
      </c>
      <c r="C110" s="2" t="s">
        <v>2528</v>
      </c>
      <c r="D110" s="2">
        <v>0</v>
      </c>
      <c r="E110" s="2"/>
      <c r="F110" s="2"/>
      <c r="G110" s="2">
        <v>5973</v>
      </c>
      <c r="H110" s="293">
        <v>19900</v>
      </c>
      <c r="I110" s="293"/>
      <c r="J110" s="126">
        <f t="shared" si="8"/>
        <v>19900</v>
      </c>
      <c r="K110" s="310">
        <v>43756</v>
      </c>
      <c r="L110" s="2">
        <v>0</v>
      </c>
      <c r="M110" s="9">
        <f t="shared" si="9"/>
        <v>43756</v>
      </c>
      <c r="N110" s="2" t="str">
        <f t="shared" si="10"/>
        <v>Pagado</v>
      </c>
      <c r="O110" s="310">
        <v>43756</v>
      </c>
      <c r="P110" s="293">
        <v>19900</v>
      </c>
      <c r="Q110" s="2" t="s">
        <v>1481</v>
      </c>
      <c r="R110" s="2"/>
      <c r="S110" s="2"/>
      <c r="T110" s="313"/>
      <c r="U110" s="392"/>
      <c r="V110" s="2"/>
      <c r="W110" s="108"/>
      <c r="X110" s="310"/>
      <c r="Y110" s="2"/>
      <c r="Z110" s="131" t="s">
        <v>1467</v>
      </c>
      <c r="AA110" s="108" t="str">
        <f t="shared" si="11"/>
        <v/>
      </c>
      <c r="AB110" s="2"/>
      <c r="AC110" s="131">
        <f t="shared" si="12"/>
        <v>16722.689075630253</v>
      </c>
      <c r="AD110" s="108">
        <f t="shared" si="13"/>
        <v>3177.3109243697472</v>
      </c>
      <c r="AE110" s="2" t="s">
        <v>1501</v>
      </c>
      <c r="AF110" s="23" t="s">
        <v>3487</v>
      </c>
      <c r="AG110" s="2" t="str">
        <f t="shared" si="14"/>
        <v>SI</v>
      </c>
      <c r="AH110" s="14"/>
      <c r="AI110" s="23"/>
      <c r="AJ110" s="2" t="str">
        <f t="shared" si="15"/>
        <v>Factura</v>
      </c>
      <c r="AK110" s="294"/>
    </row>
    <row r="111" spans="1:37" ht="15.75" customHeight="1" x14ac:dyDescent="0.25">
      <c r="A111" s="270" t="s">
        <v>5154</v>
      </c>
      <c r="B111" s="3" t="s">
        <v>5155</v>
      </c>
      <c r="C111" s="2">
        <v>0</v>
      </c>
      <c r="D111" s="2">
        <v>2614</v>
      </c>
      <c r="E111" s="2"/>
      <c r="F111" s="2"/>
      <c r="G111" s="2">
        <v>5973</v>
      </c>
      <c r="H111" s="293">
        <v>19900</v>
      </c>
      <c r="I111" s="293"/>
      <c r="J111" s="126">
        <f t="shared" si="8"/>
        <v>19900</v>
      </c>
      <c r="K111" s="310">
        <v>43756</v>
      </c>
      <c r="L111" s="2">
        <v>0</v>
      </c>
      <c r="M111" s="9">
        <f t="shared" si="9"/>
        <v>43756</v>
      </c>
      <c r="N111" s="2" t="str">
        <f t="shared" si="10"/>
        <v>Pagado</v>
      </c>
      <c r="O111" s="310">
        <v>43756</v>
      </c>
      <c r="P111" s="293">
        <v>19900</v>
      </c>
      <c r="Q111" s="2" t="s">
        <v>1481</v>
      </c>
      <c r="R111" s="2"/>
      <c r="S111" s="2"/>
      <c r="T111" s="313"/>
      <c r="U111" s="392"/>
      <c r="V111" s="2">
        <v>134213</v>
      </c>
      <c r="W111" s="108">
        <v>19900</v>
      </c>
      <c r="X111" s="310">
        <v>43763</v>
      </c>
      <c r="Y111" s="2" t="s">
        <v>1488</v>
      </c>
      <c r="Z111" s="131" t="s">
        <v>1467</v>
      </c>
      <c r="AA111" s="108" t="str">
        <f t="shared" si="11"/>
        <v/>
      </c>
      <c r="AB111" s="2"/>
      <c r="AC111" s="131">
        <f t="shared" si="12"/>
        <v>16722.689075630253</v>
      </c>
      <c r="AD111" s="108">
        <f t="shared" si="13"/>
        <v>3177.3109243697472</v>
      </c>
      <c r="AE111" s="2" t="s">
        <v>1501</v>
      </c>
      <c r="AF111" s="23" t="s">
        <v>3487</v>
      </c>
      <c r="AG111" s="2" t="str">
        <f t="shared" si="14"/>
        <v>SI</v>
      </c>
      <c r="AH111" s="14"/>
      <c r="AI111" s="23"/>
      <c r="AJ111" s="2" t="str">
        <f t="shared" si="15"/>
        <v>NV</v>
      </c>
      <c r="AK111" s="294"/>
    </row>
    <row r="112" spans="1:37" ht="15.75" customHeight="1" x14ac:dyDescent="0.25">
      <c r="A112" s="270" t="s">
        <v>4950</v>
      </c>
      <c r="B112" s="3" t="s">
        <v>4951</v>
      </c>
      <c r="C112" s="2">
        <v>0</v>
      </c>
      <c r="D112" s="2" t="s">
        <v>4559</v>
      </c>
      <c r="E112" s="2"/>
      <c r="F112" s="2"/>
      <c r="G112" s="2">
        <v>5976</v>
      </c>
      <c r="H112" s="293">
        <v>25000</v>
      </c>
      <c r="I112" s="293"/>
      <c r="J112" s="126">
        <f t="shared" si="8"/>
        <v>25000</v>
      </c>
      <c r="K112" s="310">
        <v>43757</v>
      </c>
      <c r="L112" s="2">
        <v>0</v>
      </c>
      <c r="M112" s="9">
        <f t="shared" si="9"/>
        <v>43757</v>
      </c>
      <c r="N112" s="2" t="str">
        <f t="shared" si="10"/>
        <v>Pagado</v>
      </c>
      <c r="O112" s="310">
        <v>43844</v>
      </c>
      <c r="P112" s="293">
        <v>25000</v>
      </c>
      <c r="Q112" s="2" t="s">
        <v>1484</v>
      </c>
      <c r="R112" s="2"/>
      <c r="S112" s="2"/>
      <c r="T112" s="9" t="s">
        <v>1462</v>
      </c>
      <c r="U112" s="392"/>
      <c r="V112" s="2"/>
      <c r="W112" s="108"/>
      <c r="X112" s="310"/>
      <c r="Y112" s="2"/>
      <c r="Z112" s="131" t="s">
        <v>1467</v>
      </c>
      <c r="AA112" s="108" t="str">
        <f t="shared" si="11"/>
        <v/>
      </c>
      <c r="AB112" s="2"/>
      <c r="AC112" s="131">
        <f t="shared" si="12"/>
        <v>21008.403361344539</v>
      </c>
      <c r="AD112" s="108">
        <f t="shared" si="13"/>
        <v>3991.596638655461</v>
      </c>
      <c r="AE112" s="2" t="s">
        <v>1501</v>
      </c>
      <c r="AF112" s="23" t="s">
        <v>3487</v>
      </c>
      <c r="AG112" s="2" t="str">
        <f t="shared" si="14"/>
        <v>SI</v>
      </c>
      <c r="AH112" s="14"/>
      <c r="AI112" s="23"/>
      <c r="AJ112" s="2" t="str">
        <f t="shared" si="15"/>
        <v>NV</v>
      </c>
      <c r="AK112" s="294"/>
    </row>
    <row r="113" spans="1:37" ht="15.75" customHeight="1" x14ac:dyDescent="0.25">
      <c r="A113" s="270" t="s">
        <v>4950</v>
      </c>
      <c r="B113" s="3" t="s">
        <v>4951</v>
      </c>
      <c r="C113" s="2">
        <v>0</v>
      </c>
      <c r="D113" s="2" t="s">
        <v>4559</v>
      </c>
      <c r="E113" s="2"/>
      <c r="F113" s="2"/>
      <c r="G113" s="2">
        <v>5976</v>
      </c>
      <c r="H113" s="293">
        <v>25400</v>
      </c>
      <c r="I113" s="293"/>
      <c r="J113" s="126">
        <f t="shared" si="8"/>
        <v>25400</v>
      </c>
      <c r="K113" s="310">
        <v>43757</v>
      </c>
      <c r="L113" s="2">
        <v>0</v>
      </c>
      <c r="M113" s="326">
        <f t="shared" si="9"/>
        <v>43757</v>
      </c>
      <c r="N113" s="2" t="str">
        <f t="shared" ca="1" si="10"/>
        <v>Vencido</v>
      </c>
      <c r="O113" s="310"/>
      <c r="P113" s="293"/>
      <c r="Q113" s="2"/>
      <c r="R113" s="2"/>
      <c r="S113" s="2"/>
      <c r="T113" s="326"/>
      <c r="U113" s="392"/>
      <c r="V113" s="2"/>
      <c r="W113" s="108"/>
      <c r="X113" s="310"/>
      <c r="Y113" s="2"/>
      <c r="Z113" s="131" t="s">
        <v>1467</v>
      </c>
      <c r="AA113" s="108" t="str">
        <f t="shared" si="11"/>
        <v/>
      </c>
      <c r="AB113" s="2"/>
      <c r="AC113" s="131">
        <f t="shared" si="12"/>
        <v>21344.537815126052</v>
      </c>
      <c r="AD113" s="108">
        <f t="shared" si="13"/>
        <v>4055.462184873948</v>
      </c>
      <c r="AE113" s="2" t="s">
        <v>1501</v>
      </c>
      <c r="AF113" s="23" t="s">
        <v>3487</v>
      </c>
      <c r="AG113" s="2" t="str">
        <f t="shared" ca="1" si="14"/>
        <v>NO</v>
      </c>
      <c r="AH113" s="14"/>
      <c r="AI113" s="23"/>
      <c r="AJ113" s="2" t="str">
        <f t="shared" si="15"/>
        <v>NV</v>
      </c>
      <c r="AK113" s="294"/>
    </row>
    <row r="114" spans="1:37" ht="15.75" customHeight="1" x14ac:dyDescent="0.25">
      <c r="A114" s="270" t="s">
        <v>4877</v>
      </c>
      <c r="B114" s="3" t="s">
        <v>4878</v>
      </c>
      <c r="C114" s="2">
        <v>0</v>
      </c>
      <c r="D114" s="2">
        <v>148</v>
      </c>
      <c r="E114" s="2"/>
      <c r="F114" s="2"/>
      <c r="G114" s="2">
        <v>5978</v>
      </c>
      <c r="H114" s="293">
        <v>59700</v>
      </c>
      <c r="I114" s="293"/>
      <c r="J114" s="126">
        <f t="shared" si="8"/>
        <v>59700</v>
      </c>
      <c r="K114" s="310">
        <v>43757</v>
      </c>
      <c r="L114" s="2">
        <v>0</v>
      </c>
      <c r="M114" s="9">
        <f t="shared" si="9"/>
        <v>43757</v>
      </c>
      <c r="N114" s="2" t="str">
        <f t="shared" si="10"/>
        <v>Pagado</v>
      </c>
      <c r="O114" s="310">
        <v>43757</v>
      </c>
      <c r="P114" s="293">
        <v>59700</v>
      </c>
      <c r="Q114" s="2" t="s">
        <v>1070</v>
      </c>
      <c r="R114" s="2" t="s">
        <v>2243</v>
      </c>
      <c r="S114" s="2">
        <v>148</v>
      </c>
      <c r="T114" s="9"/>
      <c r="U114" s="392"/>
      <c r="V114" s="2"/>
      <c r="W114" s="108"/>
      <c r="X114" s="310"/>
      <c r="Y114" s="2"/>
      <c r="Z114" s="131" t="s">
        <v>1467</v>
      </c>
      <c r="AA114" s="108" t="str">
        <f t="shared" si="11"/>
        <v/>
      </c>
      <c r="AB114" s="2"/>
      <c r="AC114" s="131">
        <f t="shared" si="12"/>
        <v>50168.067226890758</v>
      </c>
      <c r="AD114" s="108">
        <f t="shared" si="13"/>
        <v>9531.9327731092417</v>
      </c>
      <c r="AE114" s="2" t="s">
        <v>1501</v>
      </c>
      <c r="AF114" s="23" t="s">
        <v>3489</v>
      </c>
      <c r="AG114" s="2" t="str">
        <f t="shared" si="14"/>
        <v>SI</v>
      </c>
      <c r="AH114" s="14"/>
      <c r="AI114" s="23"/>
      <c r="AJ114" s="2" t="str">
        <f t="shared" si="15"/>
        <v>NV</v>
      </c>
      <c r="AK114" s="294"/>
    </row>
    <row r="115" spans="1:37" ht="15.75" customHeight="1" x14ac:dyDescent="0.25">
      <c r="A115" s="270" t="s">
        <v>1227</v>
      </c>
      <c r="B115" s="3" t="s">
        <v>933</v>
      </c>
      <c r="C115" s="2">
        <v>0</v>
      </c>
      <c r="D115" s="2">
        <v>0</v>
      </c>
      <c r="E115" s="2"/>
      <c r="F115" s="2"/>
      <c r="G115" s="2">
        <v>5977</v>
      </c>
      <c r="H115" s="293">
        <v>11500</v>
      </c>
      <c r="I115" s="293"/>
      <c r="J115" s="126">
        <f t="shared" si="8"/>
        <v>11500</v>
      </c>
      <c r="K115" s="310">
        <v>43757</v>
      </c>
      <c r="L115" s="2">
        <v>0</v>
      </c>
      <c r="M115" s="9">
        <f t="shared" si="9"/>
        <v>43757</v>
      </c>
      <c r="N115" s="2" t="str">
        <f t="shared" si="10"/>
        <v>Pagado</v>
      </c>
      <c r="O115" s="310">
        <v>43757</v>
      </c>
      <c r="P115" s="293">
        <v>11500</v>
      </c>
      <c r="Q115" s="2" t="s">
        <v>1481</v>
      </c>
      <c r="R115" s="2"/>
      <c r="S115" s="2"/>
      <c r="T115" s="9"/>
      <c r="U115" s="392"/>
      <c r="V115" s="2"/>
      <c r="W115" s="108"/>
      <c r="X115" s="310"/>
      <c r="Y115" s="2"/>
      <c r="Z115" s="131" t="s">
        <v>1467</v>
      </c>
      <c r="AA115" s="108" t="str">
        <f t="shared" si="11"/>
        <v/>
      </c>
      <c r="AB115" s="2"/>
      <c r="AC115" s="131">
        <f t="shared" si="12"/>
        <v>9663.865546218487</v>
      </c>
      <c r="AD115" s="108">
        <f t="shared" si="13"/>
        <v>1836.134453781513</v>
      </c>
      <c r="AE115" s="2" t="s">
        <v>1501</v>
      </c>
      <c r="AF115" s="23" t="s">
        <v>3489</v>
      </c>
      <c r="AG115" s="2" t="str">
        <f t="shared" si="14"/>
        <v>SI</v>
      </c>
      <c r="AH115" s="14"/>
      <c r="AI115" s="23"/>
      <c r="AJ115" s="2" t="str">
        <f t="shared" si="15"/>
        <v>NV</v>
      </c>
      <c r="AK115" s="294"/>
    </row>
    <row r="116" spans="1:37" ht="15.75" customHeight="1" x14ac:dyDescent="0.25">
      <c r="A116" s="270" t="s">
        <v>5277</v>
      </c>
      <c r="B116" s="3" t="s">
        <v>5278</v>
      </c>
      <c r="C116" s="2">
        <v>0</v>
      </c>
      <c r="D116" s="2">
        <v>150</v>
      </c>
      <c r="E116" s="2"/>
      <c r="F116" s="2"/>
      <c r="G116" s="2">
        <v>5980</v>
      </c>
      <c r="H116" s="293">
        <v>30100</v>
      </c>
      <c r="I116" s="293"/>
      <c r="J116" s="126">
        <f t="shared" si="8"/>
        <v>30100</v>
      </c>
      <c r="K116" s="310">
        <v>43757</v>
      </c>
      <c r="L116" s="2">
        <v>0</v>
      </c>
      <c r="M116" s="313">
        <f t="shared" si="9"/>
        <v>43757</v>
      </c>
      <c r="N116" s="2" t="str">
        <f t="shared" si="10"/>
        <v>Pagado</v>
      </c>
      <c r="O116" s="310">
        <v>43757</v>
      </c>
      <c r="P116" s="293">
        <v>30100</v>
      </c>
      <c r="Q116" s="2" t="s">
        <v>1070</v>
      </c>
      <c r="R116" s="2" t="s">
        <v>2243</v>
      </c>
      <c r="S116" s="2">
        <v>150</v>
      </c>
      <c r="T116" s="313"/>
      <c r="U116" s="392"/>
      <c r="V116" s="2"/>
      <c r="W116" s="108"/>
      <c r="X116" s="310"/>
      <c r="Y116" s="2"/>
      <c r="Z116" s="131" t="s">
        <v>1467</v>
      </c>
      <c r="AA116" s="108" t="str">
        <f t="shared" si="11"/>
        <v/>
      </c>
      <c r="AB116" s="2"/>
      <c r="AC116" s="131">
        <f t="shared" si="12"/>
        <v>25294.117647058825</v>
      </c>
      <c r="AD116" s="108">
        <f t="shared" si="13"/>
        <v>4805.8823529411748</v>
      </c>
      <c r="AE116" s="2" t="s">
        <v>1501</v>
      </c>
      <c r="AF116" s="23" t="s">
        <v>3487</v>
      </c>
      <c r="AG116" s="2" t="str">
        <f t="shared" si="14"/>
        <v>SI</v>
      </c>
      <c r="AH116" s="14"/>
      <c r="AI116" s="23"/>
      <c r="AJ116" s="2" t="str">
        <f t="shared" si="15"/>
        <v>NV</v>
      </c>
      <c r="AK116" s="294"/>
    </row>
    <row r="117" spans="1:37" ht="15.75" customHeight="1" x14ac:dyDescent="0.25">
      <c r="A117" s="270" t="s">
        <v>4807</v>
      </c>
      <c r="B117" s="3" t="s">
        <v>4808</v>
      </c>
      <c r="C117" s="2">
        <v>0</v>
      </c>
      <c r="D117" s="2">
        <v>149</v>
      </c>
      <c r="E117" s="2"/>
      <c r="F117" s="2"/>
      <c r="G117" s="2">
        <v>5981</v>
      </c>
      <c r="H117" s="293">
        <v>46000</v>
      </c>
      <c r="I117" s="293"/>
      <c r="J117" s="126">
        <f t="shared" si="8"/>
        <v>46000</v>
      </c>
      <c r="K117" s="310">
        <v>43757</v>
      </c>
      <c r="L117" s="2">
        <v>0</v>
      </c>
      <c r="M117" s="9">
        <f t="shared" si="9"/>
        <v>43757</v>
      </c>
      <c r="N117" s="2" t="str">
        <f t="shared" si="10"/>
        <v>Pagado</v>
      </c>
      <c r="O117" s="310">
        <v>43757</v>
      </c>
      <c r="P117" s="293">
        <v>46000</v>
      </c>
      <c r="Q117" s="2" t="s">
        <v>1070</v>
      </c>
      <c r="R117" s="2" t="s">
        <v>2243</v>
      </c>
      <c r="S117" s="2">
        <v>149</v>
      </c>
      <c r="T117" s="9"/>
      <c r="U117" s="392"/>
      <c r="V117" s="2"/>
      <c r="W117" s="108"/>
      <c r="X117" s="310"/>
      <c r="Y117" s="2"/>
      <c r="Z117" s="131" t="s">
        <v>1467</v>
      </c>
      <c r="AA117" s="108" t="str">
        <f t="shared" si="11"/>
        <v/>
      </c>
      <c r="AB117" s="2"/>
      <c r="AC117" s="131">
        <f t="shared" si="12"/>
        <v>38655.462184873948</v>
      </c>
      <c r="AD117" s="108">
        <f t="shared" si="13"/>
        <v>7344.537815126052</v>
      </c>
      <c r="AE117" s="2" t="s">
        <v>1501</v>
      </c>
      <c r="AF117" s="23" t="s">
        <v>3487</v>
      </c>
      <c r="AG117" s="2" t="str">
        <f t="shared" si="14"/>
        <v>SI</v>
      </c>
      <c r="AH117" s="14"/>
      <c r="AI117" s="23"/>
      <c r="AJ117" s="2" t="str">
        <f t="shared" si="15"/>
        <v>NV</v>
      </c>
      <c r="AK117" s="294"/>
    </row>
    <row r="118" spans="1:37" ht="15.75" customHeight="1" x14ac:dyDescent="0.25">
      <c r="A118" s="270" t="s">
        <v>4853</v>
      </c>
      <c r="B118" s="3" t="s">
        <v>4854</v>
      </c>
      <c r="C118" s="2">
        <v>0</v>
      </c>
      <c r="D118" s="2">
        <v>151</v>
      </c>
      <c r="E118" s="2"/>
      <c r="F118" s="2"/>
      <c r="G118" s="2">
        <v>5982</v>
      </c>
      <c r="H118" s="293">
        <v>23000</v>
      </c>
      <c r="I118" s="293"/>
      <c r="J118" s="126">
        <f t="shared" si="8"/>
        <v>23000</v>
      </c>
      <c r="K118" s="310">
        <v>43757</v>
      </c>
      <c r="L118" s="2">
        <v>0</v>
      </c>
      <c r="M118" s="9">
        <f t="shared" si="9"/>
        <v>43757</v>
      </c>
      <c r="N118" s="2" t="str">
        <f t="shared" si="10"/>
        <v>Pagado</v>
      </c>
      <c r="O118" s="310">
        <v>43757</v>
      </c>
      <c r="P118" s="293">
        <v>23000</v>
      </c>
      <c r="Q118" s="2" t="s">
        <v>1070</v>
      </c>
      <c r="R118" s="2" t="s">
        <v>2243</v>
      </c>
      <c r="S118" s="2">
        <v>151</v>
      </c>
      <c r="T118" s="313"/>
      <c r="U118" s="392"/>
      <c r="V118" s="2"/>
      <c r="W118" s="108"/>
      <c r="X118" s="310"/>
      <c r="Y118" s="2"/>
      <c r="Z118" s="131" t="s">
        <v>1467</v>
      </c>
      <c r="AA118" s="108" t="str">
        <f t="shared" si="11"/>
        <v/>
      </c>
      <c r="AB118" s="2"/>
      <c r="AC118" s="131">
        <f t="shared" si="12"/>
        <v>19327.731092436974</v>
      </c>
      <c r="AD118" s="108">
        <f t="shared" si="13"/>
        <v>3672.268907563026</v>
      </c>
      <c r="AE118" s="2" t="s">
        <v>1501</v>
      </c>
      <c r="AF118" s="23" t="s">
        <v>3487</v>
      </c>
      <c r="AG118" s="2" t="str">
        <f t="shared" si="14"/>
        <v>SI</v>
      </c>
      <c r="AH118" s="14"/>
      <c r="AI118" s="23"/>
      <c r="AJ118" s="2" t="str">
        <f t="shared" si="15"/>
        <v>NV</v>
      </c>
      <c r="AK118" s="294"/>
    </row>
    <row r="119" spans="1:37" ht="15.75" customHeight="1" x14ac:dyDescent="0.25">
      <c r="A119" s="270" t="s">
        <v>4031</v>
      </c>
      <c r="B119" s="3" t="s">
        <v>4032</v>
      </c>
      <c r="C119" s="2">
        <v>0</v>
      </c>
      <c r="D119" s="2">
        <v>0</v>
      </c>
      <c r="E119" s="2"/>
      <c r="F119" s="2"/>
      <c r="G119" s="2">
        <v>5979</v>
      </c>
      <c r="H119" s="293">
        <v>28700</v>
      </c>
      <c r="I119" s="293"/>
      <c r="J119" s="126">
        <f t="shared" si="8"/>
        <v>28700</v>
      </c>
      <c r="K119" s="310">
        <v>43757</v>
      </c>
      <c r="L119" s="2">
        <v>0</v>
      </c>
      <c r="M119" s="313">
        <f t="shared" si="9"/>
        <v>43757</v>
      </c>
      <c r="N119" s="2" t="str">
        <f t="shared" si="10"/>
        <v>Pagado</v>
      </c>
      <c r="O119" s="310">
        <v>43757</v>
      </c>
      <c r="P119" s="293">
        <v>28700</v>
      </c>
      <c r="Q119" s="2" t="s">
        <v>1481</v>
      </c>
      <c r="R119" s="2"/>
      <c r="S119" s="2"/>
      <c r="T119" s="313"/>
      <c r="U119" s="392"/>
      <c r="V119" s="2"/>
      <c r="W119" s="108"/>
      <c r="X119" s="310"/>
      <c r="Y119" s="2"/>
      <c r="Z119" s="131" t="s">
        <v>1467</v>
      </c>
      <c r="AA119" s="108" t="str">
        <f t="shared" si="11"/>
        <v/>
      </c>
      <c r="AB119" s="2"/>
      <c r="AC119" s="131">
        <f t="shared" si="12"/>
        <v>24117.647058823532</v>
      </c>
      <c r="AD119" s="108">
        <f t="shared" si="13"/>
        <v>4582.3529411764684</v>
      </c>
      <c r="AE119" s="2" t="s">
        <v>1501</v>
      </c>
      <c r="AF119" s="23" t="s">
        <v>3487</v>
      </c>
      <c r="AG119" s="2" t="str">
        <f t="shared" si="14"/>
        <v>SI</v>
      </c>
      <c r="AH119" s="14"/>
      <c r="AI119" s="23"/>
      <c r="AJ119" s="2" t="str">
        <f t="shared" si="15"/>
        <v>NV</v>
      </c>
      <c r="AK119" s="294"/>
    </row>
    <row r="120" spans="1:37" ht="15.75" customHeight="1" x14ac:dyDescent="0.25">
      <c r="A120" s="270" t="s">
        <v>1213</v>
      </c>
      <c r="B120" s="3" t="s">
        <v>985</v>
      </c>
      <c r="C120" s="2">
        <v>0</v>
      </c>
      <c r="D120" s="2">
        <v>0</v>
      </c>
      <c r="E120" s="2"/>
      <c r="F120" s="2"/>
      <c r="G120" s="2" t="s">
        <v>2528</v>
      </c>
      <c r="H120" s="293">
        <v>22000</v>
      </c>
      <c r="I120" s="293"/>
      <c r="J120" s="126">
        <f t="shared" si="8"/>
        <v>22000</v>
      </c>
      <c r="K120" s="310">
        <v>43759</v>
      </c>
      <c r="L120" s="2">
        <v>0</v>
      </c>
      <c r="M120" s="313">
        <f t="shared" si="9"/>
        <v>43759</v>
      </c>
      <c r="N120" s="2" t="str">
        <f t="shared" si="10"/>
        <v>Pagado</v>
      </c>
      <c r="O120" s="310">
        <v>43770</v>
      </c>
      <c r="P120" s="293">
        <v>22000</v>
      </c>
      <c r="Q120" s="2" t="s">
        <v>1481</v>
      </c>
      <c r="R120" s="2"/>
      <c r="S120" s="2"/>
      <c r="T120" s="313"/>
      <c r="U120" s="392"/>
      <c r="V120" s="2"/>
      <c r="W120" s="108"/>
      <c r="X120" s="310"/>
      <c r="Y120" s="2"/>
      <c r="Z120" s="131" t="s">
        <v>1467</v>
      </c>
      <c r="AA120" s="108" t="str">
        <f t="shared" si="11"/>
        <v/>
      </c>
      <c r="AB120" s="2"/>
      <c r="AC120" s="131">
        <f t="shared" si="12"/>
        <v>18487.394957983193</v>
      </c>
      <c r="AD120" s="108">
        <f t="shared" si="13"/>
        <v>3512.6050420168067</v>
      </c>
      <c r="AE120" s="2" t="s">
        <v>1501</v>
      </c>
      <c r="AF120" s="23" t="s">
        <v>3489</v>
      </c>
      <c r="AG120" s="2" t="str">
        <f t="shared" si="14"/>
        <v>SI</v>
      </c>
      <c r="AH120" s="14"/>
      <c r="AI120" s="23"/>
      <c r="AJ120" s="2" t="str">
        <f t="shared" si="15"/>
        <v>NV</v>
      </c>
      <c r="AK120" s="294"/>
    </row>
    <row r="121" spans="1:37" ht="15.75" customHeight="1" x14ac:dyDescent="0.25">
      <c r="A121" s="270" t="s">
        <v>1262</v>
      </c>
      <c r="B121" s="3" t="s">
        <v>1931</v>
      </c>
      <c r="C121" s="2">
        <v>0</v>
      </c>
      <c r="D121" s="2">
        <v>2617</v>
      </c>
      <c r="E121" s="2"/>
      <c r="F121" s="2"/>
      <c r="G121" s="2">
        <v>5992</v>
      </c>
      <c r="H121" s="293">
        <v>38000</v>
      </c>
      <c r="I121" s="293"/>
      <c r="J121" s="126">
        <f t="shared" si="8"/>
        <v>38000</v>
      </c>
      <c r="K121" s="310">
        <v>43759</v>
      </c>
      <c r="L121" s="2">
        <v>0</v>
      </c>
      <c r="M121" s="9">
        <f t="shared" si="9"/>
        <v>43759</v>
      </c>
      <c r="N121" s="2" t="str">
        <f t="shared" si="10"/>
        <v>Pagado</v>
      </c>
      <c r="O121" s="310">
        <v>43759</v>
      </c>
      <c r="P121" s="293">
        <v>38000</v>
      </c>
      <c r="Q121" s="2" t="s">
        <v>1484</v>
      </c>
      <c r="R121" s="2"/>
      <c r="S121" s="2"/>
      <c r="T121" s="313" t="s">
        <v>1493</v>
      </c>
      <c r="U121" s="392"/>
      <c r="V121" s="2"/>
      <c r="W121" s="108"/>
      <c r="X121" s="310"/>
      <c r="Y121" s="2"/>
      <c r="Z121" s="131" t="s">
        <v>1467</v>
      </c>
      <c r="AA121" s="108" t="str">
        <f t="shared" si="11"/>
        <v/>
      </c>
      <c r="AB121" s="2"/>
      <c r="AC121" s="131">
        <f t="shared" si="12"/>
        <v>31932.773109243699</v>
      </c>
      <c r="AD121" s="108">
        <f t="shared" si="13"/>
        <v>6067.2268907563011</v>
      </c>
      <c r="AE121" s="2" t="s">
        <v>1501</v>
      </c>
      <c r="AF121" s="23" t="s">
        <v>3489</v>
      </c>
      <c r="AG121" s="2" t="str">
        <f t="shared" si="14"/>
        <v>SI</v>
      </c>
      <c r="AH121" s="14"/>
      <c r="AI121" s="23"/>
      <c r="AJ121" s="2" t="str">
        <f t="shared" si="15"/>
        <v>NV</v>
      </c>
      <c r="AK121" s="294"/>
    </row>
    <row r="122" spans="1:37" ht="15.75" customHeight="1" x14ac:dyDescent="0.25">
      <c r="A122" s="270" t="s">
        <v>2619</v>
      </c>
      <c r="B122" s="3" t="s">
        <v>3361</v>
      </c>
      <c r="C122" s="2">
        <v>0</v>
      </c>
      <c r="D122" s="2">
        <v>2619</v>
      </c>
      <c r="E122" s="2"/>
      <c r="F122" s="2"/>
      <c r="G122" s="2">
        <v>5990</v>
      </c>
      <c r="H122" s="293">
        <v>29900</v>
      </c>
      <c r="I122" s="293"/>
      <c r="J122" s="126">
        <f t="shared" si="8"/>
        <v>29900</v>
      </c>
      <c r="K122" s="310">
        <v>43759</v>
      </c>
      <c r="L122" s="2">
        <v>0</v>
      </c>
      <c r="M122" s="9">
        <f t="shared" si="9"/>
        <v>43759</v>
      </c>
      <c r="N122" s="2" t="str">
        <f t="shared" si="10"/>
        <v>Pagado</v>
      </c>
      <c r="O122" s="310">
        <v>43759</v>
      </c>
      <c r="P122" s="293">
        <v>29900</v>
      </c>
      <c r="Q122" s="2" t="s">
        <v>1484</v>
      </c>
      <c r="R122" s="2"/>
      <c r="S122" s="2"/>
      <c r="T122" s="313" t="s">
        <v>1496</v>
      </c>
      <c r="U122" s="392"/>
      <c r="V122" s="2"/>
      <c r="W122" s="108"/>
      <c r="X122" s="310"/>
      <c r="Y122" s="2"/>
      <c r="Z122" s="131" t="s">
        <v>1467</v>
      </c>
      <c r="AA122" s="108" t="str">
        <f t="shared" si="11"/>
        <v/>
      </c>
      <c r="AB122" s="2"/>
      <c r="AC122" s="131">
        <f t="shared" si="12"/>
        <v>25126.050420168067</v>
      </c>
      <c r="AD122" s="108">
        <f t="shared" si="13"/>
        <v>4773.9495798319331</v>
      </c>
      <c r="AE122" s="2" t="s">
        <v>1501</v>
      </c>
      <c r="AF122" s="23" t="s">
        <v>3489</v>
      </c>
      <c r="AG122" s="2" t="str">
        <f t="shared" si="14"/>
        <v>SI</v>
      </c>
      <c r="AH122" s="14"/>
      <c r="AI122" s="23"/>
      <c r="AJ122" s="2" t="str">
        <f t="shared" si="15"/>
        <v>NV</v>
      </c>
      <c r="AK122" s="294"/>
    </row>
    <row r="123" spans="1:37" ht="15.75" customHeight="1" x14ac:dyDescent="0.25">
      <c r="A123" s="270" t="s">
        <v>1250</v>
      </c>
      <c r="B123" s="3" t="s">
        <v>3398</v>
      </c>
      <c r="C123" s="2">
        <v>0</v>
      </c>
      <c r="D123" s="2">
        <v>2618</v>
      </c>
      <c r="E123" s="2"/>
      <c r="F123" s="2"/>
      <c r="G123" s="2">
        <v>5986</v>
      </c>
      <c r="H123" s="293">
        <v>30460</v>
      </c>
      <c r="I123" s="293"/>
      <c r="J123" s="126">
        <f t="shared" si="8"/>
        <v>30460</v>
      </c>
      <c r="K123" s="310">
        <v>43759</v>
      </c>
      <c r="L123" s="2">
        <v>0</v>
      </c>
      <c r="M123" s="9">
        <f t="shared" si="9"/>
        <v>43759</v>
      </c>
      <c r="N123" s="2" t="str">
        <f t="shared" si="10"/>
        <v>Pagado</v>
      </c>
      <c r="O123" s="310">
        <v>43759</v>
      </c>
      <c r="P123" s="293">
        <v>30460</v>
      </c>
      <c r="Q123" s="2" t="s">
        <v>1484</v>
      </c>
      <c r="R123" s="2"/>
      <c r="S123" s="2"/>
      <c r="T123" s="313" t="s">
        <v>1488</v>
      </c>
      <c r="U123" s="392"/>
      <c r="V123" s="2"/>
      <c r="W123" s="108"/>
      <c r="X123" s="310"/>
      <c r="Y123" s="2"/>
      <c r="Z123" s="131" t="s">
        <v>1467</v>
      </c>
      <c r="AA123" s="108" t="str">
        <f t="shared" si="11"/>
        <v/>
      </c>
      <c r="AB123" s="2"/>
      <c r="AC123" s="131">
        <f t="shared" si="12"/>
        <v>25596.638655462186</v>
      </c>
      <c r="AD123" s="108">
        <f t="shared" si="13"/>
        <v>4863.3613445378141</v>
      </c>
      <c r="AE123" s="2" t="s">
        <v>1501</v>
      </c>
      <c r="AF123" s="23" t="s">
        <v>3489</v>
      </c>
      <c r="AG123" s="2" t="str">
        <f t="shared" si="14"/>
        <v>SI</v>
      </c>
      <c r="AH123" s="14"/>
      <c r="AI123" s="23"/>
      <c r="AJ123" s="2" t="str">
        <f t="shared" si="15"/>
        <v>NV</v>
      </c>
      <c r="AK123" s="294"/>
    </row>
    <row r="124" spans="1:37" ht="15.75" customHeight="1" x14ac:dyDescent="0.25">
      <c r="A124" s="270" t="s">
        <v>5282</v>
      </c>
      <c r="B124" s="3" t="s">
        <v>5283</v>
      </c>
      <c r="C124" s="2">
        <v>0</v>
      </c>
      <c r="D124" s="2">
        <v>154</v>
      </c>
      <c r="E124" s="2"/>
      <c r="F124" s="2"/>
      <c r="G124" s="2">
        <v>5994</v>
      </c>
      <c r="H124" s="293">
        <v>14800</v>
      </c>
      <c r="I124" s="293"/>
      <c r="J124" s="126">
        <f t="shared" si="8"/>
        <v>14800</v>
      </c>
      <c r="K124" s="310">
        <v>43759</v>
      </c>
      <c r="L124" s="2">
        <v>0</v>
      </c>
      <c r="M124" s="9">
        <f t="shared" si="9"/>
        <v>43759</v>
      </c>
      <c r="N124" s="2" t="str">
        <f t="shared" si="10"/>
        <v>Pagado</v>
      </c>
      <c r="O124" s="310">
        <v>43759</v>
      </c>
      <c r="P124" s="293">
        <v>14800</v>
      </c>
      <c r="Q124" s="2" t="s">
        <v>1070</v>
      </c>
      <c r="R124" s="2" t="s">
        <v>2243</v>
      </c>
      <c r="S124" s="2">
        <v>154</v>
      </c>
      <c r="T124" s="9"/>
      <c r="U124" s="392"/>
      <c r="V124" s="2"/>
      <c r="W124" s="108"/>
      <c r="X124" s="310"/>
      <c r="Y124" s="2"/>
      <c r="Z124" s="131" t="s">
        <v>1467</v>
      </c>
      <c r="AA124" s="108" t="str">
        <f t="shared" si="11"/>
        <v/>
      </c>
      <c r="AB124" s="2"/>
      <c r="AC124" s="131">
        <f t="shared" si="12"/>
        <v>12436.974789915967</v>
      </c>
      <c r="AD124" s="108">
        <f t="shared" si="13"/>
        <v>2363.0252100840335</v>
      </c>
      <c r="AE124" s="2" t="s">
        <v>1501</v>
      </c>
      <c r="AF124" s="23" t="s">
        <v>3487</v>
      </c>
      <c r="AG124" s="2" t="str">
        <f t="shared" si="14"/>
        <v>SI</v>
      </c>
      <c r="AH124" s="14"/>
      <c r="AI124" s="23"/>
      <c r="AJ124" s="2" t="str">
        <f t="shared" si="15"/>
        <v>NV</v>
      </c>
      <c r="AK124" s="294"/>
    </row>
    <row r="125" spans="1:37" ht="15.75" customHeight="1" x14ac:dyDescent="0.25">
      <c r="A125" s="270" t="s">
        <v>4791</v>
      </c>
      <c r="B125" s="3" t="s">
        <v>4792</v>
      </c>
      <c r="C125" s="2">
        <v>0</v>
      </c>
      <c r="D125" s="2">
        <v>155</v>
      </c>
      <c r="E125" s="2"/>
      <c r="F125" s="2"/>
      <c r="G125" s="2">
        <v>5993</v>
      </c>
      <c r="H125" s="293">
        <v>71000</v>
      </c>
      <c r="I125" s="293"/>
      <c r="J125" s="126">
        <f t="shared" si="8"/>
        <v>71000</v>
      </c>
      <c r="K125" s="310">
        <v>43759</v>
      </c>
      <c r="L125" s="2">
        <v>0</v>
      </c>
      <c r="M125" s="9">
        <f t="shared" si="9"/>
        <v>43759</v>
      </c>
      <c r="N125" s="2" t="str">
        <f t="shared" si="10"/>
        <v>Pagado</v>
      </c>
      <c r="O125" s="310">
        <v>43759</v>
      </c>
      <c r="P125" s="293">
        <v>71000</v>
      </c>
      <c r="Q125" s="2" t="s">
        <v>1070</v>
      </c>
      <c r="R125" s="2" t="s">
        <v>2243</v>
      </c>
      <c r="S125" s="2">
        <v>155</v>
      </c>
      <c r="T125" s="9"/>
      <c r="U125" s="392"/>
      <c r="V125" s="2"/>
      <c r="W125" s="108"/>
      <c r="X125" s="310"/>
      <c r="Y125" s="2"/>
      <c r="Z125" s="131" t="s">
        <v>1467</v>
      </c>
      <c r="AA125" s="108" t="str">
        <f t="shared" si="11"/>
        <v/>
      </c>
      <c r="AB125" s="2"/>
      <c r="AC125" s="131">
        <f t="shared" si="12"/>
        <v>59663.865546218491</v>
      </c>
      <c r="AD125" s="108">
        <f t="shared" si="13"/>
        <v>11336.134453781509</v>
      </c>
      <c r="AE125" s="2" t="s">
        <v>1501</v>
      </c>
      <c r="AF125" s="23" t="s">
        <v>3487</v>
      </c>
      <c r="AG125" s="2" t="str">
        <f t="shared" si="14"/>
        <v>SI</v>
      </c>
      <c r="AH125" s="14"/>
      <c r="AI125" s="23"/>
      <c r="AJ125" s="2" t="str">
        <f t="shared" si="15"/>
        <v>NV</v>
      </c>
      <c r="AK125" s="294"/>
    </row>
    <row r="126" spans="1:37" ht="15.75" customHeight="1" x14ac:dyDescent="0.25">
      <c r="A126" s="270" t="s">
        <v>3236</v>
      </c>
      <c r="B126" s="3" t="s">
        <v>3237</v>
      </c>
      <c r="C126" s="2">
        <v>0</v>
      </c>
      <c r="D126" s="2">
        <v>153</v>
      </c>
      <c r="E126" s="2"/>
      <c r="F126" s="2"/>
      <c r="G126" s="2">
        <v>5989</v>
      </c>
      <c r="H126" s="293">
        <v>14800</v>
      </c>
      <c r="I126" s="293"/>
      <c r="J126" s="126">
        <f t="shared" si="8"/>
        <v>14800</v>
      </c>
      <c r="K126" s="310">
        <v>43759</v>
      </c>
      <c r="L126" s="2">
        <v>0</v>
      </c>
      <c r="M126" s="9">
        <f t="shared" si="9"/>
        <v>43759</v>
      </c>
      <c r="N126" s="2" t="str">
        <f t="shared" si="10"/>
        <v>Pagado</v>
      </c>
      <c r="O126" s="310">
        <v>43759</v>
      </c>
      <c r="P126" s="293">
        <v>14800</v>
      </c>
      <c r="Q126" s="2" t="s">
        <v>1070</v>
      </c>
      <c r="R126" s="2" t="s">
        <v>2243</v>
      </c>
      <c r="S126" s="2">
        <v>153</v>
      </c>
      <c r="T126" s="9"/>
      <c r="U126" s="392"/>
      <c r="V126" s="2"/>
      <c r="W126" s="108"/>
      <c r="X126" s="310"/>
      <c r="Y126" s="2"/>
      <c r="Z126" s="131" t="s">
        <v>1467</v>
      </c>
      <c r="AA126" s="108" t="str">
        <f t="shared" si="11"/>
        <v/>
      </c>
      <c r="AB126" s="2"/>
      <c r="AC126" s="131">
        <f t="shared" si="12"/>
        <v>12436.974789915967</v>
      </c>
      <c r="AD126" s="108">
        <f t="shared" si="13"/>
        <v>2363.0252100840335</v>
      </c>
      <c r="AE126" s="2" t="s">
        <v>1501</v>
      </c>
      <c r="AF126" s="23" t="s">
        <v>3489</v>
      </c>
      <c r="AG126" s="2" t="str">
        <f t="shared" si="14"/>
        <v>SI</v>
      </c>
      <c r="AH126" s="14"/>
      <c r="AI126" s="23"/>
      <c r="AJ126" s="2" t="str">
        <f t="shared" si="15"/>
        <v>NV</v>
      </c>
      <c r="AK126" s="294"/>
    </row>
    <row r="127" spans="1:37" ht="15.75" customHeight="1" x14ac:dyDescent="0.25">
      <c r="A127" s="270" t="s">
        <v>2011</v>
      </c>
      <c r="B127" s="3" t="s">
        <v>2162</v>
      </c>
      <c r="C127" s="2">
        <v>0</v>
      </c>
      <c r="D127" s="2">
        <v>2620</v>
      </c>
      <c r="E127" s="2"/>
      <c r="F127" s="2"/>
      <c r="G127" s="2">
        <v>5991</v>
      </c>
      <c r="H127" s="293">
        <v>19900</v>
      </c>
      <c r="I127" s="293"/>
      <c r="J127" s="126">
        <f t="shared" si="8"/>
        <v>19900</v>
      </c>
      <c r="K127" s="310">
        <v>43759</v>
      </c>
      <c r="L127" s="2">
        <v>0</v>
      </c>
      <c r="M127" s="9">
        <f t="shared" si="9"/>
        <v>43759</v>
      </c>
      <c r="N127" s="2" t="str">
        <f t="shared" si="10"/>
        <v>Pagado</v>
      </c>
      <c r="O127" s="310">
        <v>43759</v>
      </c>
      <c r="P127" s="293">
        <v>19900</v>
      </c>
      <c r="Q127" s="2" t="s">
        <v>1484</v>
      </c>
      <c r="R127" s="2"/>
      <c r="S127" s="2"/>
      <c r="T127" s="9" t="s">
        <v>1496</v>
      </c>
      <c r="U127" s="392"/>
      <c r="V127" s="2"/>
      <c r="W127" s="108"/>
      <c r="X127" s="310"/>
      <c r="Y127" s="2"/>
      <c r="Z127" s="131" t="s">
        <v>1467</v>
      </c>
      <c r="AA127" s="108" t="str">
        <f t="shared" si="11"/>
        <v/>
      </c>
      <c r="AB127" s="2"/>
      <c r="AC127" s="131">
        <f t="shared" si="12"/>
        <v>16722.689075630253</v>
      </c>
      <c r="AD127" s="108">
        <f t="shared" si="13"/>
        <v>3177.3109243697472</v>
      </c>
      <c r="AE127" s="2" t="s">
        <v>1501</v>
      </c>
      <c r="AF127" s="23" t="s">
        <v>3487</v>
      </c>
      <c r="AG127" s="2" t="str">
        <f t="shared" si="14"/>
        <v>SI</v>
      </c>
      <c r="AH127" s="14"/>
      <c r="AI127" s="23"/>
      <c r="AJ127" s="2" t="str">
        <f t="shared" si="15"/>
        <v>NV</v>
      </c>
      <c r="AK127" s="294"/>
    </row>
    <row r="128" spans="1:37" ht="15.75" customHeight="1" x14ac:dyDescent="0.25">
      <c r="A128" s="270" t="s">
        <v>1210</v>
      </c>
      <c r="B128" s="3" t="s">
        <v>1045</v>
      </c>
      <c r="C128" s="2">
        <v>0</v>
      </c>
      <c r="D128" s="2">
        <v>0</v>
      </c>
      <c r="E128" s="2"/>
      <c r="F128" s="2"/>
      <c r="G128" s="2">
        <v>6023</v>
      </c>
      <c r="H128" s="293">
        <v>20200</v>
      </c>
      <c r="I128" s="293"/>
      <c r="J128" s="126">
        <f t="shared" si="8"/>
        <v>20200</v>
      </c>
      <c r="K128" s="310">
        <v>43759</v>
      </c>
      <c r="L128" s="2">
        <v>0</v>
      </c>
      <c r="M128" s="9">
        <f t="shared" si="9"/>
        <v>43759</v>
      </c>
      <c r="N128" s="2" t="str">
        <f t="shared" si="10"/>
        <v>Pagado</v>
      </c>
      <c r="O128" s="310">
        <v>43794</v>
      </c>
      <c r="P128" s="293">
        <v>20200</v>
      </c>
      <c r="Q128" s="2" t="s">
        <v>1484</v>
      </c>
      <c r="R128" s="2"/>
      <c r="S128" s="2"/>
      <c r="T128" s="313" t="s">
        <v>1488</v>
      </c>
      <c r="U128" s="392"/>
      <c r="V128" s="2"/>
      <c r="W128" s="108"/>
      <c r="X128" s="310"/>
      <c r="Y128" s="2"/>
      <c r="Z128" s="131" t="s">
        <v>1467</v>
      </c>
      <c r="AA128" s="108" t="str">
        <f t="shared" si="11"/>
        <v/>
      </c>
      <c r="AB128" s="2"/>
      <c r="AC128" s="131">
        <f t="shared" si="12"/>
        <v>16974.789915966387</v>
      </c>
      <c r="AD128" s="108">
        <f t="shared" si="13"/>
        <v>3225.2100840336134</v>
      </c>
      <c r="AE128" s="2" t="s">
        <v>1501</v>
      </c>
      <c r="AF128" s="23" t="s">
        <v>3489</v>
      </c>
      <c r="AG128" s="2" t="str">
        <f t="shared" si="14"/>
        <v>SI</v>
      </c>
      <c r="AH128" s="14"/>
      <c r="AI128" s="23"/>
      <c r="AJ128" s="2" t="str">
        <f t="shared" si="15"/>
        <v>NV</v>
      </c>
      <c r="AK128" s="294"/>
    </row>
    <row r="129" spans="1:37" ht="15.75" customHeight="1" x14ac:dyDescent="0.25">
      <c r="A129" s="270" t="s">
        <v>3649</v>
      </c>
      <c r="B129" s="3" t="s">
        <v>3650</v>
      </c>
      <c r="C129" s="2">
        <v>0</v>
      </c>
      <c r="D129" s="2">
        <v>152</v>
      </c>
      <c r="E129" s="2"/>
      <c r="F129" s="2"/>
      <c r="G129" s="2">
        <v>5988</v>
      </c>
      <c r="H129" s="293">
        <v>19700</v>
      </c>
      <c r="I129" s="293"/>
      <c r="J129" s="126">
        <f t="shared" si="8"/>
        <v>19700</v>
      </c>
      <c r="K129" s="310">
        <v>43759</v>
      </c>
      <c r="L129" s="2">
        <v>0</v>
      </c>
      <c r="M129" s="9">
        <f t="shared" si="9"/>
        <v>43759</v>
      </c>
      <c r="N129" s="2" t="str">
        <f t="shared" si="10"/>
        <v>Pagado</v>
      </c>
      <c r="O129" s="310">
        <v>43759</v>
      </c>
      <c r="P129" s="293">
        <v>19700</v>
      </c>
      <c r="Q129" s="2" t="s">
        <v>1070</v>
      </c>
      <c r="R129" s="2" t="s">
        <v>2243</v>
      </c>
      <c r="S129" s="2">
        <v>152</v>
      </c>
      <c r="T129" s="9"/>
      <c r="U129" s="392"/>
      <c r="V129" s="2"/>
      <c r="W129" s="108"/>
      <c r="X129" s="310"/>
      <c r="Y129" s="2"/>
      <c r="Z129" s="131" t="s">
        <v>1467</v>
      </c>
      <c r="AA129" s="108" t="str">
        <f t="shared" si="11"/>
        <v/>
      </c>
      <c r="AB129" s="2"/>
      <c r="AC129" s="131">
        <f t="shared" si="12"/>
        <v>16554.621848739498</v>
      </c>
      <c r="AD129" s="108">
        <f t="shared" si="13"/>
        <v>3145.3781512605019</v>
      </c>
      <c r="AE129" s="2" t="s">
        <v>1501</v>
      </c>
      <c r="AF129" s="23" t="s">
        <v>3489</v>
      </c>
      <c r="AG129" s="2" t="str">
        <f t="shared" si="14"/>
        <v>SI</v>
      </c>
      <c r="AH129" s="14"/>
      <c r="AI129" s="23"/>
      <c r="AJ129" s="2" t="str">
        <f t="shared" si="15"/>
        <v>NV</v>
      </c>
      <c r="AK129" s="294"/>
    </row>
    <row r="130" spans="1:37" ht="15.75" customHeight="1" x14ac:dyDescent="0.25">
      <c r="A130" s="270" t="s">
        <v>1218</v>
      </c>
      <c r="B130" s="3" t="s">
        <v>1075</v>
      </c>
      <c r="C130" s="2">
        <v>0</v>
      </c>
      <c r="D130" s="2">
        <v>0</v>
      </c>
      <c r="E130" s="2"/>
      <c r="F130" s="2"/>
      <c r="G130" s="2">
        <v>5987</v>
      </c>
      <c r="H130" s="293">
        <v>23700</v>
      </c>
      <c r="I130" s="293"/>
      <c r="J130" s="126">
        <f t="shared" si="8"/>
        <v>23700</v>
      </c>
      <c r="K130" s="310">
        <v>43759</v>
      </c>
      <c r="L130" s="2">
        <v>0</v>
      </c>
      <c r="M130" s="9">
        <f t="shared" si="9"/>
        <v>43759</v>
      </c>
      <c r="N130" s="2" t="str">
        <f t="shared" si="10"/>
        <v>Pagado</v>
      </c>
      <c r="O130" s="310">
        <v>43760</v>
      </c>
      <c r="P130" s="293">
        <v>23700</v>
      </c>
      <c r="Q130" s="2" t="s">
        <v>1484</v>
      </c>
      <c r="R130" s="2"/>
      <c r="S130" s="2"/>
      <c r="T130" s="313" t="s">
        <v>1462</v>
      </c>
      <c r="U130" s="392"/>
      <c r="V130" s="2"/>
      <c r="W130" s="108"/>
      <c r="X130" s="310"/>
      <c r="Y130" s="2"/>
      <c r="Z130" s="131" t="s">
        <v>1467</v>
      </c>
      <c r="AA130" s="108" t="str">
        <f t="shared" si="11"/>
        <v/>
      </c>
      <c r="AB130" s="2"/>
      <c r="AC130" s="131">
        <f t="shared" si="12"/>
        <v>19915.966386554624</v>
      </c>
      <c r="AD130" s="108">
        <f t="shared" si="13"/>
        <v>3784.0336134453755</v>
      </c>
      <c r="AE130" s="2" t="s">
        <v>1501</v>
      </c>
      <c r="AF130" s="23" t="s">
        <v>3489</v>
      </c>
      <c r="AG130" s="2" t="str">
        <f t="shared" si="14"/>
        <v>SI</v>
      </c>
      <c r="AH130" s="14"/>
      <c r="AI130" s="23"/>
      <c r="AJ130" s="2" t="str">
        <f t="shared" si="15"/>
        <v>NV</v>
      </c>
      <c r="AK130" s="294"/>
    </row>
    <row r="131" spans="1:37" ht="15.75" customHeight="1" x14ac:dyDescent="0.25">
      <c r="A131" s="270" t="s">
        <v>4034</v>
      </c>
      <c r="B131" s="3" t="s">
        <v>4035</v>
      </c>
      <c r="C131" s="2">
        <v>0</v>
      </c>
      <c r="D131" s="2">
        <v>0</v>
      </c>
      <c r="E131" s="2"/>
      <c r="F131" s="2"/>
      <c r="G131" s="2">
        <v>5983</v>
      </c>
      <c r="H131" s="293">
        <v>15700</v>
      </c>
      <c r="I131" s="293"/>
      <c r="J131" s="126">
        <f t="shared" ref="J131:J194" si="16">+H131+I131</f>
        <v>15700</v>
      </c>
      <c r="K131" s="310">
        <v>43759</v>
      </c>
      <c r="L131" s="2">
        <v>0</v>
      </c>
      <c r="M131" s="9">
        <f t="shared" ref="M131:M194" si="17">+L131+K131</f>
        <v>43759</v>
      </c>
      <c r="N131" s="2" t="str">
        <f t="shared" ref="N131:N194" si="18">+IF(J131=0,"Nulo",IF(P131&gt;=J131,"Pagado",IF(P131&gt;0,"Abonado",IF(M131&lt;$M$1,"Vencido",IF(J131&gt;P131,"Pendiente","Vencido")))))</f>
        <v>Pagado</v>
      </c>
      <c r="O131" s="310">
        <v>43760</v>
      </c>
      <c r="P131" s="293">
        <v>15700</v>
      </c>
      <c r="Q131" s="2" t="s">
        <v>1484</v>
      </c>
      <c r="R131" s="2"/>
      <c r="S131" s="2"/>
      <c r="T131" s="313" t="s">
        <v>1496</v>
      </c>
      <c r="U131" s="392"/>
      <c r="V131" s="2"/>
      <c r="W131" s="108"/>
      <c r="X131" s="310"/>
      <c r="Y131" s="2"/>
      <c r="Z131" s="131" t="s">
        <v>1467</v>
      </c>
      <c r="AA131" s="108" t="str">
        <f t="shared" ref="AA131:AA194" si="19">+IF(LEFT(Q131,6)="Cheque",IF(T131="Chile","Chile","Otros"),"")</f>
        <v/>
      </c>
      <c r="AB131" s="2"/>
      <c r="AC131" s="131">
        <f t="shared" ref="AC131:AC194" si="20">+IF(C131="","",H131/1.19)</f>
        <v>13193.27731092437</v>
      </c>
      <c r="AD131" s="108">
        <f t="shared" ref="AD131:AD194" si="21">+IF(C131="","",H131-AC131)</f>
        <v>2506.7226890756301</v>
      </c>
      <c r="AE131" s="2" t="s">
        <v>1501</v>
      </c>
      <c r="AF131" s="23" t="s">
        <v>3488</v>
      </c>
      <c r="AG131" s="2" t="str">
        <f t="shared" ref="AG131:AG194" si="22">+IF(N131="Pagado","SI",IF(N131="NULO","SI","NO"))</f>
        <v>SI</v>
      </c>
      <c r="AH131" s="14"/>
      <c r="AI131" s="23"/>
      <c r="AJ131" s="2" t="str">
        <f t="shared" ref="AJ131:AJ194" si="23">+IF(C131=0,"NV","Factura")</f>
        <v>NV</v>
      </c>
      <c r="AK131" s="294"/>
    </row>
    <row r="132" spans="1:37" ht="15.75" customHeight="1" x14ac:dyDescent="0.25">
      <c r="A132" s="270" t="s">
        <v>5288</v>
      </c>
      <c r="B132" s="3" t="s">
        <v>5289</v>
      </c>
      <c r="C132" s="2">
        <v>0</v>
      </c>
      <c r="D132" s="2">
        <v>2626</v>
      </c>
      <c r="E132" s="2"/>
      <c r="F132" s="2"/>
      <c r="G132" s="2">
        <v>5998</v>
      </c>
      <c r="H132" s="293">
        <v>29000</v>
      </c>
      <c r="I132" s="293"/>
      <c r="J132" s="126">
        <f t="shared" si="16"/>
        <v>29000</v>
      </c>
      <c r="K132" s="310">
        <v>43760</v>
      </c>
      <c r="L132" s="2">
        <v>0</v>
      </c>
      <c r="M132" s="9">
        <f t="shared" si="17"/>
        <v>43760</v>
      </c>
      <c r="N132" s="2" t="str">
        <f t="shared" si="18"/>
        <v>Pagado</v>
      </c>
      <c r="O132" s="310">
        <v>43760</v>
      </c>
      <c r="P132" s="293">
        <v>29000</v>
      </c>
      <c r="Q132" s="2" t="s">
        <v>1484</v>
      </c>
      <c r="R132" s="2"/>
      <c r="S132" s="2"/>
      <c r="T132" s="9" t="s">
        <v>1462</v>
      </c>
      <c r="U132" s="392"/>
      <c r="V132" s="2"/>
      <c r="W132" s="108"/>
      <c r="X132" s="310"/>
      <c r="Y132" s="2"/>
      <c r="Z132" s="131" t="s">
        <v>1467</v>
      </c>
      <c r="AA132" s="108" t="str">
        <f t="shared" si="19"/>
        <v/>
      </c>
      <c r="AB132" s="2"/>
      <c r="AC132" s="131">
        <f t="shared" si="20"/>
        <v>24369.747899159665</v>
      </c>
      <c r="AD132" s="108">
        <f t="shared" si="21"/>
        <v>4630.2521008403346</v>
      </c>
      <c r="AE132" s="2" t="s">
        <v>1501</v>
      </c>
      <c r="AF132" s="23" t="s">
        <v>5291</v>
      </c>
      <c r="AG132" s="2" t="str">
        <f t="shared" si="22"/>
        <v>SI</v>
      </c>
      <c r="AH132" s="14"/>
      <c r="AI132" s="23"/>
      <c r="AJ132" s="2" t="str">
        <f t="shared" si="23"/>
        <v>NV</v>
      </c>
      <c r="AK132" s="294"/>
    </row>
    <row r="133" spans="1:37" ht="15.75" customHeight="1" x14ac:dyDescent="0.25">
      <c r="A133" s="270" t="s">
        <v>1267</v>
      </c>
      <c r="B133" s="3" t="s">
        <v>1036</v>
      </c>
      <c r="C133" s="2">
        <v>0</v>
      </c>
      <c r="D133" s="2">
        <v>0</v>
      </c>
      <c r="E133" s="2"/>
      <c r="F133" s="2"/>
      <c r="G133" s="2">
        <v>5995</v>
      </c>
      <c r="H133" s="293">
        <v>19251</v>
      </c>
      <c r="I133" s="293"/>
      <c r="J133" s="126">
        <f t="shared" si="16"/>
        <v>19251</v>
      </c>
      <c r="K133" s="310">
        <v>43760</v>
      </c>
      <c r="L133" s="2">
        <v>0</v>
      </c>
      <c r="M133" s="9">
        <f t="shared" si="17"/>
        <v>43760</v>
      </c>
      <c r="N133" s="2" t="str">
        <f t="shared" si="18"/>
        <v>Pagado</v>
      </c>
      <c r="O133" s="310">
        <v>43760</v>
      </c>
      <c r="P133" s="293">
        <v>19251</v>
      </c>
      <c r="Q133" s="2" t="s">
        <v>1481</v>
      </c>
      <c r="R133" s="2"/>
      <c r="S133" s="2"/>
      <c r="T133" s="9"/>
      <c r="U133" s="392"/>
      <c r="V133" s="2">
        <v>134214</v>
      </c>
      <c r="W133" s="108"/>
      <c r="X133" s="310"/>
      <c r="Y133" s="2"/>
      <c r="Z133" s="131" t="s">
        <v>1467</v>
      </c>
      <c r="AA133" s="108" t="str">
        <f t="shared" si="19"/>
        <v/>
      </c>
      <c r="AB133" s="2"/>
      <c r="AC133" s="131">
        <f t="shared" si="20"/>
        <v>16177.310924369749</v>
      </c>
      <c r="AD133" s="108">
        <f t="shared" si="21"/>
        <v>3073.689075630251</v>
      </c>
      <c r="AE133" s="2" t="s">
        <v>1501</v>
      </c>
      <c r="AF133" s="23" t="s">
        <v>3489</v>
      </c>
      <c r="AG133" s="2" t="str">
        <f t="shared" si="22"/>
        <v>SI</v>
      </c>
      <c r="AH133" s="14"/>
      <c r="AI133" s="23"/>
      <c r="AJ133" s="2" t="str">
        <f t="shared" si="23"/>
        <v>NV</v>
      </c>
      <c r="AK133" s="294"/>
    </row>
    <row r="134" spans="1:37" ht="15.75" customHeight="1" x14ac:dyDescent="0.25">
      <c r="A134" s="270" t="s">
        <v>1300</v>
      </c>
      <c r="B134" s="3" t="s">
        <v>1159</v>
      </c>
      <c r="C134" s="2">
        <v>0</v>
      </c>
      <c r="D134" s="2">
        <v>0</v>
      </c>
      <c r="E134" s="2"/>
      <c r="F134" s="2"/>
      <c r="G134" s="2">
        <v>5984</v>
      </c>
      <c r="H134" s="293">
        <v>33000</v>
      </c>
      <c r="I134" s="293"/>
      <c r="J134" s="126">
        <f t="shared" si="16"/>
        <v>33000</v>
      </c>
      <c r="K134" s="310">
        <v>43760</v>
      </c>
      <c r="L134" s="2">
        <v>0</v>
      </c>
      <c r="M134" s="9">
        <f t="shared" si="17"/>
        <v>43760</v>
      </c>
      <c r="N134" s="2" t="str">
        <f t="shared" si="18"/>
        <v>Pagado</v>
      </c>
      <c r="O134" s="310">
        <v>43763</v>
      </c>
      <c r="P134" s="293">
        <v>33000</v>
      </c>
      <c r="Q134" s="2" t="s">
        <v>1484</v>
      </c>
      <c r="R134" s="2"/>
      <c r="S134" s="2"/>
      <c r="T134" s="9" t="s">
        <v>1488</v>
      </c>
      <c r="U134" s="392"/>
      <c r="V134" s="2"/>
      <c r="W134" s="108"/>
      <c r="X134" s="310"/>
      <c r="Y134" s="2"/>
      <c r="Z134" s="131" t="s">
        <v>1467</v>
      </c>
      <c r="AA134" s="108" t="str">
        <f t="shared" si="19"/>
        <v/>
      </c>
      <c r="AB134" s="2"/>
      <c r="AC134" s="131">
        <f t="shared" si="20"/>
        <v>27731.092436974792</v>
      </c>
      <c r="AD134" s="108">
        <f t="shared" si="21"/>
        <v>5268.9075630252082</v>
      </c>
      <c r="AE134" s="2" t="s">
        <v>1849</v>
      </c>
      <c r="AF134" s="23" t="s">
        <v>3489</v>
      </c>
      <c r="AG134" s="2" t="str">
        <f t="shared" si="22"/>
        <v>SI</v>
      </c>
      <c r="AH134" s="14"/>
      <c r="AI134" s="23"/>
      <c r="AJ134" s="2" t="str">
        <f t="shared" si="23"/>
        <v>NV</v>
      </c>
      <c r="AK134" s="294"/>
    </row>
    <row r="135" spans="1:37" ht="15.75" customHeight="1" x14ac:dyDescent="0.25">
      <c r="A135" s="270" t="s">
        <v>4577</v>
      </c>
      <c r="B135" s="3" t="s">
        <v>4578</v>
      </c>
      <c r="C135" s="2">
        <v>0</v>
      </c>
      <c r="D135" s="2">
        <v>157</v>
      </c>
      <c r="E135" s="2"/>
      <c r="F135" s="2"/>
      <c r="G135" s="2">
        <v>5997</v>
      </c>
      <c r="H135" s="293">
        <v>45400</v>
      </c>
      <c r="I135" s="293"/>
      <c r="J135" s="126">
        <f t="shared" si="16"/>
        <v>45400</v>
      </c>
      <c r="K135" s="310">
        <v>43760</v>
      </c>
      <c r="L135" s="2">
        <v>0</v>
      </c>
      <c r="M135" s="9">
        <f t="shared" si="17"/>
        <v>43760</v>
      </c>
      <c r="N135" s="2" t="str">
        <f t="shared" si="18"/>
        <v>Pagado</v>
      </c>
      <c r="O135" s="310">
        <v>43760</v>
      </c>
      <c r="P135" s="293">
        <v>45400</v>
      </c>
      <c r="Q135" s="2" t="s">
        <v>1070</v>
      </c>
      <c r="R135" s="2" t="s">
        <v>2243</v>
      </c>
      <c r="S135" s="2">
        <v>157</v>
      </c>
      <c r="T135" s="9"/>
      <c r="U135" s="392"/>
      <c r="V135" s="2"/>
      <c r="W135" s="108"/>
      <c r="X135" s="310"/>
      <c r="Y135" s="2"/>
      <c r="Z135" s="131" t="s">
        <v>1467</v>
      </c>
      <c r="AA135" s="108" t="str">
        <f t="shared" si="19"/>
        <v/>
      </c>
      <c r="AB135" s="2"/>
      <c r="AC135" s="131">
        <f t="shared" si="20"/>
        <v>38151.26050420168</v>
      </c>
      <c r="AD135" s="108">
        <f t="shared" si="21"/>
        <v>7248.7394957983197</v>
      </c>
      <c r="AE135" s="2" t="s">
        <v>1501</v>
      </c>
      <c r="AF135" s="23" t="s">
        <v>3487</v>
      </c>
      <c r="AG135" s="2" t="str">
        <f t="shared" si="22"/>
        <v>SI</v>
      </c>
      <c r="AH135" s="14"/>
      <c r="AI135" s="23"/>
      <c r="AJ135" s="2" t="str">
        <f t="shared" si="23"/>
        <v>NV</v>
      </c>
      <c r="AK135" s="294"/>
    </row>
    <row r="136" spans="1:37" ht="15.75" customHeight="1" x14ac:dyDescent="0.25">
      <c r="A136" s="270" t="s">
        <v>5292</v>
      </c>
      <c r="B136" s="3" t="s">
        <v>5293</v>
      </c>
      <c r="C136" s="2">
        <v>0</v>
      </c>
      <c r="D136" s="2">
        <v>2627</v>
      </c>
      <c r="E136" s="2"/>
      <c r="F136" s="2"/>
      <c r="G136" s="2">
        <v>6001</v>
      </c>
      <c r="H136" s="293">
        <v>16500</v>
      </c>
      <c r="I136" s="293"/>
      <c r="J136" s="126">
        <f t="shared" si="16"/>
        <v>16500</v>
      </c>
      <c r="K136" s="310">
        <v>43760</v>
      </c>
      <c r="L136" s="2">
        <v>0</v>
      </c>
      <c r="M136" s="9">
        <f t="shared" si="17"/>
        <v>43760</v>
      </c>
      <c r="N136" s="2" t="str">
        <f t="shared" si="18"/>
        <v>Pagado</v>
      </c>
      <c r="O136" s="310">
        <v>43760</v>
      </c>
      <c r="P136" s="293">
        <v>16500</v>
      </c>
      <c r="Q136" s="2" t="s">
        <v>1484</v>
      </c>
      <c r="R136" s="2"/>
      <c r="S136" s="2"/>
      <c r="T136" s="9" t="s">
        <v>1496</v>
      </c>
      <c r="U136" s="392"/>
      <c r="V136" s="2"/>
      <c r="W136" s="108"/>
      <c r="X136" s="310"/>
      <c r="Y136" s="2"/>
      <c r="Z136" s="131" t="s">
        <v>1467</v>
      </c>
      <c r="AA136" s="108" t="str">
        <f t="shared" si="19"/>
        <v/>
      </c>
      <c r="AB136" s="2"/>
      <c r="AC136" s="131">
        <f t="shared" si="20"/>
        <v>13865.546218487396</v>
      </c>
      <c r="AD136" s="108">
        <f t="shared" si="21"/>
        <v>2634.4537815126041</v>
      </c>
      <c r="AE136" s="2" t="s">
        <v>1501</v>
      </c>
      <c r="AF136" s="23" t="s">
        <v>5295</v>
      </c>
      <c r="AG136" s="2" t="str">
        <f t="shared" si="22"/>
        <v>SI</v>
      </c>
      <c r="AH136" s="14"/>
      <c r="AI136" s="23"/>
      <c r="AJ136" s="2" t="str">
        <f t="shared" si="23"/>
        <v>NV</v>
      </c>
      <c r="AK136" s="294"/>
    </row>
    <row r="137" spans="1:37" ht="15.75" customHeight="1" x14ac:dyDescent="0.25">
      <c r="A137" s="270" t="s">
        <v>5285</v>
      </c>
      <c r="B137" s="3" t="s">
        <v>5286</v>
      </c>
      <c r="C137" s="2">
        <v>0</v>
      </c>
      <c r="D137" s="2">
        <v>2628</v>
      </c>
      <c r="E137" s="2"/>
      <c r="F137" s="2"/>
      <c r="G137" s="2">
        <v>5996</v>
      </c>
      <c r="H137" s="293">
        <v>45400</v>
      </c>
      <c r="I137" s="293"/>
      <c r="J137" s="126">
        <f t="shared" si="16"/>
        <v>45400</v>
      </c>
      <c r="K137" s="310">
        <v>43760</v>
      </c>
      <c r="L137" s="2">
        <v>0</v>
      </c>
      <c r="M137" s="9">
        <f t="shared" si="17"/>
        <v>43760</v>
      </c>
      <c r="N137" s="2" t="str">
        <f t="shared" si="18"/>
        <v>Pagado</v>
      </c>
      <c r="O137" s="310">
        <v>43760</v>
      </c>
      <c r="P137" s="293">
        <v>45400</v>
      </c>
      <c r="Q137" s="2" t="s">
        <v>1481</v>
      </c>
      <c r="R137" s="2"/>
      <c r="S137" s="2"/>
      <c r="T137" s="9"/>
      <c r="U137" s="392"/>
      <c r="V137" s="2"/>
      <c r="W137" s="108"/>
      <c r="X137" s="310"/>
      <c r="Y137" s="2"/>
      <c r="Z137" s="131" t="s">
        <v>1467</v>
      </c>
      <c r="AA137" s="108" t="str">
        <f t="shared" si="19"/>
        <v/>
      </c>
      <c r="AB137" s="2"/>
      <c r="AC137" s="131">
        <f t="shared" si="20"/>
        <v>38151.26050420168</v>
      </c>
      <c r="AD137" s="108">
        <f t="shared" si="21"/>
        <v>7248.7394957983197</v>
      </c>
      <c r="AE137" s="2" t="s">
        <v>1501</v>
      </c>
      <c r="AF137" s="23" t="s">
        <v>3487</v>
      </c>
      <c r="AG137" s="2" t="str">
        <f t="shared" si="22"/>
        <v>SI</v>
      </c>
      <c r="AH137" s="14"/>
      <c r="AI137" s="23"/>
      <c r="AJ137" s="2" t="str">
        <f t="shared" si="23"/>
        <v>NV</v>
      </c>
      <c r="AK137" s="294"/>
    </row>
    <row r="138" spans="1:37" ht="15.75" customHeight="1" x14ac:dyDescent="0.25">
      <c r="A138" s="270" t="s">
        <v>4583</v>
      </c>
      <c r="B138" s="3" t="s">
        <v>4584</v>
      </c>
      <c r="C138" s="2">
        <v>0</v>
      </c>
      <c r="D138" s="2">
        <v>2629</v>
      </c>
      <c r="E138" s="2"/>
      <c r="F138" s="2"/>
      <c r="G138" s="2">
        <v>6002</v>
      </c>
      <c r="H138" s="293">
        <v>15500</v>
      </c>
      <c r="I138" s="293"/>
      <c r="J138" s="126">
        <f t="shared" si="16"/>
        <v>15500</v>
      </c>
      <c r="K138" s="310">
        <v>43760</v>
      </c>
      <c r="L138" s="2">
        <v>0</v>
      </c>
      <c r="M138" s="9">
        <f t="shared" si="17"/>
        <v>43760</v>
      </c>
      <c r="N138" s="2" t="str">
        <f t="shared" si="18"/>
        <v>Pagado</v>
      </c>
      <c r="O138" s="310">
        <v>43760</v>
      </c>
      <c r="P138" s="293">
        <v>15500</v>
      </c>
      <c r="Q138" s="2" t="s">
        <v>1481</v>
      </c>
      <c r="R138" s="2"/>
      <c r="S138" s="2"/>
      <c r="T138" s="9"/>
      <c r="U138" s="392"/>
      <c r="V138" s="2"/>
      <c r="W138" s="108"/>
      <c r="X138" s="310"/>
      <c r="Y138" s="2"/>
      <c r="Z138" s="131" t="s">
        <v>1467</v>
      </c>
      <c r="AA138" s="108" t="str">
        <f t="shared" si="19"/>
        <v/>
      </c>
      <c r="AB138" s="2"/>
      <c r="AC138" s="131">
        <f t="shared" si="20"/>
        <v>13025.210084033613</v>
      </c>
      <c r="AD138" s="108">
        <f t="shared" si="21"/>
        <v>2474.7899159663866</v>
      </c>
      <c r="AE138" s="2" t="s">
        <v>1501</v>
      </c>
      <c r="AF138" s="23" t="s">
        <v>3487</v>
      </c>
      <c r="AG138" s="2" t="str">
        <f t="shared" si="22"/>
        <v>SI</v>
      </c>
      <c r="AH138" s="14"/>
      <c r="AI138" s="23"/>
      <c r="AJ138" s="2" t="str">
        <f t="shared" si="23"/>
        <v>NV</v>
      </c>
      <c r="AK138" s="294"/>
    </row>
    <row r="139" spans="1:37" ht="15.75" customHeight="1" x14ac:dyDescent="0.25">
      <c r="A139" s="270" t="s">
        <v>5296</v>
      </c>
      <c r="B139" s="3" t="s">
        <v>5297</v>
      </c>
      <c r="C139" s="2">
        <v>0</v>
      </c>
      <c r="D139" s="2">
        <v>2624</v>
      </c>
      <c r="E139" s="2"/>
      <c r="F139" s="2"/>
      <c r="G139" s="2">
        <v>6003</v>
      </c>
      <c r="H139" s="293">
        <v>22700</v>
      </c>
      <c r="I139" s="293"/>
      <c r="J139" s="126">
        <f t="shared" si="16"/>
        <v>22700</v>
      </c>
      <c r="K139" s="310">
        <v>43760</v>
      </c>
      <c r="L139" s="2">
        <v>0</v>
      </c>
      <c r="M139" s="9">
        <f t="shared" si="17"/>
        <v>43760</v>
      </c>
      <c r="N139" s="2" t="str">
        <f t="shared" si="18"/>
        <v>Pagado</v>
      </c>
      <c r="O139" s="310">
        <v>43760</v>
      </c>
      <c r="P139" s="293">
        <v>22700</v>
      </c>
      <c r="Q139" s="2" t="s">
        <v>1484</v>
      </c>
      <c r="R139" s="2"/>
      <c r="S139" s="2"/>
      <c r="T139" s="9" t="s">
        <v>1496</v>
      </c>
      <c r="U139" s="392"/>
      <c r="V139" s="2"/>
      <c r="W139" s="108"/>
      <c r="X139" s="310"/>
      <c r="Y139" s="2"/>
      <c r="Z139" s="131" t="s">
        <v>1467</v>
      </c>
      <c r="AA139" s="108" t="str">
        <f t="shared" si="19"/>
        <v/>
      </c>
      <c r="AB139" s="2"/>
      <c r="AC139" s="131">
        <f t="shared" si="20"/>
        <v>19075.63025210084</v>
      </c>
      <c r="AD139" s="108">
        <f t="shared" si="21"/>
        <v>3624.3697478991598</v>
      </c>
      <c r="AE139" s="2" t="s">
        <v>1501</v>
      </c>
      <c r="AF139" s="23" t="s">
        <v>5298</v>
      </c>
      <c r="AG139" s="2" t="str">
        <f t="shared" si="22"/>
        <v>SI</v>
      </c>
      <c r="AH139" s="14"/>
      <c r="AI139" s="23"/>
      <c r="AJ139" s="2" t="str">
        <f t="shared" si="23"/>
        <v>NV</v>
      </c>
      <c r="AK139" s="294"/>
    </row>
    <row r="140" spans="1:37" ht="15.75" customHeight="1" x14ac:dyDescent="0.25">
      <c r="A140" s="270" t="s">
        <v>1244</v>
      </c>
      <c r="B140" s="3" t="s">
        <v>971</v>
      </c>
      <c r="C140" s="2">
        <v>0</v>
      </c>
      <c r="D140" s="2">
        <v>2622</v>
      </c>
      <c r="E140" s="2"/>
      <c r="F140" s="2"/>
      <c r="G140" s="2">
        <v>6006</v>
      </c>
      <c r="H140" s="293">
        <v>37800</v>
      </c>
      <c r="I140" s="293"/>
      <c r="J140" s="126">
        <f t="shared" si="16"/>
        <v>37800</v>
      </c>
      <c r="K140" s="310">
        <v>43760</v>
      </c>
      <c r="L140" s="2">
        <v>0</v>
      </c>
      <c r="M140" s="9">
        <f t="shared" si="17"/>
        <v>43760</v>
      </c>
      <c r="N140" s="2" t="str">
        <f t="shared" si="18"/>
        <v>Pagado</v>
      </c>
      <c r="O140" s="310">
        <v>43765</v>
      </c>
      <c r="P140" s="293">
        <v>37800</v>
      </c>
      <c r="Q140" s="2" t="s">
        <v>1481</v>
      </c>
      <c r="R140" s="2"/>
      <c r="S140" s="2"/>
      <c r="T140" s="9"/>
      <c r="U140" s="392"/>
      <c r="V140" s="2"/>
      <c r="W140" s="108"/>
      <c r="X140" s="310"/>
      <c r="Y140" s="2"/>
      <c r="Z140" s="131" t="s">
        <v>1467</v>
      </c>
      <c r="AA140" s="108" t="str">
        <f t="shared" si="19"/>
        <v/>
      </c>
      <c r="AB140" s="2"/>
      <c r="AC140" s="131">
        <f t="shared" si="20"/>
        <v>31764.705882352944</v>
      </c>
      <c r="AD140" s="108">
        <f t="shared" si="21"/>
        <v>6035.2941176470558</v>
      </c>
      <c r="AE140" s="2" t="s">
        <v>1501</v>
      </c>
      <c r="AF140" s="23" t="s">
        <v>3489</v>
      </c>
      <c r="AG140" s="2" t="str">
        <f t="shared" si="22"/>
        <v>SI</v>
      </c>
      <c r="AH140" s="14"/>
      <c r="AI140" s="23"/>
      <c r="AJ140" s="2" t="str">
        <f t="shared" si="23"/>
        <v>NV</v>
      </c>
      <c r="AK140" s="294"/>
    </row>
    <row r="141" spans="1:37" ht="15.75" customHeight="1" x14ac:dyDescent="0.25">
      <c r="A141" s="270" t="s">
        <v>1411</v>
      </c>
      <c r="B141" s="3" t="s">
        <v>1150</v>
      </c>
      <c r="C141" s="2">
        <v>0</v>
      </c>
      <c r="D141" s="2">
        <v>157</v>
      </c>
      <c r="E141" s="2"/>
      <c r="F141" s="2"/>
      <c r="G141" s="2">
        <v>5999</v>
      </c>
      <c r="H141" s="293">
        <v>23000</v>
      </c>
      <c r="I141" s="293"/>
      <c r="J141" s="126">
        <f t="shared" si="16"/>
        <v>23000</v>
      </c>
      <c r="K141" s="310">
        <v>43760</v>
      </c>
      <c r="L141" s="2">
        <v>0</v>
      </c>
      <c r="M141" s="9">
        <f t="shared" si="17"/>
        <v>43760</v>
      </c>
      <c r="N141" s="2" t="str">
        <f t="shared" si="18"/>
        <v>Pagado</v>
      </c>
      <c r="O141" s="310">
        <v>43760</v>
      </c>
      <c r="P141" s="293">
        <v>23000</v>
      </c>
      <c r="Q141" s="2" t="s">
        <v>1070</v>
      </c>
      <c r="R141" s="2" t="s">
        <v>2243</v>
      </c>
      <c r="S141" s="2">
        <v>156</v>
      </c>
      <c r="T141" s="9"/>
      <c r="U141" s="392"/>
      <c r="V141" s="2"/>
      <c r="W141" s="108"/>
      <c r="X141" s="310"/>
      <c r="Y141" s="2"/>
      <c r="Z141" s="131" t="s">
        <v>1467</v>
      </c>
      <c r="AA141" s="108" t="str">
        <f t="shared" si="19"/>
        <v/>
      </c>
      <c r="AB141" s="2"/>
      <c r="AC141" s="131">
        <f t="shared" si="20"/>
        <v>19327.731092436974</v>
      </c>
      <c r="AD141" s="108">
        <f t="shared" si="21"/>
        <v>3672.268907563026</v>
      </c>
      <c r="AE141" s="2" t="s">
        <v>1501</v>
      </c>
      <c r="AF141" s="23" t="s">
        <v>3487</v>
      </c>
      <c r="AG141" s="2" t="str">
        <f t="shared" si="22"/>
        <v>SI</v>
      </c>
      <c r="AH141" s="14"/>
      <c r="AI141" s="23"/>
      <c r="AJ141" s="2" t="str">
        <f t="shared" si="23"/>
        <v>NV</v>
      </c>
      <c r="AK141" s="294"/>
    </row>
    <row r="142" spans="1:37" ht="15.75" customHeight="1" x14ac:dyDescent="0.25">
      <c r="A142" s="270" t="s">
        <v>5299</v>
      </c>
      <c r="B142" s="3" t="s">
        <v>5300</v>
      </c>
      <c r="C142" s="2">
        <v>0</v>
      </c>
      <c r="D142" s="2">
        <v>2625</v>
      </c>
      <c r="E142" s="2"/>
      <c r="F142" s="2"/>
      <c r="G142" s="2">
        <v>6005</v>
      </c>
      <c r="H142" s="293">
        <v>19900</v>
      </c>
      <c r="I142" s="293"/>
      <c r="J142" s="126">
        <f t="shared" si="16"/>
        <v>19900</v>
      </c>
      <c r="K142" s="310">
        <v>43760</v>
      </c>
      <c r="L142" s="2">
        <v>0</v>
      </c>
      <c r="M142" s="9">
        <f t="shared" si="17"/>
        <v>43760</v>
      </c>
      <c r="N142" s="2" t="str">
        <f t="shared" si="18"/>
        <v>Pagado</v>
      </c>
      <c r="O142" s="310">
        <v>43760</v>
      </c>
      <c r="P142" s="293">
        <v>20000</v>
      </c>
      <c r="Q142" s="2" t="s">
        <v>1484</v>
      </c>
      <c r="R142" s="2"/>
      <c r="S142" s="2"/>
      <c r="T142" s="9" t="s">
        <v>1462</v>
      </c>
      <c r="U142" s="392"/>
      <c r="V142" s="2"/>
      <c r="W142" s="108"/>
      <c r="X142" s="310"/>
      <c r="Y142" s="2"/>
      <c r="Z142" s="131" t="s">
        <v>1467</v>
      </c>
      <c r="AA142" s="108" t="str">
        <f t="shared" si="19"/>
        <v/>
      </c>
      <c r="AB142" s="2"/>
      <c r="AC142" s="131">
        <f t="shared" si="20"/>
        <v>16722.689075630253</v>
      </c>
      <c r="AD142" s="108">
        <f t="shared" si="21"/>
        <v>3177.3109243697472</v>
      </c>
      <c r="AE142" s="2" t="s">
        <v>1501</v>
      </c>
      <c r="AF142" s="23" t="s">
        <v>5302</v>
      </c>
      <c r="AG142" s="2" t="str">
        <f t="shared" si="22"/>
        <v>SI</v>
      </c>
      <c r="AH142" s="14"/>
      <c r="AI142" s="23"/>
      <c r="AJ142" s="2" t="str">
        <f t="shared" si="23"/>
        <v>NV</v>
      </c>
      <c r="AK142" s="294"/>
    </row>
    <row r="143" spans="1:37" ht="15.75" customHeight="1" x14ac:dyDescent="0.25">
      <c r="A143" s="270" t="s">
        <v>5303</v>
      </c>
      <c r="B143" s="3" t="s">
        <v>5304</v>
      </c>
      <c r="C143" s="2">
        <v>0</v>
      </c>
      <c r="D143" s="2">
        <v>0</v>
      </c>
      <c r="E143" s="2"/>
      <c r="F143" s="2"/>
      <c r="G143" s="2">
        <v>6007</v>
      </c>
      <c r="H143" s="293">
        <v>14200</v>
      </c>
      <c r="I143" s="293"/>
      <c r="J143" s="126">
        <f t="shared" si="16"/>
        <v>14200</v>
      </c>
      <c r="K143" s="310">
        <v>43760</v>
      </c>
      <c r="L143" s="2">
        <v>0</v>
      </c>
      <c r="M143" s="9">
        <f t="shared" si="17"/>
        <v>43760</v>
      </c>
      <c r="N143" s="2" t="str">
        <f t="shared" si="18"/>
        <v>Pagado</v>
      </c>
      <c r="O143" s="310">
        <v>43760</v>
      </c>
      <c r="P143" s="293">
        <v>14200</v>
      </c>
      <c r="Q143" s="2" t="s">
        <v>1481</v>
      </c>
      <c r="R143" s="2"/>
      <c r="S143" s="2"/>
      <c r="T143" s="9"/>
      <c r="U143" s="392"/>
      <c r="V143" s="2">
        <v>134214</v>
      </c>
      <c r="W143" s="108"/>
      <c r="X143" s="310"/>
      <c r="Y143" s="2"/>
      <c r="Z143" s="131" t="s">
        <v>1467</v>
      </c>
      <c r="AA143" s="108" t="str">
        <f t="shared" si="19"/>
        <v/>
      </c>
      <c r="AB143" s="2"/>
      <c r="AC143" s="131">
        <f t="shared" si="20"/>
        <v>11932.773109243699</v>
      </c>
      <c r="AD143" s="108">
        <f t="shared" si="21"/>
        <v>2267.2268907563011</v>
      </c>
      <c r="AE143" s="2" t="s">
        <v>1501</v>
      </c>
      <c r="AF143" s="23" t="s">
        <v>5302</v>
      </c>
      <c r="AG143" s="2" t="str">
        <f t="shared" si="22"/>
        <v>SI</v>
      </c>
      <c r="AH143" s="14"/>
      <c r="AI143" s="23"/>
      <c r="AJ143" s="2" t="str">
        <f t="shared" si="23"/>
        <v>NV</v>
      </c>
      <c r="AK143" s="294"/>
    </row>
    <row r="144" spans="1:37" ht="15.75" customHeight="1" x14ac:dyDescent="0.25">
      <c r="A144" s="270" t="s">
        <v>1209</v>
      </c>
      <c r="B144" s="3" t="s">
        <v>974</v>
      </c>
      <c r="C144" s="2">
        <v>0</v>
      </c>
      <c r="D144" s="2">
        <v>2623</v>
      </c>
      <c r="E144" s="2"/>
      <c r="F144" s="2"/>
      <c r="G144" s="2">
        <v>5985</v>
      </c>
      <c r="H144" s="293">
        <v>44700</v>
      </c>
      <c r="I144" s="293"/>
      <c r="J144" s="126">
        <f t="shared" si="16"/>
        <v>44700</v>
      </c>
      <c r="K144" s="310">
        <v>43760</v>
      </c>
      <c r="L144" s="2">
        <v>0</v>
      </c>
      <c r="M144" s="9">
        <f t="shared" si="17"/>
        <v>43760</v>
      </c>
      <c r="N144" s="2" t="str">
        <f t="shared" si="18"/>
        <v>Pagado</v>
      </c>
      <c r="O144" s="310">
        <v>43761</v>
      </c>
      <c r="P144" s="293">
        <v>44700</v>
      </c>
      <c r="Q144" s="2" t="s">
        <v>1484</v>
      </c>
      <c r="R144" s="2"/>
      <c r="S144" s="2"/>
      <c r="T144" s="313" t="s">
        <v>1490</v>
      </c>
      <c r="U144" s="392"/>
      <c r="V144" s="2"/>
      <c r="W144" s="108"/>
      <c r="X144" s="310"/>
      <c r="Y144" s="2"/>
      <c r="Z144" s="131" t="s">
        <v>1467</v>
      </c>
      <c r="AA144" s="108" t="str">
        <f t="shared" si="19"/>
        <v/>
      </c>
      <c r="AB144" s="2"/>
      <c r="AC144" s="131">
        <f t="shared" si="20"/>
        <v>37563.025210084037</v>
      </c>
      <c r="AD144" s="108">
        <f t="shared" si="21"/>
        <v>7136.9747899159629</v>
      </c>
      <c r="AE144" s="2" t="s">
        <v>2050</v>
      </c>
      <c r="AF144" s="23" t="s">
        <v>3487</v>
      </c>
      <c r="AG144" s="2" t="str">
        <f t="shared" si="22"/>
        <v>SI</v>
      </c>
      <c r="AH144" s="14"/>
      <c r="AI144" s="23"/>
      <c r="AJ144" s="2" t="str">
        <f t="shared" si="23"/>
        <v>NV</v>
      </c>
      <c r="AK144" s="294"/>
    </row>
    <row r="145" spans="1:37" ht="15.75" customHeight="1" x14ac:dyDescent="0.25">
      <c r="A145" s="270" t="s">
        <v>1178</v>
      </c>
      <c r="B145" s="3" t="s">
        <v>950</v>
      </c>
      <c r="C145" s="2">
        <v>2956</v>
      </c>
      <c r="D145" s="2">
        <v>0</v>
      </c>
      <c r="E145" s="2"/>
      <c r="F145" s="2"/>
      <c r="G145" s="2">
        <v>6015</v>
      </c>
      <c r="H145" s="293">
        <v>97133</v>
      </c>
      <c r="I145" s="293"/>
      <c r="J145" s="126">
        <f t="shared" si="16"/>
        <v>97133</v>
      </c>
      <c r="K145" s="310">
        <v>43761</v>
      </c>
      <c r="L145" s="2">
        <v>7</v>
      </c>
      <c r="M145" s="9">
        <f t="shared" si="17"/>
        <v>43768</v>
      </c>
      <c r="N145" s="2" t="str">
        <f t="shared" si="18"/>
        <v>Pagado</v>
      </c>
      <c r="O145" s="310">
        <v>43775</v>
      </c>
      <c r="P145" s="293">
        <v>97133</v>
      </c>
      <c r="Q145" s="2" t="s">
        <v>2131</v>
      </c>
      <c r="R145" s="2"/>
      <c r="S145" s="2">
        <v>1115889</v>
      </c>
      <c r="T145" s="9" t="s">
        <v>1496</v>
      </c>
      <c r="U145" s="392">
        <v>43780</v>
      </c>
      <c r="V145" s="2"/>
      <c r="W145" s="108"/>
      <c r="X145" s="310"/>
      <c r="Y145" s="2"/>
      <c r="Z145" s="131" t="s">
        <v>1467</v>
      </c>
      <c r="AA145" s="108" t="str">
        <f t="shared" si="19"/>
        <v>Otros</v>
      </c>
      <c r="AB145" s="2"/>
      <c r="AC145" s="131">
        <f t="shared" si="20"/>
        <v>81624.369747899167</v>
      </c>
      <c r="AD145" s="108">
        <f t="shared" si="21"/>
        <v>15508.630252100833</v>
      </c>
      <c r="AE145" s="2" t="s">
        <v>2050</v>
      </c>
      <c r="AF145" s="23" t="s">
        <v>3490</v>
      </c>
      <c r="AG145" s="2" t="str">
        <f t="shared" si="22"/>
        <v>SI</v>
      </c>
      <c r="AH145" s="14"/>
      <c r="AI145" s="23"/>
      <c r="AJ145" s="2" t="str">
        <f t="shared" si="23"/>
        <v>Factura</v>
      </c>
      <c r="AK145" s="294"/>
    </row>
    <row r="146" spans="1:37" ht="15.75" customHeight="1" x14ac:dyDescent="0.25">
      <c r="A146" s="270" t="s">
        <v>5161</v>
      </c>
      <c r="B146" s="3" t="s">
        <v>5162</v>
      </c>
      <c r="C146" s="2">
        <v>0</v>
      </c>
      <c r="D146" s="2">
        <v>160</v>
      </c>
      <c r="E146" s="2"/>
      <c r="F146" s="2"/>
      <c r="G146" s="2">
        <v>6012</v>
      </c>
      <c r="H146" s="293">
        <v>53800</v>
      </c>
      <c r="I146" s="293"/>
      <c r="J146" s="126">
        <f t="shared" si="16"/>
        <v>53800</v>
      </c>
      <c r="K146" s="310">
        <v>43761</v>
      </c>
      <c r="L146" s="2">
        <v>0</v>
      </c>
      <c r="M146" s="9">
        <f t="shared" si="17"/>
        <v>43761</v>
      </c>
      <c r="N146" s="2" t="str">
        <f t="shared" si="18"/>
        <v>Pagado</v>
      </c>
      <c r="O146" s="310">
        <v>43761</v>
      </c>
      <c r="P146" s="293">
        <v>53800</v>
      </c>
      <c r="Q146" s="2" t="s">
        <v>1070</v>
      </c>
      <c r="R146" s="2" t="s">
        <v>1478</v>
      </c>
      <c r="S146" s="2">
        <v>160</v>
      </c>
      <c r="T146" s="9"/>
      <c r="U146" s="392"/>
      <c r="V146" s="2"/>
      <c r="W146" s="108"/>
      <c r="X146" s="310"/>
      <c r="Y146" s="2"/>
      <c r="Z146" s="131" t="s">
        <v>1467</v>
      </c>
      <c r="AA146" s="108" t="str">
        <f t="shared" si="19"/>
        <v/>
      </c>
      <c r="AB146" s="2"/>
      <c r="AC146" s="131">
        <f t="shared" si="20"/>
        <v>45210.08403361345</v>
      </c>
      <c r="AD146" s="108">
        <f t="shared" si="21"/>
        <v>8589.9159663865503</v>
      </c>
      <c r="AE146" s="2" t="s">
        <v>1501</v>
      </c>
      <c r="AF146" s="23" t="s">
        <v>3487</v>
      </c>
      <c r="AG146" s="2" t="str">
        <f t="shared" si="22"/>
        <v>SI</v>
      </c>
      <c r="AH146" s="14"/>
      <c r="AI146" s="23"/>
      <c r="AJ146" s="2" t="str">
        <f t="shared" si="23"/>
        <v>NV</v>
      </c>
      <c r="AK146" s="294"/>
    </row>
    <row r="147" spans="1:37" ht="15.75" customHeight="1" x14ac:dyDescent="0.25">
      <c r="A147" s="270" t="s">
        <v>4589</v>
      </c>
      <c r="B147" s="3" t="s">
        <v>4590</v>
      </c>
      <c r="C147" s="2">
        <v>0</v>
      </c>
      <c r="D147" s="2">
        <v>2630</v>
      </c>
      <c r="E147" s="2"/>
      <c r="F147" s="2"/>
      <c r="G147" s="2">
        <v>6011</v>
      </c>
      <c r="H147" s="293">
        <v>15500</v>
      </c>
      <c r="I147" s="293"/>
      <c r="J147" s="126">
        <f t="shared" si="16"/>
        <v>15500</v>
      </c>
      <c r="K147" s="310">
        <v>43761</v>
      </c>
      <c r="L147" s="2">
        <v>0</v>
      </c>
      <c r="M147" s="9">
        <f t="shared" si="17"/>
        <v>43761</v>
      </c>
      <c r="N147" s="2" t="str">
        <f t="shared" si="18"/>
        <v>Pagado</v>
      </c>
      <c r="O147" s="310">
        <v>43761</v>
      </c>
      <c r="P147" s="293">
        <v>15500</v>
      </c>
      <c r="Q147" s="2" t="s">
        <v>1481</v>
      </c>
      <c r="R147" s="2"/>
      <c r="S147" s="2"/>
      <c r="T147" s="9"/>
      <c r="U147" s="392"/>
      <c r="V147" s="2"/>
      <c r="W147" s="108"/>
      <c r="X147" s="310"/>
      <c r="Y147" s="2"/>
      <c r="Z147" s="131" t="s">
        <v>1467</v>
      </c>
      <c r="AA147" s="108" t="str">
        <f t="shared" si="19"/>
        <v/>
      </c>
      <c r="AB147" s="2"/>
      <c r="AC147" s="131">
        <f t="shared" si="20"/>
        <v>13025.210084033613</v>
      </c>
      <c r="AD147" s="108">
        <f t="shared" si="21"/>
        <v>2474.7899159663866</v>
      </c>
      <c r="AE147" s="2" t="s">
        <v>1501</v>
      </c>
      <c r="AF147" s="23" t="s">
        <v>3487</v>
      </c>
      <c r="AG147" s="2" t="str">
        <f t="shared" si="22"/>
        <v>SI</v>
      </c>
      <c r="AH147" s="14"/>
      <c r="AI147" s="23"/>
      <c r="AJ147" s="2" t="str">
        <f t="shared" si="23"/>
        <v>NV</v>
      </c>
      <c r="AK147" s="294"/>
    </row>
    <row r="148" spans="1:37" ht="15.75" customHeight="1" x14ac:dyDescent="0.25">
      <c r="A148" s="270" t="s">
        <v>4863</v>
      </c>
      <c r="B148" s="3" t="s">
        <v>4864</v>
      </c>
      <c r="C148" s="2">
        <v>0</v>
      </c>
      <c r="D148" s="2">
        <v>0</v>
      </c>
      <c r="E148" s="2"/>
      <c r="F148" s="2"/>
      <c r="G148" s="2">
        <v>6004</v>
      </c>
      <c r="H148" s="293">
        <v>35500</v>
      </c>
      <c r="I148" s="293"/>
      <c r="J148" s="126">
        <f t="shared" si="16"/>
        <v>35500</v>
      </c>
      <c r="K148" s="310">
        <v>43761</v>
      </c>
      <c r="L148" s="2">
        <v>0</v>
      </c>
      <c r="M148" s="9">
        <f t="shared" si="17"/>
        <v>43761</v>
      </c>
      <c r="N148" s="2" t="str">
        <f t="shared" si="18"/>
        <v>Pagado</v>
      </c>
      <c r="O148" s="310">
        <v>43761</v>
      </c>
      <c r="P148" s="293">
        <v>35500</v>
      </c>
      <c r="Q148" s="2" t="s">
        <v>1481</v>
      </c>
      <c r="R148" s="2"/>
      <c r="S148" s="2"/>
      <c r="T148" s="9"/>
      <c r="U148" s="392"/>
      <c r="V148" s="2"/>
      <c r="W148" s="108"/>
      <c r="X148" s="310"/>
      <c r="Y148" s="2"/>
      <c r="Z148" s="131" t="s">
        <v>1467</v>
      </c>
      <c r="AA148" s="108" t="str">
        <f t="shared" si="19"/>
        <v/>
      </c>
      <c r="AB148" s="2"/>
      <c r="AC148" s="131">
        <f t="shared" si="20"/>
        <v>29831.932773109245</v>
      </c>
      <c r="AD148" s="108">
        <f t="shared" si="21"/>
        <v>5668.0672268907547</v>
      </c>
      <c r="AE148" s="2" t="s">
        <v>1501</v>
      </c>
      <c r="AF148" s="23" t="s">
        <v>3487</v>
      </c>
      <c r="AG148" s="2" t="str">
        <f t="shared" si="22"/>
        <v>SI</v>
      </c>
      <c r="AH148" s="14"/>
      <c r="AI148" s="23"/>
      <c r="AJ148" s="2" t="str">
        <f t="shared" si="23"/>
        <v>NV</v>
      </c>
      <c r="AK148" s="294"/>
    </row>
    <row r="149" spans="1:37" ht="15.75" customHeight="1" x14ac:dyDescent="0.25">
      <c r="A149" s="270" t="s">
        <v>1198</v>
      </c>
      <c r="B149" s="3" t="s">
        <v>2158</v>
      </c>
      <c r="C149" s="2">
        <v>0</v>
      </c>
      <c r="D149" s="2">
        <v>2631</v>
      </c>
      <c r="E149" s="2"/>
      <c r="F149" s="2"/>
      <c r="G149" s="2">
        <v>6013</v>
      </c>
      <c r="H149" s="293">
        <v>23900</v>
      </c>
      <c r="I149" s="293"/>
      <c r="J149" s="126">
        <f t="shared" si="16"/>
        <v>23900</v>
      </c>
      <c r="K149" s="310">
        <v>43761</v>
      </c>
      <c r="L149" s="2">
        <v>0</v>
      </c>
      <c r="M149" s="313">
        <f t="shared" si="17"/>
        <v>43761</v>
      </c>
      <c r="N149" s="2" t="str">
        <f t="shared" si="18"/>
        <v>Pagado</v>
      </c>
      <c r="O149" s="310">
        <v>43773</v>
      </c>
      <c r="P149" s="293">
        <v>23900</v>
      </c>
      <c r="Q149" s="2" t="s">
        <v>1484</v>
      </c>
      <c r="R149" s="2"/>
      <c r="S149" s="2"/>
      <c r="T149" s="9" t="s">
        <v>1493</v>
      </c>
      <c r="U149" s="392"/>
      <c r="V149" s="2"/>
      <c r="W149" s="108"/>
      <c r="X149" s="310"/>
      <c r="Y149" s="2"/>
      <c r="Z149" s="131" t="s">
        <v>1467</v>
      </c>
      <c r="AA149" s="108" t="str">
        <f t="shared" si="19"/>
        <v/>
      </c>
      <c r="AB149" s="2"/>
      <c r="AC149" s="131">
        <f t="shared" si="20"/>
        <v>20084.033613445379</v>
      </c>
      <c r="AD149" s="108">
        <f t="shared" si="21"/>
        <v>3815.9663865546208</v>
      </c>
      <c r="AE149" s="2" t="s">
        <v>1501</v>
      </c>
      <c r="AF149" s="23" t="s">
        <v>3489</v>
      </c>
      <c r="AG149" s="2" t="str">
        <f t="shared" si="22"/>
        <v>SI</v>
      </c>
      <c r="AH149" s="14"/>
      <c r="AI149" s="23"/>
      <c r="AJ149" s="2" t="str">
        <f t="shared" si="23"/>
        <v>NV</v>
      </c>
      <c r="AK149" s="294"/>
    </row>
    <row r="150" spans="1:37" ht="15.75" customHeight="1" x14ac:dyDescent="0.25">
      <c r="A150" s="270" t="s">
        <v>4800</v>
      </c>
      <c r="B150" s="3" t="s">
        <v>4801</v>
      </c>
      <c r="C150" s="2">
        <v>0</v>
      </c>
      <c r="D150" s="2">
        <v>158</v>
      </c>
      <c r="E150" s="2"/>
      <c r="F150" s="2"/>
      <c r="G150" s="2">
        <v>6000</v>
      </c>
      <c r="H150" s="293">
        <v>215000</v>
      </c>
      <c r="I150" s="293"/>
      <c r="J150" s="126">
        <f t="shared" si="16"/>
        <v>215000</v>
      </c>
      <c r="K150" s="310">
        <v>43761</v>
      </c>
      <c r="L150" s="2">
        <v>0</v>
      </c>
      <c r="M150" s="313">
        <f t="shared" si="17"/>
        <v>43761</v>
      </c>
      <c r="N150" s="2" t="str">
        <f t="shared" si="18"/>
        <v>Pagado</v>
      </c>
      <c r="O150" s="310">
        <v>43761</v>
      </c>
      <c r="P150" s="293">
        <v>215000</v>
      </c>
      <c r="Q150" s="2" t="s">
        <v>1070</v>
      </c>
      <c r="R150" s="2" t="s">
        <v>2243</v>
      </c>
      <c r="S150" s="2">
        <v>158</v>
      </c>
      <c r="T150" s="9"/>
      <c r="U150" s="392"/>
      <c r="V150" s="2"/>
      <c r="W150" s="108"/>
      <c r="X150" s="310"/>
      <c r="Y150" s="2"/>
      <c r="Z150" s="131" t="s">
        <v>1467</v>
      </c>
      <c r="AA150" s="108" t="str">
        <f t="shared" si="19"/>
        <v/>
      </c>
      <c r="AB150" s="2"/>
      <c r="AC150" s="131">
        <f t="shared" si="20"/>
        <v>180672.26890756303</v>
      </c>
      <c r="AD150" s="108">
        <f t="shared" si="21"/>
        <v>34327.731092436967</v>
      </c>
      <c r="AE150" s="2" t="s">
        <v>1501</v>
      </c>
      <c r="AF150" s="23" t="s">
        <v>4803</v>
      </c>
      <c r="AG150" s="2" t="str">
        <f t="shared" si="22"/>
        <v>SI</v>
      </c>
      <c r="AH150" s="14"/>
      <c r="AI150" s="23"/>
      <c r="AJ150" s="2" t="str">
        <f t="shared" si="23"/>
        <v>NV</v>
      </c>
      <c r="AK150" s="294"/>
    </row>
    <row r="151" spans="1:37" ht="15.75" customHeight="1" x14ac:dyDescent="0.25">
      <c r="A151" s="270" t="s">
        <v>3175</v>
      </c>
      <c r="B151" s="3" t="s">
        <v>3176</v>
      </c>
      <c r="C151" s="2">
        <v>0</v>
      </c>
      <c r="D151" s="2">
        <v>0</v>
      </c>
      <c r="E151" s="2"/>
      <c r="F151" s="2"/>
      <c r="G151" s="2">
        <v>6014</v>
      </c>
      <c r="H151" s="293">
        <v>31265</v>
      </c>
      <c r="I151" s="293"/>
      <c r="J151" s="126">
        <f t="shared" si="16"/>
        <v>31265</v>
      </c>
      <c r="K151" s="310">
        <v>43761</v>
      </c>
      <c r="L151" s="2">
        <v>0</v>
      </c>
      <c r="M151" s="313">
        <f t="shared" si="17"/>
        <v>43761</v>
      </c>
      <c r="N151" s="2" t="str">
        <f t="shared" si="18"/>
        <v>Pagado</v>
      </c>
      <c r="O151" s="310">
        <v>43777</v>
      </c>
      <c r="P151" s="293">
        <v>31265</v>
      </c>
      <c r="Q151" s="2" t="s">
        <v>1484</v>
      </c>
      <c r="R151" s="2"/>
      <c r="S151" s="2"/>
      <c r="T151" s="9" t="s">
        <v>2353</v>
      </c>
      <c r="U151" s="392"/>
      <c r="V151" s="2"/>
      <c r="W151" s="108"/>
      <c r="X151" s="310"/>
      <c r="Y151" s="2"/>
      <c r="Z151" s="131" t="s">
        <v>1467</v>
      </c>
      <c r="AA151" s="108" t="str">
        <f t="shared" si="19"/>
        <v/>
      </c>
      <c r="AB151" s="2"/>
      <c r="AC151" s="131">
        <f t="shared" si="20"/>
        <v>26273.10924369748</v>
      </c>
      <c r="AD151" s="108">
        <f t="shared" si="21"/>
        <v>4991.8907563025205</v>
      </c>
      <c r="AE151" s="2" t="s">
        <v>1501</v>
      </c>
      <c r="AF151" s="23" t="s">
        <v>3489</v>
      </c>
      <c r="AG151" s="2" t="str">
        <f t="shared" si="22"/>
        <v>SI</v>
      </c>
      <c r="AH151" s="14"/>
      <c r="AI151" s="23"/>
      <c r="AJ151" s="2" t="str">
        <f t="shared" si="23"/>
        <v>NV</v>
      </c>
      <c r="AK151" s="294"/>
    </row>
    <row r="152" spans="1:37" ht="15.75" customHeight="1" x14ac:dyDescent="0.25">
      <c r="A152" s="270" t="s">
        <v>4310</v>
      </c>
      <c r="B152" s="3" t="s">
        <v>4311</v>
      </c>
      <c r="C152" s="2">
        <v>0</v>
      </c>
      <c r="D152" s="2">
        <v>2632</v>
      </c>
      <c r="E152" s="2"/>
      <c r="F152" s="2"/>
      <c r="G152" s="2">
        <v>6010</v>
      </c>
      <c r="H152" s="293">
        <v>29800</v>
      </c>
      <c r="I152" s="293"/>
      <c r="J152" s="126">
        <f t="shared" si="16"/>
        <v>29800</v>
      </c>
      <c r="K152" s="310">
        <v>43761</v>
      </c>
      <c r="L152" s="2">
        <v>0</v>
      </c>
      <c r="M152" s="313">
        <f t="shared" si="17"/>
        <v>43761</v>
      </c>
      <c r="N152" s="2" t="str">
        <f t="shared" si="18"/>
        <v>Pagado</v>
      </c>
      <c r="O152" s="310">
        <v>43761</v>
      </c>
      <c r="P152" s="293">
        <v>29800</v>
      </c>
      <c r="Q152" s="2" t="s">
        <v>1484</v>
      </c>
      <c r="R152" s="2"/>
      <c r="S152" s="2"/>
      <c r="T152" s="9" t="s">
        <v>1496</v>
      </c>
      <c r="U152" s="392"/>
      <c r="V152" s="2"/>
      <c r="W152" s="108"/>
      <c r="X152" s="310"/>
      <c r="Y152" s="2"/>
      <c r="Z152" s="131" t="s">
        <v>1467</v>
      </c>
      <c r="AA152" s="108" t="str">
        <f t="shared" si="19"/>
        <v/>
      </c>
      <c r="AB152" s="2"/>
      <c r="AC152" s="131">
        <f t="shared" si="20"/>
        <v>25042.016806722691</v>
      </c>
      <c r="AD152" s="108">
        <f t="shared" si="21"/>
        <v>4757.9831932773086</v>
      </c>
      <c r="AE152" s="2" t="s">
        <v>1501</v>
      </c>
      <c r="AF152" s="23" t="s">
        <v>3487</v>
      </c>
      <c r="AG152" s="2" t="str">
        <f t="shared" si="22"/>
        <v>SI</v>
      </c>
      <c r="AH152" s="14"/>
      <c r="AI152" s="23"/>
      <c r="AJ152" s="2" t="str">
        <f t="shared" si="23"/>
        <v>NV</v>
      </c>
      <c r="AK152" s="294"/>
    </row>
    <row r="153" spans="1:37" ht="15.75" customHeight="1" x14ac:dyDescent="0.25">
      <c r="A153" s="270" t="s">
        <v>4713</v>
      </c>
      <c r="B153" s="3" t="s">
        <v>4714</v>
      </c>
      <c r="C153" s="2">
        <v>2949</v>
      </c>
      <c r="D153" s="2">
        <v>0</v>
      </c>
      <c r="E153" s="2"/>
      <c r="F153" s="2"/>
      <c r="G153" s="2" t="s">
        <v>2528</v>
      </c>
      <c r="H153" s="553">
        <v>674399</v>
      </c>
      <c r="I153" s="293"/>
      <c r="J153" s="126">
        <f t="shared" si="16"/>
        <v>674399</v>
      </c>
      <c r="K153" s="310">
        <v>43761</v>
      </c>
      <c r="L153" s="2">
        <v>30</v>
      </c>
      <c r="M153" s="313">
        <f t="shared" si="17"/>
        <v>43791</v>
      </c>
      <c r="N153" s="2" t="str">
        <f t="shared" si="18"/>
        <v>Pagado</v>
      </c>
      <c r="O153" s="310">
        <v>43761</v>
      </c>
      <c r="P153" s="293">
        <v>674399</v>
      </c>
      <c r="Q153" s="2" t="s">
        <v>2131</v>
      </c>
      <c r="R153" s="2"/>
      <c r="S153" s="2">
        <v>4556642</v>
      </c>
      <c r="T153" s="9" t="s">
        <v>1492</v>
      </c>
      <c r="U153" s="392">
        <v>43762</v>
      </c>
      <c r="V153" s="2">
        <v>134216</v>
      </c>
      <c r="W153" s="108">
        <v>674399</v>
      </c>
      <c r="X153" s="310">
        <v>43766</v>
      </c>
      <c r="Y153" s="2" t="s">
        <v>1488</v>
      </c>
      <c r="Z153" s="131" t="s">
        <v>1467</v>
      </c>
      <c r="AA153" s="108" t="str">
        <f t="shared" si="19"/>
        <v>Otros</v>
      </c>
      <c r="AB153" s="2"/>
      <c r="AC153" s="131">
        <f t="shared" si="20"/>
        <v>566721.84873949585</v>
      </c>
      <c r="AD153" s="108">
        <f t="shared" si="21"/>
        <v>107677.15126050415</v>
      </c>
      <c r="AE153" s="2" t="s">
        <v>2050</v>
      </c>
      <c r="AF153" s="23" t="s">
        <v>3490</v>
      </c>
      <c r="AG153" s="2" t="str">
        <f t="shared" si="22"/>
        <v>SI</v>
      </c>
      <c r="AH153" s="14"/>
      <c r="AI153" s="23"/>
      <c r="AJ153" s="2" t="str">
        <f t="shared" si="23"/>
        <v>Factura</v>
      </c>
      <c r="AK153" s="294"/>
    </row>
    <row r="154" spans="1:37" ht="15.75" customHeight="1" x14ac:dyDescent="0.25">
      <c r="A154" s="270" t="s">
        <v>1175</v>
      </c>
      <c r="B154" s="3" t="s">
        <v>1144</v>
      </c>
      <c r="C154" s="2">
        <v>2950</v>
      </c>
      <c r="D154" s="2">
        <v>0</v>
      </c>
      <c r="E154" s="2"/>
      <c r="F154" s="2"/>
      <c r="G154" s="2">
        <v>1037260</v>
      </c>
      <c r="H154" s="293">
        <v>190805</v>
      </c>
      <c r="I154" s="293"/>
      <c r="J154" s="126">
        <f t="shared" si="16"/>
        <v>190805</v>
      </c>
      <c r="K154" s="310">
        <v>43761</v>
      </c>
      <c r="L154" s="2">
        <v>30</v>
      </c>
      <c r="M154" s="9">
        <f t="shared" si="17"/>
        <v>43791</v>
      </c>
      <c r="N154" s="2" t="str">
        <f t="shared" si="18"/>
        <v>Pagado</v>
      </c>
      <c r="O154" s="310">
        <v>43797</v>
      </c>
      <c r="P154" s="293">
        <v>190805</v>
      </c>
      <c r="Q154" s="2" t="s">
        <v>1484</v>
      </c>
      <c r="R154" s="2"/>
      <c r="S154" s="2"/>
      <c r="T154" s="9" t="s">
        <v>1496</v>
      </c>
      <c r="U154" s="392"/>
      <c r="V154" s="2"/>
      <c r="W154" s="108"/>
      <c r="X154" s="310"/>
      <c r="Y154" s="2"/>
      <c r="Z154" s="131" t="s">
        <v>1467</v>
      </c>
      <c r="AA154" s="108" t="str">
        <f t="shared" si="19"/>
        <v/>
      </c>
      <c r="AB154" s="2"/>
      <c r="AC154" s="131">
        <f t="shared" si="20"/>
        <v>160340.3361344538</v>
      </c>
      <c r="AD154" s="108">
        <f t="shared" si="21"/>
        <v>30464.663865546201</v>
      </c>
      <c r="AE154" s="2" t="s">
        <v>2050</v>
      </c>
      <c r="AF154" s="23" t="s">
        <v>3490</v>
      </c>
      <c r="AG154" s="2" t="str">
        <f t="shared" si="22"/>
        <v>SI</v>
      </c>
      <c r="AH154" s="14"/>
      <c r="AI154" s="23"/>
      <c r="AJ154" s="2" t="str">
        <f t="shared" si="23"/>
        <v>Factura</v>
      </c>
      <c r="AK154" s="294"/>
    </row>
    <row r="155" spans="1:37" ht="15.75" customHeight="1" x14ac:dyDescent="0.25">
      <c r="A155" s="270" t="s">
        <v>1175</v>
      </c>
      <c r="B155" s="3" t="s">
        <v>1144</v>
      </c>
      <c r="C155" s="2">
        <v>2951</v>
      </c>
      <c r="D155" s="2">
        <v>0</v>
      </c>
      <c r="E155" s="2"/>
      <c r="F155" s="2"/>
      <c r="G155" s="2">
        <v>1037260</v>
      </c>
      <c r="H155" s="293">
        <v>118499</v>
      </c>
      <c r="I155" s="293"/>
      <c r="J155" s="126">
        <f t="shared" si="16"/>
        <v>118499</v>
      </c>
      <c r="K155" s="310">
        <v>43761</v>
      </c>
      <c r="L155" s="2">
        <v>30</v>
      </c>
      <c r="M155" s="9">
        <f t="shared" si="17"/>
        <v>43791</v>
      </c>
      <c r="N155" s="2" t="str">
        <f t="shared" si="18"/>
        <v>Pagado</v>
      </c>
      <c r="O155" s="310">
        <v>43797</v>
      </c>
      <c r="P155" s="293">
        <v>118499</v>
      </c>
      <c r="Q155" s="2" t="s">
        <v>1484</v>
      </c>
      <c r="R155" s="2"/>
      <c r="S155" s="2"/>
      <c r="T155" s="9" t="s">
        <v>1496</v>
      </c>
      <c r="U155" s="392"/>
      <c r="V155" s="2"/>
      <c r="W155" s="108"/>
      <c r="X155" s="310"/>
      <c r="Y155" s="2"/>
      <c r="Z155" s="131" t="s">
        <v>1467</v>
      </c>
      <c r="AA155" s="108" t="str">
        <f t="shared" si="19"/>
        <v/>
      </c>
      <c r="AB155" s="2"/>
      <c r="AC155" s="131">
        <f t="shared" si="20"/>
        <v>99578.991596638662</v>
      </c>
      <c r="AD155" s="108">
        <f t="shared" si="21"/>
        <v>18920.008403361338</v>
      </c>
      <c r="AE155" s="2" t="s">
        <v>2050</v>
      </c>
      <c r="AF155" s="23" t="s">
        <v>3490</v>
      </c>
      <c r="AG155" s="2" t="str">
        <f t="shared" si="22"/>
        <v>SI</v>
      </c>
      <c r="AH155" s="14"/>
      <c r="AI155" s="23"/>
      <c r="AJ155" s="2" t="str">
        <f t="shared" si="23"/>
        <v>Factura</v>
      </c>
      <c r="AK155" s="294"/>
    </row>
    <row r="156" spans="1:37" ht="15.75" customHeight="1" x14ac:dyDescent="0.25">
      <c r="A156" s="270" t="s">
        <v>1175</v>
      </c>
      <c r="B156" s="3" t="s">
        <v>1144</v>
      </c>
      <c r="C156" s="2">
        <v>2952</v>
      </c>
      <c r="D156" s="2">
        <v>0</v>
      </c>
      <c r="E156" s="2">
        <v>259</v>
      </c>
      <c r="F156" s="2"/>
      <c r="G156" s="2">
        <v>1037260</v>
      </c>
      <c r="H156" s="293">
        <v>355389</v>
      </c>
      <c r="I156" s="293">
        <v>-12952</v>
      </c>
      <c r="J156" s="126">
        <f t="shared" si="16"/>
        <v>342437</v>
      </c>
      <c r="K156" s="310">
        <v>43761</v>
      </c>
      <c r="L156" s="2">
        <v>30</v>
      </c>
      <c r="M156" s="9">
        <f t="shared" si="17"/>
        <v>43791</v>
      </c>
      <c r="N156" s="2" t="str">
        <f t="shared" si="18"/>
        <v>Pagado</v>
      </c>
      <c r="O156" s="310">
        <v>43797</v>
      </c>
      <c r="P156" s="293">
        <v>342437</v>
      </c>
      <c r="Q156" s="2" t="s">
        <v>1484</v>
      </c>
      <c r="R156" s="2"/>
      <c r="S156" s="2"/>
      <c r="T156" s="9" t="s">
        <v>1496</v>
      </c>
      <c r="U156" s="392"/>
      <c r="V156" s="2"/>
      <c r="W156" s="108"/>
      <c r="X156" s="310"/>
      <c r="Y156" s="2"/>
      <c r="Z156" s="131" t="s">
        <v>1467</v>
      </c>
      <c r="AA156" s="108" t="str">
        <f t="shared" si="19"/>
        <v/>
      </c>
      <c r="AB156" s="2"/>
      <c r="AC156" s="131">
        <f t="shared" si="20"/>
        <v>298646.21848739497</v>
      </c>
      <c r="AD156" s="108">
        <f t="shared" si="21"/>
        <v>56742.781512605026</v>
      </c>
      <c r="AE156" s="2" t="s">
        <v>2050</v>
      </c>
      <c r="AF156" s="23" t="s">
        <v>3490</v>
      </c>
      <c r="AG156" s="2" t="str">
        <f t="shared" si="22"/>
        <v>SI</v>
      </c>
      <c r="AH156" s="14"/>
      <c r="AI156" s="23"/>
      <c r="AJ156" s="2" t="str">
        <f t="shared" si="23"/>
        <v>Factura</v>
      </c>
      <c r="AK156" s="294"/>
    </row>
    <row r="157" spans="1:37" ht="15.75" customHeight="1" x14ac:dyDescent="0.25">
      <c r="A157" s="270" t="s">
        <v>1175</v>
      </c>
      <c r="B157" s="3" t="s">
        <v>1144</v>
      </c>
      <c r="C157" s="2">
        <v>2953</v>
      </c>
      <c r="D157" s="2">
        <v>0</v>
      </c>
      <c r="E157" s="2">
        <v>260</v>
      </c>
      <c r="F157" s="2"/>
      <c r="G157" s="2">
        <v>1037309</v>
      </c>
      <c r="H157" s="293">
        <v>155820</v>
      </c>
      <c r="I157" s="293">
        <v>-6069</v>
      </c>
      <c r="J157" s="126">
        <f t="shared" si="16"/>
        <v>149751</v>
      </c>
      <c r="K157" s="310">
        <v>43761</v>
      </c>
      <c r="L157" s="2">
        <v>30</v>
      </c>
      <c r="M157" s="9">
        <f t="shared" si="17"/>
        <v>43791</v>
      </c>
      <c r="N157" s="2" t="str">
        <f t="shared" si="18"/>
        <v>Pagado</v>
      </c>
      <c r="O157" s="310">
        <v>43797</v>
      </c>
      <c r="P157" s="293">
        <v>149751</v>
      </c>
      <c r="Q157" s="2" t="s">
        <v>1484</v>
      </c>
      <c r="R157" s="2"/>
      <c r="S157" s="2"/>
      <c r="T157" s="9" t="s">
        <v>1496</v>
      </c>
      <c r="U157" s="392"/>
      <c r="V157" s="2"/>
      <c r="W157" s="108"/>
      <c r="X157" s="310"/>
      <c r="Y157" s="2"/>
      <c r="Z157" s="131" t="s">
        <v>1467</v>
      </c>
      <c r="AA157" s="108" t="str">
        <f t="shared" si="19"/>
        <v/>
      </c>
      <c r="AB157" s="2"/>
      <c r="AC157" s="131">
        <f t="shared" si="20"/>
        <v>130941.17647058824</v>
      </c>
      <c r="AD157" s="108">
        <f t="shared" si="21"/>
        <v>24878.823529411762</v>
      </c>
      <c r="AE157" s="2" t="s">
        <v>2050</v>
      </c>
      <c r="AF157" s="23" t="s">
        <v>3490</v>
      </c>
      <c r="AG157" s="2" t="str">
        <f t="shared" si="22"/>
        <v>SI</v>
      </c>
      <c r="AH157" s="14"/>
      <c r="AI157" s="23"/>
      <c r="AJ157" s="2" t="str">
        <f t="shared" si="23"/>
        <v>Factura</v>
      </c>
      <c r="AK157" s="294"/>
    </row>
    <row r="158" spans="1:37" ht="15.75" customHeight="1" x14ac:dyDescent="0.25">
      <c r="A158" s="270" t="s">
        <v>1175</v>
      </c>
      <c r="B158" s="3" t="s">
        <v>1144</v>
      </c>
      <c r="C158" s="2">
        <v>2954</v>
      </c>
      <c r="D158" s="2">
        <v>0</v>
      </c>
      <c r="E158" s="2"/>
      <c r="F158" s="2"/>
      <c r="G158" s="2" t="s">
        <v>2528</v>
      </c>
      <c r="H158" s="293">
        <v>21587</v>
      </c>
      <c r="I158" s="293"/>
      <c r="J158" s="126">
        <f t="shared" si="16"/>
        <v>21587</v>
      </c>
      <c r="K158" s="310">
        <v>43761</v>
      </c>
      <c r="L158" s="2">
        <v>30</v>
      </c>
      <c r="M158" s="9">
        <f t="shared" si="17"/>
        <v>43791</v>
      </c>
      <c r="N158" s="2" t="str">
        <f t="shared" si="18"/>
        <v>Pagado</v>
      </c>
      <c r="O158" s="310">
        <v>43797</v>
      </c>
      <c r="P158" s="293">
        <v>21587</v>
      </c>
      <c r="Q158" s="2" t="s">
        <v>1484</v>
      </c>
      <c r="R158" s="2"/>
      <c r="S158" s="2"/>
      <c r="T158" s="9" t="s">
        <v>1496</v>
      </c>
      <c r="U158" s="392"/>
      <c r="V158" s="2"/>
      <c r="W158" s="108"/>
      <c r="X158" s="310"/>
      <c r="Y158" s="2"/>
      <c r="Z158" s="131" t="s">
        <v>1467</v>
      </c>
      <c r="AA158" s="108" t="str">
        <f t="shared" si="19"/>
        <v/>
      </c>
      <c r="AB158" s="2"/>
      <c r="AC158" s="131">
        <f t="shared" si="20"/>
        <v>18140.336134453781</v>
      </c>
      <c r="AD158" s="108">
        <f t="shared" si="21"/>
        <v>3446.6638655462193</v>
      </c>
      <c r="AE158" s="2" t="s">
        <v>2050</v>
      </c>
      <c r="AF158" s="23" t="s">
        <v>3490</v>
      </c>
      <c r="AG158" s="2" t="str">
        <f t="shared" si="22"/>
        <v>SI</v>
      </c>
      <c r="AH158" s="14"/>
      <c r="AI158" s="23"/>
      <c r="AJ158" s="2" t="str">
        <f t="shared" si="23"/>
        <v>Factura</v>
      </c>
      <c r="AK158" s="294"/>
    </row>
    <row r="159" spans="1:37" ht="15.75" customHeight="1" x14ac:dyDescent="0.25">
      <c r="A159" s="270" t="s">
        <v>1285</v>
      </c>
      <c r="B159" s="3" t="s">
        <v>1071</v>
      </c>
      <c r="C159" s="2">
        <v>0</v>
      </c>
      <c r="D159" s="2">
        <v>159</v>
      </c>
      <c r="E159" s="2"/>
      <c r="F159" s="2"/>
      <c r="G159" s="2">
        <v>6009</v>
      </c>
      <c r="H159" s="293">
        <v>14800</v>
      </c>
      <c r="I159" s="293"/>
      <c r="J159" s="126">
        <f t="shared" si="16"/>
        <v>14800</v>
      </c>
      <c r="K159" s="310">
        <v>43761</v>
      </c>
      <c r="L159" s="2">
        <v>0</v>
      </c>
      <c r="M159" s="313">
        <f t="shared" si="17"/>
        <v>43761</v>
      </c>
      <c r="N159" s="2" t="str">
        <f t="shared" si="18"/>
        <v>Pagado</v>
      </c>
      <c r="O159" s="310">
        <v>43761</v>
      </c>
      <c r="P159" s="293">
        <v>14800</v>
      </c>
      <c r="Q159" s="2" t="s">
        <v>1070</v>
      </c>
      <c r="R159" s="2" t="s">
        <v>2243</v>
      </c>
      <c r="S159" s="2">
        <v>159</v>
      </c>
      <c r="T159" s="313"/>
      <c r="U159" s="392"/>
      <c r="V159" s="2"/>
      <c r="W159" s="108"/>
      <c r="X159" s="310"/>
      <c r="Y159" s="2"/>
      <c r="Z159" s="131" t="s">
        <v>1467</v>
      </c>
      <c r="AA159" s="108" t="str">
        <f t="shared" si="19"/>
        <v/>
      </c>
      <c r="AB159" s="2"/>
      <c r="AC159" s="131">
        <f t="shared" si="20"/>
        <v>12436.974789915967</v>
      </c>
      <c r="AD159" s="108">
        <f t="shared" si="21"/>
        <v>2363.0252100840335</v>
      </c>
      <c r="AE159" s="2" t="s">
        <v>1501</v>
      </c>
      <c r="AF159" s="23" t="s">
        <v>3487</v>
      </c>
      <c r="AG159" s="2" t="str">
        <f t="shared" si="22"/>
        <v>SI</v>
      </c>
      <c r="AH159" s="14"/>
      <c r="AI159" s="23"/>
      <c r="AJ159" s="2" t="str">
        <f t="shared" si="23"/>
        <v>NV</v>
      </c>
      <c r="AK159" s="294"/>
    </row>
    <row r="160" spans="1:37" ht="15.75" customHeight="1" x14ac:dyDescent="0.25">
      <c r="A160" s="270" t="s">
        <v>1233</v>
      </c>
      <c r="B160" s="3" t="s">
        <v>1046</v>
      </c>
      <c r="C160" s="2">
        <v>0</v>
      </c>
      <c r="D160" s="2">
        <v>0</v>
      </c>
      <c r="E160" s="2"/>
      <c r="F160" s="2"/>
      <c r="G160" s="2">
        <v>6021</v>
      </c>
      <c r="H160" s="293">
        <v>25700</v>
      </c>
      <c r="I160" s="293"/>
      <c r="J160" s="126">
        <f t="shared" si="16"/>
        <v>25700</v>
      </c>
      <c r="K160" s="310">
        <v>43762</v>
      </c>
      <c r="L160" s="2">
        <v>0</v>
      </c>
      <c r="M160" s="313">
        <f t="shared" si="17"/>
        <v>43762</v>
      </c>
      <c r="N160" s="2" t="str">
        <f t="shared" si="18"/>
        <v>Pagado</v>
      </c>
      <c r="O160" s="310">
        <v>43810</v>
      </c>
      <c r="P160" s="293">
        <v>25700</v>
      </c>
      <c r="Q160" s="2" t="s">
        <v>1484</v>
      </c>
      <c r="R160" s="2"/>
      <c r="S160" s="2"/>
      <c r="T160" s="313" t="s">
        <v>1492</v>
      </c>
      <c r="U160" s="392"/>
      <c r="V160" s="2"/>
      <c r="W160" s="108"/>
      <c r="X160" s="310"/>
      <c r="Y160" s="2"/>
      <c r="Z160" s="131" t="s">
        <v>1467</v>
      </c>
      <c r="AA160" s="108" t="str">
        <f t="shared" si="19"/>
        <v/>
      </c>
      <c r="AB160" s="2"/>
      <c r="AC160" s="131">
        <f t="shared" si="20"/>
        <v>21596.638655462186</v>
      </c>
      <c r="AD160" s="108">
        <f t="shared" si="21"/>
        <v>4103.3613445378141</v>
      </c>
      <c r="AE160" s="2" t="s">
        <v>1501</v>
      </c>
      <c r="AF160" s="23" t="s">
        <v>3489</v>
      </c>
      <c r="AG160" s="2" t="str">
        <f t="shared" si="22"/>
        <v>SI</v>
      </c>
      <c r="AH160" s="14"/>
      <c r="AI160" s="23"/>
      <c r="AJ160" s="2" t="str">
        <f t="shared" si="23"/>
        <v>NV</v>
      </c>
      <c r="AK160" s="294"/>
    </row>
    <row r="161" spans="1:37" ht="15.75" customHeight="1" x14ac:dyDescent="0.25">
      <c r="A161" s="270" t="s">
        <v>1300</v>
      </c>
      <c r="B161" s="3" t="s">
        <v>1159</v>
      </c>
      <c r="C161" s="2">
        <v>0</v>
      </c>
      <c r="D161" s="2">
        <v>0</v>
      </c>
      <c r="E161" s="2"/>
      <c r="F161" s="2"/>
      <c r="G161" s="2">
        <v>6022</v>
      </c>
      <c r="H161" s="293">
        <v>15500</v>
      </c>
      <c r="I161" s="293"/>
      <c r="J161" s="126">
        <f t="shared" si="16"/>
        <v>15500</v>
      </c>
      <c r="K161" s="310">
        <v>43762</v>
      </c>
      <c r="L161" s="2">
        <v>0</v>
      </c>
      <c r="M161" s="313">
        <f t="shared" si="17"/>
        <v>43762</v>
      </c>
      <c r="N161" s="2" t="str">
        <f t="shared" si="18"/>
        <v>Pagado</v>
      </c>
      <c r="O161" s="310">
        <v>43763</v>
      </c>
      <c r="P161" s="293">
        <v>15500</v>
      </c>
      <c r="Q161" s="2" t="s">
        <v>1484</v>
      </c>
      <c r="R161" s="2"/>
      <c r="S161" s="2"/>
      <c r="T161" s="313" t="s">
        <v>1488</v>
      </c>
      <c r="U161" s="392"/>
      <c r="V161" s="2"/>
      <c r="W161" s="108"/>
      <c r="X161" s="310"/>
      <c r="Y161" s="2"/>
      <c r="Z161" s="131" t="s">
        <v>1467</v>
      </c>
      <c r="AA161" s="108" t="str">
        <f t="shared" si="19"/>
        <v/>
      </c>
      <c r="AB161" s="2"/>
      <c r="AC161" s="131">
        <f t="shared" si="20"/>
        <v>13025.210084033613</v>
      </c>
      <c r="AD161" s="108">
        <f t="shared" si="21"/>
        <v>2474.7899159663866</v>
      </c>
      <c r="AE161" s="2" t="s">
        <v>1849</v>
      </c>
      <c r="AF161" s="23" t="s">
        <v>3489</v>
      </c>
      <c r="AG161" s="2" t="str">
        <f t="shared" si="22"/>
        <v>SI</v>
      </c>
      <c r="AH161" s="14"/>
      <c r="AI161" s="23"/>
      <c r="AJ161" s="2" t="str">
        <f t="shared" si="23"/>
        <v>NV</v>
      </c>
      <c r="AK161" s="294"/>
    </row>
    <row r="162" spans="1:37" ht="15.75" customHeight="1" x14ac:dyDescent="0.25">
      <c r="A162" s="270" t="s">
        <v>4950</v>
      </c>
      <c r="B162" s="3" t="s">
        <v>4951</v>
      </c>
      <c r="C162" s="2">
        <v>0</v>
      </c>
      <c r="D162" s="2">
        <v>2635</v>
      </c>
      <c r="E162" s="2"/>
      <c r="F162" s="2"/>
      <c r="G162" s="2">
        <v>6019</v>
      </c>
      <c r="H162" s="293">
        <v>79500</v>
      </c>
      <c r="I162" s="293"/>
      <c r="J162" s="126">
        <f t="shared" si="16"/>
        <v>79500</v>
      </c>
      <c r="K162" s="310">
        <v>43762</v>
      </c>
      <c r="L162" s="2">
        <v>0</v>
      </c>
      <c r="M162" s="313">
        <f t="shared" si="17"/>
        <v>43762</v>
      </c>
      <c r="N162" s="2" t="str">
        <f t="shared" ca="1" si="18"/>
        <v>Vencido</v>
      </c>
      <c r="O162" s="310"/>
      <c r="P162" s="293"/>
      <c r="Q162" s="2"/>
      <c r="R162" s="2"/>
      <c r="S162" s="2"/>
      <c r="T162" s="313"/>
      <c r="U162" s="392"/>
      <c r="V162" s="2"/>
      <c r="W162" s="108"/>
      <c r="X162" s="310"/>
      <c r="Y162" s="2"/>
      <c r="Z162" s="131" t="s">
        <v>1467</v>
      </c>
      <c r="AA162" s="108" t="str">
        <f t="shared" si="19"/>
        <v/>
      </c>
      <c r="AB162" s="2"/>
      <c r="AC162" s="131">
        <f t="shared" si="20"/>
        <v>66806.722689075628</v>
      </c>
      <c r="AD162" s="108">
        <f t="shared" si="21"/>
        <v>12693.277310924372</v>
      </c>
      <c r="AE162" s="2" t="s">
        <v>1501</v>
      </c>
      <c r="AF162" s="23" t="s">
        <v>3487</v>
      </c>
      <c r="AG162" s="2" t="str">
        <f t="shared" ca="1" si="22"/>
        <v>NO</v>
      </c>
      <c r="AH162" s="14"/>
      <c r="AI162" s="23"/>
      <c r="AJ162" s="2" t="str">
        <f t="shared" si="23"/>
        <v>NV</v>
      </c>
      <c r="AK162" s="294"/>
    </row>
    <row r="163" spans="1:37" ht="15.75" customHeight="1" x14ac:dyDescent="0.25">
      <c r="A163" s="270" t="s">
        <v>1242</v>
      </c>
      <c r="B163" s="3" t="s">
        <v>958</v>
      </c>
      <c r="C163" s="2">
        <v>0</v>
      </c>
      <c r="D163" s="2">
        <v>2634</v>
      </c>
      <c r="E163" s="2"/>
      <c r="F163" s="2"/>
      <c r="G163" s="2">
        <v>6020</v>
      </c>
      <c r="H163" s="293">
        <v>36400</v>
      </c>
      <c r="I163" s="293"/>
      <c r="J163" s="126">
        <f t="shared" si="16"/>
        <v>36400</v>
      </c>
      <c r="K163" s="310">
        <v>43762</v>
      </c>
      <c r="L163" s="2">
        <v>0</v>
      </c>
      <c r="M163" s="313">
        <f t="shared" si="17"/>
        <v>43762</v>
      </c>
      <c r="N163" s="2" t="str">
        <f t="shared" si="18"/>
        <v>Pagado</v>
      </c>
      <c r="O163" s="310">
        <v>43764</v>
      </c>
      <c r="P163" s="293">
        <v>36400</v>
      </c>
      <c r="Q163" s="2" t="s">
        <v>1484</v>
      </c>
      <c r="R163" s="2"/>
      <c r="S163" s="2"/>
      <c r="T163" s="313" t="s">
        <v>1488</v>
      </c>
      <c r="U163" s="392"/>
      <c r="V163" s="2"/>
      <c r="W163" s="108"/>
      <c r="X163" s="310"/>
      <c r="Y163" s="2"/>
      <c r="Z163" s="131"/>
      <c r="AA163" s="108" t="str">
        <f t="shared" si="19"/>
        <v/>
      </c>
      <c r="AB163" s="2"/>
      <c r="AC163" s="131">
        <f t="shared" si="20"/>
        <v>30588.235294117647</v>
      </c>
      <c r="AD163" s="108">
        <f t="shared" si="21"/>
        <v>5811.7647058823532</v>
      </c>
      <c r="AE163" s="2" t="s">
        <v>1501</v>
      </c>
      <c r="AF163" s="23" t="s">
        <v>3489</v>
      </c>
      <c r="AG163" s="2" t="str">
        <f t="shared" si="22"/>
        <v>SI</v>
      </c>
      <c r="AH163" s="14"/>
      <c r="AI163" s="23"/>
      <c r="AJ163" s="2" t="str">
        <f t="shared" si="23"/>
        <v>NV</v>
      </c>
      <c r="AK163" s="294"/>
    </row>
    <row r="164" spans="1:37" ht="15.75" customHeight="1" x14ac:dyDescent="0.25">
      <c r="A164" s="270" t="s">
        <v>5203</v>
      </c>
      <c r="B164" s="3" t="s">
        <v>5204</v>
      </c>
      <c r="C164" s="2">
        <v>0</v>
      </c>
      <c r="D164" s="2">
        <v>2621</v>
      </c>
      <c r="E164" s="2"/>
      <c r="F164" s="2"/>
      <c r="G164" s="2">
        <v>6017</v>
      </c>
      <c r="H164" s="293">
        <v>14800</v>
      </c>
      <c r="I164" s="293"/>
      <c r="J164" s="126">
        <f t="shared" si="16"/>
        <v>14800</v>
      </c>
      <c r="K164" s="310">
        <v>43762</v>
      </c>
      <c r="L164" s="2">
        <v>0</v>
      </c>
      <c r="M164" s="9">
        <f t="shared" si="17"/>
        <v>43762</v>
      </c>
      <c r="N164" s="2" t="str">
        <f t="shared" si="18"/>
        <v>Pagado</v>
      </c>
      <c r="O164" s="310">
        <v>43762</v>
      </c>
      <c r="P164" s="293">
        <v>14800</v>
      </c>
      <c r="Q164" s="2" t="s">
        <v>1481</v>
      </c>
      <c r="R164" s="2"/>
      <c r="S164" s="2"/>
      <c r="T164" s="9"/>
      <c r="U164" s="392"/>
      <c r="V164" s="2">
        <v>134214</v>
      </c>
      <c r="W164" s="108">
        <v>14800</v>
      </c>
      <c r="X164" s="310"/>
      <c r="Y164" s="2"/>
      <c r="Z164" s="131" t="s">
        <v>1467</v>
      </c>
      <c r="AA164" s="108" t="str">
        <f t="shared" si="19"/>
        <v/>
      </c>
      <c r="AB164" s="2"/>
      <c r="AC164" s="131">
        <f t="shared" si="20"/>
        <v>12436.974789915967</v>
      </c>
      <c r="AD164" s="108">
        <f t="shared" si="21"/>
        <v>2363.0252100840335</v>
      </c>
      <c r="AE164" s="2" t="s">
        <v>1501</v>
      </c>
      <c r="AF164" s="23" t="s">
        <v>3487</v>
      </c>
      <c r="AG164" s="2" t="str">
        <f t="shared" si="22"/>
        <v>SI</v>
      </c>
      <c r="AH164" s="14"/>
      <c r="AI164" s="23"/>
      <c r="AJ164" s="2" t="str">
        <f t="shared" si="23"/>
        <v>NV</v>
      </c>
      <c r="AK164" s="294"/>
    </row>
    <row r="165" spans="1:37" ht="15.75" customHeight="1" x14ac:dyDescent="0.25">
      <c r="A165" s="270" t="s">
        <v>3421</v>
      </c>
      <c r="B165" s="3" t="s">
        <v>3422</v>
      </c>
      <c r="C165" s="2">
        <v>0</v>
      </c>
      <c r="D165" s="2">
        <v>2633</v>
      </c>
      <c r="E165" s="2"/>
      <c r="F165" s="2"/>
      <c r="G165" s="2">
        <v>6016</v>
      </c>
      <c r="H165" s="293">
        <v>60800</v>
      </c>
      <c r="I165" s="293"/>
      <c r="J165" s="126">
        <f t="shared" si="16"/>
        <v>60800</v>
      </c>
      <c r="K165" s="310">
        <v>43762</v>
      </c>
      <c r="L165" s="2">
        <v>0</v>
      </c>
      <c r="M165" s="9">
        <f t="shared" si="17"/>
        <v>43762</v>
      </c>
      <c r="N165" s="2" t="str">
        <f t="shared" si="18"/>
        <v>Pagado</v>
      </c>
      <c r="O165" s="310">
        <v>43763</v>
      </c>
      <c r="P165" s="293">
        <v>60800</v>
      </c>
      <c r="Q165" s="2" t="s">
        <v>1484</v>
      </c>
      <c r="R165" s="2"/>
      <c r="S165" s="2"/>
      <c r="T165" s="9" t="s">
        <v>1488</v>
      </c>
      <c r="U165" s="392"/>
      <c r="V165" s="2"/>
      <c r="W165" s="108"/>
      <c r="X165" s="310"/>
      <c r="Y165" s="2"/>
      <c r="Z165" s="131" t="s">
        <v>1467</v>
      </c>
      <c r="AA165" s="108" t="str">
        <f t="shared" si="19"/>
        <v/>
      </c>
      <c r="AB165" s="2"/>
      <c r="AC165" s="131">
        <f t="shared" si="20"/>
        <v>51092.436974789918</v>
      </c>
      <c r="AD165" s="108">
        <f t="shared" si="21"/>
        <v>9707.5630252100818</v>
      </c>
      <c r="AE165" s="2" t="s">
        <v>1501</v>
      </c>
      <c r="AF165" s="23" t="s">
        <v>3489</v>
      </c>
      <c r="AG165" s="2" t="str">
        <f t="shared" si="22"/>
        <v>SI</v>
      </c>
      <c r="AH165" s="14"/>
      <c r="AI165" s="23"/>
      <c r="AJ165" s="2" t="str">
        <f t="shared" si="23"/>
        <v>NV</v>
      </c>
      <c r="AK165" s="294"/>
    </row>
    <row r="166" spans="1:37" ht="15.75" customHeight="1" x14ac:dyDescent="0.25">
      <c r="A166" s="270" t="s">
        <v>4953</v>
      </c>
      <c r="B166" s="3" t="s">
        <v>4954</v>
      </c>
      <c r="C166" s="2">
        <v>0</v>
      </c>
      <c r="D166" s="2">
        <v>2636</v>
      </c>
      <c r="E166" s="2"/>
      <c r="F166" s="2"/>
      <c r="G166" s="2">
        <v>6018</v>
      </c>
      <c r="H166" s="293">
        <v>19700</v>
      </c>
      <c r="I166" s="293"/>
      <c r="J166" s="126">
        <f t="shared" si="16"/>
        <v>19700</v>
      </c>
      <c r="K166" s="310">
        <v>43762</v>
      </c>
      <c r="L166" s="2">
        <v>0</v>
      </c>
      <c r="M166" s="9">
        <f t="shared" si="17"/>
        <v>43762</v>
      </c>
      <c r="N166" s="2" t="str">
        <f t="shared" si="18"/>
        <v>Pagado</v>
      </c>
      <c r="O166" s="310">
        <v>43762</v>
      </c>
      <c r="P166" s="293">
        <v>19700</v>
      </c>
      <c r="Q166" s="2" t="s">
        <v>1481</v>
      </c>
      <c r="R166" s="2"/>
      <c r="S166" s="2"/>
      <c r="T166" s="9"/>
      <c r="U166" s="392"/>
      <c r="V166" s="2"/>
      <c r="W166" s="108"/>
      <c r="X166" s="310"/>
      <c r="Y166" s="2"/>
      <c r="Z166" s="131" t="s">
        <v>1467</v>
      </c>
      <c r="AA166" s="108" t="str">
        <f t="shared" si="19"/>
        <v/>
      </c>
      <c r="AB166" s="2"/>
      <c r="AC166" s="131">
        <f t="shared" si="20"/>
        <v>16554.621848739498</v>
      </c>
      <c r="AD166" s="108">
        <f t="shared" si="21"/>
        <v>3145.3781512605019</v>
      </c>
      <c r="AE166" s="2" t="s">
        <v>1501</v>
      </c>
      <c r="AF166" s="23" t="s">
        <v>3487</v>
      </c>
      <c r="AG166" s="2" t="str">
        <f t="shared" si="22"/>
        <v>SI</v>
      </c>
      <c r="AH166" s="14"/>
      <c r="AI166" s="23"/>
      <c r="AJ166" s="2" t="str">
        <f t="shared" si="23"/>
        <v>NV</v>
      </c>
      <c r="AK166" s="294"/>
    </row>
    <row r="167" spans="1:37" ht="15.75" customHeight="1" x14ac:dyDescent="0.25">
      <c r="A167" s="270" t="s">
        <v>1259</v>
      </c>
      <c r="B167" s="3" t="s">
        <v>2778</v>
      </c>
      <c r="C167" s="2">
        <v>2959</v>
      </c>
      <c r="D167" s="2">
        <v>0</v>
      </c>
      <c r="E167" s="2"/>
      <c r="F167" s="2"/>
      <c r="G167" s="2" t="s">
        <v>2528</v>
      </c>
      <c r="H167" s="293">
        <v>148037</v>
      </c>
      <c r="I167" s="293"/>
      <c r="J167" s="126">
        <f t="shared" si="16"/>
        <v>148037</v>
      </c>
      <c r="K167" s="310">
        <v>43763</v>
      </c>
      <c r="L167" s="2">
        <v>30</v>
      </c>
      <c r="M167" s="9">
        <f t="shared" si="17"/>
        <v>43793</v>
      </c>
      <c r="N167" s="2" t="str">
        <f t="shared" si="18"/>
        <v>Pagado</v>
      </c>
      <c r="O167" s="310">
        <v>43763</v>
      </c>
      <c r="P167" s="293">
        <v>148037</v>
      </c>
      <c r="Q167" s="2" t="s">
        <v>1481</v>
      </c>
      <c r="R167" s="2"/>
      <c r="S167" s="2"/>
      <c r="T167" s="9"/>
      <c r="U167" s="392"/>
      <c r="V167" s="2">
        <v>134218</v>
      </c>
      <c r="W167" s="108">
        <v>147000</v>
      </c>
      <c r="X167" s="310">
        <v>43767</v>
      </c>
      <c r="Y167" s="2" t="s">
        <v>1488</v>
      </c>
      <c r="Z167" s="131" t="s">
        <v>1467</v>
      </c>
      <c r="AA167" s="108" t="str">
        <f t="shared" si="19"/>
        <v/>
      </c>
      <c r="AB167" s="2"/>
      <c r="AC167" s="131">
        <f t="shared" si="20"/>
        <v>124400.84033613445</v>
      </c>
      <c r="AD167" s="108">
        <f t="shared" si="21"/>
        <v>23636.159663865546</v>
      </c>
      <c r="AE167" s="2" t="s">
        <v>2050</v>
      </c>
      <c r="AF167" s="23" t="s">
        <v>3490</v>
      </c>
      <c r="AG167" s="2" t="str">
        <f t="shared" si="22"/>
        <v>SI</v>
      </c>
      <c r="AH167" s="14"/>
      <c r="AI167" s="23"/>
      <c r="AJ167" s="2" t="str">
        <f t="shared" si="23"/>
        <v>Factura</v>
      </c>
      <c r="AK167" s="294"/>
    </row>
    <row r="168" spans="1:37" ht="15.75" customHeight="1" x14ac:dyDescent="0.25">
      <c r="A168" s="270" t="s">
        <v>2273</v>
      </c>
      <c r="B168" s="3" t="s">
        <v>2274</v>
      </c>
      <c r="C168" s="2">
        <v>0</v>
      </c>
      <c r="D168" s="2">
        <v>2638</v>
      </c>
      <c r="E168" s="2"/>
      <c r="F168" s="2"/>
      <c r="G168" s="2">
        <v>6026</v>
      </c>
      <c r="H168" s="293">
        <v>45500</v>
      </c>
      <c r="I168" s="293"/>
      <c r="J168" s="126">
        <f t="shared" si="16"/>
        <v>45500</v>
      </c>
      <c r="K168" s="310">
        <v>43763</v>
      </c>
      <c r="L168" s="2">
        <v>0</v>
      </c>
      <c r="M168" s="9">
        <f t="shared" si="17"/>
        <v>43763</v>
      </c>
      <c r="N168" s="2" t="str">
        <f t="shared" si="18"/>
        <v>Pagado</v>
      </c>
      <c r="O168" s="310">
        <v>43763</v>
      </c>
      <c r="P168" s="293">
        <v>45500</v>
      </c>
      <c r="Q168" s="2" t="s">
        <v>1481</v>
      </c>
      <c r="R168" s="2"/>
      <c r="S168" s="2"/>
      <c r="T168" s="9"/>
      <c r="U168" s="392"/>
      <c r="V168" s="2">
        <v>134217</v>
      </c>
      <c r="W168" s="108">
        <v>45500</v>
      </c>
      <c r="X168" s="310"/>
      <c r="Y168" s="2"/>
      <c r="Z168" s="131" t="s">
        <v>1467</v>
      </c>
      <c r="AA168" s="108" t="str">
        <f t="shared" si="19"/>
        <v/>
      </c>
      <c r="AB168" s="2"/>
      <c r="AC168" s="131">
        <f t="shared" si="20"/>
        <v>38235.294117647063</v>
      </c>
      <c r="AD168" s="108">
        <f t="shared" si="21"/>
        <v>7264.7058823529369</v>
      </c>
      <c r="AE168" s="2" t="s">
        <v>1501</v>
      </c>
      <c r="AF168" s="23" t="s">
        <v>3487</v>
      </c>
      <c r="AG168" s="2" t="str">
        <f t="shared" si="22"/>
        <v>SI</v>
      </c>
      <c r="AH168" s="14"/>
      <c r="AI168" s="23"/>
      <c r="AJ168" s="2" t="str">
        <f t="shared" si="23"/>
        <v>NV</v>
      </c>
      <c r="AK168" s="294"/>
    </row>
    <row r="169" spans="1:37" ht="15.75" customHeight="1" x14ac:dyDescent="0.25">
      <c r="A169" s="270" t="s">
        <v>1235</v>
      </c>
      <c r="B169" s="3" t="s">
        <v>989</v>
      </c>
      <c r="C169" s="2">
        <v>0</v>
      </c>
      <c r="D169" s="2">
        <v>2637</v>
      </c>
      <c r="E169" s="2"/>
      <c r="F169" s="2"/>
      <c r="G169" s="2">
        <v>6008</v>
      </c>
      <c r="H169" s="293">
        <v>24500</v>
      </c>
      <c r="I169" s="293"/>
      <c r="J169" s="126">
        <f t="shared" si="16"/>
        <v>24500</v>
      </c>
      <c r="K169" s="310">
        <v>43763</v>
      </c>
      <c r="L169" s="2">
        <v>0</v>
      </c>
      <c r="M169" s="9">
        <f t="shared" si="17"/>
        <v>43763</v>
      </c>
      <c r="N169" s="2" t="str">
        <f t="shared" si="18"/>
        <v>Pagado</v>
      </c>
      <c r="O169" s="310">
        <v>43763</v>
      </c>
      <c r="P169" s="293">
        <v>24500</v>
      </c>
      <c r="Q169" s="2" t="s">
        <v>1484</v>
      </c>
      <c r="R169" s="2"/>
      <c r="S169" s="2"/>
      <c r="T169" s="313" t="s">
        <v>1490</v>
      </c>
      <c r="U169" s="392"/>
      <c r="V169" s="2"/>
      <c r="W169" s="108"/>
      <c r="X169" s="310"/>
      <c r="Y169" s="2"/>
      <c r="Z169" s="131" t="s">
        <v>1467</v>
      </c>
      <c r="AA169" s="108" t="str">
        <f t="shared" si="19"/>
        <v/>
      </c>
      <c r="AB169" s="2"/>
      <c r="AC169" s="131">
        <f t="shared" si="20"/>
        <v>20588.235294117647</v>
      </c>
      <c r="AD169" s="108">
        <f t="shared" si="21"/>
        <v>3911.7647058823532</v>
      </c>
      <c r="AE169" s="2" t="s">
        <v>1501</v>
      </c>
      <c r="AF169" s="23" t="s">
        <v>3487</v>
      </c>
      <c r="AG169" s="2" t="str">
        <f t="shared" si="22"/>
        <v>SI</v>
      </c>
      <c r="AH169" s="14"/>
      <c r="AI169" s="23"/>
      <c r="AJ169" s="2" t="str">
        <f t="shared" si="23"/>
        <v>NV</v>
      </c>
      <c r="AK169" s="294"/>
    </row>
    <row r="170" spans="1:37" ht="15.75" customHeight="1" x14ac:dyDescent="0.25">
      <c r="A170" s="270" t="s">
        <v>1227</v>
      </c>
      <c r="B170" s="3" t="s">
        <v>933</v>
      </c>
      <c r="C170" s="2">
        <v>0</v>
      </c>
      <c r="D170" s="2">
        <v>161</v>
      </c>
      <c r="E170" s="2"/>
      <c r="F170" s="2"/>
      <c r="G170" s="2">
        <v>6031</v>
      </c>
      <c r="H170" s="293">
        <v>11500</v>
      </c>
      <c r="I170" s="293"/>
      <c r="J170" s="126">
        <f t="shared" si="16"/>
        <v>11500</v>
      </c>
      <c r="K170" s="310">
        <v>43763</v>
      </c>
      <c r="L170" s="2">
        <v>0</v>
      </c>
      <c r="M170" s="9">
        <f t="shared" si="17"/>
        <v>43763</v>
      </c>
      <c r="N170" s="2" t="str">
        <f t="shared" si="18"/>
        <v>Pagado</v>
      </c>
      <c r="O170" s="310">
        <v>43763</v>
      </c>
      <c r="P170" s="293">
        <v>11500</v>
      </c>
      <c r="Q170" s="2" t="s">
        <v>1070</v>
      </c>
      <c r="R170" s="2" t="s">
        <v>1478</v>
      </c>
      <c r="S170" s="2">
        <v>161</v>
      </c>
      <c r="T170" s="9"/>
      <c r="U170" s="392"/>
      <c r="V170" s="2"/>
      <c r="W170" s="108"/>
      <c r="X170" s="310"/>
      <c r="Y170" s="2"/>
      <c r="Z170" s="131" t="s">
        <v>1467</v>
      </c>
      <c r="AA170" s="108" t="str">
        <f t="shared" si="19"/>
        <v/>
      </c>
      <c r="AB170" s="2"/>
      <c r="AC170" s="131">
        <f t="shared" si="20"/>
        <v>9663.865546218487</v>
      </c>
      <c r="AD170" s="108">
        <f t="shared" si="21"/>
        <v>1836.134453781513</v>
      </c>
      <c r="AE170" s="2" t="s">
        <v>1501</v>
      </c>
      <c r="AF170" s="23" t="s">
        <v>3489</v>
      </c>
      <c r="AG170" s="2" t="str">
        <f t="shared" si="22"/>
        <v>SI</v>
      </c>
      <c r="AH170" s="14"/>
      <c r="AI170" s="23"/>
      <c r="AJ170" s="2" t="str">
        <f t="shared" si="23"/>
        <v>NV</v>
      </c>
      <c r="AK170" s="294"/>
    </row>
    <row r="171" spans="1:37" ht="15.75" customHeight="1" x14ac:dyDescent="0.25">
      <c r="A171" s="270" t="s">
        <v>4807</v>
      </c>
      <c r="B171" s="3" t="s">
        <v>4808</v>
      </c>
      <c r="C171" s="2">
        <v>0</v>
      </c>
      <c r="D171" s="2">
        <v>164</v>
      </c>
      <c r="E171" s="2"/>
      <c r="F171" s="2"/>
      <c r="G171" s="2">
        <v>6032</v>
      </c>
      <c r="H171" s="293">
        <v>15000</v>
      </c>
      <c r="I171" s="293"/>
      <c r="J171" s="126">
        <f t="shared" si="16"/>
        <v>15000</v>
      </c>
      <c r="K171" s="310">
        <v>43763</v>
      </c>
      <c r="L171" s="2">
        <v>0</v>
      </c>
      <c r="M171" s="9">
        <f t="shared" si="17"/>
        <v>43763</v>
      </c>
      <c r="N171" s="2" t="str">
        <f t="shared" si="18"/>
        <v>Pagado</v>
      </c>
      <c r="O171" s="310">
        <v>43763</v>
      </c>
      <c r="P171" s="293">
        <v>15000</v>
      </c>
      <c r="Q171" s="2" t="s">
        <v>1070</v>
      </c>
      <c r="R171" s="2" t="s">
        <v>2243</v>
      </c>
      <c r="S171" s="2">
        <v>164</v>
      </c>
      <c r="T171" s="9"/>
      <c r="U171" s="392"/>
      <c r="V171" s="2"/>
      <c r="W171" s="108"/>
      <c r="X171" s="310"/>
      <c r="Y171" s="2"/>
      <c r="Z171" s="131" t="s">
        <v>1467</v>
      </c>
      <c r="AA171" s="108" t="str">
        <f t="shared" si="19"/>
        <v/>
      </c>
      <c r="AB171" s="2"/>
      <c r="AC171" s="131">
        <f t="shared" si="20"/>
        <v>12605.042016806723</v>
      </c>
      <c r="AD171" s="108">
        <f t="shared" si="21"/>
        <v>2394.957983193277</v>
      </c>
      <c r="AE171" s="2" t="s">
        <v>1501</v>
      </c>
      <c r="AF171" s="23" t="s">
        <v>3487</v>
      </c>
      <c r="AG171" s="2" t="str">
        <f t="shared" si="22"/>
        <v>SI</v>
      </c>
      <c r="AH171" s="14"/>
      <c r="AI171" s="23"/>
      <c r="AJ171" s="2" t="str">
        <f t="shared" si="23"/>
        <v>NV</v>
      </c>
      <c r="AK171" s="294"/>
    </row>
    <row r="172" spans="1:37" ht="15.75" customHeight="1" x14ac:dyDescent="0.25">
      <c r="A172" s="270" t="s">
        <v>1258</v>
      </c>
      <c r="B172" s="3" t="s">
        <v>1059</v>
      </c>
      <c r="C172" s="2">
        <v>0</v>
      </c>
      <c r="D172" s="2">
        <v>2641</v>
      </c>
      <c r="E172" s="2"/>
      <c r="F172" s="2"/>
      <c r="G172" s="2">
        <v>6033</v>
      </c>
      <c r="H172" s="293">
        <v>69000</v>
      </c>
      <c r="I172" s="293"/>
      <c r="J172" s="126">
        <f t="shared" si="16"/>
        <v>69000</v>
      </c>
      <c r="K172" s="310">
        <v>43763</v>
      </c>
      <c r="L172" s="2">
        <v>0</v>
      </c>
      <c r="M172" s="9">
        <f t="shared" si="17"/>
        <v>43763</v>
      </c>
      <c r="N172" s="2" t="str">
        <f t="shared" si="18"/>
        <v>Pagado</v>
      </c>
      <c r="O172" s="310">
        <v>43763</v>
      </c>
      <c r="P172" s="293">
        <v>69000</v>
      </c>
      <c r="Q172" s="2" t="s">
        <v>1484</v>
      </c>
      <c r="R172" s="2"/>
      <c r="S172" s="2"/>
      <c r="T172" s="9" t="s">
        <v>1491</v>
      </c>
      <c r="U172" s="392"/>
      <c r="V172" s="2"/>
      <c r="W172" s="108"/>
      <c r="X172" s="310"/>
      <c r="Y172" s="2"/>
      <c r="Z172" s="131" t="s">
        <v>1467</v>
      </c>
      <c r="AA172" s="108" t="str">
        <f t="shared" si="19"/>
        <v/>
      </c>
      <c r="AB172" s="2"/>
      <c r="AC172" s="131">
        <f t="shared" si="20"/>
        <v>57983.193277310929</v>
      </c>
      <c r="AD172" s="108">
        <f t="shared" si="21"/>
        <v>11016.806722689071</v>
      </c>
      <c r="AE172" s="2" t="s">
        <v>1501</v>
      </c>
      <c r="AF172" s="23" t="s">
        <v>3487</v>
      </c>
      <c r="AG172" s="2" t="str">
        <f t="shared" si="22"/>
        <v>SI</v>
      </c>
      <c r="AH172" s="14"/>
      <c r="AI172" s="23"/>
      <c r="AJ172" s="2" t="str">
        <f t="shared" si="23"/>
        <v>NV</v>
      </c>
      <c r="AK172" s="294"/>
    </row>
    <row r="173" spans="1:37" ht="15.75" customHeight="1" x14ac:dyDescent="0.25">
      <c r="A173" s="270" t="s">
        <v>5324</v>
      </c>
      <c r="B173" s="3" t="s">
        <v>5325</v>
      </c>
      <c r="C173" s="2">
        <v>0</v>
      </c>
      <c r="D173" s="2">
        <v>2642</v>
      </c>
      <c r="E173" s="2"/>
      <c r="F173" s="2"/>
      <c r="G173" s="2">
        <v>6030</v>
      </c>
      <c r="H173" s="293">
        <v>39200</v>
      </c>
      <c r="I173" s="293"/>
      <c r="J173" s="126">
        <f t="shared" si="16"/>
        <v>39200</v>
      </c>
      <c r="K173" s="310">
        <v>43763</v>
      </c>
      <c r="L173" s="2">
        <v>0</v>
      </c>
      <c r="M173" s="313">
        <f t="shared" si="17"/>
        <v>43763</v>
      </c>
      <c r="N173" s="2" t="str">
        <f t="shared" si="18"/>
        <v>Pagado</v>
      </c>
      <c r="O173" s="310">
        <v>43763</v>
      </c>
      <c r="P173" s="293">
        <v>39200</v>
      </c>
      <c r="Q173" s="2" t="s">
        <v>1481</v>
      </c>
      <c r="R173" s="2"/>
      <c r="S173" s="2"/>
      <c r="T173" s="9"/>
      <c r="U173" s="392"/>
      <c r="V173" s="2">
        <v>134217</v>
      </c>
      <c r="W173" s="108">
        <v>39200</v>
      </c>
      <c r="X173" s="310"/>
      <c r="Y173" s="2"/>
      <c r="Z173" s="131" t="s">
        <v>1467</v>
      </c>
      <c r="AA173" s="108" t="str">
        <f t="shared" si="19"/>
        <v/>
      </c>
      <c r="AB173" s="2"/>
      <c r="AC173" s="131">
        <f t="shared" si="20"/>
        <v>32941.176470588238</v>
      </c>
      <c r="AD173" s="108">
        <f t="shared" si="21"/>
        <v>6258.8235294117621</v>
      </c>
      <c r="AE173" s="2" t="s">
        <v>1501</v>
      </c>
      <c r="AF173" s="23" t="s">
        <v>3489</v>
      </c>
      <c r="AG173" s="2" t="str">
        <f t="shared" si="22"/>
        <v>SI</v>
      </c>
      <c r="AH173" s="14"/>
      <c r="AI173" s="23"/>
      <c r="AJ173" s="2" t="str">
        <f t="shared" si="23"/>
        <v>NV</v>
      </c>
      <c r="AK173" s="294"/>
    </row>
    <row r="174" spans="1:37" ht="15.75" customHeight="1" x14ac:dyDescent="0.25">
      <c r="A174" s="270" t="s">
        <v>1320</v>
      </c>
      <c r="B174" s="3" t="s">
        <v>3394</v>
      </c>
      <c r="C174" s="2">
        <v>0</v>
      </c>
      <c r="D174" s="2">
        <v>162</v>
      </c>
      <c r="E174" s="2"/>
      <c r="F174" s="2"/>
      <c r="G174" s="2">
        <v>6034</v>
      </c>
      <c r="H174" s="293">
        <v>34500</v>
      </c>
      <c r="I174" s="293"/>
      <c r="J174" s="126">
        <f t="shared" si="16"/>
        <v>34500</v>
      </c>
      <c r="K174" s="310">
        <v>43763</v>
      </c>
      <c r="L174" s="2">
        <v>0</v>
      </c>
      <c r="M174" s="313">
        <f t="shared" si="17"/>
        <v>43763</v>
      </c>
      <c r="N174" s="2" t="str">
        <f t="shared" si="18"/>
        <v>Pagado</v>
      </c>
      <c r="O174" s="310">
        <v>43763</v>
      </c>
      <c r="P174" s="293">
        <v>34500</v>
      </c>
      <c r="Q174" s="2" t="s">
        <v>1070</v>
      </c>
      <c r="R174" s="2" t="s">
        <v>2243</v>
      </c>
      <c r="S174" s="2">
        <v>162</v>
      </c>
      <c r="T174" s="9"/>
      <c r="U174" s="392"/>
      <c r="V174" s="2"/>
      <c r="W174" s="108"/>
      <c r="X174" s="310"/>
      <c r="Y174" s="2"/>
      <c r="Z174" s="131" t="s">
        <v>1467</v>
      </c>
      <c r="AA174" s="108" t="str">
        <f t="shared" si="19"/>
        <v/>
      </c>
      <c r="AB174" s="2"/>
      <c r="AC174" s="131">
        <f t="shared" si="20"/>
        <v>28991.596638655465</v>
      </c>
      <c r="AD174" s="108">
        <f t="shared" si="21"/>
        <v>5508.4033613445354</v>
      </c>
      <c r="AE174" s="2" t="s">
        <v>1501</v>
      </c>
      <c r="AF174" s="23" t="s">
        <v>3489</v>
      </c>
      <c r="AG174" s="2" t="str">
        <f t="shared" si="22"/>
        <v>SI</v>
      </c>
      <c r="AH174" s="14"/>
      <c r="AI174" s="23"/>
      <c r="AJ174" s="2" t="str">
        <f t="shared" si="23"/>
        <v>NV</v>
      </c>
      <c r="AK174" s="294"/>
    </row>
    <row r="175" spans="1:37" ht="15.75" customHeight="1" x14ac:dyDescent="0.25">
      <c r="A175" s="270" t="s">
        <v>1419</v>
      </c>
      <c r="B175" s="3" t="s">
        <v>1119</v>
      </c>
      <c r="C175" s="2">
        <v>0</v>
      </c>
      <c r="D175" s="2">
        <v>2639</v>
      </c>
      <c r="E175" s="2"/>
      <c r="F175" s="2"/>
      <c r="G175" s="2">
        <v>6028</v>
      </c>
      <c r="H175" s="293">
        <v>43500</v>
      </c>
      <c r="I175" s="293"/>
      <c r="J175" s="126">
        <f t="shared" si="16"/>
        <v>43500</v>
      </c>
      <c r="K175" s="310">
        <v>43763</v>
      </c>
      <c r="L175" s="2">
        <v>0</v>
      </c>
      <c r="M175" s="313">
        <f t="shared" si="17"/>
        <v>43763</v>
      </c>
      <c r="N175" s="2" t="str">
        <f t="shared" si="18"/>
        <v>Pagado</v>
      </c>
      <c r="O175" s="310">
        <v>43763</v>
      </c>
      <c r="P175" s="293">
        <v>43500</v>
      </c>
      <c r="Q175" s="2" t="s">
        <v>1481</v>
      </c>
      <c r="R175" s="2"/>
      <c r="S175" s="2"/>
      <c r="T175" s="9"/>
      <c r="U175" s="392"/>
      <c r="V175" s="2">
        <v>134217</v>
      </c>
      <c r="W175" s="108">
        <v>43500</v>
      </c>
      <c r="X175" s="310"/>
      <c r="Y175" s="2"/>
      <c r="Z175" s="131" t="s">
        <v>1467</v>
      </c>
      <c r="AA175" s="108" t="str">
        <f t="shared" si="19"/>
        <v/>
      </c>
      <c r="AB175" s="2"/>
      <c r="AC175" s="131">
        <f t="shared" si="20"/>
        <v>36554.621848739494</v>
      </c>
      <c r="AD175" s="108">
        <f t="shared" si="21"/>
        <v>6945.3781512605055</v>
      </c>
      <c r="AE175" s="2" t="s">
        <v>1501</v>
      </c>
      <c r="AF175" s="23" t="s">
        <v>3489</v>
      </c>
      <c r="AG175" s="2" t="str">
        <f t="shared" si="22"/>
        <v>SI</v>
      </c>
      <c r="AH175" s="14"/>
      <c r="AI175" s="23"/>
      <c r="AJ175" s="2" t="str">
        <f t="shared" si="23"/>
        <v>NV</v>
      </c>
      <c r="AK175" s="294"/>
    </row>
    <row r="176" spans="1:37" ht="15.75" customHeight="1" x14ac:dyDescent="0.25">
      <c r="A176" s="270" t="s">
        <v>4791</v>
      </c>
      <c r="B176" s="3" t="s">
        <v>4792</v>
      </c>
      <c r="C176" s="2">
        <v>0</v>
      </c>
      <c r="D176" s="2">
        <v>163</v>
      </c>
      <c r="E176" s="2"/>
      <c r="F176" s="2"/>
      <c r="G176" s="2">
        <v>6025</v>
      </c>
      <c r="H176" s="293">
        <v>71000</v>
      </c>
      <c r="I176" s="293"/>
      <c r="J176" s="126">
        <f t="shared" si="16"/>
        <v>71000</v>
      </c>
      <c r="K176" s="310">
        <v>43763</v>
      </c>
      <c r="L176" s="2">
        <v>0</v>
      </c>
      <c r="M176" s="313">
        <f t="shared" si="17"/>
        <v>43763</v>
      </c>
      <c r="N176" s="2" t="str">
        <f t="shared" si="18"/>
        <v>Pagado</v>
      </c>
      <c r="O176" s="310">
        <v>43763</v>
      </c>
      <c r="P176" s="293">
        <v>71000</v>
      </c>
      <c r="Q176" s="2" t="s">
        <v>1070</v>
      </c>
      <c r="R176" s="2" t="s">
        <v>2243</v>
      </c>
      <c r="S176" s="2">
        <v>163</v>
      </c>
      <c r="T176" s="9"/>
      <c r="U176" s="392"/>
      <c r="V176" s="2"/>
      <c r="W176" s="108"/>
      <c r="X176" s="310"/>
      <c r="Y176" s="2"/>
      <c r="Z176" s="131" t="s">
        <v>1467</v>
      </c>
      <c r="AA176" s="108" t="str">
        <f t="shared" si="19"/>
        <v/>
      </c>
      <c r="AB176" s="2"/>
      <c r="AC176" s="131">
        <f t="shared" si="20"/>
        <v>59663.865546218491</v>
      </c>
      <c r="AD176" s="108">
        <f t="shared" si="21"/>
        <v>11336.134453781509</v>
      </c>
      <c r="AE176" s="2" t="s">
        <v>1501</v>
      </c>
      <c r="AF176" s="23" t="s">
        <v>3487</v>
      </c>
      <c r="AG176" s="2" t="str">
        <f t="shared" si="22"/>
        <v>SI</v>
      </c>
      <c r="AH176" s="14"/>
      <c r="AI176" s="23"/>
      <c r="AJ176" s="2" t="str">
        <f t="shared" si="23"/>
        <v>NV</v>
      </c>
      <c r="AK176" s="294"/>
    </row>
    <row r="177" spans="1:37" ht="15.75" customHeight="1" x14ac:dyDescent="0.25">
      <c r="A177" s="270" t="s">
        <v>1177</v>
      </c>
      <c r="B177" s="3" t="s">
        <v>1060</v>
      </c>
      <c r="C177" s="2">
        <v>2957</v>
      </c>
      <c r="D177" s="2">
        <v>0</v>
      </c>
      <c r="E177" s="2"/>
      <c r="F177" s="2"/>
      <c r="G177" s="2" t="s">
        <v>2528</v>
      </c>
      <c r="H177" s="293">
        <v>422516</v>
      </c>
      <c r="I177" s="293"/>
      <c r="J177" s="126">
        <f t="shared" si="16"/>
        <v>422516</v>
      </c>
      <c r="K177" s="310">
        <v>43763</v>
      </c>
      <c r="L177" s="2">
        <v>30</v>
      </c>
      <c r="M177" s="313">
        <f t="shared" si="17"/>
        <v>43793</v>
      </c>
      <c r="N177" s="2" t="str">
        <f t="shared" si="18"/>
        <v>Pagado</v>
      </c>
      <c r="O177" s="310">
        <v>43763</v>
      </c>
      <c r="P177" s="293">
        <v>422516</v>
      </c>
      <c r="Q177" s="2" t="s">
        <v>2131</v>
      </c>
      <c r="R177" s="2"/>
      <c r="S177" s="2">
        <v>7000980</v>
      </c>
      <c r="T177" s="9" t="s">
        <v>1462</v>
      </c>
      <c r="U177" s="392">
        <v>43794</v>
      </c>
      <c r="V177" s="2"/>
      <c r="W177" s="108"/>
      <c r="X177" s="310"/>
      <c r="Y177" s="2"/>
      <c r="Z177" s="131" t="s">
        <v>1467</v>
      </c>
      <c r="AA177" s="108" t="str">
        <f t="shared" si="19"/>
        <v>Otros</v>
      </c>
      <c r="AB177" s="2"/>
      <c r="AC177" s="131">
        <f t="shared" si="20"/>
        <v>355055.46218487399</v>
      </c>
      <c r="AD177" s="108">
        <f t="shared" si="21"/>
        <v>67460.537815126008</v>
      </c>
      <c r="AE177" s="2" t="s">
        <v>2050</v>
      </c>
      <c r="AF177" s="23" t="s">
        <v>3490</v>
      </c>
      <c r="AG177" s="2" t="str">
        <f t="shared" si="22"/>
        <v>SI</v>
      </c>
      <c r="AH177" s="14"/>
      <c r="AI177" s="23"/>
      <c r="AJ177" s="2" t="str">
        <f t="shared" si="23"/>
        <v>Factura</v>
      </c>
      <c r="AK177" s="294"/>
    </row>
    <row r="178" spans="1:37" ht="15.75" customHeight="1" x14ac:dyDescent="0.25">
      <c r="A178" s="270" t="s">
        <v>1175</v>
      </c>
      <c r="B178" s="3" t="s">
        <v>1144</v>
      </c>
      <c r="C178" s="2">
        <v>2958</v>
      </c>
      <c r="D178" s="2">
        <v>0</v>
      </c>
      <c r="E178" s="2"/>
      <c r="F178" s="2"/>
      <c r="G178" s="2" t="s">
        <v>2528</v>
      </c>
      <c r="H178" s="293">
        <v>79053</v>
      </c>
      <c r="I178" s="293"/>
      <c r="J178" s="126">
        <f t="shared" si="16"/>
        <v>79053</v>
      </c>
      <c r="K178" s="310">
        <v>43763</v>
      </c>
      <c r="L178" s="2">
        <v>30</v>
      </c>
      <c r="M178" s="313">
        <f t="shared" si="17"/>
        <v>43793</v>
      </c>
      <c r="N178" s="2" t="str">
        <f t="shared" si="18"/>
        <v>Pagado</v>
      </c>
      <c r="O178" s="310">
        <v>43797</v>
      </c>
      <c r="P178" s="293">
        <v>79053</v>
      </c>
      <c r="Q178" s="2" t="s">
        <v>1484</v>
      </c>
      <c r="R178" s="2"/>
      <c r="S178" s="2"/>
      <c r="T178" s="9" t="s">
        <v>1496</v>
      </c>
      <c r="U178" s="392"/>
      <c r="V178" s="2"/>
      <c r="W178" s="108"/>
      <c r="X178" s="310"/>
      <c r="Y178" s="2"/>
      <c r="Z178" s="131" t="s">
        <v>1467</v>
      </c>
      <c r="AA178" s="108" t="str">
        <f t="shared" si="19"/>
        <v/>
      </c>
      <c r="AB178" s="2"/>
      <c r="AC178" s="131">
        <f t="shared" si="20"/>
        <v>66431.092436974795</v>
      </c>
      <c r="AD178" s="108">
        <f t="shared" si="21"/>
        <v>12621.907563025205</v>
      </c>
      <c r="AE178" s="2" t="s">
        <v>2050</v>
      </c>
      <c r="AF178" s="23" t="s">
        <v>3490</v>
      </c>
      <c r="AG178" s="2" t="str">
        <f t="shared" si="22"/>
        <v>SI</v>
      </c>
      <c r="AH178" s="14"/>
      <c r="AI178" s="23"/>
      <c r="AJ178" s="2" t="str">
        <f t="shared" si="23"/>
        <v>Factura</v>
      </c>
      <c r="AK178" s="294"/>
    </row>
    <row r="179" spans="1:37" ht="15.75" customHeight="1" x14ac:dyDescent="0.25">
      <c r="A179" s="270" t="s">
        <v>5321</v>
      </c>
      <c r="B179" s="3" t="s">
        <v>5322</v>
      </c>
      <c r="C179" s="2">
        <v>0</v>
      </c>
      <c r="D179" s="2">
        <v>2640</v>
      </c>
      <c r="E179" s="2"/>
      <c r="F179" s="2"/>
      <c r="G179" s="2">
        <v>6027</v>
      </c>
      <c r="H179" s="293">
        <v>24500</v>
      </c>
      <c r="I179" s="293"/>
      <c r="J179" s="126">
        <f t="shared" si="16"/>
        <v>24500</v>
      </c>
      <c r="K179" s="310">
        <v>43763</v>
      </c>
      <c r="L179" s="2">
        <v>0</v>
      </c>
      <c r="M179" s="313">
        <f t="shared" si="17"/>
        <v>43763</v>
      </c>
      <c r="N179" s="2" t="str">
        <f t="shared" si="18"/>
        <v>Pagado</v>
      </c>
      <c r="O179" s="310">
        <v>43764</v>
      </c>
      <c r="P179" s="293">
        <v>24500</v>
      </c>
      <c r="Q179" s="2" t="s">
        <v>1484</v>
      </c>
      <c r="R179" s="2"/>
      <c r="S179" s="2"/>
      <c r="T179" s="313" t="s">
        <v>1491</v>
      </c>
      <c r="U179" s="392"/>
      <c r="V179" s="2"/>
      <c r="W179" s="108"/>
      <c r="X179" s="310"/>
      <c r="Y179" s="2"/>
      <c r="Z179" s="131" t="s">
        <v>1467</v>
      </c>
      <c r="AA179" s="108" t="str">
        <f t="shared" si="19"/>
        <v/>
      </c>
      <c r="AB179" s="2"/>
      <c r="AC179" s="131">
        <f t="shared" si="20"/>
        <v>20588.235294117647</v>
      </c>
      <c r="AD179" s="108">
        <f t="shared" si="21"/>
        <v>3911.7647058823532</v>
      </c>
      <c r="AE179" s="2" t="s">
        <v>1501</v>
      </c>
      <c r="AF179" s="2" t="s">
        <v>5302</v>
      </c>
      <c r="AG179" s="2" t="str">
        <f t="shared" si="22"/>
        <v>SI</v>
      </c>
      <c r="AH179" s="14"/>
      <c r="AI179" s="23"/>
      <c r="AJ179" s="2" t="str">
        <f t="shared" si="23"/>
        <v>NV</v>
      </c>
      <c r="AK179" s="294"/>
    </row>
    <row r="180" spans="1:37" ht="15.75" customHeight="1" x14ac:dyDescent="0.25">
      <c r="A180" s="270" t="s">
        <v>5228</v>
      </c>
      <c r="B180" s="3" t="s">
        <v>5229</v>
      </c>
      <c r="C180" s="2">
        <v>0</v>
      </c>
      <c r="D180" s="2">
        <v>2643</v>
      </c>
      <c r="E180" s="2"/>
      <c r="F180" s="2"/>
      <c r="G180" s="2">
        <v>6024</v>
      </c>
      <c r="H180" s="293">
        <v>79500</v>
      </c>
      <c r="I180" s="293"/>
      <c r="J180" s="126">
        <f t="shared" si="16"/>
        <v>79500</v>
      </c>
      <c r="K180" s="310">
        <v>43763</v>
      </c>
      <c r="L180" s="2">
        <v>0</v>
      </c>
      <c r="M180" s="313">
        <f t="shared" si="17"/>
        <v>43763</v>
      </c>
      <c r="N180" s="2" t="str">
        <f t="shared" si="18"/>
        <v>Pagado</v>
      </c>
      <c r="O180" s="310">
        <v>43763</v>
      </c>
      <c r="P180" s="293">
        <v>79500</v>
      </c>
      <c r="Q180" s="2" t="s">
        <v>2132</v>
      </c>
      <c r="R180" s="2"/>
      <c r="S180" s="2"/>
      <c r="T180" s="313"/>
      <c r="U180" s="392"/>
      <c r="V180" s="2">
        <v>134219</v>
      </c>
      <c r="W180" s="108">
        <v>79500</v>
      </c>
      <c r="X180" s="310">
        <v>43767</v>
      </c>
      <c r="Y180" s="2" t="s">
        <v>1488</v>
      </c>
      <c r="Z180" s="131" t="s">
        <v>1467</v>
      </c>
      <c r="AA180" s="108" t="str">
        <f t="shared" si="19"/>
        <v>Otros</v>
      </c>
      <c r="AB180" s="2"/>
      <c r="AC180" s="131">
        <f t="shared" si="20"/>
        <v>66806.722689075628</v>
      </c>
      <c r="AD180" s="108">
        <f t="shared" si="21"/>
        <v>12693.277310924372</v>
      </c>
      <c r="AE180" s="2" t="s">
        <v>1501</v>
      </c>
      <c r="AF180" s="2" t="s">
        <v>3487</v>
      </c>
      <c r="AG180" s="2" t="str">
        <f t="shared" si="22"/>
        <v>SI</v>
      </c>
      <c r="AH180" s="14"/>
      <c r="AI180" s="23"/>
      <c r="AJ180" s="2" t="str">
        <f t="shared" si="23"/>
        <v>NV</v>
      </c>
      <c r="AK180" s="294"/>
    </row>
    <row r="181" spans="1:37" ht="15.75" customHeight="1" x14ac:dyDescent="0.25">
      <c r="A181" s="270" t="s">
        <v>5335</v>
      </c>
      <c r="B181" s="3" t="s">
        <v>5336</v>
      </c>
      <c r="C181" s="2">
        <v>0</v>
      </c>
      <c r="D181" s="2">
        <v>2647</v>
      </c>
      <c r="E181" s="2"/>
      <c r="F181" s="2"/>
      <c r="G181" s="2">
        <v>6040</v>
      </c>
      <c r="H181" s="293">
        <v>19700</v>
      </c>
      <c r="I181" s="293"/>
      <c r="J181" s="126">
        <f t="shared" si="16"/>
        <v>19700</v>
      </c>
      <c r="K181" s="310">
        <v>43766</v>
      </c>
      <c r="L181" s="2">
        <v>0</v>
      </c>
      <c r="M181" s="9">
        <f t="shared" si="17"/>
        <v>43766</v>
      </c>
      <c r="N181" s="2" t="str">
        <f t="shared" si="18"/>
        <v>Pagado</v>
      </c>
      <c r="O181" s="310">
        <v>43766</v>
      </c>
      <c r="P181" s="293">
        <v>19700</v>
      </c>
      <c r="Q181" s="2" t="s">
        <v>1484</v>
      </c>
      <c r="R181" s="2"/>
      <c r="S181" s="2"/>
      <c r="T181" s="9" t="s">
        <v>1494</v>
      </c>
      <c r="U181" s="392"/>
      <c r="V181" s="2"/>
      <c r="W181" s="108"/>
      <c r="X181" s="310"/>
      <c r="Y181" s="2"/>
      <c r="Z181" s="131" t="s">
        <v>1467</v>
      </c>
      <c r="AA181" s="108" t="str">
        <f t="shared" si="19"/>
        <v/>
      </c>
      <c r="AB181" s="2"/>
      <c r="AC181" s="131">
        <f t="shared" si="20"/>
        <v>16554.621848739498</v>
      </c>
      <c r="AD181" s="108">
        <f t="shared" si="21"/>
        <v>3145.3781512605019</v>
      </c>
      <c r="AE181" s="2" t="s">
        <v>1501</v>
      </c>
      <c r="AF181" s="23" t="s">
        <v>3487</v>
      </c>
      <c r="AG181" s="2" t="str">
        <f t="shared" si="22"/>
        <v>SI</v>
      </c>
      <c r="AH181" s="14"/>
      <c r="AI181" s="23"/>
      <c r="AJ181" s="2" t="str">
        <f t="shared" si="23"/>
        <v>NV</v>
      </c>
      <c r="AK181" s="294"/>
    </row>
    <row r="182" spans="1:37" ht="15.75" customHeight="1" x14ac:dyDescent="0.25">
      <c r="A182" s="270" t="s">
        <v>5268</v>
      </c>
      <c r="B182" s="3" t="s">
        <v>5269</v>
      </c>
      <c r="C182" s="2">
        <v>0</v>
      </c>
      <c r="D182" s="2">
        <v>0</v>
      </c>
      <c r="E182" s="2"/>
      <c r="F182" s="2"/>
      <c r="G182" s="2">
        <v>5961</v>
      </c>
      <c r="H182" s="293">
        <v>15600</v>
      </c>
      <c r="I182" s="293"/>
      <c r="J182" s="126">
        <f t="shared" si="16"/>
        <v>15600</v>
      </c>
      <c r="K182" s="310">
        <v>43766</v>
      </c>
      <c r="L182" s="2">
        <v>0</v>
      </c>
      <c r="M182" s="9">
        <f t="shared" si="17"/>
        <v>43766</v>
      </c>
      <c r="N182" s="2" t="str">
        <f t="shared" si="18"/>
        <v>Pagado</v>
      </c>
      <c r="O182" s="310">
        <v>43767</v>
      </c>
      <c r="P182" s="293">
        <v>15600</v>
      </c>
      <c r="Q182" s="2" t="s">
        <v>1484</v>
      </c>
      <c r="R182" s="2"/>
      <c r="S182" s="2"/>
      <c r="T182" s="313" t="s">
        <v>1492</v>
      </c>
      <c r="U182" s="392"/>
      <c r="V182" s="2"/>
      <c r="W182" s="108"/>
      <c r="X182" s="310"/>
      <c r="Y182" s="2"/>
      <c r="Z182" s="131" t="s">
        <v>1467</v>
      </c>
      <c r="AA182" s="108" t="str">
        <f t="shared" si="19"/>
        <v/>
      </c>
      <c r="AB182" s="2"/>
      <c r="AC182" s="131">
        <f t="shared" si="20"/>
        <v>13109.243697478993</v>
      </c>
      <c r="AD182" s="108">
        <f t="shared" si="21"/>
        <v>2490.7563025210075</v>
      </c>
      <c r="AE182" s="2" t="s">
        <v>1501</v>
      </c>
      <c r="AF182" s="23" t="s">
        <v>3489</v>
      </c>
      <c r="AG182" s="2" t="str">
        <f t="shared" si="22"/>
        <v>SI</v>
      </c>
      <c r="AH182" s="14"/>
      <c r="AI182" s="23"/>
      <c r="AJ182" s="2" t="str">
        <f t="shared" si="23"/>
        <v>NV</v>
      </c>
      <c r="AK182" s="294"/>
    </row>
    <row r="183" spans="1:37" ht="15.75" customHeight="1" x14ac:dyDescent="0.25">
      <c r="A183" s="270" t="s">
        <v>5332</v>
      </c>
      <c r="B183" s="3" t="s">
        <v>5333</v>
      </c>
      <c r="C183" s="2">
        <v>0</v>
      </c>
      <c r="D183" s="2">
        <v>165</v>
      </c>
      <c r="E183" s="2"/>
      <c r="F183" s="2"/>
      <c r="G183" s="2">
        <v>6038</v>
      </c>
      <c r="H183" s="293">
        <v>37200</v>
      </c>
      <c r="I183" s="293"/>
      <c r="J183" s="126">
        <f t="shared" si="16"/>
        <v>37200</v>
      </c>
      <c r="K183" s="310">
        <v>43766</v>
      </c>
      <c r="L183" s="2">
        <v>0</v>
      </c>
      <c r="M183" s="9">
        <f t="shared" si="17"/>
        <v>43766</v>
      </c>
      <c r="N183" s="2" t="str">
        <f t="shared" si="18"/>
        <v>Pagado</v>
      </c>
      <c r="O183" s="310">
        <v>43766</v>
      </c>
      <c r="P183" s="293">
        <v>37200</v>
      </c>
      <c r="Q183" s="2" t="s">
        <v>1070</v>
      </c>
      <c r="R183" s="2" t="s">
        <v>2243</v>
      </c>
      <c r="S183" s="2">
        <v>165</v>
      </c>
      <c r="T183" s="9"/>
      <c r="U183" s="392"/>
      <c r="V183" s="2"/>
      <c r="W183" s="108"/>
      <c r="X183" s="310"/>
      <c r="Y183" s="2"/>
      <c r="Z183" s="131" t="s">
        <v>1467</v>
      </c>
      <c r="AA183" s="108" t="str">
        <f t="shared" si="19"/>
        <v/>
      </c>
      <c r="AB183" s="2"/>
      <c r="AC183" s="131">
        <f t="shared" si="20"/>
        <v>31260.504201680673</v>
      </c>
      <c r="AD183" s="108">
        <f t="shared" si="21"/>
        <v>5939.4957983193272</v>
      </c>
      <c r="AE183" s="2" t="s">
        <v>1501</v>
      </c>
      <c r="AF183" s="23" t="s">
        <v>3487</v>
      </c>
      <c r="AG183" s="2" t="str">
        <f t="shared" si="22"/>
        <v>SI</v>
      </c>
      <c r="AH183" s="14"/>
      <c r="AI183" s="23"/>
      <c r="AJ183" s="2" t="str">
        <f t="shared" si="23"/>
        <v>NV</v>
      </c>
      <c r="AK183" s="294"/>
    </row>
    <row r="184" spans="1:37" ht="15.75" customHeight="1" x14ac:dyDescent="0.25">
      <c r="A184" s="270" t="s">
        <v>2632</v>
      </c>
      <c r="B184" s="3" t="s">
        <v>2633</v>
      </c>
      <c r="C184" s="2">
        <v>0</v>
      </c>
      <c r="D184" s="2">
        <v>156</v>
      </c>
      <c r="E184" s="2"/>
      <c r="F184" s="2"/>
      <c r="G184" s="2">
        <v>6043</v>
      </c>
      <c r="H184" s="293">
        <v>45400</v>
      </c>
      <c r="I184" s="293"/>
      <c r="J184" s="126">
        <f t="shared" si="16"/>
        <v>45400</v>
      </c>
      <c r="K184" s="310">
        <v>43766</v>
      </c>
      <c r="L184" s="2">
        <v>0</v>
      </c>
      <c r="M184" s="9">
        <f t="shared" si="17"/>
        <v>43766</v>
      </c>
      <c r="N184" s="2" t="str">
        <f t="shared" si="18"/>
        <v>Pagado</v>
      </c>
      <c r="O184" s="310">
        <v>43766</v>
      </c>
      <c r="P184" s="293">
        <v>45400</v>
      </c>
      <c r="Q184" s="2" t="s">
        <v>1070</v>
      </c>
      <c r="R184" s="2" t="s">
        <v>1478</v>
      </c>
      <c r="S184" s="2">
        <v>156</v>
      </c>
      <c r="T184" s="9"/>
      <c r="U184" s="392"/>
      <c r="V184" s="2"/>
      <c r="W184" s="108"/>
      <c r="X184" s="310"/>
      <c r="Y184" s="2"/>
      <c r="Z184" s="131" t="s">
        <v>1467</v>
      </c>
      <c r="AA184" s="108" t="str">
        <f t="shared" si="19"/>
        <v/>
      </c>
      <c r="AB184" s="2"/>
      <c r="AC184" s="131">
        <f t="shared" si="20"/>
        <v>38151.26050420168</v>
      </c>
      <c r="AD184" s="108">
        <f t="shared" si="21"/>
        <v>7248.7394957983197</v>
      </c>
      <c r="AE184" s="2" t="s">
        <v>1445</v>
      </c>
      <c r="AF184" s="23" t="s">
        <v>3487</v>
      </c>
      <c r="AG184" s="2" t="str">
        <f t="shared" si="22"/>
        <v>SI</v>
      </c>
      <c r="AH184" s="14"/>
      <c r="AI184" s="23"/>
      <c r="AJ184" s="2" t="str">
        <f t="shared" si="23"/>
        <v>NV</v>
      </c>
      <c r="AK184" s="294"/>
    </row>
    <row r="185" spans="1:37" ht="15.75" customHeight="1" x14ac:dyDescent="0.25">
      <c r="A185" s="270" t="s">
        <v>4804</v>
      </c>
      <c r="B185" s="3" t="s">
        <v>4805</v>
      </c>
      <c r="C185" s="2">
        <v>0</v>
      </c>
      <c r="D185" s="2">
        <v>2645</v>
      </c>
      <c r="E185" s="2"/>
      <c r="F185" s="2"/>
      <c r="G185" s="2">
        <v>6039</v>
      </c>
      <c r="H185" s="293">
        <v>22700</v>
      </c>
      <c r="I185" s="293"/>
      <c r="J185" s="126">
        <f t="shared" si="16"/>
        <v>22700</v>
      </c>
      <c r="K185" s="310">
        <v>43766</v>
      </c>
      <c r="L185" s="2">
        <v>0</v>
      </c>
      <c r="M185" s="9">
        <f t="shared" si="17"/>
        <v>43766</v>
      </c>
      <c r="N185" s="2" t="str">
        <f t="shared" si="18"/>
        <v>Pagado</v>
      </c>
      <c r="O185" s="310">
        <v>43765</v>
      </c>
      <c r="P185" s="293">
        <v>22700</v>
      </c>
      <c r="Q185" s="2" t="s">
        <v>1484</v>
      </c>
      <c r="R185" s="2"/>
      <c r="S185" s="2"/>
      <c r="T185" s="9" t="s">
        <v>1492</v>
      </c>
      <c r="U185" s="392"/>
      <c r="V185" s="2"/>
      <c r="W185" s="108"/>
      <c r="X185" s="310"/>
      <c r="Y185" s="2"/>
      <c r="Z185" s="131" t="s">
        <v>1467</v>
      </c>
      <c r="AA185" s="108" t="str">
        <f t="shared" si="19"/>
        <v/>
      </c>
      <c r="AB185" s="2"/>
      <c r="AC185" s="131">
        <f t="shared" si="20"/>
        <v>19075.63025210084</v>
      </c>
      <c r="AD185" s="108">
        <f t="shared" si="21"/>
        <v>3624.3697478991598</v>
      </c>
      <c r="AE185" s="2" t="s">
        <v>1501</v>
      </c>
      <c r="AF185" s="23" t="s">
        <v>3487</v>
      </c>
      <c r="AG185" s="2" t="str">
        <f t="shared" si="22"/>
        <v>SI</v>
      </c>
      <c r="AH185" s="14"/>
      <c r="AI185" s="23"/>
      <c r="AJ185" s="2" t="str">
        <f t="shared" si="23"/>
        <v>NV</v>
      </c>
      <c r="AK185" s="294"/>
    </row>
    <row r="186" spans="1:37" ht="15.75" customHeight="1" x14ac:dyDescent="0.25">
      <c r="A186" s="270" t="s">
        <v>5329</v>
      </c>
      <c r="B186" s="3" t="s">
        <v>5330</v>
      </c>
      <c r="C186" s="2">
        <v>0</v>
      </c>
      <c r="D186" s="2">
        <v>2646</v>
      </c>
      <c r="E186" s="2"/>
      <c r="F186" s="2"/>
      <c r="G186" s="2">
        <v>6037</v>
      </c>
      <c r="H186" s="293">
        <v>46900</v>
      </c>
      <c r="I186" s="293"/>
      <c r="J186" s="126">
        <f t="shared" si="16"/>
        <v>46900</v>
      </c>
      <c r="K186" s="310">
        <v>43766</v>
      </c>
      <c r="L186" s="2">
        <v>0</v>
      </c>
      <c r="M186" s="313">
        <f t="shared" si="17"/>
        <v>43766</v>
      </c>
      <c r="N186" s="2" t="str">
        <f t="shared" ca="1" si="18"/>
        <v>Vencido</v>
      </c>
      <c r="O186" s="310"/>
      <c r="P186" s="293"/>
      <c r="Q186" s="2"/>
      <c r="R186" s="2"/>
      <c r="S186" s="2"/>
      <c r="T186" s="313"/>
      <c r="U186" s="392"/>
      <c r="V186" s="2"/>
      <c r="W186" s="108"/>
      <c r="X186" s="310"/>
      <c r="Y186" s="2"/>
      <c r="Z186" s="131" t="s">
        <v>1467</v>
      </c>
      <c r="AA186" s="108" t="str">
        <f t="shared" si="19"/>
        <v/>
      </c>
      <c r="AB186" s="2"/>
      <c r="AC186" s="131">
        <f t="shared" si="20"/>
        <v>39411.764705882357</v>
      </c>
      <c r="AD186" s="108">
        <f t="shared" si="21"/>
        <v>7488.2352941176432</v>
      </c>
      <c r="AE186" s="2" t="s">
        <v>1501</v>
      </c>
      <c r="AF186" s="23" t="s">
        <v>3487</v>
      </c>
      <c r="AG186" s="2" t="str">
        <f t="shared" ca="1" si="22"/>
        <v>NO</v>
      </c>
      <c r="AH186" s="14"/>
      <c r="AI186" s="23"/>
      <c r="AJ186" s="2" t="str">
        <f t="shared" si="23"/>
        <v>NV</v>
      </c>
      <c r="AK186" s="294"/>
    </row>
    <row r="187" spans="1:37" ht="15.75" customHeight="1" x14ac:dyDescent="0.25">
      <c r="A187" s="270" t="s">
        <v>1320</v>
      </c>
      <c r="B187" s="3" t="s">
        <v>3394</v>
      </c>
      <c r="C187" s="2">
        <v>0</v>
      </c>
      <c r="D187" s="2">
        <v>157</v>
      </c>
      <c r="E187" s="2"/>
      <c r="F187" s="2"/>
      <c r="G187" s="2">
        <v>6044</v>
      </c>
      <c r="H187" s="293">
        <v>9600</v>
      </c>
      <c r="I187" s="293"/>
      <c r="J187" s="126">
        <f t="shared" si="16"/>
        <v>9600</v>
      </c>
      <c r="K187" s="310">
        <v>43766</v>
      </c>
      <c r="L187" s="2">
        <v>0</v>
      </c>
      <c r="M187" s="9">
        <f t="shared" si="17"/>
        <v>43766</v>
      </c>
      <c r="N187" s="2" t="str">
        <f t="shared" si="18"/>
        <v>Pagado</v>
      </c>
      <c r="O187" s="310">
        <v>43766</v>
      </c>
      <c r="P187" s="293">
        <v>9600</v>
      </c>
      <c r="Q187" s="2" t="s">
        <v>1070</v>
      </c>
      <c r="R187" s="2" t="s">
        <v>2243</v>
      </c>
      <c r="S187" s="2">
        <v>157</v>
      </c>
      <c r="T187" s="9"/>
      <c r="U187" s="392"/>
      <c r="V187" s="2"/>
      <c r="W187" s="108"/>
      <c r="X187" s="310"/>
      <c r="Y187" s="2"/>
      <c r="Z187" s="131" t="s">
        <v>1467</v>
      </c>
      <c r="AA187" s="108" t="str">
        <f t="shared" si="19"/>
        <v/>
      </c>
      <c r="AB187" s="2"/>
      <c r="AC187" s="131">
        <f t="shared" si="20"/>
        <v>8067.226890756303</v>
      </c>
      <c r="AD187" s="108">
        <f t="shared" si="21"/>
        <v>1532.773109243697</v>
      </c>
      <c r="AE187" s="2" t="s">
        <v>1501</v>
      </c>
      <c r="AF187" s="23" t="s">
        <v>3489</v>
      </c>
      <c r="AG187" s="2" t="str">
        <f t="shared" si="22"/>
        <v>SI</v>
      </c>
      <c r="AH187" s="14"/>
      <c r="AI187" s="23"/>
      <c r="AJ187" s="2" t="str">
        <f t="shared" si="23"/>
        <v>NV</v>
      </c>
      <c r="AK187" s="294"/>
    </row>
    <row r="188" spans="1:37" ht="15.75" customHeight="1" x14ac:dyDescent="0.25">
      <c r="A188" s="270" t="s">
        <v>1197</v>
      </c>
      <c r="B188" s="3" t="s">
        <v>2236</v>
      </c>
      <c r="C188" s="2">
        <v>2960</v>
      </c>
      <c r="D188" s="2">
        <v>0</v>
      </c>
      <c r="E188" s="2"/>
      <c r="F188" s="2"/>
      <c r="G188" s="2" t="s">
        <v>2528</v>
      </c>
      <c r="H188" s="293">
        <v>168597</v>
      </c>
      <c r="I188" s="293"/>
      <c r="J188" s="126">
        <f t="shared" si="16"/>
        <v>168597</v>
      </c>
      <c r="K188" s="310">
        <v>43766</v>
      </c>
      <c r="L188" s="2">
        <v>30</v>
      </c>
      <c r="M188" s="9">
        <f t="shared" si="17"/>
        <v>43796</v>
      </c>
      <c r="N188" s="2" t="str">
        <f t="shared" si="18"/>
        <v>Pagado</v>
      </c>
      <c r="O188" s="310">
        <v>43796</v>
      </c>
      <c r="P188" s="293">
        <v>168597</v>
      </c>
      <c r="Q188" s="2" t="s">
        <v>2131</v>
      </c>
      <c r="R188" s="2"/>
      <c r="S188" s="2">
        <v>487810</v>
      </c>
      <c r="T188" s="9" t="s">
        <v>1493</v>
      </c>
      <c r="U188" s="392">
        <v>43766</v>
      </c>
      <c r="V188" s="2">
        <v>133666</v>
      </c>
      <c r="W188" s="108">
        <v>168597</v>
      </c>
      <c r="X188" s="310">
        <v>43795</v>
      </c>
      <c r="Y188" s="2" t="s">
        <v>1488</v>
      </c>
      <c r="Z188" s="131" t="s">
        <v>1467</v>
      </c>
      <c r="AA188" s="108" t="str">
        <f t="shared" si="19"/>
        <v>Otros</v>
      </c>
      <c r="AB188" s="2"/>
      <c r="AC188" s="131">
        <f t="shared" si="20"/>
        <v>141678.15126050421</v>
      </c>
      <c r="AD188" s="108">
        <f t="shared" si="21"/>
        <v>26918.848739495792</v>
      </c>
      <c r="AE188" s="2" t="s">
        <v>1501</v>
      </c>
      <c r="AF188" s="23" t="s">
        <v>3490</v>
      </c>
      <c r="AG188" s="2" t="str">
        <f t="shared" si="22"/>
        <v>SI</v>
      </c>
      <c r="AH188" s="14"/>
      <c r="AI188" s="23"/>
      <c r="AJ188" s="2" t="str">
        <f t="shared" si="23"/>
        <v>Factura</v>
      </c>
      <c r="AK188" s="294"/>
    </row>
    <row r="189" spans="1:37" ht="15.75" customHeight="1" x14ac:dyDescent="0.25">
      <c r="A189" s="270" t="s">
        <v>3562</v>
      </c>
      <c r="B189" s="3" t="s">
        <v>3563</v>
      </c>
      <c r="C189" s="2">
        <v>0</v>
      </c>
      <c r="D189" s="2">
        <v>0</v>
      </c>
      <c r="E189" s="2"/>
      <c r="F189" s="2"/>
      <c r="G189" s="2">
        <v>6035</v>
      </c>
      <c r="H189" s="293">
        <v>21700</v>
      </c>
      <c r="I189" s="293"/>
      <c r="J189" s="126">
        <f t="shared" si="16"/>
        <v>21700</v>
      </c>
      <c r="K189" s="310">
        <v>43766</v>
      </c>
      <c r="L189" s="2">
        <v>0</v>
      </c>
      <c r="M189" s="9">
        <f t="shared" si="17"/>
        <v>43766</v>
      </c>
      <c r="N189" s="2" t="str">
        <f t="shared" ca="1" si="18"/>
        <v>Vencido</v>
      </c>
      <c r="O189" s="310"/>
      <c r="P189" s="293"/>
      <c r="Q189" s="2"/>
      <c r="R189" s="2"/>
      <c r="S189" s="2"/>
      <c r="T189" s="9"/>
      <c r="U189" s="392"/>
      <c r="V189" s="2"/>
      <c r="W189" s="108"/>
      <c r="X189" s="310"/>
      <c r="Y189" s="2"/>
      <c r="Z189" s="131" t="s">
        <v>1467</v>
      </c>
      <c r="AA189" s="108" t="str">
        <f t="shared" si="19"/>
        <v/>
      </c>
      <c r="AB189" s="2"/>
      <c r="AC189" s="131">
        <f t="shared" si="20"/>
        <v>18235.294117647059</v>
      </c>
      <c r="AD189" s="108">
        <f t="shared" si="21"/>
        <v>3464.7058823529405</v>
      </c>
      <c r="AE189" s="2" t="s">
        <v>1501</v>
      </c>
      <c r="AF189" s="23" t="s">
        <v>3489</v>
      </c>
      <c r="AG189" s="2" t="str">
        <f t="shared" ca="1" si="22"/>
        <v>NO</v>
      </c>
      <c r="AH189" s="14"/>
      <c r="AI189" s="23"/>
      <c r="AJ189" s="2" t="str">
        <f t="shared" si="23"/>
        <v>NV</v>
      </c>
      <c r="AK189" s="294"/>
    </row>
    <row r="190" spans="1:37" ht="15.75" customHeight="1" x14ac:dyDescent="0.25">
      <c r="A190" s="270" t="s">
        <v>4041</v>
      </c>
      <c r="B190" s="3" t="s">
        <v>4042</v>
      </c>
      <c r="C190" s="2">
        <v>0</v>
      </c>
      <c r="D190" s="2">
        <v>2644</v>
      </c>
      <c r="E190" s="2"/>
      <c r="F190" s="2"/>
      <c r="G190" s="2">
        <v>6037</v>
      </c>
      <c r="H190" s="293">
        <v>14800</v>
      </c>
      <c r="I190" s="293"/>
      <c r="J190" s="126">
        <f t="shared" si="16"/>
        <v>14800</v>
      </c>
      <c r="K190" s="310">
        <v>43766</v>
      </c>
      <c r="L190" s="2">
        <v>0</v>
      </c>
      <c r="M190" s="9">
        <f t="shared" si="17"/>
        <v>43766</v>
      </c>
      <c r="N190" s="2" t="str">
        <f t="shared" si="18"/>
        <v>Pagado</v>
      </c>
      <c r="O190" s="310">
        <v>43766</v>
      </c>
      <c r="P190" s="293">
        <v>14800</v>
      </c>
      <c r="Q190" s="2" t="s">
        <v>1484</v>
      </c>
      <c r="R190" s="2"/>
      <c r="S190" s="2"/>
      <c r="T190" s="313" t="s">
        <v>1490</v>
      </c>
      <c r="U190" s="392"/>
      <c r="V190" s="2"/>
      <c r="W190" s="108"/>
      <c r="X190" s="310"/>
      <c r="Y190" s="2"/>
      <c r="Z190" s="131" t="s">
        <v>1467</v>
      </c>
      <c r="AA190" s="108" t="str">
        <f t="shared" si="19"/>
        <v/>
      </c>
      <c r="AB190" s="2"/>
      <c r="AC190" s="131">
        <f t="shared" si="20"/>
        <v>12436.974789915967</v>
      </c>
      <c r="AD190" s="108">
        <f t="shared" si="21"/>
        <v>2363.0252100840335</v>
      </c>
      <c r="AE190" s="2" t="s">
        <v>1501</v>
      </c>
      <c r="AF190" s="23" t="s">
        <v>3489</v>
      </c>
      <c r="AG190" s="2" t="str">
        <f t="shared" si="22"/>
        <v>SI</v>
      </c>
      <c r="AH190" s="14"/>
      <c r="AI190" s="23"/>
      <c r="AJ190" s="2" t="str">
        <f t="shared" si="23"/>
        <v>NV</v>
      </c>
      <c r="AK190" s="294"/>
    </row>
    <row r="191" spans="1:37" ht="15.75" customHeight="1" x14ac:dyDescent="0.25">
      <c r="A191" s="270" t="s">
        <v>1234</v>
      </c>
      <c r="B191" s="3" t="s">
        <v>970</v>
      </c>
      <c r="C191" s="2">
        <v>0</v>
      </c>
      <c r="D191" s="2">
        <v>166</v>
      </c>
      <c r="E191" s="2"/>
      <c r="F191" s="2"/>
      <c r="G191" s="2">
        <v>6041</v>
      </c>
      <c r="H191" s="293">
        <v>10200</v>
      </c>
      <c r="I191" s="293"/>
      <c r="J191" s="126">
        <f t="shared" si="16"/>
        <v>10200</v>
      </c>
      <c r="K191" s="310">
        <v>43766</v>
      </c>
      <c r="L191" s="2">
        <v>0</v>
      </c>
      <c r="M191" s="9">
        <f t="shared" si="17"/>
        <v>43766</v>
      </c>
      <c r="N191" s="2" t="str">
        <f t="shared" si="18"/>
        <v>Pagado</v>
      </c>
      <c r="O191" s="310">
        <v>43766</v>
      </c>
      <c r="P191" s="293">
        <v>10200</v>
      </c>
      <c r="Q191" s="2" t="s">
        <v>1070</v>
      </c>
      <c r="R191" s="2" t="s">
        <v>2243</v>
      </c>
      <c r="S191" s="2">
        <v>166</v>
      </c>
      <c r="T191" s="313"/>
      <c r="U191" s="392"/>
      <c r="V191" s="2"/>
      <c r="W191" s="108"/>
      <c r="X191" s="310"/>
      <c r="Y191" s="2"/>
      <c r="Z191" s="131" t="s">
        <v>1467</v>
      </c>
      <c r="AA191" s="108" t="str">
        <f t="shared" si="19"/>
        <v/>
      </c>
      <c r="AB191" s="2"/>
      <c r="AC191" s="131">
        <f t="shared" si="20"/>
        <v>8571.4285714285725</v>
      </c>
      <c r="AD191" s="108">
        <f t="shared" si="21"/>
        <v>1628.5714285714275</v>
      </c>
      <c r="AE191" s="2" t="s">
        <v>1501</v>
      </c>
      <c r="AF191" s="23" t="s">
        <v>3489</v>
      </c>
      <c r="AG191" s="2" t="str">
        <f t="shared" si="22"/>
        <v>SI</v>
      </c>
      <c r="AH191" s="14"/>
      <c r="AI191" s="23"/>
      <c r="AJ191" s="2" t="str">
        <f t="shared" si="23"/>
        <v>NV</v>
      </c>
      <c r="AK191" s="294"/>
    </row>
    <row r="192" spans="1:37" ht="15.75" customHeight="1" x14ac:dyDescent="0.25">
      <c r="A192" s="270" t="s">
        <v>1239</v>
      </c>
      <c r="B192" s="3" t="s">
        <v>3501</v>
      </c>
      <c r="C192" s="2">
        <v>2961</v>
      </c>
      <c r="D192" s="2">
        <v>0</v>
      </c>
      <c r="E192" s="2"/>
      <c r="F192" s="2"/>
      <c r="G192" s="2" t="s">
        <v>2528</v>
      </c>
      <c r="H192" s="293">
        <v>19593</v>
      </c>
      <c r="I192" s="293"/>
      <c r="J192" s="126">
        <f t="shared" si="16"/>
        <v>19593</v>
      </c>
      <c r="K192" s="310">
        <v>43767</v>
      </c>
      <c r="L192" s="2">
        <v>30</v>
      </c>
      <c r="M192" s="9">
        <f t="shared" si="17"/>
        <v>43797</v>
      </c>
      <c r="N192" s="2" t="str">
        <f t="shared" si="18"/>
        <v>Pagado</v>
      </c>
      <c r="O192" s="310">
        <v>43767</v>
      </c>
      <c r="P192" s="293">
        <v>19593</v>
      </c>
      <c r="Q192" s="2" t="s">
        <v>1484</v>
      </c>
      <c r="R192" s="2"/>
      <c r="S192" s="2"/>
      <c r="T192" s="9" t="s">
        <v>1462</v>
      </c>
      <c r="U192" s="392"/>
      <c r="V192" s="2"/>
      <c r="W192" s="108"/>
      <c r="X192" s="310"/>
      <c r="Y192" s="2"/>
      <c r="Z192" s="131" t="s">
        <v>1467</v>
      </c>
      <c r="AA192" s="108" t="str">
        <f t="shared" si="19"/>
        <v/>
      </c>
      <c r="AB192" s="2"/>
      <c r="AC192" s="131">
        <f t="shared" si="20"/>
        <v>16464.705882352941</v>
      </c>
      <c r="AD192" s="108">
        <f t="shared" si="21"/>
        <v>3128.2941176470595</v>
      </c>
      <c r="AE192" s="2" t="s">
        <v>1849</v>
      </c>
      <c r="AF192" s="23" t="s">
        <v>3489</v>
      </c>
      <c r="AG192" s="2" t="str">
        <f t="shared" si="22"/>
        <v>SI</v>
      </c>
      <c r="AH192" s="14"/>
      <c r="AI192" s="23"/>
      <c r="AJ192" s="2" t="str">
        <f t="shared" si="23"/>
        <v>Factura</v>
      </c>
      <c r="AK192" s="294"/>
    </row>
    <row r="193" spans="1:37" ht="15.75" customHeight="1" x14ac:dyDescent="0.25">
      <c r="A193" s="270" t="s">
        <v>1275</v>
      </c>
      <c r="B193" s="3" t="s">
        <v>2218</v>
      </c>
      <c r="C193" s="2">
        <v>2964</v>
      </c>
      <c r="D193" s="2">
        <v>0</v>
      </c>
      <c r="E193" s="2"/>
      <c r="F193" s="2"/>
      <c r="G193" s="2" t="s">
        <v>2528</v>
      </c>
      <c r="H193" s="293">
        <v>29000</v>
      </c>
      <c r="I193" s="293"/>
      <c r="J193" s="126">
        <f t="shared" si="16"/>
        <v>29000</v>
      </c>
      <c r="K193" s="310">
        <v>43767</v>
      </c>
      <c r="L193" s="2">
        <v>0</v>
      </c>
      <c r="M193" s="9">
        <f t="shared" si="17"/>
        <v>43767</v>
      </c>
      <c r="N193" s="2" t="str">
        <f t="shared" ca="1" si="18"/>
        <v>Vencido</v>
      </c>
      <c r="O193" s="310"/>
      <c r="P193" s="293"/>
      <c r="Q193" s="2"/>
      <c r="R193" s="2"/>
      <c r="S193" s="2"/>
      <c r="T193" s="313"/>
      <c r="U193" s="392"/>
      <c r="V193" s="2"/>
      <c r="W193" s="108"/>
      <c r="X193" s="310"/>
      <c r="Y193" s="2"/>
      <c r="Z193" s="131" t="s">
        <v>1467</v>
      </c>
      <c r="AA193" s="108" t="str">
        <f t="shared" si="19"/>
        <v/>
      </c>
      <c r="AB193" s="2"/>
      <c r="AC193" s="131">
        <f t="shared" si="20"/>
        <v>24369.747899159665</v>
      </c>
      <c r="AD193" s="108">
        <f t="shared" si="21"/>
        <v>4630.2521008403346</v>
      </c>
      <c r="AE193" s="2" t="s">
        <v>1445</v>
      </c>
      <c r="AF193" s="23" t="s">
        <v>3490</v>
      </c>
      <c r="AG193" s="2" t="str">
        <f t="shared" ca="1" si="22"/>
        <v>NO</v>
      </c>
      <c r="AH193" s="14"/>
      <c r="AI193" s="23"/>
      <c r="AJ193" s="2" t="str">
        <f t="shared" si="23"/>
        <v>Factura</v>
      </c>
      <c r="AK193" s="294"/>
    </row>
    <row r="194" spans="1:37" ht="15.75" customHeight="1" x14ac:dyDescent="0.25">
      <c r="A194" s="270" t="s">
        <v>4947</v>
      </c>
      <c r="B194" s="3" t="s">
        <v>4948</v>
      </c>
      <c r="C194" s="2">
        <v>0</v>
      </c>
      <c r="D194" s="2">
        <v>2649</v>
      </c>
      <c r="E194" s="2"/>
      <c r="F194" s="2"/>
      <c r="G194" s="2">
        <v>6048</v>
      </c>
      <c r="H194" s="293">
        <v>38300</v>
      </c>
      <c r="I194" s="293"/>
      <c r="J194" s="126">
        <f t="shared" si="16"/>
        <v>38300</v>
      </c>
      <c r="K194" s="310">
        <v>43767</v>
      </c>
      <c r="L194" s="2">
        <v>0</v>
      </c>
      <c r="M194" s="9">
        <f t="shared" si="17"/>
        <v>43767</v>
      </c>
      <c r="N194" s="2" t="str">
        <f t="shared" si="18"/>
        <v>Pagado</v>
      </c>
      <c r="O194" s="310">
        <v>43767</v>
      </c>
      <c r="P194" s="293">
        <v>38300</v>
      </c>
      <c r="Q194" s="2" t="s">
        <v>1484</v>
      </c>
      <c r="R194" s="2"/>
      <c r="S194" s="2"/>
      <c r="T194" s="9" t="s">
        <v>1488</v>
      </c>
      <c r="U194" s="392"/>
      <c r="V194" s="2"/>
      <c r="W194" s="108"/>
      <c r="X194" s="310"/>
      <c r="Y194" s="2"/>
      <c r="Z194" s="131" t="s">
        <v>1467</v>
      </c>
      <c r="AA194" s="108" t="str">
        <f t="shared" si="19"/>
        <v/>
      </c>
      <c r="AB194" s="2"/>
      <c r="AC194" s="131">
        <f t="shared" si="20"/>
        <v>32184.873949579833</v>
      </c>
      <c r="AD194" s="108">
        <f t="shared" si="21"/>
        <v>6115.1260504201673</v>
      </c>
      <c r="AE194" s="2" t="s">
        <v>1501</v>
      </c>
      <c r="AF194" s="23" t="s">
        <v>3487</v>
      </c>
      <c r="AG194" s="2" t="str">
        <f t="shared" si="22"/>
        <v>SI</v>
      </c>
      <c r="AH194" s="14"/>
      <c r="AI194" s="23"/>
      <c r="AJ194" s="2" t="str">
        <f t="shared" si="23"/>
        <v>NV</v>
      </c>
      <c r="AK194" s="294"/>
    </row>
    <row r="195" spans="1:37" ht="15.75" customHeight="1" x14ac:dyDescent="0.25">
      <c r="A195" s="270" t="s">
        <v>5342</v>
      </c>
      <c r="B195" s="3" t="s">
        <v>5343</v>
      </c>
      <c r="C195" s="2">
        <v>0</v>
      </c>
      <c r="D195" s="2">
        <v>0</v>
      </c>
      <c r="E195" s="2"/>
      <c r="F195" s="2"/>
      <c r="G195" s="2">
        <v>6049</v>
      </c>
      <c r="H195" s="293">
        <v>39900</v>
      </c>
      <c r="I195" s="293"/>
      <c r="J195" s="126">
        <f t="shared" ref="J195:J258" si="24">+H195+I195</f>
        <v>39900</v>
      </c>
      <c r="K195" s="310">
        <v>43767</v>
      </c>
      <c r="L195" s="2">
        <v>0</v>
      </c>
      <c r="M195" s="9">
        <f t="shared" ref="M195:M258" si="25">+L195+K195</f>
        <v>43767</v>
      </c>
      <c r="N195" s="2" t="str">
        <f t="shared" ref="N195:N258" si="26">+IF(J195=0,"Nulo",IF(P195&gt;=J195,"Pagado",IF(P195&gt;0,"Abonado",IF(M195&lt;$M$1,"Vencido",IF(J195&gt;P195,"Pendiente","Vencido")))))</f>
        <v>Pagado</v>
      </c>
      <c r="O195" s="310">
        <v>43767</v>
      </c>
      <c r="P195" s="293">
        <v>43767</v>
      </c>
      <c r="Q195" s="2" t="s">
        <v>1481</v>
      </c>
      <c r="R195" s="2"/>
      <c r="S195" s="2"/>
      <c r="T195" s="9"/>
      <c r="U195" s="392"/>
      <c r="V195" s="2"/>
      <c r="W195" s="108"/>
      <c r="X195" s="310"/>
      <c r="Y195" s="2"/>
      <c r="Z195" s="131" t="s">
        <v>1467</v>
      </c>
      <c r="AA195" s="108" t="str">
        <f t="shared" ref="AA195:AA258" si="27">+IF(LEFT(Q195,6)="Cheque",IF(T195="Chile","Chile","Otros"),"")</f>
        <v/>
      </c>
      <c r="AB195" s="2"/>
      <c r="AC195" s="131">
        <f t="shared" ref="AC195:AC258" si="28">+IF(C195="","",H195/1.19)</f>
        <v>33529.411764705881</v>
      </c>
      <c r="AD195" s="108">
        <f t="shared" ref="AD195:AD258" si="29">+IF(C195="","",H195-AC195)</f>
        <v>6370.5882352941189</v>
      </c>
      <c r="AE195" s="2" t="s">
        <v>1501</v>
      </c>
      <c r="AF195" s="23" t="s">
        <v>3489</v>
      </c>
      <c r="AG195" s="2" t="str">
        <f t="shared" ref="AG195:AG258" si="30">+IF(N195="Pagado","SI",IF(N195="NULO","SI","NO"))</f>
        <v>SI</v>
      </c>
      <c r="AH195" s="14"/>
      <c r="AI195" s="23"/>
      <c r="AJ195" s="2" t="str">
        <f t="shared" ref="AJ195:AJ258" si="31">+IF(C195=0,"NV","Factura")</f>
        <v>NV</v>
      </c>
      <c r="AK195" s="294"/>
    </row>
    <row r="196" spans="1:37" ht="15.75" customHeight="1" x14ac:dyDescent="0.25">
      <c r="A196" s="270" t="s">
        <v>5342</v>
      </c>
      <c r="B196" s="3" t="s">
        <v>5343</v>
      </c>
      <c r="C196" s="2">
        <v>0</v>
      </c>
      <c r="D196" s="2">
        <v>0</v>
      </c>
      <c r="E196" s="2"/>
      <c r="F196" s="2"/>
      <c r="G196" s="2">
        <v>6049</v>
      </c>
      <c r="H196" s="293">
        <v>7400</v>
      </c>
      <c r="I196" s="293"/>
      <c r="J196" s="126">
        <f t="shared" si="24"/>
        <v>7400</v>
      </c>
      <c r="K196" s="310">
        <v>43767</v>
      </c>
      <c r="L196" s="2">
        <v>0</v>
      </c>
      <c r="M196" s="313">
        <f t="shared" si="25"/>
        <v>43767</v>
      </c>
      <c r="N196" s="2" t="str">
        <f t="shared" si="26"/>
        <v>Pagado</v>
      </c>
      <c r="O196" s="310">
        <v>43767</v>
      </c>
      <c r="P196" s="293">
        <v>7400</v>
      </c>
      <c r="Q196" s="2" t="s">
        <v>1481</v>
      </c>
      <c r="R196" s="2"/>
      <c r="S196" s="2"/>
      <c r="T196" s="313"/>
      <c r="U196" s="392"/>
      <c r="V196" s="2"/>
      <c r="W196" s="108"/>
      <c r="X196" s="310"/>
      <c r="Y196" s="2"/>
      <c r="Z196" s="131" t="s">
        <v>1467</v>
      </c>
      <c r="AA196" s="108" t="str">
        <f t="shared" si="27"/>
        <v/>
      </c>
      <c r="AB196" s="2"/>
      <c r="AC196" s="131">
        <f t="shared" si="28"/>
        <v>6218.4873949579833</v>
      </c>
      <c r="AD196" s="108">
        <f t="shared" si="29"/>
        <v>1181.5126050420167</v>
      </c>
      <c r="AE196" s="2" t="s">
        <v>1501</v>
      </c>
      <c r="AF196" s="23" t="s">
        <v>3489</v>
      </c>
      <c r="AG196" s="2" t="str">
        <f t="shared" si="30"/>
        <v>SI</v>
      </c>
      <c r="AH196" s="14"/>
      <c r="AI196" s="23"/>
      <c r="AJ196" s="2" t="str">
        <f t="shared" si="31"/>
        <v>NV</v>
      </c>
      <c r="AK196" s="294"/>
    </row>
    <row r="197" spans="1:37" ht="15.75" customHeight="1" x14ac:dyDescent="0.25">
      <c r="A197" s="270" t="s">
        <v>5342</v>
      </c>
      <c r="B197" s="3" t="s">
        <v>5343</v>
      </c>
      <c r="C197" s="2">
        <v>0</v>
      </c>
      <c r="D197" s="2">
        <v>0</v>
      </c>
      <c r="E197" s="2"/>
      <c r="F197" s="2"/>
      <c r="G197" s="2" t="s">
        <v>2528</v>
      </c>
      <c r="H197" s="293">
        <v>14100</v>
      </c>
      <c r="I197" s="293"/>
      <c r="J197" s="126">
        <f t="shared" si="24"/>
        <v>14100</v>
      </c>
      <c r="K197" s="310">
        <v>43767</v>
      </c>
      <c r="L197" s="2">
        <v>0</v>
      </c>
      <c r="M197" s="313">
        <f t="shared" si="25"/>
        <v>43767</v>
      </c>
      <c r="N197" s="2" t="str">
        <f t="shared" si="26"/>
        <v>Pagado</v>
      </c>
      <c r="O197" s="310">
        <v>43767</v>
      </c>
      <c r="P197" s="293">
        <v>14100</v>
      </c>
      <c r="Q197" s="2" t="s">
        <v>1481</v>
      </c>
      <c r="R197" s="2"/>
      <c r="S197" s="2"/>
      <c r="T197" s="313"/>
      <c r="U197" s="392"/>
      <c r="V197" s="2"/>
      <c r="W197" s="108"/>
      <c r="X197" s="310"/>
      <c r="Y197" s="2"/>
      <c r="Z197" s="131" t="s">
        <v>1467</v>
      </c>
      <c r="AA197" s="108" t="str">
        <f t="shared" si="27"/>
        <v/>
      </c>
      <c r="AB197" s="2"/>
      <c r="AC197" s="131">
        <f t="shared" si="28"/>
        <v>11848.73949579832</v>
      </c>
      <c r="AD197" s="108">
        <f t="shared" si="29"/>
        <v>2251.2605042016803</v>
      </c>
      <c r="AE197" s="2" t="s">
        <v>1501</v>
      </c>
      <c r="AF197" s="23" t="s">
        <v>3489</v>
      </c>
      <c r="AG197" s="2" t="str">
        <f t="shared" si="30"/>
        <v>SI</v>
      </c>
      <c r="AH197" s="14"/>
      <c r="AI197" s="23"/>
      <c r="AJ197" s="2" t="str">
        <f t="shared" si="31"/>
        <v>NV</v>
      </c>
      <c r="AK197" s="294"/>
    </row>
    <row r="198" spans="1:37" ht="15.75" customHeight="1" x14ac:dyDescent="0.25">
      <c r="A198" s="270" t="s">
        <v>4907</v>
      </c>
      <c r="B198" s="3" t="s">
        <v>4908</v>
      </c>
      <c r="C198" s="2">
        <v>2962</v>
      </c>
      <c r="D198" s="2">
        <v>0</v>
      </c>
      <c r="E198" s="2"/>
      <c r="F198" s="2"/>
      <c r="G198" s="2" t="s">
        <v>2528</v>
      </c>
      <c r="H198" s="293">
        <v>80993</v>
      </c>
      <c r="I198" s="293"/>
      <c r="J198" s="126">
        <f t="shared" si="24"/>
        <v>80993</v>
      </c>
      <c r="K198" s="310">
        <v>43767</v>
      </c>
      <c r="L198" s="2">
        <v>30</v>
      </c>
      <c r="M198" s="313">
        <f t="shared" si="25"/>
        <v>43797</v>
      </c>
      <c r="N198" s="2" t="str">
        <f t="shared" si="26"/>
        <v>Abonado</v>
      </c>
      <c r="O198" s="310">
        <v>43767</v>
      </c>
      <c r="P198" s="293">
        <v>79867</v>
      </c>
      <c r="Q198" s="2" t="s">
        <v>2131</v>
      </c>
      <c r="R198" s="2"/>
      <c r="S198" s="2">
        <v>919</v>
      </c>
      <c r="T198" s="313" t="s">
        <v>1494</v>
      </c>
      <c r="U198" s="392">
        <v>43798</v>
      </c>
      <c r="V198" s="2"/>
      <c r="W198" s="108"/>
      <c r="X198" s="310"/>
      <c r="Y198" s="2"/>
      <c r="Z198" s="131" t="s">
        <v>1467</v>
      </c>
      <c r="AA198" s="108" t="str">
        <f t="shared" si="27"/>
        <v>Otros</v>
      </c>
      <c r="AB198" s="2"/>
      <c r="AC198" s="131">
        <f t="shared" si="28"/>
        <v>68061.344537815123</v>
      </c>
      <c r="AD198" s="108">
        <f t="shared" si="29"/>
        <v>12931.655462184877</v>
      </c>
      <c r="AE198" s="2" t="s">
        <v>1445</v>
      </c>
      <c r="AF198" s="23" t="s">
        <v>3490</v>
      </c>
      <c r="AG198" s="2" t="str">
        <f t="shared" si="30"/>
        <v>NO</v>
      </c>
      <c r="AH198" s="14"/>
      <c r="AI198" s="23"/>
      <c r="AJ198" s="2" t="str">
        <f t="shared" si="31"/>
        <v>Factura</v>
      </c>
      <c r="AK198" s="294"/>
    </row>
    <row r="199" spans="1:37" ht="15.75" customHeight="1" x14ac:dyDescent="0.25">
      <c r="A199" s="270" t="s">
        <v>1189</v>
      </c>
      <c r="B199" s="3" t="s">
        <v>940</v>
      </c>
      <c r="C199" s="2">
        <v>2963</v>
      </c>
      <c r="D199" s="2">
        <v>0</v>
      </c>
      <c r="E199" s="2">
        <v>261</v>
      </c>
      <c r="F199" s="2"/>
      <c r="G199" s="2" t="s">
        <v>2528</v>
      </c>
      <c r="H199" s="293">
        <v>55970</v>
      </c>
      <c r="I199" s="293">
        <v>-6739</v>
      </c>
      <c r="J199" s="126">
        <f t="shared" si="24"/>
        <v>49231</v>
      </c>
      <c r="K199" s="310">
        <v>43767</v>
      </c>
      <c r="L199" s="2">
        <v>0</v>
      </c>
      <c r="M199" s="313">
        <f t="shared" si="25"/>
        <v>43767</v>
      </c>
      <c r="N199" s="2" t="str">
        <f t="shared" ca="1" si="26"/>
        <v>Vencido</v>
      </c>
      <c r="O199" s="310"/>
      <c r="P199" s="293"/>
      <c r="Q199" s="2"/>
      <c r="R199" s="2"/>
      <c r="S199" s="2"/>
      <c r="T199" s="313"/>
      <c r="U199" s="392"/>
      <c r="V199" s="2"/>
      <c r="W199" s="108"/>
      <c r="X199" s="310"/>
      <c r="Y199" s="2"/>
      <c r="Z199" s="131" t="s">
        <v>1467</v>
      </c>
      <c r="AA199" s="108" t="str">
        <f t="shared" si="27"/>
        <v/>
      </c>
      <c r="AB199" s="2"/>
      <c r="AC199" s="131">
        <f t="shared" si="28"/>
        <v>47033.613445378156</v>
      </c>
      <c r="AD199" s="108">
        <f t="shared" si="29"/>
        <v>8936.386554621844</v>
      </c>
      <c r="AE199" s="2" t="s">
        <v>1445</v>
      </c>
      <c r="AF199" s="23" t="s">
        <v>3490</v>
      </c>
      <c r="AG199" s="2" t="str">
        <f t="shared" ca="1" si="30"/>
        <v>NO</v>
      </c>
      <c r="AH199" s="14"/>
      <c r="AI199" s="23"/>
      <c r="AJ199" s="2" t="str">
        <f t="shared" si="31"/>
        <v>Factura</v>
      </c>
      <c r="AK199" s="294"/>
    </row>
    <row r="200" spans="1:37" ht="15.75" customHeight="1" x14ac:dyDescent="0.25">
      <c r="A200" s="270" t="s">
        <v>2729</v>
      </c>
      <c r="B200" s="3" t="s">
        <v>2730</v>
      </c>
      <c r="C200" s="2">
        <v>0</v>
      </c>
      <c r="D200" s="2">
        <v>0</v>
      </c>
      <c r="E200" s="2"/>
      <c r="F200" s="2"/>
      <c r="G200" s="2">
        <v>6047</v>
      </c>
      <c r="H200" s="293">
        <v>34500</v>
      </c>
      <c r="I200" s="293"/>
      <c r="J200" s="126">
        <f t="shared" si="24"/>
        <v>34500</v>
      </c>
      <c r="K200" s="310">
        <v>43767</v>
      </c>
      <c r="L200" s="2">
        <v>0</v>
      </c>
      <c r="M200" s="313">
        <f t="shared" si="25"/>
        <v>43767</v>
      </c>
      <c r="N200" s="2" t="str">
        <f t="shared" si="26"/>
        <v>Pagado</v>
      </c>
      <c r="O200" s="310">
        <v>43766</v>
      </c>
      <c r="P200" s="293">
        <v>34500</v>
      </c>
      <c r="Q200" s="2" t="s">
        <v>1484</v>
      </c>
      <c r="R200" s="2"/>
      <c r="S200" s="2"/>
      <c r="T200" s="313" t="s">
        <v>1462</v>
      </c>
      <c r="U200" s="392"/>
      <c r="V200" s="2"/>
      <c r="W200" s="108"/>
      <c r="X200" s="310"/>
      <c r="Y200" s="2"/>
      <c r="Z200" s="131" t="s">
        <v>1467</v>
      </c>
      <c r="AA200" s="108" t="str">
        <f t="shared" si="27"/>
        <v/>
      </c>
      <c r="AB200" s="2"/>
      <c r="AC200" s="131">
        <f t="shared" si="28"/>
        <v>28991.596638655465</v>
      </c>
      <c r="AD200" s="108">
        <f t="shared" si="29"/>
        <v>5508.4033613445354</v>
      </c>
      <c r="AE200" s="2" t="s">
        <v>1501</v>
      </c>
      <c r="AF200" s="23" t="s">
        <v>3489</v>
      </c>
      <c r="AG200" s="2" t="str">
        <f t="shared" si="30"/>
        <v>SI</v>
      </c>
      <c r="AH200" s="14"/>
      <c r="AI200" s="23"/>
      <c r="AJ200" s="2" t="str">
        <f t="shared" si="31"/>
        <v>NV</v>
      </c>
      <c r="AK200" s="294"/>
    </row>
    <row r="201" spans="1:37" ht="15.75" customHeight="1" x14ac:dyDescent="0.25">
      <c r="A201" s="270" t="s">
        <v>4580</v>
      </c>
      <c r="B201" s="3" t="s">
        <v>4581</v>
      </c>
      <c r="C201" s="2">
        <v>0</v>
      </c>
      <c r="D201" s="2">
        <v>2648</v>
      </c>
      <c r="E201" s="2"/>
      <c r="F201" s="2"/>
      <c r="G201" s="2">
        <v>6046</v>
      </c>
      <c r="H201" s="293">
        <v>61000</v>
      </c>
      <c r="I201" s="293"/>
      <c r="J201" s="126">
        <f t="shared" si="24"/>
        <v>61000</v>
      </c>
      <c r="K201" s="310">
        <v>43767</v>
      </c>
      <c r="L201" s="2">
        <v>0</v>
      </c>
      <c r="M201" s="9">
        <f t="shared" si="25"/>
        <v>43767</v>
      </c>
      <c r="N201" s="2" t="str">
        <f t="shared" si="26"/>
        <v>Pagado</v>
      </c>
      <c r="O201" s="310">
        <v>43767</v>
      </c>
      <c r="P201" s="293">
        <v>61000</v>
      </c>
      <c r="Q201" s="2" t="s">
        <v>1484</v>
      </c>
      <c r="R201" s="2"/>
      <c r="S201" s="2"/>
      <c r="T201" s="9" t="s">
        <v>1462</v>
      </c>
      <c r="U201" s="392"/>
      <c r="V201" s="2"/>
      <c r="W201" s="108"/>
      <c r="X201" s="310"/>
      <c r="Y201" s="2"/>
      <c r="Z201" s="131" t="s">
        <v>1467</v>
      </c>
      <c r="AA201" s="108" t="str">
        <f t="shared" si="27"/>
        <v/>
      </c>
      <c r="AB201" s="2"/>
      <c r="AC201" s="131">
        <f t="shared" si="28"/>
        <v>51260.504201680676</v>
      </c>
      <c r="AD201" s="108">
        <f t="shared" si="29"/>
        <v>9739.4957983193235</v>
      </c>
      <c r="AE201" s="2" t="s">
        <v>1501</v>
      </c>
      <c r="AF201" s="23" t="s">
        <v>3487</v>
      </c>
      <c r="AG201" s="2" t="str">
        <f t="shared" si="30"/>
        <v>SI</v>
      </c>
      <c r="AH201" s="14"/>
      <c r="AI201" s="23"/>
      <c r="AJ201" s="2" t="str">
        <f t="shared" si="31"/>
        <v>NV</v>
      </c>
      <c r="AK201" s="294"/>
    </row>
    <row r="202" spans="1:37" ht="15.75" customHeight="1" x14ac:dyDescent="0.25">
      <c r="A202" s="270" t="s">
        <v>1197</v>
      </c>
      <c r="B202" s="3" t="s">
        <v>2236</v>
      </c>
      <c r="C202" s="2">
        <v>2965</v>
      </c>
      <c r="D202" s="2">
        <v>0</v>
      </c>
      <c r="E202" s="2">
        <v>286</v>
      </c>
      <c r="F202" s="2"/>
      <c r="G202" s="2" t="s">
        <v>2528</v>
      </c>
      <c r="H202" s="293">
        <v>320509</v>
      </c>
      <c r="I202" s="293">
        <v>-65629</v>
      </c>
      <c r="J202" s="126">
        <f t="shared" si="24"/>
        <v>254880</v>
      </c>
      <c r="K202" s="310">
        <v>43767</v>
      </c>
      <c r="L202" s="2">
        <v>30</v>
      </c>
      <c r="M202" s="313">
        <f t="shared" si="25"/>
        <v>43797</v>
      </c>
      <c r="N202" s="2" t="str">
        <f t="shared" si="26"/>
        <v>Pagado</v>
      </c>
      <c r="O202" s="310">
        <v>43797</v>
      </c>
      <c r="P202" s="293">
        <v>320509</v>
      </c>
      <c r="Q202" s="2" t="s">
        <v>2131</v>
      </c>
      <c r="R202" s="2"/>
      <c r="S202" s="2">
        <v>487812</v>
      </c>
      <c r="T202" s="313" t="s">
        <v>1496</v>
      </c>
      <c r="U202" s="392">
        <v>43797</v>
      </c>
      <c r="V202" s="2"/>
      <c r="W202" s="108"/>
      <c r="X202" s="310"/>
      <c r="Y202" s="2"/>
      <c r="Z202" s="131" t="s">
        <v>1467</v>
      </c>
      <c r="AA202" s="108" t="str">
        <f t="shared" si="27"/>
        <v>Otros</v>
      </c>
      <c r="AB202" s="2"/>
      <c r="AC202" s="131">
        <f t="shared" si="28"/>
        <v>269335.29411764705</v>
      </c>
      <c r="AD202" s="108">
        <f t="shared" si="29"/>
        <v>51173.705882352951</v>
      </c>
      <c r="AE202" s="2" t="s">
        <v>1501</v>
      </c>
      <c r="AF202" s="23" t="s">
        <v>3490</v>
      </c>
      <c r="AG202" s="2" t="str">
        <f t="shared" si="30"/>
        <v>SI</v>
      </c>
      <c r="AH202" s="14"/>
      <c r="AI202" s="23"/>
      <c r="AJ202" s="2" t="str">
        <f t="shared" si="31"/>
        <v>Factura</v>
      </c>
      <c r="AK202" s="294"/>
    </row>
    <row r="203" spans="1:37" ht="15.75" customHeight="1" x14ac:dyDescent="0.25">
      <c r="A203" s="270" t="s">
        <v>3306</v>
      </c>
      <c r="B203" s="3" t="s">
        <v>3307</v>
      </c>
      <c r="C203" s="2">
        <v>0</v>
      </c>
      <c r="D203" s="2">
        <v>158</v>
      </c>
      <c r="E203" s="2"/>
      <c r="F203" s="2"/>
      <c r="G203" s="2">
        <v>6045</v>
      </c>
      <c r="H203" s="293">
        <v>59300</v>
      </c>
      <c r="I203" s="293"/>
      <c r="J203" s="126">
        <f t="shared" si="24"/>
        <v>59300</v>
      </c>
      <c r="K203" s="310">
        <v>43767</v>
      </c>
      <c r="L203" s="2">
        <v>0</v>
      </c>
      <c r="M203" s="313">
        <f t="shared" si="25"/>
        <v>43767</v>
      </c>
      <c r="N203" s="2" t="str">
        <f t="shared" si="26"/>
        <v>Pagado</v>
      </c>
      <c r="O203" s="310">
        <v>43767</v>
      </c>
      <c r="P203" s="293">
        <v>59300</v>
      </c>
      <c r="Q203" s="2" t="s">
        <v>1070</v>
      </c>
      <c r="R203" s="2" t="s">
        <v>2243</v>
      </c>
      <c r="S203" s="2">
        <v>158</v>
      </c>
      <c r="T203" s="313"/>
      <c r="U203" s="392"/>
      <c r="V203" s="2"/>
      <c r="W203" s="108"/>
      <c r="X203" s="310"/>
      <c r="Y203" s="2"/>
      <c r="Z203" s="131" t="s">
        <v>1467</v>
      </c>
      <c r="AA203" s="108" t="str">
        <f t="shared" si="27"/>
        <v/>
      </c>
      <c r="AB203" s="2"/>
      <c r="AC203" s="131">
        <f t="shared" si="28"/>
        <v>49831.932773109249</v>
      </c>
      <c r="AD203" s="108">
        <f t="shared" si="29"/>
        <v>9468.067226890751</v>
      </c>
      <c r="AE203" s="2" t="s">
        <v>1501</v>
      </c>
      <c r="AF203" s="23" t="s">
        <v>3489</v>
      </c>
      <c r="AG203" s="2" t="str">
        <f t="shared" si="30"/>
        <v>SI</v>
      </c>
      <c r="AH203" s="14"/>
      <c r="AI203" s="23"/>
      <c r="AJ203" s="2" t="str">
        <f t="shared" si="31"/>
        <v>NV</v>
      </c>
      <c r="AK203" s="294"/>
    </row>
    <row r="204" spans="1:37" ht="15.75" customHeight="1" x14ac:dyDescent="0.25">
      <c r="A204" s="270" t="s">
        <v>1178</v>
      </c>
      <c r="B204" s="3" t="s">
        <v>950</v>
      </c>
      <c r="C204" s="2">
        <v>2955</v>
      </c>
      <c r="D204" s="2">
        <v>0</v>
      </c>
      <c r="E204" s="2">
        <v>263</v>
      </c>
      <c r="F204" s="2"/>
      <c r="G204" s="2" t="s">
        <v>2528</v>
      </c>
      <c r="H204" s="293">
        <v>155428</v>
      </c>
      <c r="I204" s="293">
        <v>-18489</v>
      </c>
      <c r="J204" s="126">
        <f t="shared" si="24"/>
        <v>136939</v>
      </c>
      <c r="K204" s="310">
        <v>43768</v>
      </c>
      <c r="L204" s="2">
        <v>7</v>
      </c>
      <c r="M204" s="313">
        <f t="shared" si="25"/>
        <v>43775</v>
      </c>
      <c r="N204" s="2" t="str">
        <f t="shared" si="26"/>
        <v>Abonado</v>
      </c>
      <c r="O204" s="310">
        <v>43775</v>
      </c>
      <c r="P204" s="293">
        <v>133335</v>
      </c>
      <c r="Q204" s="2" t="s">
        <v>2131</v>
      </c>
      <c r="R204" s="2"/>
      <c r="S204" s="2">
        <v>1115856</v>
      </c>
      <c r="T204" s="313" t="s">
        <v>1496</v>
      </c>
      <c r="U204" s="392">
        <v>43775</v>
      </c>
      <c r="V204" s="2">
        <v>133940</v>
      </c>
      <c r="W204" s="108">
        <v>133335</v>
      </c>
      <c r="X204" s="310">
        <v>43775</v>
      </c>
      <c r="Y204" s="2" t="s">
        <v>1488</v>
      </c>
      <c r="Z204" s="131" t="s">
        <v>1467</v>
      </c>
      <c r="AA204" s="108" t="str">
        <f t="shared" si="27"/>
        <v>Otros</v>
      </c>
      <c r="AB204" s="2"/>
      <c r="AC204" s="131">
        <f t="shared" si="28"/>
        <v>130611.76470588236</v>
      </c>
      <c r="AD204" s="108">
        <f t="shared" si="29"/>
        <v>24816.235294117636</v>
      </c>
      <c r="AE204" s="2" t="s">
        <v>2050</v>
      </c>
      <c r="AF204" s="23" t="s">
        <v>3490</v>
      </c>
      <c r="AG204" s="2" t="str">
        <f t="shared" si="30"/>
        <v>NO</v>
      </c>
      <c r="AH204" s="14"/>
      <c r="AI204" s="23"/>
      <c r="AJ204" s="2" t="str">
        <f t="shared" si="31"/>
        <v>Factura</v>
      </c>
      <c r="AK204" s="294"/>
    </row>
    <row r="205" spans="1:37" ht="15.75" customHeight="1" x14ac:dyDescent="0.25">
      <c r="A205" s="270" t="s">
        <v>1178</v>
      </c>
      <c r="B205" s="3" t="s">
        <v>950</v>
      </c>
      <c r="C205" s="2">
        <v>2969</v>
      </c>
      <c r="D205" s="2">
        <v>0</v>
      </c>
      <c r="E205" s="2"/>
      <c r="F205" s="2"/>
      <c r="G205" s="2" t="s">
        <v>2528</v>
      </c>
      <c r="H205" s="293">
        <v>68705</v>
      </c>
      <c r="I205" s="293"/>
      <c r="J205" s="126">
        <f t="shared" si="24"/>
        <v>68705</v>
      </c>
      <c r="K205" s="310">
        <v>43768</v>
      </c>
      <c r="L205" s="2">
        <v>7</v>
      </c>
      <c r="M205" s="313">
        <f t="shared" si="25"/>
        <v>43775</v>
      </c>
      <c r="N205" s="2" t="str">
        <f t="shared" si="26"/>
        <v>Pagado</v>
      </c>
      <c r="O205" s="310">
        <v>43775</v>
      </c>
      <c r="P205" s="293">
        <v>68705</v>
      </c>
      <c r="Q205" s="2" t="s">
        <v>2131</v>
      </c>
      <c r="R205" s="2"/>
      <c r="S205" s="2">
        <v>1115889</v>
      </c>
      <c r="T205" s="313" t="s">
        <v>1496</v>
      </c>
      <c r="U205" s="392">
        <v>43780</v>
      </c>
      <c r="V205" s="2"/>
      <c r="W205" s="108"/>
      <c r="X205" s="310"/>
      <c r="Y205" s="2"/>
      <c r="Z205" s="131" t="s">
        <v>1467</v>
      </c>
      <c r="AA205" s="108" t="str">
        <f t="shared" si="27"/>
        <v>Otros</v>
      </c>
      <c r="AB205" s="2"/>
      <c r="AC205" s="131">
        <f t="shared" si="28"/>
        <v>57735.294117647063</v>
      </c>
      <c r="AD205" s="108">
        <f t="shared" si="29"/>
        <v>10969.705882352937</v>
      </c>
      <c r="AE205" s="2" t="s">
        <v>2050</v>
      </c>
      <c r="AF205" s="23" t="s">
        <v>3490</v>
      </c>
      <c r="AG205" s="2" t="str">
        <f t="shared" si="30"/>
        <v>SI</v>
      </c>
      <c r="AH205" s="14"/>
      <c r="AI205" s="23"/>
      <c r="AJ205" s="2" t="str">
        <f t="shared" si="31"/>
        <v>Factura</v>
      </c>
      <c r="AK205" s="294"/>
    </row>
    <row r="206" spans="1:37" ht="15.75" customHeight="1" x14ac:dyDescent="0.25">
      <c r="A206" s="270" t="s">
        <v>1178</v>
      </c>
      <c r="B206" s="3" t="s">
        <v>950</v>
      </c>
      <c r="C206" s="2" t="s">
        <v>2528</v>
      </c>
      <c r="D206" s="2" t="s">
        <v>2528</v>
      </c>
      <c r="E206" s="2"/>
      <c r="F206" s="2"/>
      <c r="G206" s="2" t="s">
        <v>2528</v>
      </c>
      <c r="H206" s="293">
        <v>5000</v>
      </c>
      <c r="I206" s="293"/>
      <c r="J206" s="126">
        <f t="shared" si="24"/>
        <v>5000</v>
      </c>
      <c r="K206" s="310">
        <v>43768</v>
      </c>
      <c r="L206" s="2">
        <v>7</v>
      </c>
      <c r="M206" s="313">
        <f t="shared" si="25"/>
        <v>43775</v>
      </c>
      <c r="N206" s="2" t="str">
        <f t="shared" si="26"/>
        <v>Pagado</v>
      </c>
      <c r="O206" s="310">
        <v>43775</v>
      </c>
      <c r="P206" s="293">
        <v>5000</v>
      </c>
      <c r="Q206" s="2" t="s">
        <v>2131</v>
      </c>
      <c r="R206" s="2"/>
      <c r="S206" s="2">
        <v>1115889</v>
      </c>
      <c r="T206" s="313" t="s">
        <v>1496</v>
      </c>
      <c r="U206" s="392">
        <v>43780</v>
      </c>
      <c r="V206" s="2"/>
      <c r="W206" s="108"/>
      <c r="X206" s="310"/>
      <c r="Y206" s="2"/>
      <c r="Z206" s="131"/>
      <c r="AA206" s="108" t="str">
        <f t="shared" si="27"/>
        <v>Otros</v>
      </c>
      <c r="AB206" s="2"/>
      <c r="AC206" s="131">
        <f t="shared" si="28"/>
        <v>4201.680672268908</v>
      </c>
      <c r="AD206" s="108">
        <f t="shared" si="29"/>
        <v>798.31932773109202</v>
      </c>
      <c r="AE206" s="2"/>
      <c r="AF206" s="23"/>
      <c r="AG206" s="2" t="str">
        <f t="shared" si="30"/>
        <v>SI</v>
      </c>
      <c r="AH206" s="14"/>
      <c r="AI206" s="23"/>
      <c r="AJ206" s="2" t="str">
        <f t="shared" si="31"/>
        <v>Factura</v>
      </c>
      <c r="AK206" s="294"/>
    </row>
    <row r="207" spans="1:37" ht="15.75" customHeight="1" x14ac:dyDescent="0.25">
      <c r="A207" s="270" t="s">
        <v>1178</v>
      </c>
      <c r="B207" s="3" t="s">
        <v>950</v>
      </c>
      <c r="C207" s="2">
        <v>2955</v>
      </c>
      <c r="D207" s="2" t="s">
        <v>2528</v>
      </c>
      <c r="E207" s="2"/>
      <c r="F207" s="2"/>
      <c r="G207" s="2"/>
      <c r="H207" s="293">
        <v>3750</v>
      </c>
      <c r="I207" s="293"/>
      <c r="J207" s="126">
        <f t="shared" si="24"/>
        <v>3750</v>
      </c>
      <c r="K207" s="310">
        <v>43768</v>
      </c>
      <c r="L207" s="2">
        <v>7</v>
      </c>
      <c r="M207" s="9">
        <f t="shared" si="25"/>
        <v>43775</v>
      </c>
      <c r="N207" s="2" t="str">
        <f t="shared" si="26"/>
        <v>Pagado</v>
      </c>
      <c r="O207" s="310">
        <v>43775</v>
      </c>
      <c r="P207" s="293">
        <v>3750</v>
      </c>
      <c r="Q207" s="2" t="s">
        <v>2131</v>
      </c>
      <c r="R207" s="2"/>
      <c r="S207" s="2">
        <v>1115889</v>
      </c>
      <c r="T207" s="9" t="s">
        <v>1496</v>
      </c>
      <c r="U207" s="392">
        <v>43780</v>
      </c>
      <c r="V207" s="2"/>
      <c r="W207" s="108"/>
      <c r="X207" s="310"/>
      <c r="Y207" s="2"/>
      <c r="Z207" s="131"/>
      <c r="AA207" s="108" t="str">
        <f t="shared" si="27"/>
        <v>Otros</v>
      </c>
      <c r="AB207" s="2"/>
      <c r="AC207" s="131">
        <f t="shared" si="28"/>
        <v>3151.2605042016808</v>
      </c>
      <c r="AD207" s="108">
        <f t="shared" si="29"/>
        <v>598.73949579831924</v>
      </c>
      <c r="AE207" s="2"/>
      <c r="AF207" s="23"/>
      <c r="AG207" s="2" t="str">
        <f t="shared" si="30"/>
        <v>SI</v>
      </c>
      <c r="AH207" s="14"/>
      <c r="AI207" s="23"/>
      <c r="AJ207" s="2" t="str">
        <f t="shared" si="31"/>
        <v>Factura</v>
      </c>
      <c r="AK207" s="294"/>
    </row>
    <row r="208" spans="1:37" ht="15.75" customHeight="1" x14ac:dyDescent="0.25">
      <c r="A208" s="270" t="s">
        <v>1276</v>
      </c>
      <c r="B208" s="3" t="s">
        <v>1064</v>
      </c>
      <c r="C208" s="2">
        <v>0</v>
      </c>
      <c r="D208" s="2">
        <v>160</v>
      </c>
      <c r="E208" s="2"/>
      <c r="F208" s="2"/>
      <c r="G208" s="2">
        <v>6053</v>
      </c>
      <c r="H208" s="293">
        <v>8800</v>
      </c>
      <c r="I208" s="293"/>
      <c r="J208" s="126">
        <f t="shared" si="24"/>
        <v>8800</v>
      </c>
      <c r="K208" s="310">
        <v>43768</v>
      </c>
      <c r="L208" s="2">
        <v>0</v>
      </c>
      <c r="M208" s="313">
        <f t="shared" si="25"/>
        <v>43768</v>
      </c>
      <c r="N208" s="2" t="str">
        <f t="shared" si="26"/>
        <v>Pagado</v>
      </c>
      <c r="O208" s="310">
        <v>43768</v>
      </c>
      <c r="P208" s="293">
        <v>8800</v>
      </c>
      <c r="Q208" s="2" t="s">
        <v>1070</v>
      </c>
      <c r="R208" s="2" t="s">
        <v>2243</v>
      </c>
      <c r="S208" s="2">
        <v>159</v>
      </c>
      <c r="T208" s="313"/>
      <c r="U208" s="392"/>
      <c r="V208" s="2"/>
      <c r="W208" s="108"/>
      <c r="X208" s="310"/>
      <c r="Y208" s="2"/>
      <c r="Z208" s="131" t="s">
        <v>1467</v>
      </c>
      <c r="AA208" s="108" t="str">
        <f t="shared" si="27"/>
        <v/>
      </c>
      <c r="AB208" s="2"/>
      <c r="AC208" s="131">
        <f t="shared" si="28"/>
        <v>7394.9579831932779</v>
      </c>
      <c r="AD208" s="108">
        <f t="shared" si="29"/>
        <v>1405.0420168067221</v>
      </c>
      <c r="AE208" s="2" t="s">
        <v>1501</v>
      </c>
      <c r="AF208" s="23" t="s">
        <v>3489</v>
      </c>
      <c r="AG208" s="2" t="str">
        <f t="shared" si="30"/>
        <v>SI</v>
      </c>
      <c r="AH208" s="14"/>
      <c r="AI208" s="23"/>
      <c r="AJ208" s="2" t="str">
        <f t="shared" si="31"/>
        <v>NV</v>
      </c>
      <c r="AK208" s="294"/>
    </row>
    <row r="209" spans="1:37" ht="15.75" customHeight="1" x14ac:dyDescent="0.25">
      <c r="A209" s="270" t="s">
        <v>4898</v>
      </c>
      <c r="B209" s="3" t="s">
        <v>4899</v>
      </c>
      <c r="C209" s="2">
        <v>0</v>
      </c>
      <c r="D209" s="2">
        <v>2651</v>
      </c>
      <c r="E209" s="2"/>
      <c r="F209" s="2"/>
      <c r="G209" s="2">
        <v>6050</v>
      </c>
      <c r="H209" s="293">
        <v>11500</v>
      </c>
      <c r="I209" s="293"/>
      <c r="J209" s="126">
        <f t="shared" si="24"/>
        <v>11500</v>
      </c>
      <c r="K209" s="310">
        <v>43768</v>
      </c>
      <c r="L209" s="2">
        <v>0</v>
      </c>
      <c r="M209" s="9">
        <f t="shared" si="25"/>
        <v>43768</v>
      </c>
      <c r="N209" s="2" t="str">
        <f t="shared" si="26"/>
        <v>Pagado</v>
      </c>
      <c r="O209" s="310">
        <v>43768</v>
      </c>
      <c r="P209" s="293">
        <v>11500</v>
      </c>
      <c r="Q209" s="2" t="s">
        <v>1481</v>
      </c>
      <c r="R209" s="2"/>
      <c r="S209" s="2"/>
      <c r="T209" s="9"/>
      <c r="U209" s="392"/>
      <c r="V209" s="2"/>
      <c r="W209" s="108"/>
      <c r="X209" s="310"/>
      <c r="Y209" s="2"/>
      <c r="Z209" s="131" t="s">
        <v>1467</v>
      </c>
      <c r="AA209" s="108" t="str">
        <f t="shared" si="27"/>
        <v/>
      </c>
      <c r="AB209" s="2"/>
      <c r="AC209" s="131">
        <f t="shared" si="28"/>
        <v>9663.865546218487</v>
      </c>
      <c r="AD209" s="108">
        <f t="shared" si="29"/>
        <v>1836.134453781513</v>
      </c>
      <c r="AE209" s="2" t="s">
        <v>1501</v>
      </c>
      <c r="AF209" s="23" t="s">
        <v>3487</v>
      </c>
      <c r="AG209" s="2" t="str">
        <f t="shared" si="30"/>
        <v>SI</v>
      </c>
      <c r="AH209" s="14"/>
      <c r="AI209" s="23"/>
      <c r="AJ209" s="2" t="str">
        <f t="shared" si="31"/>
        <v>NV</v>
      </c>
      <c r="AK209" s="294"/>
    </row>
    <row r="210" spans="1:37" ht="15.75" customHeight="1" x14ac:dyDescent="0.25">
      <c r="A210" s="270" t="s">
        <v>1177</v>
      </c>
      <c r="B210" s="3" t="s">
        <v>1060</v>
      </c>
      <c r="C210" s="2">
        <v>2970</v>
      </c>
      <c r="D210" s="2">
        <v>0</v>
      </c>
      <c r="E210" s="2"/>
      <c r="F210" s="2"/>
      <c r="G210" s="2" t="s">
        <v>2528</v>
      </c>
      <c r="H210" s="293">
        <v>145731</v>
      </c>
      <c r="I210" s="293"/>
      <c r="J210" s="126">
        <f t="shared" si="24"/>
        <v>145731</v>
      </c>
      <c r="K210" s="310">
        <v>43768</v>
      </c>
      <c r="L210" s="2">
        <v>30</v>
      </c>
      <c r="M210" s="9">
        <f t="shared" si="25"/>
        <v>43798</v>
      </c>
      <c r="N210" s="2" t="str">
        <f t="shared" si="26"/>
        <v>Pagado</v>
      </c>
      <c r="O210" s="310">
        <v>43789</v>
      </c>
      <c r="P210" s="293">
        <v>145731</v>
      </c>
      <c r="Q210" s="2" t="s">
        <v>2131</v>
      </c>
      <c r="R210" s="2"/>
      <c r="S210" s="2">
        <v>7000992</v>
      </c>
      <c r="T210" s="9" t="s">
        <v>1462</v>
      </c>
      <c r="U210" s="392">
        <v>43799</v>
      </c>
      <c r="V210" s="2"/>
      <c r="W210" s="108"/>
      <c r="X210" s="310"/>
      <c r="Y210" s="2"/>
      <c r="Z210" s="131" t="s">
        <v>1467</v>
      </c>
      <c r="AA210" s="108" t="str">
        <f t="shared" si="27"/>
        <v>Otros</v>
      </c>
      <c r="AB210" s="2"/>
      <c r="AC210" s="131">
        <f t="shared" si="28"/>
        <v>122463.02521008404</v>
      </c>
      <c r="AD210" s="108">
        <f t="shared" si="29"/>
        <v>23267.974789915956</v>
      </c>
      <c r="AE210" s="2" t="s">
        <v>2050</v>
      </c>
      <c r="AF210" s="23" t="s">
        <v>3490</v>
      </c>
      <c r="AG210" s="2" t="str">
        <f t="shared" si="30"/>
        <v>SI</v>
      </c>
      <c r="AH210" s="14"/>
      <c r="AI210" s="23"/>
      <c r="AJ210" s="2" t="str">
        <f t="shared" si="31"/>
        <v>Factura</v>
      </c>
      <c r="AK210" s="294"/>
    </row>
    <row r="211" spans="1:37" ht="15.75" customHeight="1" x14ac:dyDescent="0.25">
      <c r="A211" s="270" t="s">
        <v>1284</v>
      </c>
      <c r="B211" s="3" t="s">
        <v>1008</v>
      </c>
      <c r="C211" s="2">
        <v>0</v>
      </c>
      <c r="D211" s="2">
        <v>0</v>
      </c>
      <c r="E211" s="2"/>
      <c r="F211" s="2"/>
      <c r="G211" s="2">
        <v>6042</v>
      </c>
      <c r="H211" s="293">
        <v>20900</v>
      </c>
      <c r="I211" s="293"/>
      <c r="J211" s="126">
        <f t="shared" si="24"/>
        <v>20900</v>
      </c>
      <c r="K211" s="310">
        <v>43768</v>
      </c>
      <c r="L211" s="2">
        <v>0</v>
      </c>
      <c r="M211" s="313">
        <f t="shared" si="25"/>
        <v>43768</v>
      </c>
      <c r="N211" s="2" t="str">
        <f t="shared" ca="1" si="26"/>
        <v>Vencido</v>
      </c>
      <c r="O211" s="310"/>
      <c r="P211" s="293"/>
      <c r="Q211" s="2"/>
      <c r="R211" s="2"/>
      <c r="S211" s="2"/>
      <c r="T211" s="313"/>
      <c r="U211" s="392"/>
      <c r="V211" s="2"/>
      <c r="W211" s="108"/>
      <c r="X211" s="310"/>
      <c r="Y211" s="2"/>
      <c r="Z211" s="131" t="s">
        <v>1467</v>
      </c>
      <c r="AA211" s="108" t="str">
        <f t="shared" si="27"/>
        <v/>
      </c>
      <c r="AB211" s="2"/>
      <c r="AC211" s="131">
        <f t="shared" si="28"/>
        <v>17563.025210084033</v>
      </c>
      <c r="AD211" s="108">
        <f t="shared" si="29"/>
        <v>3336.9747899159665</v>
      </c>
      <c r="AE211" s="2" t="s">
        <v>2050</v>
      </c>
      <c r="AF211" s="23" t="s">
        <v>3487</v>
      </c>
      <c r="AG211" s="2" t="str">
        <f t="shared" ca="1" si="30"/>
        <v>NO</v>
      </c>
      <c r="AH211" s="14"/>
      <c r="AI211" s="23"/>
      <c r="AJ211" s="2" t="str">
        <f t="shared" si="31"/>
        <v>NV</v>
      </c>
      <c r="AK211" s="294"/>
    </row>
    <row r="212" spans="1:37" ht="15.75" customHeight="1" x14ac:dyDescent="0.25">
      <c r="A212" s="270" t="s">
        <v>1214</v>
      </c>
      <c r="B212" s="3" t="s">
        <v>2143</v>
      </c>
      <c r="C212" s="2">
        <v>0</v>
      </c>
      <c r="D212" s="2">
        <v>2652</v>
      </c>
      <c r="E212" s="2"/>
      <c r="F212" s="2"/>
      <c r="G212" s="2">
        <v>6051</v>
      </c>
      <c r="H212" s="293">
        <v>20900</v>
      </c>
      <c r="I212" s="293"/>
      <c r="J212" s="126">
        <f t="shared" si="24"/>
        <v>20900</v>
      </c>
      <c r="K212" s="310">
        <v>43768</v>
      </c>
      <c r="L212" s="2">
        <v>0</v>
      </c>
      <c r="M212" s="9">
        <f t="shared" si="25"/>
        <v>43768</v>
      </c>
      <c r="N212" s="2" t="str">
        <f t="shared" si="26"/>
        <v>Pagado</v>
      </c>
      <c r="O212" s="310">
        <v>43771</v>
      </c>
      <c r="P212" s="293">
        <v>20900</v>
      </c>
      <c r="Q212" s="2" t="s">
        <v>1484</v>
      </c>
      <c r="R212" s="2"/>
      <c r="S212" s="2"/>
      <c r="T212" s="313" t="s">
        <v>1494</v>
      </c>
      <c r="U212" s="392"/>
      <c r="V212" s="2"/>
      <c r="W212" s="108"/>
      <c r="X212" s="310"/>
      <c r="Y212" s="2"/>
      <c r="Z212" s="131" t="s">
        <v>1467</v>
      </c>
      <c r="AA212" s="108" t="str">
        <f t="shared" si="27"/>
        <v/>
      </c>
      <c r="AB212" s="2"/>
      <c r="AC212" s="131">
        <f t="shared" si="28"/>
        <v>17563.025210084033</v>
      </c>
      <c r="AD212" s="108">
        <f t="shared" si="29"/>
        <v>3336.9747899159665</v>
      </c>
      <c r="AE212" s="2" t="s">
        <v>1501</v>
      </c>
      <c r="AF212" s="23" t="s">
        <v>3489</v>
      </c>
      <c r="AG212" s="2" t="str">
        <f t="shared" si="30"/>
        <v>SI</v>
      </c>
      <c r="AH212" s="14"/>
      <c r="AI212" s="23"/>
      <c r="AJ212" s="2" t="str">
        <f t="shared" si="31"/>
        <v>NV</v>
      </c>
      <c r="AK212" s="294"/>
    </row>
    <row r="213" spans="1:37" ht="15.75" customHeight="1" x14ac:dyDescent="0.25">
      <c r="A213" s="270" t="s">
        <v>1175</v>
      </c>
      <c r="B213" s="3" t="s">
        <v>1144</v>
      </c>
      <c r="C213" s="2">
        <v>2966</v>
      </c>
      <c r="D213" s="2">
        <v>0</v>
      </c>
      <c r="E213" s="2"/>
      <c r="F213" s="2"/>
      <c r="G213" s="2" t="s">
        <v>2528</v>
      </c>
      <c r="H213" s="293">
        <v>111402</v>
      </c>
      <c r="I213" s="293"/>
      <c r="J213" s="126">
        <f t="shared" si="24"/>
        <v>111402</v>
      </c>
      <c r="K213" s="310">
        <v>43768</v>
      </c>
      <c r="L213" s="2">
        <v>30</v>
      </c>
      <c r="M213" s="9">
        <f t="shared" si="25"/>
        <v>43798</v>
      </c>
      <c r="N213" s="2" t="str">
        <f t="shared" si="26"/>
        <v>Pagado</v>
      </c>
      <c r="O213" s="310">
        <v>43804</v>
      </c>
      <c r="P213" s="293">
        <v>111402</v>
      </c>
      <c r="Q213" s="2" t="s">
        <v>1484</v>
      </c>
      <c r="R213" s="2"/>
      <c r="S213" s="2"/>
      <c r="T213" s="9" t="s">
        <v>1496</v>
      </c>
      <c r="U213" s="392"/>
      <c r="V213" s="2"/>
      <c r="W213" s="108"/>
      <c r="X213" s="310"/>
      <c r="Y213" s="2"/>
      <c r="Z213" s="131" t="s">
        <v>1467</v>
      </c>
      <c r="AA213" s="108" t="str">
        <f t="shared" si="27"/>
        <v/>
      </c>
      <c r="AB213" s="2"/>
      <c r="AC213" s="131">
        <f t="shared" si="28"/>
        <v>93615.126050420178</v>
      </c>
      <c r="AD213" s="108">
        <f t="shared" si="29"/>
        <v>17786.873949579822</v>
      </c>
      <c r="AE213" s="2" t="s">
        <v>2050</v>
      </c>
      <c r="AF213" s="23" t="s">
        <v>3490</v>
      </c>
      <c r="AG213" s="2" t="str">
        <f t="shared" si="30"/>
        <v>SI</v>
      </c>
      <c r="AH213" s="14"/>
      <c r="AI213" s="23"/>
      <c r="AJ213" s="2" t="str">
        <f t="shared" si="31"/>
        <v>Factura</v>
      </c>
      <c r="AK213" s="294"/>
    </row>
    <row r="214" spans="1:37" ht="15.75" customHeight="1" x14ac:dyDescent="0.25">
      <c r="A214" s="270" t="s">
        <v>1175</v>
      </c>
      <c r="B214" s="3" t="s">
        <v>1144</v>
      </c>
      <c r="C214" s="2">
        <v>2967</v>
      </c>
      <c r="D214" s="2">
        <v>0</v>
      </c>
      <c r="E214" s="2"/>
      <c r="F214" s="2"/>
      <c r="G214" s="2">
        <v>1037333</v>
      </c>
      <c r="H214" s="293">
        <v>104566</v>
      </c>
      <c r="I214" s="293"/>
      <c r="J214" s="126">
        <f t="shared" si="24"/>
        <v>104566</v>
      </c>
      <c r="K214" s="310">
        <v>43768</v>
      </c>
      <c r="L214" s="2">
        <v>30</v>
      </c>
      <c r="M214" s="9">
        <f t="shared" si="25"/>
        <v>43798</v>
      </c>
      <c r="N214" s="2" t="str">
        <f t="shared" si="26"/>
        <v>Pagado</v>
      </c>
      <c r="O214" s="310">
        <v>43804</v>
      </c>
      <c r="P214" s="293">
        <v>104566</v>
      </c>
      <c r="Q214" s="2" t="s">
        <v>1484</v>
      </c>
      <c r="R214" s="2"/>
      <c r="S214" s="2"/>
      <c r="T214" s="9" t="s">
        <v>1496</v>
      </c>
      <c r="U214" s="392"/>
      <c r="V214" s="2"/>
      <c r="W214" s="108"/>
      <c r="X214" s="310"/>
      <c r="Y214" s="2"/>
      <c r="Z214" s="131" t="s">
        <v>1467</v>
      </c>
      <c r="AA214" s="108" t="str">
        <f t="shared" si="27"/>
        <v/>
      </c>
      <c r="AB214" s="2"/>
      <c r="AC214" s="131">
        <f t="shared" si="28"/>
        <v>87870.588235294126</v>
      </c>
      <c r="AD214" s="108">
        <f t="shared" si="29"/>
        <v>16695.411764705874</v>
      </c>
      <c r="AE214" s="2" t="s">
        <v>2050</v>
      </c>
      <c r="AF214" s="23" t="s">
        <v>3490</v>
      </c>
      <c r="AG214" s="2" t="str">
        <f t="shared" si="30"/>
        <v>SI</v>
      </c>
      <c r="AH214" s="14"/>
      <c r="AI214" s="23"/>
      <c r="AJ214" s="2" t="str">
        <f t="shared" si="31"/>
        <v>Factura</v>
      </c>
      <c r="AK214" s="294"/>
    </row>
    <row r="215" spans="1:37" ht="15.75" customHeight="1" x14ac:dyDescent="0.25">
      <c r="A215" s="270" t="s">
        <v>1175</v>
      </c>
      <c r="B215" s="3" t="s">
        <v>1144</v>
      </c>
      <c r="C215" s="2">
        <v>2968</v>
      </c>
      <c r="D215" s="2">
        <v>0</v>
      </c>
      <c r="E215" s="2">
        <v>262</v>
      </c>
      <c r="F215" s="2"/>
      <c r="G215" s="2">
        <v>1037333</v>
      </c>
      <c r="H215" s="293">
        <v>493209</v>
      </c>
      <c r="I215" s="293">
        <v>-22047</v>
      </c>
      <c r="J215" s="126">
        <f t="shared" si="24"/>
        <v>471162</v>
      </c>
      <c r="K215" s="310">
        <v>43768</v>
      </c>
      <c r="L215" s="2">
        <v>30</v>
      </c>
      <c r="M215" s="9">
        <f t="shared" si="25"/>
        <v>43798</v>
      </c>
      <c r="N215" s="2" t="str">
        <f t="shared" si="26"/>
        <v>Pagado</v>
      </c>
      <c r="O215" s="310">
        <v>43804</v>
      </c>
      <c r="P215" s="293">
        <v>471162</v>
      </c>
      <c r="Q215" s="2" t="s">
        <v>1484</v>
      </c>
      <c r="R215" s="2"/>
      <c r="S215" s="2"/>
      <c r="T215" s="313" t="s">
        <v>1496</v>
      </c>
      <c r="U215" s="392"/>
      <c r="V215" s="2"/>
      <c r="W215" s="108"/>
      <c r="X215" s="310"/>
      <c r="Y215" s="2"/>
      <c r="Z215" s="131" t="s">
        <v>1467</v>
      </c>
      <c r="AA215" s="108" t="str">
        <f t="shared" si="27"/>
        <v/>
      </c>
      <c r="AB215" s="2"/>
      <c r="AC215" s="131">
        <f t="shared" si="28"/>
        <v>414461.34453781514</v>
      </c>
      <c r="AD215" s="108">
        <f t="shared" si="29"/>
        <v>78747.655462184863</v>
      </c>
      <c r="AE215" s="2" t="s">
        <v>2050</v>
      </c>
      <c r="AF215" s="23" t="s">
        <v>3490</v>
      </c>
      <c r="AG215" s="2" t="str">
        <f t="shared" si="30"/>
        <v>SI</v>
      </c>
      <c r="AH215" s="14"/>
      <c r="AI215" s="23"/>
      <c r="AJ215" s="2" t="str">
        <f t="shared" si="31"/>
        <v>Factura</v>
      </c>
      <c r="AK215" s="294"/>
    </row>
    <row r="216" spans="1:37" ht="15.75" customHeight="1" x14ac:dyDescent="0.25">
      <c r="A216" s="270" t="s">
        <v>4034</v>
      </c>
      <c r="B216" s="3" t="s">
        <v>4035</v>
      </c>
      <c r="C216" s="2">
        <v>0</v>
      </c>
      <c r="D216" s="2">
        <v>159</v>
      </c>
      <c r="E216" s="2"/>
      <c r="F216" s="2"/>
      <c r="G216" s="2">
        <v>6052</v>
      </c>
      <c r="H216" s="293">
        <v>16500</v>
      </c>
      <c r="I216" s="293"/>
      <c r="J216" s="126">
        <f t="shared" si="24"/>
        <v>16500</v>
      </c>
      <c r="K216" s="310">
        <v>43768</v>
      </c>
      <c r="L216" s="2">
        <v>0</v>
      </c>
      <c r="M216" s="9">
        <f t="shared" si="25"/>
        <v>43768</v>
      </c>
      <c r="N216" s="2" t="str">
        <f t="shared" si="26"/>
        <v>Pagado</v>
      </c>
      <c r="O216" s="310">
        <v>43865</v>
      </c>
      <c r="P216" s="293">
        <v>16500</v>
      </c>
      <c r="Q216" s="2" t="s">
        <v>1484</v>
      </c>
      <c r="R216" s="2"/>
      <c r="S216" s="2"/>
      <c r="T216" s="313" t="s">
        <v>1496</v>
      </c>
      <c r="U216" s="392"/>
      <c r="V216" s="2"/>
      <c r="W216" s="108"/>
      <c r="X216" s="310"/>
      <c r="Y216" s="2"/>
      <c r="Z216" s="131" t="s">
        <v>1467</v>
      </c>
      <c r="AA216" s="108" t="str">
        <f t="shared" si="27"/>
        <v/>
      </c>
      <c r="AB216" s="2"/>
      <c r="AC216" s="131">
        <f t="shared" si="28"/>
        <v>13865.546218487396</v>
      </c>
      <c r="AD216" s="108">
        <f t="shared" si="29"/>
        <v>2634.4537815126041</v>
      </c>
      <c r="AE216" s="2" t="s">
        <v>1501</v>
      </c>
      <c r="AF216" s="23" t="s">
        <v>3488</v>
      </c>
      <c r="AG216" s="2" t="str">
        <f t="shared" si="30"/>
        <v>SI</v>
      </c>
      <c r="AH216" s="14"/>
      <c r="AI216" s="23"/>
      <c r="AJ216" s="2" t="str">
        <f t="shared" si="31"/>
        <v>NV</v>
      </c>
      <c r="AK216" s="294"/>
    </row>
    <row r="217" spans="1:37" ht="15.75" customHeight="1" x14ac:dyDescent="0.25">
      <c r="A217" s="270" t="s">
        <v>1238</v>
      </c>
      <c r="B217" s="3" t="s">
        <v>1944</v>
      </c>
      <c r="C217" s="2">
        <v>0</v>
      </c>
      <c r="D217" s="2">
        <v>2654</v>
      </c>
      <c r="E217" s="2"/>
      <c r="F217" s="2"/>
      <c r="G217" s="2">
        <v>6055</v>
      </c>
      <c r="H217" s="293">
        <v>41800</v>
      </c>
      <c r="I217" s="293"/>
      <c r="J217" s="126">
        <f t="shared" si="24"/>
        <v>41800</v>
      </c>
      <c r="K217" s="310">
        <v>43769</v>
      </c>
      <c r="L217" s="2">
        <v>0</v>
      </c>
      <c r="M217" s="9">
        <f t="shared" si="25"/>
        <v>43769</v>
      </c>
      <c r="N217" s="2" t="str">
        <f t="shared" si="26"/>
        <v>Pagado</v>
      </c>
      <c r="O217" s="310">
        <v>43773</v>
      </c>
      <c r="P217" s="293">
        <v>41800</v>
      </c>
      <c r="Q217" s="2" t="s">
        <v>1484</v>
      </c>
      <c r="R217" s="2"/>
      <c r="S217" s="2"/>
      <c r="T217" s="9" t="s">
        <v>1488</v>
      </c>
      <c r="U217" s="392"/>
      <c r="V217" s="2"/>
      <c r="W217" s="108"/>
      <c r="X217" s="310"/>
      <c r="Y217" s="2"/>
      <c r="Z217" s="131" t="s">
        <v>1467</v>
      </c>
      <c r="AA217" s="108" t="str">
        <f t="shared" si="27"/>
        <v/>
      </c>
      <c r="AB217" s="2"/>
      <c r="AC217" s="131">
        <f t="shared" si="28"/>
        <v>35126.050420168067</v>
      </c>
      <c r="AD217" s="108">
        <f t="shared" si="29"/>
        <v>6673.9495798319331</v>
      </c>
      <c r="AE217" s="2" t="s">
        <v>1445</v>
      </c>
      <c r="AF217" s="23" t="s">
        <v>3489</v>
      </c>
      <c r="AG217" s="2" t="str">
        <f t="shared" si="30"/>
        <v>SI</v>
      </c>
      <c r="AH217" s="14"/>
      <c r="AI217" s="23"/>
      <c r="AJ217" s="2" t="str">
        <f t="shared" si="31"/>
        <v>NV</v>
      </c>
      <c r="AK217" s="294"/>
    </row>
    <row r="218" spans="1:37" ht="15.75" customHeight="1" x14ac:dyDescent="0.25">
      <c r="A218" s="270" t="s">
        <v>5345</v>
      </c>
      <c r="B218" s="3" t="s">
        <v>5346</v>
      </c>
      <c r="C218" s="2">
        <v>0</v>
      </c>
      <c r="D218" s="2">
        <v>2657</v>
      </c>
      <c r="E218" s="2"/>
      <c r="F218" s="2"/>
      <c r="G218" s="2">
        <v>6059</v>
      </c>
      <c r="H218" s="293">
        <v>71400</v>
      </c>
      <c r="I218" s="293"/>
      <c r="J218" s="126">
        <f t="shared" si="24"/>
        <v>71400</v>
      </c>
      <c r="K218" s="310">
        <v>43769</v>
      </c>
      <c r="L218" s="2">
        <v>0</v>
      </c>
      <c r="M218" s="9">
        <f t="shared" si="25"/>
        <v>43769</v>
      </c>
      <c r="N218" s="2" t="str">
        <f t="shared" si="26"/>
        <v>Pagado</v>
      </c>
      <c r="O218" s="310">
        <v>43769</v>
      </c>
      <c r="P218" s="293">
        <v>71400</v>
      </c>
      <c r="Q218" s="2" t="s">
        <v>1484</v>
      </c>
      <c r="R218" s="2"/>
      <c r="S218" s="2"/>
      <c r="T218" s="9" t="s">
        <v>1488</v>
      </c>
      <c r="U218" s="392"/>
      <c r="V218" s="2"/>
      <c r="W218" s="108"/>
      <c r="X218" s="310"/>
      <c r="Y218" s="2"/>
      <c r="Z218" s="131" t="s">
        <v>1467</v>
      </c>
      <c r="AA218" s="108" t="str">
        <f t="shared" si="27"/>
        <v/>
      </c>
      <c r="AB218" s="2"/>
      <c r="AC218" s="131">
        <f t="shared" si="28"/>
        <v>60000</v>
      </c>
      <c r="AD218" s="108">
        <f t="shared" si="29"/>
        <v>11400</v>
      </c>
      <c r="AE218" s="2" t="s">
        <v>1445</v>
      </c>
      <c r="AF218" s="23" t="s">
        <v>3489</v>
      </c>
      <c r="AG218" s="2" t="str">
        <f t="shared" si="30"/>
        <v>SI</v>
      </c>
      <c r="AH218" s="14"/>
      <c r="AI218" s="23"/>
      <c r="AJ218" s="2" t="str">
        <f t="shared" si="31"/>
        <v>NV</v>
      </c>
      <c r="AK218" s="294"/>
    </row>
    <row r="219" spans="1:37" ht="15.75" customHeight="1" x14ac:dyDescent="0.25">
      <c r="A219" s="270" t="s">
        <v>1247</v>
      </c>
      <c r="B219" s="3" t="s">
        <v>1943</v>
      </c>
      <c r="C219" s="2">
        <v>0</v>
      </c>
      <c r="D219" s="2">
        <v>2658</v>
      </c>
      <c r="E219" s="2"/>
      <c r="F219" s="2"/>
      <c r="G219" s="2">
        <v>6057</v>
      </c>
      <c r="H219" s="293">
        <v>10200</v>
      </c>
      <c r="I219" s="293"/>
      <c r="J219" s="126">
        <f t="shared" si="24"/>
        <v>10200</v>
      </c>
      <c r="K219" s="310">
        <v>43769</v>
      </c>
      <c r="L219" s="2">
        <v>0</v>
      </c>
      <c r="M219" s="9">
        <f t="shared" si="25"/>
        <v>43769</v>
      </c>
      <c r="N219" s="2" t="str">
        <f t="shared" si="26"/>
        <v>Pagado</v>
      </c>
      <c r="O219" s="310">
        <v>43771</v>
      </c>
      <c r="P219" s="293">
        <v>10200</v>
      </c>
      <c r="Q219" s="2" t="s">
        <v>1484</v>
      </c>
      <c r="R219" s="2"/>
      <c r="S219" s="2"/>
      <c r="T219" s="9" t="s">
        <v>1488</v>
      </c>
      <c r="U219" s="392"/>
      <c r="V219" s="2"/>
      <c r="W219" s="108"/>
      <c r="X219" s="310"/>
      <c r="Y219" s="2"/>
      <c r="Z219" s="131" t="s">
        <v>1467</v>
      </c>
      <c r="AA219" s="108" t="str">
        <f t="shared" si="27"/>
        <v/>
      </c>
      <c r="AB219" s="2"/>
      <c r="AC219" s="131">
        <f t="shared" si="28"/>
        <v>8571.4285714285725</v>
      </c>
      <c r="AD219" s="108">
        <f t="shared" si="29"/>
        <v>1628.5714285714275</v>
      </c>
      <c r="AE219" s="2" t="s">
        <v>1445</v>
      </c>
      <c r="AF219" s="23" t="s">
        <v>3489</v>
      </c>
      <c r="AG219" s="2" t="str">
        <f t="shared" si="30"/>
        <v>SI</v>
      </c>
      <c r="AH219" s="14"/>
      <c r="AI219" s="23"/>
      <c r="AJ219" s="2" t="str">
        <f t="shared" si="31"/>
        <v>NV</v>
      </c>
      <c r="AK219" s="294"/>
    </row>
    <row r="220" spans="1:37" ht="15.75" customHeight="1" x14ac:dyDescent="0.25">
      <c r="A220" s="270" t="s">
        <v>1301</v>
      </c>
      <c r="B220" s="3" t="s">
        <v>968</v>
      </c>
      <c r="C220" s="2">
        <v>0</v>
      </c>
      <c r="D220" s="2">
        <v>2656</v>
      </c>
      <c r="E220" s="2"/>
      <c r="F220" s="2"/>
      <c r="G220" s="2">
        <v>6060</v>
      </c>
      <c r="H220" s="293">
        <v>29600</v>
      </c>
      <c r="I220" s="293"/>
      <c r="J220" s="126">
        <f t="shared" si="24"/>
        <v>29600</v>
      </c>
      <c r="K220" s="310">
        <v>43769</v>
      </c>
      <c r="L220" s="2">
        <v>0</v>
      </c>
      <c r="M220" s="9">
        <f t="shared" si="25"/>
        <v>43769</v>
      </c>
      <c r="N220" s="2" t="str">
        <f t="shared" si="26"/>
        <v>Pagado</v>
      </c>
      <c r="O220" s="310">
        <v>43774</v>
      </c>
      <c r="P220" s="293">
        <v>29600</v>
      </c>
      <c r="Q220" s="2" t="s">
        <v>1484</v>
      </c>
      <c r="R220" s="2"/>
      <c r="S220" s="2"/>
      <c r="T220" s="9" t="s">
        <v>1496</v>
      </c>
      <c r="U220" s="392"/>
      <c r="V220" s="2"/>
      <c r="W220" s="108"/>
      <c r="X220" s="310"/>
      <c r="Y220" s="2"/>
      <c r="Z220" s="131" t="s">
        <v>1467</v>
      </c>
      <c r="AA220" s="108" t="str">
        <f t="shared" si="27"/>
        <v/>
      </c>
      <c r="AB220" s="2"/>
      <c r="AC220" s="131">
        <f t="shared" si="28"/>
        <v>24873.949579831933</v>
      </c>
      <c r="AD220" s="108">
        <f t="shared" si="29"/>
        <v>4726.0504201680669</v>
      </c>
      <c r="AE220" s="2" t="s">
        <v>1501</v>
      </c>
      <c r="AF220" s="23" t="s">
        <v>3489</v>
      </c>
      <c r="AG220" s="2" t="str">
        <f t="shared" si="30"/>
        <v>SI</v>
      </c>
      <c r="AH220" s="14"/>
      <c r="AI220" s="23"/>
      <c r="AJ220" s="2" t="str">
        <f t="shared" si="31"/>
        <v>NV</v>
      </c>
      <c r="AK220" s="294"/>
    </row>
    <row r="221" spans="1:37" ht="15.75" customHeight="1" x14ac:dyDescent="0.25">
      <c r="A221" s="270" t="s">
        <v>1228</v>
      </c>
      <c r="B221" s="3" t="s">
        <v>948</v>
      </c>
      <c r="C221" s="2">
        <v>0</v>
      </c>
      <c r="D221" s="2">
        <v>2655</v>
      </c>
      <c r="E221" s="2"/>
      <c r="F221" s="2"/>
      <c r="G221" s="2">
        <v>6054</v>
      </c>
      <c r="H221" s="293">
        <v>31000</v>
      </c>
      <c r="I221" s="293"/>
      <c r="J221" s="126">
        <f t="shared" si="24"/>
        <v>31000</v>
      </c>
      <c r="K221" s="310">
        <v>43769</v>
      </c>
      <c r="L221" s="2">
        <v>0</v>
      </c>
      <c r="M221" s="9">
        <f t="shared" si="25"/>
        <v>43769</v>
      </c>
      <c r="N221" s="2" t="str">
        <f t="shared" si="26"/>
        <v>Pagado</v>
      </c>
      <c r="O221" s="310">
        <v>43815</v>
      </c>
      <c r="P221" s="293">
        <v>31000</v>
      </c>
      <c r="Q221" s="2" t="s">
        <v>1484</v>
      </c>
      <c r="R221" s="2"/>
      <c r="S221" s="2"/>
      <c r="T221" s="9" t="s">
        <v>1496</v>
      </c>
      <c r="U221" s="392"/>
      <c r="V221" s="2"/>
      <c r="W221" s="108"/>
      <c r="X221" s="310"/>
      <c r="Y221" s="2"/>
      <c r="Z221" s="131" t="s">
        <v>1467</v>
      </c>
      <c r="AA221" s="108" t="str">
        <f t="shared" si="27"/>
        <v/>
      </c>
      <c r="AB221" s="2"/>
      <c r="AC221" s="131">
        <f t="shared" si="28"/>
        <v>26050.420168067227</v>
      </c>
      <c r="AD221" s="108">
        <f t="shared" si="29"/>
        <v>4949.5798319327732</v>
      </c>
      <c r="AE221" s="2" t="s">
        <v>1445</v>
      </c>
      <c r="AF221" s="23" t="s">
        <v>3489</v>
      </c>
      <c r="AG221" s="2" t="str">
        <f t="shared" si="30"/>
        <v>SI</v>
      </c>
      <c r="AH221" s="14"/>
      <c r="AI221" s="23"/>
      <c r="AJ221" s="2" t="str">
        <f t="shared" si="31"/>
        <v>NV</v>
      </c>
      <c r="AK221" s="294"/>
    </row>
    <row r="222" spans="1:37" ht="15.75" customHeight="1" x14ac:dyDescent="0.25">
      <c r="A222" s="270" t="s">
        <v>1181</v>
      </c>
      <c r="B222" s="3" t="s">
        <v>939</v>
      </c>
      <c r="C222" s="2">
        <v>0</v>
      </c>
      <c r="D222" s="2">
        <v>0</v>
      </c>
      <c r="E222" s="2"/>
      <c r="F222" s="2"/>
      <c r="G222" s="2" t="s">
        <v>2528</v>
      </c>
      <c r="H222" s="293">
        <v>33542</v>
      </c>
      <c r="I222" s="293"/>
      <c r="J222" s="126">
        <f t="shared" si="24"/>
        <v>33542</v>
      </c>
      <c r="K222" s="310">
        <v>43769</v>
      </c>
      <c r="L222" s="2">
        <v>0</v>
      </c>
      <c r="M222" s="9">
        <f t="shared" si="25"/>
        <v>43769</v>
      </c>
      <c r="N222" s="2" t="str">
        <f t="shared" ca="1" si="26"/>
        <v>Vencido</v>
      </c>
      <c r="O222" s="310"/>
      <c r="P222" s="293"/>
      <c r="Q222" s="2"/>
      <c r="R222" s="2"/>
      <c r="S222" s="2"/>
      <c r="T222" s="9"/>
      <c r="U222" s="392"/>
      <c r="V222" s="2"/>
      <c r="W222" s="108"/>
      <c r="X222" s="310"/>
      <c r="Y222" s="2"/>
      <c r="Z222" s="131" t="s">
        <v>1467</v>
      </c>
      <c r="AA222" s="108" t="str">
        <f t="shared" si="27"/>
        <v/>
      </c>
      <c r="AB222" s="2"/>
      <c r="AC222" s="131">
        <f t="shared" si="28"/>
        <v>28186.55462184874</v>
      </c>
      <c r="AD222" s="108">
        <f t="shared" si="29"/>
        <v>5355.4453781512602</v>
      </c>
      <c r="AE222" s="2" t="s">
        <v>1445</v>
      </c>
      <c r="AF222" s="23" t="s">
        <v>3490</v>
      </c>
      <c r="AG222" s="2" t="str">
        <f t="shared" ca="1" si="30"/>
        <v>NO</v>
      </c>
      <c r="AH222" s="14"/>
      <c r="AI222" s="23"/>
      <c r="AJ222" s="2" t="str">
        <f t="shared" si="31"/>
        <v>NV</v>
      </c>
      <c r="AK222" s="294"/>
    </row>
    <row r="223" spans="1:37" ht="15.75" customHeight="1" x14ac:dyDescent="0.25">
      <c r="A223" s="270" t="s">
        <v>1264</v>
      </c>
      <c r="B223" s="3" t="s">
        <v>1005</v>
      </c>
      <c r="C223" s="2">
        <v>0</v>
      </c>
      <c r="D223" s="2">
        <v>0</v>
      </c>
      <c r="E223" s="2"/>
      <c r="F223" s="2"/>
      <c r="G223" s="2">
        <v>6058</v>
      </c>
      <c r="H223" s="293">
        <v>30000</v>
      </c>
      <c r="I223" s="293"/>
      <c r="J223" s="126">
        <f t="shared" si="24"/>
        <v>30000</v>
      </c>
      <c r="K223" s="310">
        <v>43769</v>
      </c>
      <c r="L223" s="2">
        <v>0</v>
      </c>
      <c r="M223" s="313">
        <f t="shared" si="25"/>
        <v>43769</v>
      </c>
      <c r="N223" s="2" t="str">
        <f t="shared" ca="1" si="26"/>
        <v>Vencido</v>
      </c>
      <c r="O223" s="310"/>
      <c r="P223" s="293"/>
      <c r="Q223" s="2"/>
      <c r="R223" s="2"/>
      <c r="S223" s="2"/>
      <c r="T223" s="313"/>
      <c r="U223" s="392"/>
      <c r="V223" s="2"/>
      <c r="W223" s="108"/>
      <c r="X223" s="310"/>
      <c r="Y223" s="2"/>
      <c r="Z223" s="131" t="s">
        <v>1467</v>
      </c>
      <c r="AA223" s="108" t="str">
        <f t="shared" si="27"/>
        <v/>
      </c>
      <c r="AB223" s="2"/>
      <c r="AC223" s="131">
        <f t="shared" si="28"/>
        <v>25210.084033613446</v>
      </c>
      <c r="AD223" s="108">
        <f t="shared" si="29"/>
        <v>4789.9159663865539</v>
      </c>
      <c r="AE223" s="2" t="s">
        <v>1501</v>
      </c>
      <c r="AF223" s="23" t="s">
        <v>3489</v>
      </c>
      <c r="AG223" s="2" t="str">
        <f t="shared" ca="1" si="30"/>
        <v>NO</v>
      </c>
      <c r="AH223" s="14"/>
      <c r="AI223" s="23"/>
      <c r="AJ223" s="2" t="str">
        <f t="shared" si="31"/>
        <v>NV</v>
      </c>
      <c r="AK223" s="294"/>
    </row>
    <row r="224" spans="1:37" ht="15.75" customHeight="1" x14ac:dyDescent="0.25">
      <c r="A224" s="270" t="s">
        <v>3491</v>
      </c>
      <c r="B224" s="3" t="s">
        <v>4841</v>
      </c>
      <c r="C224" s="2">
        <v>0</v>
      </c>
      <c r="D224" s="2">
        <v>2659</v>
      </c>
      <c r="E224" s="2"/>
      <c r="F224" s="2"/>
      <c r="G224" s="2">
        <v>6056</v>
      </c>
      <c r="H224" s="293">
        <v>16800</v>
      </c>
      <c r="I224" s="293"/>
      <c r="J224" s="126">
        <f t="shared" si="24"/>
        <v>16800</v>
      </c>
      <c r="K224" s="310">
        <v>43769</v>
      </c>
      <c r="L224" s="2">
        <v>0</v>
      </c>
      <c r="M224" s="313">
        <f t="shared" si="25"/>
        <v>43769</v>
      </c>
      <c r="N224" s="2" t="str">
        <f t="shared" ca="1" si="26"/>
        <v>Vencido</v>
      </c>
      <c r="O224" s="310"/>
      <c r="P224" s="293"/>
      <c r="Q224" s="2"/>
      <c r="R224" s="2"/>
      <c r="S224" s="2"/>
      <c r="T224" s="313"/>
      <c r="U224" s="392"/>
      <c r="V224" s="2"/>
      <c r="W224" s="108"/>
      <c r="X224" s="310"/>
      <c r="Y224" s="2"/>
      <c r="Z224" s="131" t="s">
        <v>1467</v>
      </c>
      <c r="AA224" s="108" t="str">
        <f t="shared" si="27"/>
        <v/>
      </c>
      <c r="AB224" s="2"/>
      <c r="AC224" s="131">
        <f t="shared" si="28"/>
        <v>14117.64705882353</v>
      </c>
      <c r="AD224" s="108">
        <f t="shared" si="29"/>
        <v>2682.3529411764703</v>
      </c>
      <c r="AE224" s="2" t="s">
        <v>1445</v>
      </c>
      <c r="AF224" s="23" t="s">
        <v>3489</v>
      </c>
      <c r="AG224" s="2" t="str">
        <f t="shared" ca="1" si="30"/>
        <v>NO</v>
      </c>
      <c r="AH224" s="14"/>
      <c r="AI224" s="23"/>
      <c r="AJ224" s="2" t="str">
        <f t="shared" si="31"/>
        <v>NV</v>
      </c>
      <c r="AK224" s="294"/>
    </row>
    <row r="225" spans="1:37" x14ac:dyDescent="0.25">
      <c r="A225" s="499" t="s">
        <v>1293</v>
      </c>
      <c r="B225" s="317" t="s">
        <v>1081</v>
      </c>
      <c r="C225" s="95">
        <v>0</v>
      </c>
      <c r="D225" s="95">
        <v>161</v>
      </c>
      <c r="E225" s="95"/>
      <c r="F225" s="95"/>
      <c r="G225" s="95">
        <v>6061</v>
      </c>
      <c r="H225" s="138">
        <v>22800</v>
      </c>
      <c r="I225" s="138"/>
      <c r="J225" s="126">
        <f t="shared" si="24"/>
        <v>22800</v>
      </c>
      <c r="K225" s="318">
        <v>43769</v>
      </c>
      <c r="L225" s="95">
        <v>0</v>
      </c>
      <c r="M225" s="313">
        <f t="shared" si="25"/>
        <v>43769</v>
      </c>
      <c r="N225" s="2" t="str">
        <f t="shared" si="26"/>
        <v>Pagado</v>
      </c>
      <c r="O225" s="318">
        <v>43769</v>
      </c>
      <c r="P225" s="138">
        <v>22800</v>
      </c>
      <c r="Q225" s="2" t="s">
        <v>1070</v>
      </c>
      <c r="R225" s="2" t="s">
        <v>2243</v>
      </c>
      <c r="S225" s="95">
        <v>161</v>
      </c>
      <c r="T225" s="313"/>
      <c r="U225" s="393"/>
      <c r="V225" s="95"/>
      <c r="W225" s="129"/>
      <c r="X225" s="318"/>
      <c r="Y225" s="95"/>
      <c r="Z225" s="131" t="s">
        <v>1467</v>
      </c>
      <c r="AA225" s="108" t="str">
        <f t="shared" si="27"/>
        <v/>
      </c>
      <c r="AB225" s="2"/>
      <c r="AC225" s="131">
        <f t="shared" si="28"/>
        <v>19159.663865546219</v>
      </c>
      <c r="AD225" s="108">
        <f t="shared" si="29"/>
        <v>3640.3361344537807</v>
      </c>
      <c r="AE225" s="95" t="s">
        <v>1501</v>
      </c>
      <c r="AF225" s="498" t="s">
        <v>3487</v>
      </c>
      <c r="AG225" s="2" t="str">
        <f t="shared" si="30"/>
        <v>SI</v>
      </c>
      <c r="AH225" s="284"/>
      <c r="AI225" s="498"/>
      <c r="AJ225" s="2" t="str">
        <f t="shared" si="31"/>
        <v>NV</v>
      </c>
      <c r="AK225" s="303"/>
    </row>
    <row r="226" spans="1:37" x14ac:dyDescent="0.25">
      <c r="A226" s="534" t="s">
        <v>1347</v>
      </c>
      <c r="B226" s="317" t="s">
        <v>1069</v>
      </c>
      <c r="C226" s="95">
        <v>0</v>
      </c>
      <c r="D226" s="95">
        <v>162</v>
      </c>
      <c r="E226" s="95"/>
      <c r="F226" s="95"/>
      <c r="G226" s="95">
        <v>6062</v>
      </c>
      <c r="H226" s="138">
        <v>24100</v>
      </c>
      <c r="I226" s="138"/>
      <c r="J226" s="126">
        <f t="shared" si="24"/>
        <v>24100</v>
      </c>
      <c r="K226" s="318">
        <v>43771</v>
      </c>
      <c r="L226" s="95">
        <v>0</v>
      </c>
      <c r="M226" s="313">
        <f t="shared" si="25"/>
        <v>43771</v>
      </c>
      <c r="N226" s="2" t="str">
        <f t="shared" si="26"/>
        <v>Pagado</v>
      </c>
      <c r="O226" s="318">
        <v>43771</v>
      </c>
      <c r="P226" s="138">
        <v>24100</v>
      </c>
      <c r="Q226" s="2" t="s">
        <v>1070</v>
      </c>
      <c r="R226" s="2" t="s">
        <v>2243</v>
      </c>
      <c r="S226" s="95">
        <v>162</v>
      </c>
      <c r="T226" s="313"/>
      <c r="U226" s="393"/>
      <c r="V226" s="95"/>
      <c r="W226" s="129"/>
      <c r="X226" s="318"/>
      <c r="Y226" s="95"/>
      <c r="Z226" s="131" t="s">
        <v>1467</v>
      </c>
      <c r="AA226" s="108" t="str">
        <f t="shared" si="27"/>
        <v/>
      </c>
      <c r="AB226" s="2"/>
      <c r="AC226" s="131">
        <f t="shared" si="28"/>
        <v>20252.100840336134</v>
      </c>
      <c r="AD226" s="108">
        <f t="shared" si="29"/>
        <v>3847.8991596638662</v>
      </c>
      <c r="AE226" s="95" t="s">
        <v>1501</v>
      </c>
      <c r="AF226" s="533" t="s">
        <v>3487</v>
      </c>
      <c r="AG226" s="2" t="str">
        <f t="shared" si="30"/>
        <v>SI</v>
      </c>
      <c r="AH226" s="284"/>
      <c r="AI226" s="533"/>
      <c r="AJ226" s="2" t="str">
        <f t="shared" si="31"/>
        <v>NV</v>
      </c>
      <c r="AK226" s="303"/>
    </row>
    <row r="227" spans="1:37" x14ac:dyDescent="0.25">
      <c r="A227" s="499" t="s">
        <v>1200</v>
      </c>
      <c r="B227" s="317" t="s">
        <v>2316</v>
      </c>
      <c r="C227" s="95">
        <v>0</v>
      </c>
      <c r="D227" s="95">
        <v>0</v>
      </c>
      <c r="E227" s="95"/>
      <c r="F227" s="95"/>
      <c r="G227" s="95">
        <v>6064</v>
      </c>
      <c r="H227" s="138">
        <v>27400</v>
      </c>
      <c r="I227" s="138"/>
      <c r="J227" s="126">
        <f t="shared" si="24"/>
        <v>27400</v>
      </c>
      <c r="K227" s="318">
        <v>43771</v>
      </c>
      <c r="L227" s="95">
        <v>0</v>
      </c>
      <c r="M227" s="313">
        <f t="shared" si="25"/>
        <v>43771</v>
      </c>
      <c r="N227" s="2" t="str">
        <f t="shared" si="26"/>
        <v>Pagado</v>
      </c>
      <c r="O227" s="318">
        <v>43787</v>
      </c>
      <c r="P227" s="138">
        <v>27400</v>
      </c>
      <c r="Q227" s="2" t="s">
        <v>1484</v>
      </c>
      <c r="R227" s="2"/>
      <c r="S227" s="95"/>
      <c r="T227" s="313" t="s">
        <v>1493</v>
      </c>
      <c r="U227" s="393"/>
      <c r="V227" s="95"/>
      <c r="W227" s="129"/>
      <c r="X227" s="318"/>
      <c r="Y227" s="95"/>
      <c r="Z227" s="131" t="s">
        <v>1467</v>
      </c>
      <c r="AA227" s="108" t="str">
        <f t="shared" si="27"/>
        <v/>
      </c>
      <c r="AB227" s="2"/>
      <c r="AC227" s="131">
        <f t="shared" si="28"/>
        <v>23025.210084033613</v>
      </c>
      <c r="AD227" s="108">
        <f t="shared" si="29"/>
        <v>4374.7899159663866</v>
      </c>
      <c r="AE227" s="95" t="s">
        <v>1445</v>
      </c>
      <c r="AF227" s="498" t="s">
        <v>3489</v>
      </c>
      <c r="AG227" s="2" t="str">
        <f t="shared" si="30"/>
        <v>SI</v>
      </c>
      <c r="AH227" s="284"/>
      <c r="AI227" s="498"/>
      <c r="AJ227" s="2" t="str">
        <f t="shared" si="31"/>
        <v>NV</v>
      </c>
      <c r="AK227" s="303"/>
    </row>
    <row r="228" spans="1:37" x14ac:dyDescent="0.25">
      <c r="A228" s="534" t="s">
        <v>5348</v>
      </c>
      <c r="B228" s="317" t="s">
        <v>5349</v>
      </c>
      <c r="C228" s="95">
        <v>0</v>
      </c>
      <c r="D228" s="95">
        <v>2662</v>
      </c>
      <c r="E228" s="95"/>
      <c r="F228" s="95"/>
      <c r="G228" s="95">
        <v>6065</v>
      </c>
      <c r="H228" s="138">
        <v>14800</v>
      </c>
      <c r="I228" s="138"/>
      <c r="J228" s="126">
        <f t="shared" si="24"/>
        <v>14800</v>
      </c>
      <c r="K228" s="318">
        <v>43771</v>
      </c>
      <c r="L228" s="95">
        <v>0</v>
      </c>
      <c r="M228" s="9">
        <f t="shared" si="25"/>
        <v>43771</v>
      </c>
      <c r="N228" s="2" t="str">
        <f t="shared" si="26"/>
        <v>Pagado</v>
      </c>
      <c r="O228" s="318">
        <v>43771</v>
      </c>
      <c r="P228" s="138">
        <v>14800</v>
      </c>
      <c r="Q228" s="2" t="s">
        <v>1481</v>
      </c>
      <c r="R228" s="2"/>
      <c r="S228" s="95"/>
      <c r="T228" s="313"/>
      <c r="U228" s="393"/>
      <c r="V228" s="95"/>
      <c r="W228" s="129"/>
      <c r="X228" s="318"/>
      <c r="Y228" s="95"/>
      <c r="Z228" s="131" t="s">
        <v>1467</v>
      </c>
      <c r="AA228" s="108" t="str">
        <f t="shared" si="27"/>
        <v/>
      </c>
      <c r="AB228" s="2"/>
      <c r="AC228" s="131">
        <f t="shared" si="28"/>
        <v>12436.974789915967</v>
      </c>
      <c r="AD228" s="108">
        <f t="shared" si="29"/>
        <v>2363.0252100840335</v>
      </c>
      <c r="AE228" s="95" t="s">
        <v>1501</v>
      </c>
      <c r="AF228" s="533" t="s">
        <v>3487</v>
      </c>
      <c r="AG228" s="2" t="str">
        <f t="shared" si="30"/>
        <v>SI</v>
      </c>
      <c r="AH228" s="284"/>
      <c r="AI228" s="533"/>
      <c r="AJ228" s="2" t="str">
        <f t="shared" si="31"/>
        <v>NV</v>
      </c>
      <c r="AK228" s="303"/>
    </row>
    <row r="229" spans="1:37" x14ac:dyDescent="0.25">
      <c r="A229" s="534" t="s">
        <v>3990</v>
      </c>
      <c r="B229" s="317" t="s">
        <v>3993</v>
      </c>
      <c r="C229" s="95">
        <v>0</v>
      </c>
      <c r="D229" s="95">
        <v>2660</v>
      </c>
      <c r="E229" s="95"/>
      <c r="F229" s="95"/>
      <c r="G229" s="95">
        <v>6063</v>
      </c>
      <c r="H229" s="138">
        <v>14800</v>
      </c>
      <c r="I229" s="138"/>
      <c r="J229" s="126">
        <f t="shared" si="24"/>
        <v>14800</v>
      </c>
      <c r="K229" s="318">
        <v>43771</v>
      </c>
      <c r="L229" s="95">
        <v>0</v>
      </c>
      <c r="M229" s="9">
        <f t="shared" si="25"/>
        <v>43771</v>
      </c>
      <c r="N229" s="2" t="str">
        <f t="shared" si="26"/>
        <v>Pagado</v>
      </c>
      <c r="O229" s="318">
        <v>43771</v>
      </c>
      <c r="P229" s="138">
        <v>14800</v>
      </c>
      <c r="Q229" s="2" t="s">
        <v>1481</v>
      </c>
      <c r="R229" s="2"/>
      <c r="S229" s="95"/>
      <c r="T229" s="9"/>
      <c r="U229" s="393"/>
      <c r="V229" s="95"/>
      <c r="W229" s="129"/>
      <c r="X229" s="318"/>
      <c r="Y229" s="95"/>
      <c r="Z229" s="131" t="s">
        <v>1467</v>
      </c>
      <c r="AA229" s="108" t="str">
        <f t="shared" si="27"/>
        <v/>
      </c>
      <c r="AB229" s="2"/>
      <c r="AC229" s="131">
        <f t="shared" si="28"/>
        <v>12436.974789915967</v>
      </c>
      <c r="AD229" s="108">
        <f t="shared" si="29"/>
        <v>2363.0252100840335</v>
      </c>
      <c r="AE229" s="95" t="s">
        <v>2050</v>
      </c>
      <c r="AF229" s="533" t="s">
        <v>3489</v>
      </c>
      <c r="AG229" s="2" t="str">
        <f t="shared" si="30"/>
        <v>SI</v>
      </c>
      <c r="AH229" s="284"/>
      <c r="AI229" s="533"/>
      <c r="AJ229" s="2" t="str">
        <f t="shared" si="31"/>
        <v>NV</v>
      </c>
      <c r="AK229" s="303"/>
    </row>
    <row r="230" spans="1:37" x14ac:dyDescent="0.25">
      <c r="A230" s="499" t="s">
        <v>5154</v>
      </c>
      <c r="B230" s="317" t="s">
        <v>5155</v>
      </c>
      <c r="C230" s="95">
        <v>0</v>
      </c>
      <c r="D230" s="95">
        <v>2661</v>
      </c>
      <c r="E230" s="95"/>
      <c r="F230" s="95"/>
      <c r="G230" s="95">
        <v>6066</v>
      </c>
      <c r="H230" s="138">
        <v>16500</v>
      </c>
      <c r="I230" s="138"/>
      <c r="J230" s="126">
        <f t="shared" si="24"/>
        <v>16500</v>
      </c>
      <c r="K230" s="318">
        <v>43771</v>
      </c>
      <c r="L230" s="95">
        <v>0</v>
      </c>
      <c r="M230" s="313">
        <f t="shared" si="25"/>
        <v>43771</v>
      </c>
      <c r="N230" s="2" t="str">
        <f t="shared" si="26"/>
        <v>Pagado</v>
      </c>
      <c r="O230" s="318">
        <v>43771</v>
      </c>
      <c r="P230" s="138">
        <v>16500</v>
      </c>
      <c r="Q230" s="2" t="s">
        <v>1481</v>
      </c>
      <c r="R230" s="2"/>
      <c r="S230" s="95"/>
      <c r="T230" s="313"/>
      <c r="U230" s="393"/>
      <c r="V230" s="95"/>
      <c r="W230" s="129"/>
      <c r="X230" s="318"/>
      <c r="Y230" s="95"/>
      <c r="Z230" s="131" t="s">
        <v>1467</v>
      </c>
      <c r="AA230" s="108" t="str">
        <f t="shared" si="27"/>
        <v/>
      </c>
      <c r="AB230" s="2"/>
      <c r="AC230" s="131">
        <f t="shared" si="28"/>
        <v>13865.546218487396</v>
      </c>
      <c r="AD230" s="108">
        <f t="shared" si="29"/>
        <v>2634.4537815126041</v>
      </c>
      <c r="AE230" s="95" t="s">
        <v>1501</v>
      </c>
      <c r="AF230" s="498" t="s">
        <v>3487</v>
      </c>
      <c r="AG230" s="2" t="str">
        <f t="shared" si="30"/>
        <v>SI</v>
      </c>
      <c r="AH230" s="284"/>
      <c r="AI230" s="498"/>
      <c r="AJ230" s="2" t="str">
        <f t="shared" si="31"/>
        <v>NV</v>
      </c>
      <c r="AK230" s="303"/>
    </row>
    <row r="231" spans="1:37" x14ac:dyDescent="0.25">
      <c r="A231" s="542" t="s">
        <v>4480</v>
      </c>
      <c r="B231" s="317" t="s">
        <v>4481</v>
      </c>
      <c r="C231" s="95">
        <v>0</v>
      </c>
      <c r="D231" s="95">
        <v>2671</v>
      </c>
      <c r="E231" s="95"/>
      <c r="F231" s="95"/>
      <c r="G231" s="95">
        <v>6087</v>
      </c>
      <c r="H231" s="138">
        <v>22700</v>
      </c>
      <c r="I231" s="138"/>
      <c r="J231" s="126">
        <f t="shared" si="24"/>
        <v>22700</v>
      </c>
      <c r="K231" s="318">
        <v>43773</v>
      </c>
      <c r="L231" s="95">
        <v>0</v>
      </c>
      <c r="M231" s="313">
        <f t="shared" si="25"/>
        <v>43773</v>
      </c>
      <c r="N231" s="2" t="str">
        <f t="shared" si="26"/>
        <v>Pagado</v>
      </c>
      <c r="O231" s="318">
        <v>43775</v>
      </c>
      <c r="P231" s="138">
        <v>22700</v>
      </c>
      <c r="Q231" s="2" t="s">
        <v>1481</v>
      </c>
      <c r="R231" s="2"/>
      <c r="S231" s="95"/>
      <c r="T231" s="313"/>
      <c r="U231" s="393"/>
      <c r="V231" s="95">
        <v>133946</v>
      </c>
      <c r="W231" s="129">
        <v>22700</v>
      </c>
      <c r="X231" s="318">
        <v>43776</v>
      </c>
      <c r="Y231" s="95" t="s">
        <v>1488</v>
      </c>
      <c r="Z231" s="131" t="s">
        <v>1467</v>
      </c>
      <c r="AA231" s="108" t="str">
        <f t="shared" si="27"/>
        <v/>
      </c>
      <c r="AB231" s="2"/>
      <c r="AC231" s="131">
        <f t="shared" si="28"/>
        <v>19075.63025210084</v>
      </c>
      <c r="AD231" s="108">
        <f t="shared" si="29"/>
        <v>3624.3697478991598</v>
      </c>
      <c r="AE231" s="95" t="s">
        <v>1501</v>
      </c>
      <c r="AF231" s="541" t="s">
        <v>3487</v>
      </c>
      <c r="AG231" s="2" t="str">
        <f t="shared" si="30"/>
        <v>SI</v>
      </c>
      <c r="AH231" s="284"/>
      <c r="AI231" s="541"/>
      <c r="AJ231" s="2" t="str">
        <f t="shared" si="31"/>
        <v>NV</v>
      </c>
      <c r="AK231" s="303"/>
    </row>
    <row r="232" spans="1:37" x14ac:dyDescent="0.25">
      <c r="A232" s="546" t="s">
        <v>1192</v>
      </c>
      <c r="B232" s="548" t="s">
        <v>1061</v>
      </c>
      <c r="C232" s="95">
        <v>2971</v>
      </c>
      <c r="D232" s="552">
        <v>0</v>
      </c>
      <c r="E232" s="552"/>
      <c r="F232" s="552"/>
      <c r="G232" s="552" t="s">
        <v>4786</v>
      </c>
      <c r="H232" s="554">
        <v>115592</v>
      </c>
      <c r="I232" s="554"/>
      <c r="J232" s="290">
        <f t="shared" si="24"/>
        <v>115592</v>
      </c>
      <c r="K232" s="556">
        <v>43773</v>
      </c>
      <c r="L232" s="552">
        <v>0</v>
      </c>
      <c r="M232" s="252">
        <f t="shared" si="25"/>
        <v>43773</v>
      </c>
      <c r="N232" s="196" t="str">
        <f t="shared" si="26"/>
        <v>Pagado</v>
      </c>
      <c r="O232" s="556">
        <v>43776</v>
      </c>
      <c r="P232" s="554">
        <v>115592</v>
      </c>
      <c r="Q232" s="196" t="s">
        <v>1484</v>
      </c>
      <c r="R232" s="196"/>
      <c r="S232" s="552"/>
      <c r="T232" s="252" t="s">
        <v>1488</v>
      </c>
      <c r="U232" s="558"/>
      <c r="V232" s="552"/>
      <c r="W232" s="560"/>
      <c r="X232" s="556"/>
      <c r="Y232" s="552"/>
      <c r="Z232" s="311">
        <v>43739</v>
      </c>
      <c r="AA232" s="321" t="str">
        <f t="shared" si="27"/>
        <v/>
      </c>
      <c r="AB232" s="196"/>
      <c r="AC232" s="322">
        <f t="shared" si="28"/>
        <v>97136.134453781517</v>
      </c>
      <c r="AD232" s="321">
        <f t="shared" si="29"/>
        <v>18455.865546218483</v>
      </c>
      <c r="AE232" s="552" t="s">
        <v>1501</v>
      </c>
      <c r="AF232" s="562" t="s">
        <v>3490</v>
      </c>
      <c r="AG232" s="196" t="str">
        <f t="shared" si="30"/>
        <v>SI</v>
      </c>
      <c r="AH232" s="564"/>
      <c r="AI232" s="562"/>
      <c r="AJ232" s="196" t="str">
        <f t="shared" si="31"/>
        <v>Factura</v>
      </c>
      <c r="AK232" s="566"/>
    </row>
    <row r="233" spans="1:37" x14ac:dyDescent="0.25">
      <c r="A233" s="546" t="s">
        <v>1192</v>
      </c>
      <c r="B233" s="548" t="s">
        <v>1061</v>
      </c>
      <c r="C233" s="95">
        <v>2971</v>
      </c>
      <c r="D233" s="552">
        <v>0</v>
      </c>
      <c r="E233" s="552"/>
      <c r="F233" s="552"/>
      <c r="G233" s="552" t="s">
        <v>4844</v>
      </c>
      <c r="H233" s="554">
        <v>117027</v>
      </c>
      <c r="I233" s="554"/>
      <c r="J233" s="290">
        <f t="shared" si="24"/>
        <v>117027</v>
      </c>
      <c r="K233" s="556">
        <v>43773</v>
      </c>
      <c r="L233" s="552">
        <v>0</v>
      </c>
      <c r="M233" s="252">
        <f t="shared" si="25"/>
        <v>43773</v>
      </c>
      <c r="N233" s="196" t="str">
        <f t="shared" si="26"/>
        <v>Pagado</v>
      </c>
      <c r="O233" s="556">
        <v>43776</v>
      </c>
      <c r="P233" s="554">
        <v>117027</v>
      </c>
      <c r="Q233" s="196" t="s">
        <v>1484</v>
      </c>
      <c r="R233" s="196"/>
      <c r="S233" s="552"/>
      <c r="T233" s="252" t="s">
        <v>1488</v>
      </c>
      <c r="U233" s="558"/>
      <c r="V233" s="552"/>
      <c r="W233" s="560"/>
      <c r="X233" s="556"/>
      <c r="Y233" s="552"/>
      <c r="Z233" s="311">
        <v>43745</v>
      </c>
      <c r="AA233" s="321" t="str">
        <f t="shared" si="27"/>
        <v/>
      </c>
      <c r="AB233" s="196"/>
      <c r="AC233" s="322">
        <f t="shared" si="28"/>
        <v>98342.016806722691</v>
      </c>
      <c r="AD233" s="321">
        <f t="shared" si="29"/>
        <v>18684.983193277309</v>
      </c>
      <c r="AE233" s="552" t="s">
        <v>1501</v>
      </c>
      <c r="AF233" s="562" t="s">
        <v>3490</v>
      </c>
      <c r="AG233" s="196" t="str">
        <f t="shared" si="30"/>
        <v>SI</v>
      </c>
      <c r="AH233" s="564"/>
      <c r="AI233" s="562"/>
      <c r="AJ233" s="196" t="str">
        <f t="shared" si="31"/>
        <v>Factura</v>
      </c>
      <c r="AK233" s="566"/>
    </row>
    <row r="234" spans="1:37" x14ac:dyDescent="0.25">
      <c r="A234" s="546" t="s">
        <v>1192</v>
      </c>
      <c r="B234" s="548" t="s">
        <v>1061</v>
      </c>
      <c r="C234" s="95">
        <v>2971</v>
      </c>
      <c r="D234" s="552">
        <v>0</v>
      </c>
      <c r="E234" s="552"/>
      <c r="F234" s="552"/>
      <c r="G234" s="552" t="s">
        <v>4845</v>
      </c>
      <c r="H234" s="554">
        <v>64472</v>
      </c>
      <c r="I234" s="554"/>
      <c r="J234" s="290">
        <f t="shared" si="24"/>
        <v>64472</v>
      </c>
      <c r="K234" s="556">
        <v>43773</v>
      </c>
      <c r="L234" s="552">
        <v>0</v>
      </c>
      <c r="M234" s="252">
        <f t="shared" si="25"/>
        <v>43773</v>
      </c>
      <c r="N234" s="196" t="str">
        <f t="shared" si="26"/>
        <v>Pagado</v>
      </c>
      <c r="O234" s="556">
        <v>43776</v>
      </c>
      <c r="P234" s="554">
        <v>64472</v>
      </c>
      <c r="Q234" s="196" t="s">
        <v>1484</v>
      </c>
      <c r="R234" s="196"/>
      <c r="S234" s="552"/>
      <c r="T234" s="252" t="s">
        <v>1488</v>
      </c>
      <c r="U234" s="558"/>
      <c r="V234" s="552"/>
      <c r="W234" s="560"/>
      <c r="X234" s="556"/>
      <c r="Y234" s="552"/>
      <c r="Z234" s="311">
        <v>43752</v>
      </c>
      <c r="AA234" s="321" t="str">
        <f t="shared" si="27"/>
        <v/>
      </c>
      <c r="AB234" s="196"/>
      <c r="AC234" s="322">
        <f t="shared" si="28"/>
        <v>54178.151260504201</v>
      </c>
      <c r="AD234" s="321">
        <f t="shared" si="29"/>
        <v>10293.848739495799</v>
      </c>
      <c r="AE234" s="552" t="s">
        <v>1501</v>
      </c>
      <c r="AF234" s="562" t="s">
        <v>3490</v>
      </c>
      <c r="AG234" s="196" t="str">
        <f t="shared" si="30"/>
        <v>SI</v>
      </c>
      <c r="AH234" s="564"/>
      <c r="AI234" s="562"/>
      <c r="AJ234" s="196" t="str">
        <f t="shared" si="31"/>
        <v>Factura</v>
      </c>
      <c r="AK234" s="566"/>
    </row>
    <row r="235" spans="1:37" x14ac:dyDescent="0.25">
      <c r="A235" s="546" t="s">
        <v>1192</v>
      </c>
      <c r="B235" s="548" t="s">
        <v>1061</v>
      </c>
      <c r="C235" s="95">
        <v>2971</v>
      </c>
      <c r="D235" s="552">
        <v>0</v>
      </c>
      <c r="E235" s="552"/>
      <c r="F235" s="552"/>
      <c r="G235" s="552" t="s">
        <v>4429</v>
      </c>
      <c r="H235" s="554">
        <v>75099</v>
      </c>
      <c r="I235" s="554"/>
      <c r="J235" s="290">
        <f t="shared" si="24"/>
        <v>75099</v>
      </c>
      <c r="K235" s="556">
        <v>43773</v>
      </c>
      <c r="L235" s="552">
        <v>0</v>
      </c>
      <c r="M235" s="252">
        <f t="shared" si="25"/>
        <v>43773</v>
      </c>
      <c r="N235" s="196" t="str">
        <f t="shared" si="26"/>
        <v>Pagado</v>
      </c>
      <c r="O235" s="556">
        <v>43776</v>
      </c>
      <c r="P235" s="554">
        <v>75099</v>
      </c>
      <c r="Q235" s="196" t="s">
        <v>1484</v>
      </c>
      <c r="R235" s="196"/>
      <c r="S235" s="552"/>
      <c r="T235" s="252" t="s">
        <v>1488</v>
      </c>
      <c r="U235" s="558"/>
      <c r="V235" s="552"/>
      <c r="W235" s="560"/>
      <c r="X235" s="556"/>
      <c r="Y235" s="552"/>
      <c r="Z235" s="311">
        <v>43756</v>
      </c>
      <c r="AA235" s="321" t="str">
        <f t="shared" si="27"/>
        <v/>
      </c>
      <c r="AB235" s="196"/>
      <c r="AC235" s="322">
        <f t="shared" si="28"/>
        <v>63108.403361344543</v>
      </c>
      <c r="AD235" s="321">
        <f t="shared" si="29"/>
        <v>11990.596638655457</v>
      </c>
      <c r="AE235" s="552" t="s">
        <v>1501</v>
      </c>
      <c r="AF235" s="562" t="s">
        <v>3490</v>
      </c>
      <c r="AG235" s="196" t="str">
        <f t="shared" si="30"/>
        <v>SI</v>
      </c>
      <c r="AH235" s="564"/>
      <c r="AI235" s="562"/>
      <c r="AJ235" s="196" t="str">
        <f t="shared" si="31"/>
        <v>Factura</v>
      </c>
      <c r="AK235" s="566"/>
    </row>
    <row r="236" spans="1:37" x14ac:dyDescent="0.25">
      <c r="A236" s="546" t="s">
        <v>1192</v>
      </c>
      <c r="B236" s="548" t="s">
        <v>1061</v>
      </c>
      <c r="C236" s="95">
        <v>2971</v>
      </c>
      <c r="D236" s="552">
        <v>0</v>
      </c>
      <c r="E236" s="552"/>
      <c r="F236" s="552"/>
      <c r="G236" s="552" t="s">
        <v>4759</v>
      </c>
      <c r="H236" s="554">
        <v>27688</v>
      </c>
      <c r="I236" s="554"/>
      <c r="J236" s="290">
        <f t="shared" si="24"/>
        <v>27688</v>
      </c>
      <c r="K236" s="556">
        <v>43773</v>
      </c>
      <c r="L236" s="552">
        <v>0</v>
      </c>
      <c r="M236" s="252">
        <f t="shared" si="25"/>
        <v>43773</v>
      </c>
      <c r="N236" s="196" t="str">
        <f t="shared" si="26"/>
        <v>Pagado</v>
      </c>
      <c r="O236" s="556">
        <v>43776</v>
      </c>
      <c r="P236" s="554">
        <v>27688</v>
      </c>
      <c r="Q236" s="196" t="s">
        <v>1484</v>
      </c>
      <c r="R236" s="196"/>
      <c r="S236" s="552"/>
      <c r="T236" s="252" t="s">
        <v>1488</v>
      </c>
      <c r="U236" s="558"/>
      <c r="V236" s="552"/>
      <c r="W236" s="560"/>
      <c r="X236" s="556"/>
      <c r="Y236" s="552"/>
      <c r="Z236" s="311">
        <v>43763</v>
      </c>
      <c r="AA236" s="321" t="str">
        <f t="shared" si="27"/>
        <v/>
      </c>
      <c r="AB236" s="196"/>
      <c r="AC236" s="322">
        <f t="shared" si="28"/>
        <v>23267.226890756305</v>
      </c>
      <c r="AD236" s="321">
        <f t="shared" si="29"/>
        <v>4420.7731092436952</v>
      </c>
      <c r="AE236" s="552" t="s">
        <v>1501</v>
      </c>
      <c r="AF236" s="562" t="s">
        <v>3490</v>
      </c>
      <c r="AG236" s="196" t="str">
        <f t="shared" si="30"/>
        <v>SI</v>
      </c>
      <c r="AH236" s="564"/>
      <c r="AI236" s="562"/>
      <c r="AJ236" s="196" t="str">
        <f t="shared" si="31"/>
        <v>Factura</v>
      </c>
      <c r="AK236" s="566"/>
    </row>
    <row r="237" spans="1:37" x14ac:dyDescent="0.25">
      <c r="A237" s="542" t="s">
        <v>1236</v>
      </c>
      <c r="B237" s="317" t="s">
        <v>1920</v>
      </c>
      <c r="C237" s="95">
        <v>0</v>
      </c>
      <c r="D237" s="95">
        <v>2666</v>
      </c>
      <c r="E237" s="95"/>
      <c r="F237" s="95"/>
      <c r="G237" s="95">
        <v>6077</v>
      </c>
      <c r="H237" s="138">
        <v>31950</v>
      </c>
      <c r="I237" s="138"/>
      <c r="J237" s="126">
        <f t="shared" si="24"/>
        <v>31950</v>
      </c>
      <c r="K237" s="318">
        <v>43773</v>
      </c>
      <c r="L237" s="95">
        <v>0</v>
      </c>
      <c r="M237" s="313">
        <f t="shared" si="25"/>
        <v>43773</v>
      </c>
      <c r="N237" s="2" t="str">
        <f t="shared" si="26"/>
        <v>Pagado</v>
      </c>
      <c r="O237" s="318">
        <v>43773</v>
      </c>
      <c r="P237" s="138">
        <v>37000</v>
      </c>
      <c r="Q237" s="2" t="s">
        <v>2131</v>
      </c>
      <c r="R237" s="2"/>
      <c r="S237" s="95">
        <v>2827025</v>
      </c>
      <c r="T237" s="9" t="s">
        <v>1491</v>
      </c>
      <c r="U237" s="393">
        <v>43759</v>
      </c>
      <c r="V237" s="95">
        <v>134220</v>
      </c>
      <c r="W237" s="129">
        <v>36450</v>
      </c>
      <c r="X237" s="318">
        <v>43767</v>
      </c>
      <c r="Y237" s="95" t="s">
        <v>1488</v>
      </c>
      <c r="Z237" s="131" t="s">
        <v>1467</v>
      </c>
      <c r="AA237" s="108" t="str">
        <f t="shared" si="27"/>
        <v>Otros</v>
      </c>
      <c r="AB237" s="2"/>
      <c r="AC237" s="131">
        <f t="shared" si="28"/>
        <v>26848.73949579832</v>
      </c>
      <c r="AD237" s="108">
        <f t="shared" si="29"/>
        <v>5101.2605042016803</v>
      </c>
      <c r="AE237" s="95" t="s">
        <v>1501</v>
      </c>
      <c r="AF237" s="541" t="s">
        <v>3489</v>
      </c>
      <c r="AG237" s="2" t="str">
        <f t="shared" si="30"/>
        <v>SI</v>
      </c>
      <c r="AH237" s="284"/>
      <c r="AI237" s="541"/>
      <c r="AJ237" s="2" t="str">
        <f t="shared" si="31"/>
        <v>NV</v>
      </c>
      <c r="AK237" s="303"/>
    </row>
    <row r="238" spans="1:37" ht="14.25" customHeight="1" x14ac:dyDescent="0.25">
      <c r="A238" s="499" t="s">
        <v>4586</v>
      </c>
      <c r="B238" s="317" t="s">
        <v>4587</v>
      </c>
      <c r="C238" s="95">
        <v>0</v>
      </c>
      <c r="D238" s="95">
        <v>164</v>
      </c>
      <c r="E238" s="95"/>
      <c r="F238" s="95"/>
      <c r="G238" s="95">
        <v>6078</v>
      </c>
      <c r="H238" s="138">
        <v>14800</v>
      </c>
      <c r="I238" s="138"/>
      <c r="J238" s="126">
        <f t="shared" si="24"/>
        <v>14800</v>
      </c>
      <c r="K238" s="318">
        <v>43773</v>
      </c>
      <c r="L238" s="95">
        <v>0</v>
      </c>
      <c r="M238" s="313">
        <f t="shared" si="25"/>
        <v>43773</v>
      </c>
      <c r="N238" s="2" t="str">
        <f t="shared" si="26"/>
        <v>Pagado</v>
      </c>
      <c r="O238" s="318">
        <v>43773</v>
      </c>
      <c r="P238" s="138">
        <v>14800</v>
      </c>
      <c r="Q238" s="2" t="s">
        <v>1481</v>
      </c>
      <c r="R238" s="2"/>
      <c r="S238" s="95"/>
      <c r="T238" s="9"/>
      <c r="U238" s="393"/>
      <c r="V238" s="95"/>
      <c r="W238" s="129"/>
      <c r="X238" s="318"/>
      <c r="Y238" s="95"/>
      <c r="Z238" s="131" t="s">
        <v>1467</v>
      </c>
      <c r="AA238" s="108" t="str">
        <f t="shared" si="27"/>
        <v/>
      </c>
      <c r="AB238" s="2"/>
      <c r="AC238" s="131">
        <f t="shared" si="28"/>
        <v>12436.974789915967</v>
      </c>
      <c r="AD238" s="108">
        <f t="shared" si="29"/>
        <v>2363.0252100840335</v>
      </c>
      <c r="AE238" s="95" t="s">
        <v>1501</v>
      </c>
      <c r="AF238" s="498" t="s">
        <v>3487</v>
      </c>
      <c r="AG238" s="2" t="str">
        <f t="shared" si="30"/>
        <v>SI</v>
      </c>
      <c r="AH238" s="284"/>
      <c r="AI238" s="498"/>
      <c r="AJ238" s="2" t="str">
        <f t="shared" si="31"/>
        <v>NV</v>
      </c>
      <c r="AK238" s="303"/>
    </row>
    <row r="239" spans="1:37" x14ac:dyDescent="0.25">
      <c r="A239" s="534" t="s">
        <v>5128</v>
      </c>
      <c r="B239" s="317" t="s">
        <v>5129</v>
      </c>
      <c r="C239" s="95">
        <v>0</v>
      </c>
      <c r="D239" s="95">
        <v>2667</v>
      </c>
      <c r="E239" s="95"/>
      <c r="F239" s="95"/>
      <c r="G239" s="95">
        <v>6076</v>
      </c>
      <c r="H239" s="138">
        <v>14800</v>
      </c>
      <c r="I239" s="138"/>
      <c r="J239" s="126">
        <f t="shared" si="24"/>
        <v>14800</v>
      </c>
      <c r="K239" s="318">
        <v>43773</v>
      </c>
      <c r="L239" s="95">
        <v>0</v>
      </c>
      <c r="M239" s="313">
        <f t="shared" si="25"/>
        <v>43773</v>
      </c>
      <c r="N239" s="2" t="str">
        <f t="shared" si="26"/>
        <v>Pagado</v>
      </c>
      <c r="O239" s="318">
        <v>43773</v>
      </c>
      <c r="P239" s="138">
        <v>14800</v>
      </c>
      <c r="Q239" s="2" t="s">
        <v>1481</v>
      </c>
      <c r="R239" s="2"/>
      <c r="S239" s="95"/>
      <c r="T239" s="9"/>
      <c r="U239" s="393"/>
      <c r="V239" s="95"/>
      <c r="W239" s="129"/>
      <c r="X239" s="318"/>
      <c r="Y239" s="95"/>
      <c r="Z239" s="131" t="s">
        <v>1467</v>
      </c>
      <c r="AA239" s="108" t="str">
        <f t="shared" si="27"/>
        <v/>
      </c>
      <c r="AB239" s="2"/>
      <c r="AC239" s="131">
        <f t="shared" si="28"/>
        <v>12436.974789915967</v>
      </c>
      <c r="AD239" s="108">
        <f t="shared" si="29"/>
        <v>2363.0252100840335</v>
      </c>
      <c r="AE239" s="95" t="s">
        <v>1501</v>
      </c>
      <c r="AF239" s="533" t="s">
        <v>3487</v>
      </c>
      <c r="AG239" s="2" t="str">
        <f t="shared" si="30"/>
        <v>SI</v>
      </c>
      <c r="AH239" s="284"/>
      <c r="AI239" s="533"/>
      <c r="AJ239" s="2" t="str">
        <f t="shared" si="31"/>
        <v>NV</v>
      </c>
      <c r="AK239" s="303"/>
    </row>
    <row r="240" spans="1:37" x14ac:dyDescent="0.25">
      <c r="A240" s="499" t="s">
        <v>5359</v>
      </c>
      <c r="B240" s="317" t="s">
        <v>5360</v>
      </c>
      <c r="C240" s="95">
        <v>0</v>
      </c>
      <c r="D240" s="95">
        <v>163</v>
      </c>
      <c r="E240" s="95"/>
      <c r="F240" s="95"/>
      <c r="G240" s="95">
        <v>6075</v>
      </c>
      <c r="H240" s="138">
        <v>27900</v>
      </c>
      <c r="I240" s="138"/>
      <c r="J240" s="126">
        <f t="shared" si="24"/>
        <v>27900</v>
      </c>
      <c r="K240" s="318">
        <v>43773</v>
      </c>
      <c r="L240" s="95">
        <v>0</v>
      </c>
      <c r="M240" s="313">
        <f t="shared" si="25"/>
        <v>43773</v>
      </c>
      <c r="N240" s="2" t="str">
        <f t="shared" si="26"/>
        <v>Pagado</v>
      </c>
      <c r="O240" s="318">
        <v>43773</v>
      </c>
      <c r="P240" s="138">
        <v>27900</v>
      </c>
      <c r="Q240" s="2" t="s">
        <v>1070</v>
      </c>
      <c r="R240" s="2" t="s">
        <v>1478</v>
      </c>
      <c r="S240" s="95">
        <v>163</v>
      </c>
      <c r="T240" s="313"/>
      <c r="U240" s="393"/>
      <c r="V240" s="95"/>
      <c r="W240" s="129"/>
      <c r="X240" s="318"/>
      <c r="Y240" s="95"/>
      <c r="Z240" s="131" t="s">
        <v>1467</v>
      </c>
      <c r="AA240" s="108" t="str">
        <f t="shared" si="27"/>
        <v/>
      </c>
      <c r="AB240" s="2"/>
      <c r="AC240" s="131">
        <f t="shared" si="28"/>
        <v>23445.378151260506</v>
      </c>
      <c r="AD240" s="108">
        <f t="shared" si="29"/>
        <v>4454.6218487394945</v>
      </c>
      <c r="AE240" s="95" t="s">
        <v>1501</v>
      </c>
      <c r="AF240" s="498" t="s">
        <v>3487</v>
      </c>
      <c r="AG240" s="2" t="str">
        <f t="shared" si="30"/>
        <v>SI</v>
      </c>
      <c r="AH240" s="284"/>
      <c r="AI240" s="498"/>
      <c r="AJ240" s="2" t="str">
        <f t="shared" si="31"/>
        <v>NV</v>
      </c>
      <c r="AK240" s="303"/>
    </row>
    <row r="241" spans="1:37" x14ac:dyDescent="0.25">
      <c r="A241" s="534" t="s">
        <v>1198</v>
      </c>
      <c r="B241" s="317" t="s">
        <v>2158</v>
      </c>
      <c r="C241" s="95">
        <v>0</v>
      </c>
      <c r="D241" s="95">
        <v>2663</v>
      </c>
      <c r="E241" s="95"/>
      <c r="F241" s="95"/>
      <c r="G241" s="95">
        <v>6071</v>
      </c>
      <c r="H241" s="138">
        <v>79500</v>
      </c>
      <c r="I241" s="138"/>
      <c r="J241" s="126">
        <f t="shared" si="24"/>
        <v>79500</v>
      </c>
      <c r="K241" s="318">
        <v>43773</v>
      </c>
      <c r="L241" s="95">
        <v>0</v>
      </c>
      <c r="M241" s="313">
        <f t="shared" si="25"/>
        <v>43773</v>
      </c>
      <c r="N241" s="2" t="str">
        <f t="shared" si="26"/>
        <v>Pagado</v>
      </c>
      <c r="O241" s="318">
        <v>43773</v>
      </c>
      <c r="P241" s="138">
        <v>79500</v>
      </c>
      <c r="Q241" s="2" t="s">
        <v>1484</v>
      </c>
      <c r="R241" s="2"/>
      <c r="S241" s="95"/>
      <c r="T241" s="313" t="s">
        <v>1493</v>
      </c>
      <c r="U241" s="393"/>
      <c r="V241" s="95"/>
      <c r="W241" s="129"/>
      <c r="X241" s="318"/>
      <c r="Y241" s="95"/>
      <c r="Z241" s="131" t="s">
        <v>1467</v>
      </c>
      <c r="AA241" s="108" t="str">
        <f t="shared" si="27"/>
        <v/>
      </c>
      <c r="AB241" s="2"/>
      <c r="AC241" s="131">
        <f t="shared" si="28"/>
        <v>66806.722689075628</v>
      </c>
      <c r="AD241" s="108">
        <f t="shared" si="29"/>
        <v>12693.277310924372</v>
      </c>
      <c r="AE241" s="95" t="s">
        <v>1501</v>
      </c>
      <c r="AF241" s="533" t="s">
        <v>3489</v>
      </c>
      <c r="AG241" s="2" t="str">
        <f t="shared" si="30"/>
        <v>SI</v>
      </c>
      <c r="AH241" s="284"/>
      <c r="AI241" s="533"/>
      <c r="AJ241" s="2" t="str">
        <f t="shared" si="31"/>
        <v>NV</v>
      </c>
      <c r="AK241" s="303"/>
    </row>
    <row r="242" spans="1:37" x14ac:dyDescent="0.25">
      <c r="A242" s="534" t="s">
        <v>2656</v>
      </c>
      <c r="B242" s="317" t="s">
        <v>3362</v>
      </c>
      <c r="C242" s="95">
        <v>0</v>
      </c>
      <c r="D242" s="95" t="s">
        <v>2528</v>
      </c>
      <c r="E242" s="95"/>
      <c r="F242" s="95"/>
      <c r="G242" s="95">
        <v>6068</v>
      </c>
      <c r="H242" s="138">
        <v>14800</v>
      </c>
      <c r="I242" s="138"/>
      <c r="J242" s="126">
        <f t="shared" si="24"/>
        <v>14800</v>
      </c>
      <c r="K242" s="318">
        <v>43773</v>
      </c>
      <c r="L242" s="95">
        <v>0</v>
      </c>
      <c r="M242" s="313">
        <f t="shared" si="25"/>
        <v>43773</v>
      </c>
      <c r="N242" s="2" t="str">
        <f t="shared" si="26"/>
        <v>Pagado</v>
      </c>
      <c r="O242" s="318">
        <v>43773</v>
      </c>
      <c r="P242" s="138">
        <v>14800</v>
      </c>
      <c r="Q242" s="2" t="s">
        <v>1484</v>
      </c>
      <c r="R242" s="2"/>
      <c r="S242" s="95"/>
      <c r="T242" s="313" t="s">
        <v>1462</v>
      </c>
      <c r="U242" s="393"/>
      <c r="V242" s="95"/>
      <c r="W242" s="129"/>
      <c r="X242" s="318"/>
      <c r="Y242" s="95"/>
      <c r="Z242" s="131" t="s">
        <v>1467</v>
      </c>
      <c r="AA242" s="108" t="str">
        <f t="shared" si="27"/>
        <v/>
      </c>
      <c r="AB242" s="2"/>
      <c r="AC242" s="131">
        <f t="shared" si="28"/>
        <v>12436.974789915967</v>
      </c>
      <c r="AD242" s="108">
        <f t="shared" si="29"/>
        <v>2363.0252100840335</v>
      </c>
      <c r="AE242" s="95" t="s">
        <v>1501</v>
      </c>
      <c r="AF242" s="533" t="s">
        <v>3489</v>
      </c>
      <c r="AG242" s="2" t="str">
        <f t="shared" si="30"/>
        <v>SI</v>
      </c>
      <c r="AH242" s="284"/>
      <c r="AI242" s="533"/>
      <c r="AJ242" s="2" t="str">
        <f t="shared" si="31"/>
        <v>NV</v>
      </c>
      <c r="AK242" s="303"/>
    </row>
    <row r="243" spans="1:37" x14ac:dyDescent="0.25">
      <c r="A243" s="534" t="s">
        <v>4462</v>
      </c>
      <c r="B243" s="317" t="s">
        <v>4463</v>
      </c>
      <c r="C243" s="95">
        <v>0</v>
      </c>
      <c r="D243" s="95">
        <v>2664</v>
      </c>
      <c r="E243" s="95"/>
      <c r="F243" s="95"/>
      <c r="G243" s="95">
        <v>6073</v>
      </c>
      <c r="H243" s="138">
        <v>16500</v>
      </c>
      <c r="I243" s="138"/>
      <c r="J243" s="126">
        <f t="shared" si="24"/>
        <v>16500</v>
      </c>
      <c r="K243" s="318">
        <v>43773</v>
      </c>
      <c r="L243" s="95">
        <v>0</v>
      </c>
      <c r="M243" s="313">
        <f t="shared" si="25"/>
        <v>43773</v>
      </c>
      <c r="N243" s="2" t="str">
        <f t="shared" si="26"/>
        <v>Pagado</v>
      </c>
      <c r="O243" s="318">
        <v>43775</v>
      </c>
      <c r="P243" s="138">
        <v>16500</v>
      </c>
      <c r="Q243" s="2" t="s">
        <v>1484</v>
      </c>
      <c r="R243" s="2"/>
      <c r="S243" s="95"/>
      <c r="T243" s="313" t="s">
        <v>1462</v>
      </c>
      <c r="U243" s="393"/>
      <c r="V243" s="95"/>
      <c r="W243" s="129"/>
      <c r="X243" s="318"/>
      <c r="Y243" s="95"/>
      <c r="Z243" s="131" t="s">
        <v>1467</v>
      </c>
      <c r="AA243" s="108" t="str">
        <f t="shared" si="27"/>
        <v/>
      </c>
      <c r="AB243" s="2"/>
      <c r="AC243" s="131">
        <f t="shared" si="28"/>
        <v>13865.546218487396</v>
      </c>
      <c r="AD243" s="108">
        <f t="shared" si="29"/>
        <v>2634.4537815126041</v>
      </c>
      <c r="AE243" s="95" t="s">
        <v>1501</v>
      </c>
      <c r="AF243" s="533" t="s">
        <v>3487</v>
      </c>
      <c r="AG243" s="2" t="str">
        <f t="shared" si="30"/>
        <v>SI</v>
      </c>
      <c r="AH243" s="284"/>
      <c r="AI243" s="533"/>
      <c r="AJ243" s="2" t="str">
        <f t="shared" si="31"/>
        <v>NV</v>
      </c>
      <c r="AK243" s="303"/>
    </row>
    <row r="244" spans="1:37" x14ac:dyDescent="0.25">
      <c r="A244" s="534" t="s">
        <v>4028</v>
      </c>
      <c r="B244" s="317" t="s">
        <v>4029</v>
      </c>
      <c r="C244" s="95">
        <v>0</v>
      </c>
      <c r="D244" s="95">
        <v>2665</v>
      </c>
      <c r="E244" s="95"/>
      <c r="F244" s="95"/>
      <c r="G244" s="95">
        <v>6072</v>
      </c>
      <c r="H244" s="138">
        <v>17600</v>
      </c>
      <c r="I244" s="138"/>
      <c r="J244" s="126">
        <f t="shared" si="24"/>
        <v>17600</v>
      </c>
      <c r="K244" s="318">
        <v>43773</v>
      </c>
      <c r="L244" s="95">
        <v>0</v>
      </c>
      <c r="M244" s="313">
        <f t="shared" si="25"/>
        <v>43773</v>
      </c>
      <c r="N244" s="2" t="str">
        <f t="shared" si="26"/>
        <v>Pagado</v>
      </c>
      <c r="O244" s="318">
        <v>43773</v>
      </c>
      <c r="P244" s="138">
        <v>17600</v>
      </c>
      <c r="Q244" s="2" t="s">
        <v>1484</v>
      </c>
      <c r="R244" s="2"/>
      <c r="S244" s="95"/>
      <c r="T244" s="313" t="s">
        <v>1492</v>
      </c>
      <c r="U244" s="393"/>
      <c r="V244" s="95"/>
      <c r="W244" s="129"/>
      <c r="X244" s="318"/>
      <c r="Y244" s="95"/>
      <c r="Z244" s="131" t="s">
        <v>1467</v>
      </c>
      <c r="AA244" s="108" t="str">
        <f t="shared" si="27"/>
        <v/>
      </c>
      <c r="AB244" s="2"/>
      <c r="AC244" s="131">
        <f t="shared" si="28"/>
        <v>14789.915966386556</v>
      </c>
      <c r="AD244" s="108">
        <f t="shared" si="29"/>
        <v>2810.0840336134443</v>
      </c>
      <c r="AE244" s="95" t="s">
        <v>1501</v>
      </c>
      <c r="AF244" s="533" t="s">
        <v>3489</v>
      </c>
      <c r="AG244" s="2" t="str">
        <f t="shared" si="30"/>
        <v>SI</v>
      </c>
      <c r="AH244" s="284"/>
      <c r="AI244" s="533"/>
      <c r="AJ244" s="2" t="str">
        <f t="shared" si="31"/>
        <v>NV</v>
      </c>
      <c r="AK244" s="303"/>
    </row>
    <row r="245" spans="1:37" x14ac:dyDescent="0.25">
      <c r="A245" s="499" t="s">
        <v>4031</v>
      </c>
      <c r="B245" s="317" t="s">
        <v>4032</v>
      </c>
      <c r="C245" s="95">
        <v>0</v>
      </c>
      <c r="D245" s="95" t="s">
        <v>2528</v>
      </c>
      <c r="E245" s="95"/>
      <c r="F245" s="95"/>
      <c r="G245" s="95">
        <v>6067</v>
      </c>
      <c r="H245" s="138">
        <v>14800</v>
      </c>
      <c r="I245" s="138"/>
      <c r="J245" s="126">
        <f t="shared" si="24"/>
        <v>14800</v>
      </c>
      <c r="K245" s="318">
        <v>43773</v>
      </c>
      <c r="L245" s="95">
        <v>0</v>
      </c>
      <c r="M245" s="313">
        <f t="shared" si="25"/>
        <v>43773</v>
      </c>
      <c r="N245" s="2" t="str">
        <f t="shared" si="26"/>
        <v>Pagado</v>
      </c>
      <c r="O245" s="318">
        <v>43773</v>
      </c>
      <c r="P245" s="138">
        <v>14800</v>
      </c>
      <c r="Q245" s="2" t="s">
        <v>1484</v>
      </c>
      <c r="R245" s="2"/>
      <c r="S245" s="95"/>
      <c r="T245" s="313" t="s">
        <v>1462</v>
      </c>
      <c r="U245" s="393"/>
      <c r="V245" s="95"/>
      <c r="W245" s="129"/>
      <c r="X245" s="318"/>
      <c r="Y245" s="95"/>
      <c r="Z245" s="131" t="s">
        <v>1467</v>
      </c>
      <c r="AA245" s="108" t="str">
        <f t="shared" si="27"/>
        <v/>
      </c>
      <c r="AB245" s="2"/>
      <c r="AC245" s="131">
        <f t="shared" si="28"/>
        <v>12436.974789915967</v>
      </c>
      <c r="AD245" s="108">
        <f t="shared" si="29"/>
        <v>2363.0252100840335</v>
      </c>
      <c r="AE245" s="95" t="s">
        <v>1501</v>
      </c>
      <c r="AF245" s="498" t="s">
        <v>3487</v>
      </c>
      <c r="AG245" s="2" t="str">
        <f t="shared" si="30"/>
        <v>SI</v>
      </c>
      <c r="AH245" s="284"/>
      <c r="AI245" s="498"/>
      <c r="AJ245" s="2" t="str">
        <f t="shared" si="31"/>
        <v>NV</v>
      </c>
      <c r="AK245" s="303"/>
    </row>
    <row r="246" spans="1:37" ht="14.25" customHeight="1" x14ac:dyDescent="0.25">
      <c r="A246" s="534" t="s">
        <v>4541</v>
      </c>
      <c r="B246" s="317" t="s">
        <v>3397</v>
      </c>
      <c r="C246" s="95">
        <v>0</v>
      </c>
      <c r="D246" s="95">
        <v>2669</v>
      </c>
      <c r="E246" s="95"/>
      <c r="F246" s="95"/>
      <c r="G246" s="95">
        <v>6080</v>
      </c>
      <c r="H246" s="138">
        <v>14800</v>
      </c>
      <c r="I246" s="138"/>
      <c r="J246" s="126">
        <f t="shared" si="24"/>
        <v>14800</v>
      </c>
      <c r="K246" s="318">
        <v>43774</v>
      </c>
      <c r="L246" s="95">
        <v>0</v>
      </c>
      <c r="M246" s="313">
        <f t="shared" si="25"/>
        <v>43774</v>
      </c>
      <c r="N246" s="2" t="str">
        <f t="shared" si="26"/>
        <v>Pagado</v>
      </c>
      <c r="O246" s="318">
        <v>43774</v>
      </c>
      <c r="P246" s="138">
        <v>14800</v>
      </c>
      <c r="Q246" s="2" t="s">
        <v>1481</v>
      </c>
      <c r="R246" s="2"/>
      <c r="S246" s="95"/>
      <c r="T246" s="313"/>
      <c r="U246" s="393"/>
      <c r="V246" s="95"/>
      <c r="W246" s="129"/>
      <c r="X246" s="318"/>
      <c r="Y246" s="95"/>
      <c r="Z246" s="131" t="s">
        <v>1467</v>
      </c>
      <c r="AA246" s="108" t="str">
        <f t="shared" si="27"/>
        <v/>
      </c>
      <c r="AB246" s="2"/>
      <c r="AC246" s="131">
        <f t="shared" si="28"/>
        <v>12436.974789915967</v>
      </c>
      <c r="AD246" s="108">
        <f t="shared" si="29"/>
        <v>2363.0252100840335</v>
      </c>
      <c r="AE246" s="95" t="s">
        <v>1501</v>
      </c>
      <c r="AF246" s="533" t="s">
        <v>3489</v>
      </c>
      <c r="AG246" s="2" t="str">
        <f t="shared" si="30"/>
        <v>SI</v>
      </c>
      <c r="AH246" s="284"/>
      <c r="AI246" s="533"/>
      <c r="AJ246" s="2" t="str">
        <f t="shared" si="31"/>
        <v>NV</v>
      </c>
      <c r="AK246" s="303"/>
    </row>
    <row r="247" spans="1:37" x14ac:dyDescent="0.25">
      <c r="A247" s="534" t="s">
        <v>4706</v>
      </c>
      <c r="B247" s="317" t="s">
        <v>4707</v>
      </c>
      <c r="C247" s="95">
        <v>0</v>
      </c>
      <c r="D247" s="95">
        <v>2675</v>
      </c>
      <c r="E247" s="95"/>
      <c r="F247" s="95"/>
      <c r="G247" s="95">
        <v>6082</v>
      </c>
      <c r="H247" s="138">
        <v>19700</v>
      </c>
      <c r="I247" s="138"/>
      <c r="J247" s="126">
        <f t="shared" si="24"/>
        <v>19700</v>
      </c>
      <c r="K247" s="318">
        <v>43774</v>
      </c>
      <c r="L247" s="95">
        <v>0</v>
      </c>
      <c r="M247" s="313">
        <f t="shared" si="25"/>
        <v>43774</v>
      </c>
      <c r="N247" s="2" t="str">
        <f t="shared" ca="1" si="26"/>
        <v>Vencido</v>
      </c>
      <c r="O247" s="318"/>
      <c r="P247" s="138"/>
      <c r="Q247" s="2"/>
      <c r="R247" s="2"/>
      <c r="S247" s="95"/>
      <c r="T247" s="313"/>
      <c r="U247" s="393"/>
      <c r="V247" s="95"/>
      <c r="W247" s="129"/>
      <c r="X247" s="318"/>
      <c r="Y247" s="95"/>
      <c r="Z247" s="131" t="s">
        <v>1467</v>
      </c>
      <c r="AA247" s="108" t="str">
        <f t="shared" si="27"/>
        <v/>
      </c>
      <c r="AB247" s="2"/>
      <c r="AC247" s="131">
        <f t="shared" si="28"/>
        <v>16554.621848739498</v>
      </c>
      <c r="AD247" s="108">
        <f t="shared" si="29"/>
        <v>3145.3781512605019</v>
      </c>
      <c r="AE247" s="95" t="s">
        <v>1501</v>
      </c>
      <c r="AF247" s="533" t="s">
        <v>3487</v>
      </c>
      <c r="AG247" s="2" t="str">
        <f t="shared" ca="1" si="30"/>
        <v>NO</v>
      </c>
      <c r="AH247" s="284"/>
      <c r="AI247" s="533"/>
      <c r="AJ247" s="2" t="str">
        <f t="shared" si="31"/>
        <v>NV</v>
      </c>
      <c r="AK247" s="303"/>
    </row>
    <row r="248" spans="1:37" x14ac:dyDescent="0.25">
      <c r="A248" s="534" t="s">
        <v>1216</v>
      </c>
      <c r="B248" s="317" t="s">
        <v>2209</v>
      </c>
      <c r="C248" s="95">
        <v>0</v>
      </c>
      <c r="D248" s="95">
        <v>2670</v>
      </c>
      <c r="E248" s="95"/>
      <c r="F248" s="95"/>
      <c r="G248" s="95">
        <v>6081</v>
      </c>
      <c r="H248" s="138">
        <v>47800</v>
      </c>
      <c r="I248" s="138"/>
      <c r="J248" s="126">
        <f t="shared" si="24"/>
        <v>47800</v>
      </c>
      <c r="K248" s="318">
        <v>43774</v>
      </c>
      <c r="L248" s="95">
        <v>0</v>
      </c>
      <c r="M248" s="9">
        <f t="shared" si="25"/>
        <v>43774</v>
      </c>
      <c r="N248" s="2" t="str">
        <f t="shared" si="26"/>
        <v>Pagado</v>
      </c>
      <c r="O248" s="318">
        <v>43767</v>
      </c>
      <c r="P248" s="138">
        <v>47800</v>
      </c>
      <c r="Q248" s="2" t="s">
        <v>1484</v>
      </c>
      <c r="R248" s="2"/>
      <c r="S248" s="95"/>
      <c r="T248" s="9" t="s">
        <v>1488</v>
      </c>
      <c r="U248" s="393"/>
      <c r="V248" s="95"/>
      <c r="W248" s="129"/>
      <c r="X248" s="318"/>
      <c r="Y248" s="95"/>
      <c r="Z248" s="131" t="s">
        <v>1467</v>
      </c>
      <c r="AA248" s="108" t="str">
        <f t="shared" si="27"/>
        <v/>
      </c>
      <c r="AB248" s="2"/>
      <c r="AC248" s="131">
        <f t="shared" si="28"/>
        <v>40168.067226890758</v>
      </c>
      <c r="AD248" s="108">
        <f t="shared" si="29"/>
        <v>7631.9327731092417</v>
      </c>
      <c r="AE248" s="95" t="s">
        <v>1501</v>
      </c>
      <c r="AF248" s="533" t="s">
        <v>3489</v>
      </c>
      <c r="AG248" s="2" t="str">
        <f t="shared" si="30"/>
        <v>SI</v>
      </c>
      <c r="AH248" s="284"/>
      <c r="AI248" s="533"/>
      <c r="AJ248" s="2" t="str">
        <f t="shared" si="31"/>
        <v>NV</v>
      </c>
      <c r="AK248" s="303"/>
    </row>
    <row r="249" spans="1:37" x14ac:dyDescent="0.25">
      <c r="A249" s="534" t="s">
        <v>1322</v>
      </c>
      <c r="B249" s="317" t="s">
        <v>2317</v>
      </c>
      <c r="C249" s="95">
        <v>0</v>
      </c>
      <c r="D249" s="95">
        <v>2676</v>
      </c>
      <c r="E249" s="95"/>
      <c r="F249" s="95"/>
      <c r="G249" s="95">
        <v>6079</v>
      </c>
      <c r="H249" s="138">
        <v>31400</v>
      </c>
      <c r="I249" s="138"/>
      <c r="J249" s="126">
        <f t="shared" si="24"/>
        <v>31400</v>
      </c>
      <c r="K249" s="318">
        <v>43774</v>
      </c>
      <c r="L249" s="95">
        <v>0</v>
      </c>
      <c r="M249" s="9">
        <f t="shared" si="25"/>
        <v>43774</v>
      </c>
      <c r="N249" s="2" t="str">
        <f t="shared" si="26"/>
        <v>Pagado</v>
      </c>
      <c r="O249" s="318">
        <v>43846</v>
      </c>
      <c r="P249" s="138">
        <v>31400</v>
      </c>
      <c r="Q249" s="2" t="s">
        <v>1484</v>
      </c>
      <c r="R249" s="2"/>
      <c r="S249" s="95"/>
      <c r="T249" s="9" t="s">
        <v>1493</v>
      </c>
      <c r="U249" s="393"/>
      <c r="V249" s="95"/>
      <c r="W249" s="129"/>
      <c r="X249" s="318"/>
      <c r="Y249" s="95"/>
      <c r="Z249" s="131" t="s">
        <v>1467</v>
      </c>
      <c r="AA249" s="108" t="str">
        <f t="shared" si="27"/>
        <v/>
      </c>
      <c r="AB249" s="2"/>
      <c r="AC249" s="131">
        <f t="shared" si="28"/>
        <v>26386.55462184874</v>
      </c>
      <c r="AD249" s="108">
        <f t="shared" si="29"/>
        <v>5013.4453781512602</v>
      </c>
      <c r="AE249" s="95" t="s">
        <v>1501</v>
      </c>
      <c r="AF249" s="533" t="s">
        <v>3489</v>
      </c>
      <c r="AG249" s="2" t="str">
        <f t="shared" si="30"/>
        <v>SI</v>
      </c>
      <c r="AH249" s="284"/>
      <c r="AI249" s="533"/>
      <c r="AJ249" s="2" t="str">
        <f t="shared" si="31"/>
        <v>NV</v>
      </c>
      <c r="AK249" s="303"/>
    </row>
    <row r="250" spans="1:37" x14ac:dyDescent="0.25">
      <c r="A250" s="542" t="s">
        <v>1178</v>
      </c>
      <c r="B250" s="317" t="s">
        <v>950</v>
      </c>
      <c r="C250" s="95">
        <v>2974</v>
      </c>
      <c r="D250" s="95">
        <v>0</v>
      </c>
      <c r="E250" s="95">
        <v>265</v>
      </c>
      <c r="F250" s="95"/>
      <c r="G250" s="95" t="s">
        <v>2528</v>
      </c>
      <c r="H250" s="138">
        <v>116339</v>
      </c>
      <c r="I250" s="138">
        <v>-3215</v>
      </c>
      <c r="J250" s="126">
        <f t="shared" si="24"/>
        <v>113124</v>
      </c>
      <c r="K250" s="318">
        <v>43775</v>
      </c>
      <c r="L250" s="95">
        <v>7</v>
      </c>
      <c r="M250" s="9">
        <f t="shared" si="25"/>
        <v>43782</v>
      </c>
      <c r="N250" s="2" t="str">
        <f t="shared" si="26"/>
        <v>Pagado</v>
      </c>
      <c r="O250" s="318">
        <v>43768</v>
      </c>
      <c r="P250" s="138">
        <v>113124</v>
      </c>
      <c r="Q250" s="2" t="s">
        <v>2132</v>
      </c>
      <c r="R250" s="2"/>
      <c r="S250" s="95">
        <v>1115927</v>
      </c>
      <c r="T250" s="9" t="s">
        <v>1496</v>
      </c>
      <c r="U250" s="393">
        <v>43483</v>
      </c>
      <c r="V250" s="95">
        <v>133950</v>
      </c>
      <c r="W250" s="129">
        <v>113124</v>
      </c>
      <c r="X250" s="318">
        <v>43787</v>
      </c>
      <c r="Y250" s="95" t="s">
        <v>1488</v>
      </c>
      <c r="Z250" s="131" t="s">
        <v>1467</v>
      </c>
      <c r="AA250" s="108" t="str">
        <f t="shared" si="27"/>
        <v>Otros</v>
      </c>
      <c r="AB250" s="2"/>
      <c r="AC250" s="131">
        <f t="shared" si="28"/>
        <v>97763.865546218498</v>
      </c>
      <c r="AD250" s="108">
        <f t="shared" si="29"/>
        <v>18575.134453781502</v>
      </c>
      <c r="AE250" s="95" t="s">
        <v>2050</v>
      </c>
      <c r="AF250" s="541" t="s">
        <v>3490</v>
      </c>
      <c r="AG250" s="2" t="str">
        <f t="shared" si="30"/>
        <v>SI</v>
      </c>
      <c r="AH250" s="284"/>
      <c r="AI250" s="541"/>
      <c r="AJ250" s="2" t="str">
        <f t="shared" si="31"/>
        <v>Factura</v>
      </c>
      <c r="AK250" s="303"/>
    </row>
    <row r="251" spans="1:37" x14ac:dyDescent="0.25">
      <c r="A251" s="501" t="s">
        <v>1347</v>
      </c>
      <c r="B251" s="317" t="s">
        <v>1069</v>
      </c>
      <c r="C251" s="95">
        <v>0</v>
      </c>
      <c r="D251" s="95" t="s">
        <v>2528</v>
      </c>
      <c r="E251" s="95"/>
      <c r="F251" s="95"/>
      <c r="G251" s="95">
        <v>6085</v>
      </c>
      <c r="H251" s="138">
        <v>24000</v>
      </c>
      <c r="I251" s="138"/>
      <c r="J251" s="126">
        <f t="shared" si="24"/>
        <v>24000</v>
      </c>
      <c r="K251" s="318">
        <v>43775</v>
      </c>
      <c r="L251" s="95">
        <v>0</v>
      </c>
      <c r="M251" s="9">
        <f t="shared" si="25"/>
        <v>43775</v>
      </c>
      <c r="N251" s="2" t="str">
        <f t="shared" si="26"/>
        <v>Pagado</v>
      </c>
      <c r="O251" s="318">
        <v>43775</v>
      </c>
      <c r="P251" s="138">
        <v>24000</v>
      </c>
      <c r="Q251" s="2" t="s">
        <v>1481</v>
      </c>
      <c r="R251" s="2"/>
      <c r="S251" s="95"/>
      <c r="T251" s="9"/>
      <c r="U251" s="393"/>
      <c r="V251" s="95">
        <v>133946</v>
      </c>
      <c r="W251" s="129">
        <v>12000</v>
      </c>
      <c r="X251" s="318">
        <v>43776</v>
      </c>
      <c r="Y251" s="95" t="s">
        <v>1488</v>
      </c>
      <c r="Z251" s="131" t="s">
        <v>1467</v>
      </c>
      <c r="AA251" s="108" t="str">
        <f t="shared" si="27"/>
        <v/>
      </c>
      <c r="AB251" s="2"/>
      <c r="AC251" s="131">
        <f t="shared" si="28"/>
        <v>20168.067226890758</v>
      </c>
      <c r="AD251" s="108">
        <f t="shared" si="29"/>
        <v>3831.9327731092417</v>
      </c>
      <c r="AE251" s="95" t="s">
        <v>1501</v>
      </c>
      <c r="AF251" s="500" t="s">
        <v>3487</v>
      </c>
      <c r="AG251" s="2" t="str">
        <f t="shared" si="30"/>
        <v>SI</v>
      </c>
      <c r="AH251" s="284"/>
      <c r="AI251" s="500"/>
      <c r="AJ251" s="2" t="str">
        <f t="shared" si="31"/>
        <v>NV</v>
      </c>
      <c r="AK251" s="303"/>
    </row>
    <row r="252" spans="1:37" x14ac:dyDescent="0.25">
      <c r="A252" s="501" t="s">
        <v>5128</v>
      </c>
      <c r="B252" s="317" t="s">
        <v>5129</v>
      </c>
      <c r="C252" s="95">
        <v>0</v>
      </c>
      <c r="D252" s="95">
        <v>2673</v>
      </c>
      <c r="E252" s="95"/>
      <c r="F252" s="95"/>
      <c r="G252" s="95">
        <v>6086</v>
      </c>
      <c r="H252" s="138">
        <v>23000</v>
      </c>
      <c r="I252" s="138"/>
      <c r="J252" s="126">
        <f t="shared" si="24"/>
        <v>23000</v>
      </c>
      <c r="K252" s="318">
        <v>43775</v>
      </c>
      <c r="L252" s="95">
        <v>0</v>
      </c>
      <c r="M252" s="9">
        <f t="shared" si="25"/>
        <v>43775</v>
      </c>
      <c r="N252" s="2" t="str">
        <f t="shared" si="26"/>
        <v>Pagado</v>
      </c>
      <c r="O252" s="318">
        <v>43775</v>
      </c>
      <c r="P252" s="138">
        <v>23000</v>
      </c>
      <c r="Q252" s="2" t="s">
        <v>1481</v>
      </c>
      <c r="R252" s="2"/>
      <c r="S252" s="95"/>
      <c r="T252" s="313"/>
      <c r="U252" s="393"/>
      <c r="V252" s="95">
        <v>1333946</v>
      </c>
      <c r="W252" s="129">
        <v>23000</v>
      </c>
      <c r="X252" s="318">
        <v>43776</v>
      </c>
      <c r="Y252" s="95" t="s">
        <v>1488</v>
      </c>
      <c r="Z252" s="131" t="s">
        <v>1467</v>
      </c>
      <c r="AA252" s="108" t="str">
        <f t="shared" si="27"/>
        <v/>
      </c>
      <c r="AB252" s="2"/>
      <c r="AC252" s="131">
        <f t="shared" si="28"/>
        <v>19327.731092436974</v>
      </c>
      <c r="AD252" s="108">
        <f t="shared" si="29"/>
        <v>3672.268907563026</v>
      </c>
      <c r="AE252" s="95" t="s">
        <v>1501</v>
      </c>
      <c r="AF252" s="500" t="s">
        <v>3487</v>
      </c>
      <c r="AG252" s="2" t="str">
        <f t="shared" si="30"/>
        <v>SI</v>
      </c>
      <c r="AH252" s="284"/>
      <c r="AI252" s="500"/>
      <c r="AJ252" s="2" t="str">
        <f t="shared" si="31"/>
        <v>NV</v>
      </c>
      <c r="AK252" s="303"/>
    </row>
    <row r="253" spans="1:37" x14ac:dyDescent="0.25">
      <c r="A253" s="499" t="s">
        <v>1197</v>
      </c>
      <c r="B253" s="317" t="s">
        <v>2236</v>
      </c>
      <c r="C253" s="95">
        <v>2972</v>
      </c>
      <c r="D253" s="95">
        <v>0</v>
      </c>
      <c r="E253" s="95"/>
      <c r="F253" s="95"/>
      <c r="G253" s="95" t="s">
        <v>2528</v>
      </c>
      <c r="H253" s="138">
        <v>132742</v>
      </c>
      <c r="I253" s="138"/>
      <c r="J253" s="365">
        <f t="shared" si="24"/>
        <v>132742</v>
      </c>
      <c r="K253" s="318">
        <v>43775</v>
      </c>
      <c r="L253" s="95">
        <v>30</v>
      </c>
      <c r="M253" s="9">
        <f t="shared" si="25"/>
        <v>43805</v>
      </c>
      <c r="N253" s="2" t="str">
        <f t="shared" si="26"/>
        <v>Pagado</v>
      </c>
      <c r="O253" s="318">
        <v>43805</v>
      </c>
      <c r="P253" s="138">
        <v>132742</v>
      </c>
      <c r="Q253" s="2" t="s">
        <v>2131</v>
      </c>
      <c r="R253" s="2"/>
      <c r="S253" s="95">
        <v>487814</v>
      </c>
      <c r="T253" s="9" t="s">
        <v>1496</v>
      </c>
      <c r="U253" s="393">
        <v>43805</v>
      </c>
      <c r="V253" s="95">
        <v>2270734</v>
      </c>
      <c r="W253" s="129">
        <v>132742</v>
      </c>
      <c r="X253" s="318">
        <v>43815</v>
      </c>
      <c r="Y253" s="95" t="s">
        <v>1488</v>
      </c>
      <c r="Z253" s="131" t="s">
        <v>1467</v>
      </c>
      <c r="AA253" s="108" t="str">
        <f t="shared" si="27"/>
        <v>Otros</v>
      </c>
      <c r="AB253" s="2"/>
      <c r="AC253" s="131">
        <f t="shared" si="28"/>
        <v>111547.89915966387</v>
      </c>
      <c r="AD253" s="108">
        <f t="shared" si="29"/>
        <v>21194.100840336134</v>
      </c>
      <c r="AE253" s="95" t="s">
        <v>1501</v>
      </c>
      <c r="AF253" s="498" t="s">
        <v>3490</v>
      </c>
      <c r="AG253" s="2" t="str">
        <f t="shared" si="30"/>
        <v>SI</v>
      </c>
      <c r="AH253" s="284"/>
      <c r="AI253" s="498"/>
      <c r="AJ253" s="2" t="str">
        <f t="shared" si="31"/>
        <v>Factura</v>
      </c>
      <c r="AK253" s="303"/>
    </row>
    <row r="254" spans="1:37" x14ac:dyDescent="0.25">
      <c r="A254" s="429" t="s">
        <v>5371</v>
      </c>
      <c r="B254" s="317" t="s">
        <v>5372</v>
      </c>
      <c r="C254" s="95">
        <v>0</v>
      </c>
      <c r="D254" s="95">
        <v>2674</v>
      </c>
      <c r="E254" s="95"/>
      <c r="F254" s="95"/>
      <c r="G254" s="95">
        <v>6083</v>
      </c>
      <c r="H254" s="138">
        <v>23000</v>
      </c>
      <c r="I254" s="138"/>
      <c r="J254" s="126">
        <f t="shared" si="24"/>
        <v>23000</v>
      </c>
      <c r="K254" s="318">
        <v>43775</v>
      </c>
      <c r="L254" s="95">
        <v>0</v>
      </c>
      <c r="M254" s="9">
        <f t="shared" si="25"/>
        <v>43775</v>
      </c>
      <c r="N254" s="2" t="str">
        <f t="shared" si="26"/>
        <v>Pagado</v>
      </c>
      <c r="O254" s="318">
        <v>43775</v>
      </c>
      <c r="P254" s="138">
        <v>23000</v>
      </c>
      <c r="Q254" s="2" t="s">
        <v>1481</v>
      </c>
      <c r="R254" s="2"/>
      <c r="S254" s="95"/>
      <c r="T254" s="9"/>
      <c r="U254" s="393"/>
      <c r="V254" s="95">
        <v>133946</v>
      </c>
      <c r="W254" s="129">
        <v>23000</v>
      </c>
      <c r="X254" s="318">
        <v>43776</v>
      </c>
      <c r="Y254" s="95" t="s">
        <v>1488</v>
      </c>
      <c r="Z254" s="131" t="s">
        <v>1467</v>
      </c>
      <c r="AA254" s="108" t="str">
        <f t="shared" si="27"/>
        <v/>
      </c>
      <c r="AB254" s="2"/>
      <c r="AC254" s="131">
        <f t="shared" si="28"/>
        <v>19327.731092436974</v>
      </c>
      <c r="AD254" s="108">
        <f t="shared" si="29"/>
        <v>3672.268907563026</v>
      </c>
      <c r="AE254" s="95" t="s">
        <v>1501</v>
      </c>
      <c r="AF254" s="428" t="s">
        <v>3487</v>
      </c>
      <c r="AG254" s="2" t="str">
        <f t="shared" si="30"/>
        <v>SI</v>
      </c>
      <c r="AH254" s="284"/>
      <c r="AI254" s="428"/>
      <c r="AJ254" s="2" t="str">
        <f t="shared" si="31"/>
        <v>NV</v>
      </c>
      <c r="AK254" s="303"/>
    </row>
    <row r="255" spans="1:37" x14ac:dyDescent="0.25">
      <c r="A255" s="429" t="s">
        <v>4953</v>
      </c>
      <c r="B255" s="317" t="s">
        <v>4954</v>
      </c>
      <c r="C255" s="95">
        <v>0</v>
      </c>
      <c r="D255" s="95">
        <v>2672</v>
      </c>
      <c r="E255" s="95"/>
      <c r="F255" s="95"/>
      <c r="G255" s="95">
        <v>6084</v>
      </c>
      <c r="H255" s="138">
        <v>19700</v>
      </c>
      <c r="I255" s="138"/>
      <c r="J255" s="126">
        <f t="shared" si="24"/>
        <v>19700</v>
      </c>
      <c r="K255" s="318">
        <v>43775</v>
      </c>
      <c r="L255" s="95">
        <v>0</v>
      </c>
      <c r="M255" s="9">
        <f t="shared" si="25"/>
        <v>43775</v>
      </c>
      <c r="N255" s="2" t="str">
        <f t="shared" si="26"/>
        <v>Pagado</v>
      </c>
      <c r="O255" s="318">
        <v>43775</v>
      </c>
      <c r="P255" s="138">
        <v>19700</v>
      </c>
      <c r="Q255" s="2" t="s">
        <v>1481</v>
      </c>
      <c r="R255" s="2"/>
      <c r="S255" s="95"/>
      <c r="T255" s="313"/>
      <c r="U255" s="393"/>
      <c r="V255" s="95">
        <v>133946</v>
      </c>
      <c r="W255" s="129">
        <v>19700</v>
      </c>
      <c r="X255" s="318">
        <v>43776</v>
      </c>
      <c r="Y255" s="95" t="s">
        <v>1488</v>
      </c>
      <c r="Z255" s="131" t="s">
        <v>1467</v>
      </c>
      <c r="AA255" s="108" t="str">
        <f t="shared" si="27"/>
        <v/>
      </c>
      <c r="AB255" s="2"/>
      <c r="AC255" s="131">
        <f t="shared" si="28"/>
        <v>16554.621848739498</v>
      </c>
      <c r="AD255" s="108">
        <f t="shared" si="29"/>
        <v>3145.3781512605019</v>
      </c>
      <c r="AE255" s="95" t="s">
        <v>1501</v>
      </c>
      <c r="AF255" s="428" t="s">
        <v>3487</v>
      </c>
      <c r="AG255" s="2" t="str">
        <f t="shared" si="30"/>
        <v>SI</v>
      </c>
      <c r="AH255" s="284"/>
      <c r="AI255" s="428"/>
      <c r="AJ255" s="2" t="str">
        <f t="shared" si="31"/>
        <v>NV</v>
      </c>
      <c r="AK255" s="303"/>
    </row>
    <row r="256" spans="1:37" x14ac:dyDescent="0.25">
      <c r="A256" s="542" t="s">
        <v>1175</v>
      </c>
      <c r="B256" s="317" t="s">
        <v>1144</v>
      </c>
      <c r="C256" s="95">
        <v>2973</v>
      </c>
      <c r="D256" s="95">
        <v>0</v>
      </c>
      <c r="E256" s="95"/>
      <c r="F256" s="95"/>
      <c r="G256" s="95">
        <v>1037449</v>
      </c>
      <c r="H256" s="138">
        <v>578784</v>
      </c>
      <c r="I256" s="138"/>
      <c r="J256" s="126">
        <f t="shared" si="24"/>
        <v>578784</v>
      </c>
      <c r="K256" s="318">
        <v>43775</v>
      </c>
      <c r="L256" s="95">
        <v>30</v>
      </c>
      <c r="M256" s="9">
        <f t="shared" si="25"/>
        <v>43805</v>
      </c>
      <c r="N256" s="2" t="str">
        <f t="shared" si="26"/>
        <v>Pagado</v>
      </c>
      <c r="O256" s="318">
        <v>43808</v>
      </c>
      <c r="P256" s="138">
        <v>578784</v>
      </c>
      <c r="Q256" s="2" t="s">
        <v>1484</v>
      </c>
      <c r="R256" s="2"/>
      <c r="S256" s="95"/>
      <c r="T256" s="313" t="s">
        <v>1496</v>
      </c>
      <c r="U256" s="393"/>
      <c r="V256" s="95"/>
      <c r="W256" s="129"/>
      <c r="X256" s="318"/>
      <c r="Y256" s="95"/>
      <c r="Z256" s="131" t="s">
        <v>1467</v>
      </c>
      <c r="AA256" s="108" t="str">
        <f t="shared" si="27"/>
        <v/>
      </c>
      <c r="AB256" s="2"/>
      <c r="AC256" s="131">
        <f t="shared" si="28"/>
        <v>486373.10924369749</v>
      </c>
      <c r="AD256" s="108">
        <f t="shared" si="29"/>
        <v>92410.890756302513</v>
      </c>
      <c r="AE256" s="95" t="s">
        <v>2050</v>
      </c>
      <c r="AF256" s="541" t="s">
        <v>3490</v>
      </c>
      <c r="AG256" s="2" t="str">
        <f t="shared" si="30"/>
        <v>SI</v>
      </c>
      <c r="AH256" s="284"/>
      <c r="AI256" s="541"/>
      <c r="AJ256" s="2" t="str">
        <f t="shared" si="31"/>
        <v>Factura</v>
      </c>
      <c r="AK256" s="303"/>
    </row>
    <row r="257" spans="1:37" x14ac:dyDescent="0.25">
      <c r="A257" s="542" t="s">
        <v>4545</v>
      </c>
      <c r="B257" s="317" t="s">
        <v>4546</v>
      </c>
      <c r="C257" s="95">
        <v>0</v>
      </c>
      <c r="D257" s="95">
        <v>2678</v>
      </c>
      <c r="E257" s="95"/>
      <c r="F257" s="95"/>
      <c r="G257" s="95">
        <v>6091</v>
      </c>
      <c r="H257" s="138">
        <v>29600</v>
      </c>
      <c r="I257" s="138"/>
      <c r="J257" s="126">
        <f t="shared" si="24"/>
        <v>29600</v>
      </c>
      <c r="K257" s="318">
        <v>43776</v>
      </c>
      <c r="L257" s="95">
        <v>0</v>
      </c>
      <c r="M257" s="9">
        <f t="shared" si="25"/>
        <v>43776</v>
      </c>
      <c r="N257" s="2" t="str">
        <f t="shared" si="26"/>
        <v>Pagado</v>
      </c>
      <c r="O257" s="318">
        <v>43781</v>
      </c>
      <c r="P257" s="138">
        <v>29600</v>
      </c>
      <c r="Q257" s="2" t="s">
        <v>1484</v>
      </c>
      <c r="R257" s="2"/>
      <c r="S257" s="95"/>
      <c r="T257" s="313" t="s">
        <v>1488</v>
      </c>
      <c r="U257" s="393"/>
      <c r="V257" s="95"/>
      <c r="W257" s="129"/>
      <c r="X257" s="318"/>
      <c r="Y257" s="95"/>
      <c r="Z257" s="131" t="s">
        <v>1467</v>
      </c>
      <c r="AA257" s="108" t="str">
        <f t="shared" si="27"/>
        <v/>
      </c>
      <c r="AB257" s="2"/>
      <c r="AC257" s="131">
        <f t="shared" si="28"/>
        <v>24873.949579831933</v>
      </c>
      <c r="AD257" s="108">
        <f t="shared" si="29"/>
        <v>4726.0504201680669</v>
      </c>
      <c r="AE257" s="95" t="s">
        <v>1501</v>
      </c>
      <c r="AF257" s="541" t="s">
        <v>3487</v>
      </c>
      <c r="AG257" s="2" t="str">
        <f t="shared" si="30"/>
        <v>SI</v>
      </c>
      <c r="AH257" s="284"/>
      <c r="AI257" s="541"/>
      <c r="AJ257" s="2" t="str">
        <f t="shared" si="31"/>
        <v>NV</v>
      </c>
      <c r="AK257" s="303"/>
    </row>
    <row r="258" spans="1:37" ht="15.75" customHeight="1" x14ac:dyDescent="0.25">
      <c r="A258" s="270" t="s">
        <v>3460</v>
      </c>
      <c r="B258" s="3" t="s">
        <v>3461</v>
      </c>
      <c r="C258" s="2">
        <v>2975</v>
      </c>
      <c r="D258" s="2">
        <v>0</v>
      </c>
      <c r="E258" s="2"/>
      <c r="F258" s="2"/>
      <c r="G258" s="2" t="s">
        <v>2528</v>
      </c>
      <c r="H258" s="293">
        <v>74951</v>
      </c>
      <c r="I258" s="293"/>
      <c r="J258" s="126">
        <f t="shared" si="24"/>
        <v>74951</v>
      </c>
      <c r="K258" s="310">
        <v>43776</v>
      </c>
      <c r="L258" s="2">
        <v>0</v>
      </c>
      <c r="M258" s="9">
        <f t="shared" si="25"/>
        <v>43776</v>
      </c>
      <c r="N258" s="2" t="str">
        <f t="shared" si="26"/>
        <v>Pagado</v>
      </c>
      <c r="O258" s="310">
        <v>43795</v>
      </c>
      <c r="P258" s="293">
        <v>74951</v>
      </c>
      <c r="Q258" s="2" t="s">
        <v>1484</v>
      </c>
      <c r="R258" s="2"/>
      <c r="S258" s="2"/>
      <c r="T258" s="9" t="s">
        <v>1496</v>
      </c>
      <c r="U258" s="392"/>
      <c r="V258" s="2"/>
      <c r="W258" s="108"/>
      <c r="X258" s="310"/>
      <c r="Y258" s="2"/>
      <c r="Z258" s="131" t="s">
        <v>1467</v>
      </c>
      <c r="AA258" s="108" t="str">
        <f t="shared" si="27"/>
        <v/>
      </c>
      <c r="AB258" s="2"/>
      <c r="AC258" s="131">
        <f t="shared" si="28"/>
        <v>62984.033613445383</v>
      </c>
      <c r="AD258" s="108">
        <f t="shared" si="29"/>
        <v>11966.966386554617</v>
      </c>
      <c r="AE258" s="2" t="s">
        <v>1501</v>
      </c>
      <c r="AF258" s="23" t="s">
        <v>3490</v>
      </c>
      <c r="AG258" s="2" t="str">
        <f t="shared" si="30"/>
        <v>SI</v>
      </c>
      <c r="AH258" s="14"/>
      <c r="AI258" s="23"/>
      <c r="AJ258" s="2" t="str">
        <f t="shared" si="31"/>
        <v>Factura</v>
      </c>
      <c r="AK258" s="294"/>
    </row>
    <row r="259" spans="1:37" x14ac:dyDescent="0.25">
      <c r="A259" s="499" t="s">
        <v>4953</v>
      </c>
      <c r="B259" s="317" t="s">
        <v>4954</v>
      </c>
      <c r="C259" s="95">
        <v>0</v>
      </c>
      <c r="D259" s="95">
        <v>2677</v>
      </c>
      <c r="E259" s="95"/>
      <c r="F259" s="95"/>
      <c r="G259" s="95">
        <v>6089</v>
      </c>
      <c r="H259" s="138">
        <v>10200</v>
      </c>
      <c r="I259" s="138"/>
      <c r="J259" s="126">
        <f t="shared" ref="J259:J322" si="32">+H259+I259</f>
        <v>10200</v>
      </c>
      <c r="K259" s="318">
        <v>43776</v>
      </c>
      <c r="L259" s="95">
        <v>0</v>
      </c>
      <c r="M259" s="9">
        <f t="shared" ref="M259:M322" si="33">+L259+K259</f>
        <v>43776</v>
      </c>
      <c r="N259" s="2" t="str">
        <f t="shared" ref="N259:N322" si="34">+IF(J259=0,"Nulo",IF(P259&gt;=J259,"Pagado",IF(P259&gt;0,"Abonado",IF(M259&lt;$M$1,"Vencido",IF(J259&gt;P259,"Pendiente","Vencido")))))</f>
        <v>Pagado</v>
      </c>
      <c r="O259" s="318">
        <v>43776</v>
      </c>
      <c r="P259" s="138">
        <v>10200</v>
      </c>
      <c r="Q259" s="2" t="s">
        <v>1481</v>
      </c>
      <c r="R259" s="2"/>
      <c r="S259" s="95"/>
      <c r="T259" s="9"/>
      <c r="U259" s="393"/>
      <c r="V259" s="95"/>
      <c r="W259" s="129"/>
      <c r="X259" s="318"/>
      <c r="Y259" s="95"/>
      <c r="Z259" s="131" t="s">
        <v>1467</v>
      </c>
      <c r="AA259" s="108" t="str">
        <f t="shared" ref="AA259:AA322" si="35">+IF(LEFT(Q259,6)="Cheque",IF(T259="Chile","Chile","Otros"),"")</f>
        <v/>
      </c>
      <c r="AB259" s="2"/>
      <c r="AC259" s="131">
        <f t="shared" ref="AC259:AC322" si="36">+IF(C259="","",H259/1.19)</f>
        <v>8571.4285714285725</v>
      </c>
      <c r="AD259" s="108">
        <f t="shared" ref="AD259:AD322" si="37">+IF(C259="","",H259-AC259)</f>
        <v>1628.5714285714275</v>
      </c>
      <c r="AE259" s="95" t="s">
        <v>1501</v>
      </c>
      <c r="AF259" s="498" t="s">
        <v>3487</v>
      </c>
      <c r="AG259" s="2" t="str">
        <f t="shared" ref="AG259:AG322" si="38">+IF(N259="Pagado","SI",IF(N259="NULO","SI","NO"))</f>
        <v>SI</v>
      </c>
      <c r="AH259" s="284"/>
      <c r="AI259" s="498"/>
      <c r="AJ259" s="2" t="str">
        <f t="shared" ref="AJ259:AJ322" si="39">+IF(C259=0,"NV","Factura")</f>
        <v>NV</v>
      </c>
      <c r="AK259" s="303"/>
    </row>
    <row r="260" spans="1:37" x14ac:dyDescent="0.25">
      <c r="A260" s="534" t="s">
        <v>1234</v>
      </c>
      <c r="B260" s="317" t="s">
        <v>970</v>
      </c>
      <c r="C260" s="95">
        <v>0</v>
      </c>
      <c r="D260" s="95">
        <v>2679</v>
      </c>
      <c r="E260" s="95"/>
      <c r="F260" s="95"/>
      <c r="G260" s="95">
        <v>6088</v>
      </c>
      <c r="H260" s="138">
        <v>25500</v>
      </c>
      <c r="I260" s="138"/>
      <c r="J260" s="126">
        <f t="shared" si="32"/>
        <v>25500</v>
      </c>
      <c r="K260" s="318">
        <v>43776</v>
      </c>
      <c r="L260" s="95">
        <v>0</v>
      </c>
      <c r="M260" s="9">
        <f t="shared" si="33"/>
        <v>43776</v>
      </c>
      <c r="N260" s="2" t="str">
        <f t="shared" si="34"/>
        <v>Pagado</v>
      </c>
      <c r="O260" s="318">
        <v>43780</v>
      </c>
      <c r="P260" s="138">
        <v>25500</v>
      </c>
      <c r="Q260" s="2" t="s">
        <v>1484</v>
      </c>
      <c r="R260" s="2"/>
      <c r="S260" s="95"/>
      <c r="T260" s="313" t="s">
        <v>1496</v>
      </c>
      <c r="U260" s="393"/>
      <c r="V260" s="95"/>
      <c r="W260" s="129"/>
      <c r="X260" s="318"/>
      <c r="Y260" s="95"/>
      <c r="Z260" s="131" t="s">
        <v>1467</v>
      </c>
      <c r="AA260" s="108" t="str">
        <f t="shared" si="35"/>
        <v/>
      </c>
      <c r="AB260" s="2"/>
      <c r="AC260" s="131">
        <f t="shared" si="36"/>
        <v>21428.571428571431</v>
      </c>
      <c r="AD260" s="108">
        <f t="shared" si="37"/>
        <v>4071.4285714285688</v>
      </c>
      <c r="AE260" s="95" t="s">
        <v>1501</v>
      </c>
      <c r="AF260" s="533" t="s">
        <v>3489</v>
      </c>
      <c r="AG260" s="2" t="str">
        <f t="shared" si="38"/>
        <v>SI</v>
      </c>
      <c r="AH260" s="284"/>
      <c r="AI260" s="533"/>
      <c r="AJ260" s="2" t="str">
        <f t="shared" si="39"/>
        <v>NV</v>
      </c>
      <c r="AK260" s="303"/>
    </row>
    <row r="261" spans="1:37" x14ac:dyDescent="0.25">
      <c r="A261" s="542" t="s">
        <v>1233</v>
      </c>
      <c r="B261" s="317" t="s">
        <v>1046</v>
      </c>
      <c r="C261" s="95">
        <v>0</v>
      </c>
      <c r="D261" s="95">
        <v>0</v>
      </c>
      <c r="E261" s="95"/>
      <c r="F261" s="95"/>
      <c r="G261" s="95" t="s">
        <v>2528</v>
      </c>
      <c r="H261" s="138">
        <v>15600</v>
      </c>
      <c r="I261" s="138"/>
      <c r="J261" s="126">
        <f t="shared" si="32"/>
        <v>15600</v>
      </c>
      <c r="K261" s="318">
        <v>43777</v>
      </c>
      <c r="L261" s="95">
        <v>0</v>
      </c>
      <c r="M261" s="9">
        <f t="shared" si="33"/>
        <v>43777</v>
      </c>
      <c r="N261" s="2" t="str">
        <f t="shared" si="34"/>
        <v>Pagado</v>
      </c>
      <c r="O261" s="318">
        <v>43810</v>
      </c>
      <c r="P261" s="138">
        <v>15600</v>
      </c>
      <c r="Q261" s="2" t="s">
        <v>1484</v>
      </c>
      <c r="R261" s="2"/>
      <c r="S261" s="95"/>
      <c r="T261" s="313" t="s">
        <v>1492</v>
      </c>
      <c r="U261" s="393"/>
      <c r="V261" s="95"/>
      <c r="W261" s="129"/>
      <c r="X261" s="318"/>
      <c r="Y261" s="95"/>
      <c r="Z261" s="131" t="s">
        <v>1467</v>
      </c>
      <c r="AA261" s="108" t="str">
        <f t="shared" si="35"/>
        <v/>
      </c>
      <c r="AB261" s="2"/>
      <c r="AC261" s="131">
        <f t="shared" si="36"/>
        <v>13109.243697478993</v>
      </c>
      <c r="AD261" s="108">
        <f t="shared" si="37"/>
        <v>2490.7563025210075</v>
      </c>
      <c r="AE261" s="95" t="s">
        <v>1501</v>
      </c>
      <c r="AF261" s="541" t="s">
        <v>3489</v>
      </c>
      <c r="AG261" s="2" t="str">
        <f t="shared" si="38"/>
        <v>SI</v>
      </c>
      <c r="AH261" s="284"/>
      <c r="AI261" s="541"/>
      <c r="AJ261" s="2" t="str">
        <f t="shared" si="39"/>
        <v>NV</v>
      </c>
      <c r="AK261" s="303"/>
    </row>
    <row r="262" spans="1:37" x14ac:dyDescent="0.25">
      <c r="A262" s="542" t="s">
        <v>1233</v>
      </c>
      <c r="B262" s="317" t="s">
        <v>1046</v>
      </c>
      <c r="C262" s="95">
        <v>0</v>
      </c>
      <c r="D262" s="95">
        <v>0</v>
      </c>
      <c r="E262" s="95"/>
      <c r="F262" s="95"/>
      <c r="G262" s="95">
        <v>6092</v>
      </c>
      <c r="H262" s="138">
        <v>20200</v>
      </c>
      <c r="I262" s="138"/>
      <c r="J262" s="126">
        <f t="shared" si="32"/>
        <v>20200</v>
      </c>
      <c r="K262" s="318">
        <v>43777</v>
      </c>
      <c r="L262" s="95">
        <v>0</v>
      </c>
      <c r="M262" s="9">
        <f t="shared" si="33"/>
        <v>43777</v>
      </c>
      <c r="N262" s="2" t="str">
        <f t="shared" si="34"/>
        <v>Pagado</v>
      </c>
      <c r="O262" s="318">
        <v>43810</v>
      </c>
      <c r="P262" s="138">
        <v>20200</v>
      </c>
      <c r="Q262" s="2" t="s">
        <v>1484</v>
      </c>
      <c r="R262" s="2"/>
      <c r="S262" s="95"/>
      <c r="T262" s="313" t="s">
        <v>1492</v>
      </c>
      <c r="U262" s="393"/>
      <c r="V262" s="95"/>
      <c r="W262" s="129"/>
      <c r="X262" s="318"/>
      <c r="Y262" s="95"/>
      <c r="Z262" s="131" t="s">
        <v>1467</v>
      </c>
      <c r="AA262" s="108" t="str">
        <f t="shared" si="35"/>
        <v/>
      </c>
      <c r="AB262" s="2"/>
      <c r="AC262" s="131">
        <f t="shared" si="36"/>
        <v>16974.789915966387</v>
      </c>
      <c r="AD262" s="108">
        <f t="shared" si="37"/>
        <v>3225.2100840336134</v>
      </c>
      <c r="AE262" s="95" t="s">
        <v>1501</v>
      </c>
      <c r="AF262" s="541" t="s">
        <v>3489</v>
      </c>
      <c r="AG262" s="2" t="str">
        <f t="shared" si="38"/>
        <v>SI</v>
      </c>
      <c r="AH262" s="284"/>
      <c r="AI262" s="541"/>
      <c r="AJ262" s="2" t="str">
        <f t="shared" si="39"/>
        <v>NV</v>
      </c>
      <c r="AK262" s="303"/>
    </row>
    <row r="263" spans="1:37" x14ac:dyDescent="0.25">
      <c r="A263" s="542" t="s">
        <v>1182</v>
      </c>
      <c r="B263" s="317" t="s">
        <v>1044</v>
      </c>
      <c r="C263" s="95">
        <v>2976</v>
      </c>
      <c r="D263" s="95">
        <v>0</v>
      </c>
      <c r="E263" s="95">
        <v>267</v>
      </c>
      <c r="F263" s="95"/>
      <c r="G263" s="95" t="s">
        <v>2528</v>
      </c>
      <c r="H263" s="138">
        <v>155826</v>
      </c>
      <c r="I263" s="138">
        <v>-1660</v>
      </c>
      <c r="J263" s="126">
        <f t="shared" si="32"/>
        <v>154166</v>
      </c>
      <c r="K263" s="318">
        <v>43777</v>
      </c>
      <c r="L263" s="95">
        <v>7</v>
      </c>
      <c r="M263" s="9">
        <f t="shared" si="33"/>
        <v>43784</v>
      </c>
      <c r="N263" s="2" t="str">
        <f t="shared" si="34"/>
        <v>Pagado</v>
      </c>
      <c r="O263" s="318">
        <v>43777</v>
      </c>
      <c r="P263" s="138">
        <v>154166</v>
      </c>
      <c r="Q263" s="2" t="s">
        <v>2131</v>
      </c>
      <c r="R263" s="2"/>
      <c r="S263" s="95" t="s">
        <v>5389</v>
      </c>
      <c r="T263" s="9" t="s">
        <v>1493</v>
      </c>
      <c r="U263" s="393">
        <v>43784</v>
      </c>
      <c r="V263" s="95"/>
      <c r="W263" s="129"/>
      <c r="X263" s="318"/>
      <c r="Y263" s="95"/>
      <c r="Z263" s="131" t="s">
        <v>1467</v>
      </c>
      <c r="AA263" s="108" t="str">
        <f t="shared" si="35"/>
        <v>Otros</v>
      </c>
      <c r="AB263" s="2"/>
      <c r="AC263" s="131">
        <f t="shared" si="36"/>
        <v>130946.21848739496</v>
      </c>
      <c r="AD263" s="108">
        <f t="shared" si="37"/>
        <v>24879.781512605041</v>
      </c>
      <c r="AE263" s="95" t="s">
        <v>1445</v>
      </c>
      <c r="AF263" s="541" t="s">
        <v>3490</v>
      </c>
      <c r="AG263" s="2" t="str">
        <f t="shared" si="38"/>
        <v>SI</v>
      </c>
      <c r="AH263" s="284"/>
      <c r="AI263" s="541"/>
      <c r="AJ263" s="2" t="str">
        <f t="shared" si="39"/>
        <v>Factura</v>
      </c>
      <c r="AK263" s="303"/>
    </row>
    <row r="264" spans="1:37" x14ac:dyDescent="0.25">
      <c r="A264" s="542" t="s">
        <v>1182</v>
      </c>
      <c r="B264" s="317" t="s">
        <v>1044</v>
      </c>
      <c r="C264" s="95">
        <v>2977</v>
      </c>
      <c r="D264" s="95">
        <v>0</v>
      </c>
      <c r="E264" s="95"/>
      <c r="F264" s="95"/>
      <c r="G264" s="95" t="s">
        <v>2528</v>
      </c>
      <c r="H264" s="138">
        <v>28988</v>
      </c>
      <c r="I264" s="138"/>
      <c r="J264" s="126">
        <f t="shared" si="32"/>
        <v>28988</v>
      </c>
      <c r="K264" s="318">
        <v>43777</v>
      </c>
      <c r="L264" s="95">
        <v>7</v>
      </c>
      <c r="M264" s="9">
        <f t="shared" si="33"/>
        <v>43784</v>
      </c>
      <c r="N264" s="2" t="str">
        <f t="shared" ca="1" si="34"/>
        <v>Vencido</v>
      </c>
      <c r="O264" s="318"/>
      <c r="P264" s="138"/>
      <c r="Q264" s="2"/>
      <c r="R264" s="2"/>
      <c r="S264" s="95"/>
      <c r="T264" s="9"/>
      <c r="U264" s="393"/>
      <c r="V264" s="95"/>
      <c r="W264" s="129"/>
      <c r="X264" s="318"/>
      <c r="Y264" s="95"/>
      <c r="Z264" s="131"/>
      <c r="AA264" s="108" t="str">
        <f t="shared" si="35"/>
        <v/>
      </c>
      <c r="AB264" s="2"/>
      <c r="AC264" s="131">
        <f t="shared" si="36"/>
        <v>24359.663865546219</v>
      </c>
      <c r="AD264" s="108">
        <f t="shared" si="37"/>
        <v>4628.3361344537807</v>
      </c>
      <c r="AE264" s="95" t="s">
        <v>1445</v>
      </c>
      <c r="AF264" s="541" t="s">
        <v>3490</v>
      </c>
      <c r="AG264" s="2" t="str">
        <f t="shared" ca="1" si="38"/>
        <v>NO</v>
      </c>
      <c r="AH264" s="284"/>
      <c r="AI264" s="541"/>
      <c r="AJ264" s="2" t="str">
        <f t="shared" si="39"/>
        <v>Factura</v>
      </c>
      <c r="AK264" s="303"/>
    </row>
    <row r="265" spans="1:37" x14ac:dyDescent="0.25">
      <c r="A265" s="542" t="s">
        <v>1275</v>
      </c>
      <c r="B265" s="317" t="s">
        <v>2218</v>
      </c>
      <c r="C265" s="95">
        <v>2978</v>
      </c>
      <c r="D265" s="95">
        <v>0</v>
      </c>
      <c r="E265" s="95"/>
      <c r="F265" s="95"/>
      <c r="G265" s="95" t="s">
        <v>2528</v>
      </c>
      <c r="H265" s="138">
        <v>29000</v>
      </c>
      <c r="I265" s="138"/>
      <c r="J265" s="126">
        <f t="shared" si="32"/>
        <v>29000</v>
      </c>
      <c r="K265" s="318">
        <v>43777</v>
      </c>
      <c r="L265" s="95">
        <v>0</v>
      </c>
      <c r="M265" s="9">
        <f t="shared" si="33"/>
        <v>43777</v>
      </c>
      <c r="N265" s="2" t="str">
        <f t="shared" si="34"/>
        <v>Pagado</v>
      </c>
      <c r="O265" s="318">
        <v>43777</v>
      </c>
      <c r="P265" s="138">
        <v>29000</v>
      </c>
      <c r="Q265" s="2" t="s">
        <v>1481</v>
      </c>
      <c r="R265" s="2"/>
      <c r="S265" s="95"/>
      <c r="T265" s="9"/>
      <c r="U265" s="393"/>
      <c r="V265" s="95"/>
      <c r="W265" s="129"/>
      <c r="X265" s="318"/>
      <c r="Y265" s="95"/>
      <c r="Z265" s="131" t="s">
        <v>1467</v>
      </c>
      <c r="AA265" s="108" t="str">
        <f t="shared" si="35"/>
        <v/>
      </c>
      <c r="AB265" s="2"/>
      <c r="AC265" s="131">
        <f t="shared" si="36"/>
        <v>24369.747899159665</v>
      </c>
      <c r="AD265" s="108">
        <f t="shared" si="37"/>
        <v>4630.2521008403346</v>
      </c>
      <c r="AE265" s="95" t="s">
        <v>1445</v>
      </c>
      <c r="AF265" s="541" t="s">
        <v>3490</v>
      </c>
      <c r="AG265" s="2" t="str">
        <f t="shared" si="38"/>
        <v>SI</v>
      </c>
      <c r="AH265" s="284"/>
      <c r="AI265" s="541"/>
      <c r="AJ265" s="2" t="str">
        <f t="shared" si="39"/>
        <v>Factura</v>
      </c>
      <c r="AK265" s="303"/>
    </row>
    <row r="266" spans="1:37" x14ac:dyDescent="0.25">
      <c r="A266" s="501" t="s">
        <v>1189</v>
      </c>
      <c r="B266" s="317" t="s">
        <v>940</v>
      </c>
      <c r="C266" s="95">
        <v>2979</v>
      </c>
      <c r="D266" s="95">
        <v>0</v>
      </c>
      <c r="E266" s="95">
        <v>266</v>
      </c>
      <c r="F266" s="95"/>
      <c r="G266" s="95" t="s">
        <v>2528</v>
      </c>
      <c r="H266" s="138">
        <v>64139</v>
      </c>
      <c r="I266" s="138">
        <v>-22094</v>
      </c>
      <c r="J266" s="126">
        <f t="shared" si="32"/>
        <v>42045</v>
      </c>
      <c r="K266" s="318">
        <v>43777</v>
      </c>
      <c r="L266" s="95">
        <v>0</v>
      </c>
      <c r="M266" s="9">
        <f t="shared" si="33"/>
        <v>43777</v>
      </c>
      <c r="N266" s="2" t="str">
        <f t="shared" si="34"/>
        <v>Pagado</v>
      </c>
      <c r="O266" s="318">
        <v>43777</v>
      </c>
      <c r="P266" s="138">
        <v>42050</v>
      </c>
      <c r="Q266" s="2" t="s">
        <v>1481</v>
      </c>
      <c r="R266" s="2"/>
      <c r="S266" s="95"/>
      <c r="T266" s="9"/>
      <c r="U266" s="393"/>
      <c r="V266" s="95"/>
      <c r="W266" s="129"/>
      <c r="X266" s="318"/>
      <c r="Y266" s="95"/>
      <c r="Z266" s="131" t="s">
        <v>1467</v>
      </c>
      <c r="AA266" s="108" t="str">
        <f t="shared" si="35"/>
        <v/>
      </c>
      <c r="AB266" s="2"/>
      <c r="AC266" s="131">
        <f t="shared" si="36"/>
        <v>53898.319327731093</v>
      </c>
      <c r="AD266" s="108">
        <f t="shared" si="37"/>
        <v>10240.680672268907</v>
      </c>
      <c r="AE266" s="95" t="s">
        <v>1445</v>
      </c>
      <c r="AF266" s="500" t="s">
        <v>3490</v>
      </c>
      <c r="AG266" s="2" t="str">
        <f t="shared" si="38"/>
        <v>SI</v>
      </c>
      <c r="AH266" s="284"/>
      <c r="AI266" s="500"/>
      <c r="AJ266" s="2" t="str">
        <f t="shared" si="39"/>
        <v>Factura</v>
      </c>
      <c r="AK266" s="303"/>
    </row>
    <row r="267" spans="1:37" x14ac:dyDescent="0.25">
      <c r="A267" s="501" t="s">
        <v>1189</v>
      </c>
      <c r="B267" s="317" t="s">
        <v>940</v>
      </c>
      <c r="C267" s="95">
        <v>2980</v>
      </c>
      <c r="D267" s="95">
        <v>0</v>
      </c>
      <c r="E267" s="95"/>
      <c r="F267" s="95"/>
      <c r="G267" s="95" t="s">
        <v>2528</v>
      </c>
      <c r="H267" s="138">
        <v>28988</v>
      </c>
      <c r="I267" s="138"/>
      <c r="J267" s="126">
        <f t="shared" si="32"/>
        <v>28988</v>
      </c>
      <c r="K267" s="318">
        <v>43777</v>
      </c>
      <c r="L267" s="95">
        <v>0</v>
      </c>
      <c r="M267" s="9">
        <f t="shared" si="33"/>
        <v>43777</v>
      </c>
      <c r="N267" s="2" t="str">
        <f t="shared" si="34"/>
        <v>Pagado</v>
      </c>
      <c r="O267" s="318">
        <v>43812</v>
      </c>
      <c r="P267" s="138">
        <v>28988</v>
      </c>
      <c r="Q267" s="2" t="s">
        <v>1481</v>
      </c>
      <c r="R267" s="2"/>
      <c r="S267" s="95"/>
      <c r="T267" s="313"/>
      <c r="U267" s="393"/>
      <c r="V267" s="95"/>
      <c r="W267" s="129"/>
      <c r="X267" s="318"/>
      <c r="Y267" s="95"/>
      <c r="Z267" s="131"/>
      <c r="AA267" s="108" t="str">
        <f t="shared" si="35"/>
        <v/>
      </c>
      <c r="AB267" s="2"/>
      <c r="AC267" s="131">
        <f t="shared" si="36"/>
        <v>24359.663865546219</v>
      </c>
      <c r="AD267" s="108">
        <f t="shared" si="37"/>
        <v>4628.3361344537807</v>
      </c>
      <c r="AE267" s="95" t="s">
        <v>1445</v>
      </c>
      <c r="AF267" s="500" t="s">
        <v>3490</v>
      </c>
      <c r="AG267" s="2" t="str">
        <f t="shared" si="38"/>
        <v>SI</v>
      </c>
      <c r="AH267" s="284"/>
      <c r="AI267" s="500"/>
      <c r="AJ267" s="2" t="str">
        <f t="shared" si="39"/>
        <v>Factura</v>
      </c>
      <c r="AK267" s="303"/>
    </row>
    <row r="268" spans="1:37" x14ac:dyDescent="0.25">
      <c r="A268" s="534" t="s">
        <v>1235</v>
      </c>
      <c r="B268" s="317" t="s">
        <v>989</v>
      </c>
      <c r="C268" s="95">
        <v>0</v>
      </c>
      <c r="D268" s="95">
        <v>2680</v>
      </c>
      <c r="E268" s="95"/>
      <c r="F268" s="95"/>
      <c r="G268" s="95">
        <v>6090</v>
      </c>
      <c r="H268" s="138">
        <v>45400</v>
      </c>
      <c r="I268" s="138"/>
      <c r="J268" s="126">
        <f t="shared" si="32"/>
        <v>45400</v>
      </c>
      <c r="K268" s="318">
        <v>43777</v>
      </c>
      <c r="L268" s="95">
        <v>0</v>
      </c>
      <c r="M268" s="9">
        <f t="shared" si="33"/>
        <v>43777</v>
      </c>
      <c r="N268" s="2" t="str">
        <f t="shared" si="34"/>
        <v>Pagado</v>
      </c>
      <c r="O268" s="318">
        <v>43779</v>
      </c>
      <c r="P268" s="138">
        <v>45400</v>
      </c>
      <c r="Q268" s="2" t="s">
        <v>1484</v>
      </c>
      <c r="R268" s="2"/>
      <c r="S268" s="95"/>
      <c r="T268" s="9" t="s">
        <v>1490</v>
      </c>
      <c r="U268" s="393"/>
      <c r="V268" s="95"/>
      <c r="W268" s="129"/>
      <c r="X268" s="318"/>
      <c r="Y268" s="95"/>
      <c r="Z268" s="131" t="s">
        <v>1467</v>
      </c>
      <c r="AA268" s="108" t="str">
        <f t="shared" si="35"/>
        <v/>
      </c>
      <c r="AB268" s="2"/>
      <c r="AC268" s="131">
        <f t="shared" si="36"/>
        <v>38151.26050420168</v>
      </c>
      <c r="AD268" s="108">
        <f t="shared" si="37"/>
        <v>7248.7394957983197</v>
      </c>
      <c r="AE268" s="95" t="s">
        <v>1501</v>
      </c>
      <c r="AF268" s="533" t="s">
        <v>3487</v>
      </c>
      <c r="AG268" s="2" t="str">
        <f t="shared" si="38"/>
        <v>SI</v>
      </c>
      <c r="AH268" s="284"/>
      <c r="AI268" s="533"/>
      <c r="AJ268" s="2" t="str">
        <f t="shared" si="39"/>
        <v>NV</v>
      </c>
      <c r="AK268" s="303"/>
    </row>
    <row r="269" spans="1:37" x14ac:dyDescent="0.25">
      <c r="A269" s="534" t="s">
        <v>1181</v>
      </c>
      <c r="B269" s="317" t="s">
        <v>939</v>
      </c>
      <c r="C269" s="95">
        <v>0</v>
      </c>
      <c r="D269" s="95">
        <v>0</v>
      </c>
      <c r="E269" s="95"/>
      <c r="F269" s="95"/>
      <c r="G269" s="95" t="s">
        <v>2528</v>
      </c>
      <c r="H269" s="138">
        <v>24878</v>
      </c>
      <c r="I269" s="138"/>
      <c r="J269" s="126">
        <f t="shared" si="32"/>
        <v>24878</v>
      </c>
      <c r="K269" s="318">
        <v>43777</v>
      </c>
      <c r="L269" s="95">
        <v>0</v>
      </c>
      <c r="M269" s="9">
        <f t="shared" si="33"/>
        <v>43777</v>
      </c>
      <c r="N269" s="2" t="str">
        <f t="shared" ca="1" si="34"/>
        <v>Vencido</v>
      </c>
      <c r="O269" s="318"/>
      <c r="P269" s="138"/>
      <c r="Q269" s="2"/>
      <c r="R269" s="2"/>
      <c r="S269" s="95"/>
      <c r="T269" s="313"/>
      <c r="U269" s="393"/>
      <c r="V269" s="95"/>
      <c r="W269" s="129"/>
      <c r="X269" s="318"/>
      <c r="Y269" s="95"/>
      <c r="Z269" s="131" t="s">
        <v>1467</v>
      </c>
      <c r="AA269" s="108" t="str">
        <f t="shared" si="35"/>
        <v/>
      </c>
      <c r="AB269" s="2"/>
      <c r="AC269" s="131">
        <f t="shared" si="36"/>
        <v>20905.882352941178</v>
      </c>
      <c r="AD269" s="108">
        <f t="shared" si="37"/>
        <v>3972.1176470588216</v>
      </c>
      <c r="AE269" s="95" t="s">
        <v>1445</v>
      </c>
      <c r="AF269" s="533" t="s">
        <v>3490</v>
      </c>
      <c r="AG269" s="2" t="str">
        <f t="shared" ca="1" si="38"/>
        <v>NO</v>
      </c>
      <c r="AH269" s="284"/>
      <c r="AI269" s="533"/>
      <c r="AJ269" s="2" t="str">
        <f t="shared" si="39"/>
        <v>NV</v>
      </c>
      <c r="AK269" s="303"/>
    </row>
    <row r="270" spans="1:37" x14ac:dyDescent="0.25">
      <c r="A270" s="542" t="s">
        <v>1213</v>
      </c>
      <c r="B270" s="317" t="s">
        <v>985</v>
      </c>
      <c r="C270" s="95">
        <v>0</v>
      </c>
      <c r="D270" s="95">
        <v>0</v>
      </c>
      <c r="E270" s="95"/>
      <c r="F270" s="95"/>
      <c r="G270" s="95">
        <v>6097</v>
      </c>
      <c r="H270" s="138">
        <v>48800</v>
      </c>
      <c r="I270" s="138"/>
      <c r="J270" s="126">
        <f t="shared" si="32"/>
        <v>48800</v>
      </c>
      <c r="K270" s="318">
        <v>43778</v>
      </c>
      <c r="L270" s="95">
        <v>0</v>
      </c>
      <c r="M270" s="9">
        <f t="shared" si="33"/>
        <v>43778</v>
      </c>
      <c r="N270" s="2" t="str">
        <f t="shared" si="34"/>
        <v>Pagado</v>
      </c>
      <c r="O270" s="318">
        <v>43804</v>
      </c>
      <c r="P270" s="138">
        <v>48800</v>
      </c>
      <c r="Q270" s="2" t="s">
        <v>1481</v>
      </c>
      <c r="R270" s="2"/>
      <c r="S270" s="95"/>
      <c r="T270" s="9"/>
      <c r="U270" s="393"/>
      <c r="V270" s="95"/>
      <c r="W270" s="129"/>
      <c r="X270" s="318"/>
      <c r="Y270" s="95"/>
      <c r="Z270" s="131" t="s">
        <v>1467</v>
      </c>
      <c r="AA270" s="108" t="str">
        <f t="shared" si="35"/>
        <v/>
      </c>
      <c r="AB270" s="2"/>
      <c r="AC270" s="131">
        <f t="shared" si="36"/>
        <v>41008.403361344543</v>
      </c>
      <c r="AD270" s="108">
        <f t="shared" si="37"/>
        <v>7791.5966386554574</v>
      </c>
      <c r="AE270" s="95" t="s">
        <v>1501</v>
      </c>
      <c r="AF270" s="541" t="s">
        <v>3489</v>
      </c>
      <c r="AG270" s="2" t="str">
        <f t="shared" si="38"/>
        <v>SI</v>
      </c>
      <c r="AH270" s="284"/>
      <c r="AI270" s="541"/>
      <c r="AJ270" s="2" t="str">
        <f t="shared" si="39"/>
        <v>NV</v>
      </c>
      <c r="AK270" s="303"/>
    </row>
    <row r="271" spans="1:37" x14ac:dyDescent="0.25">
      <c r="A271" s="542" t="s">
        <v>4403</v>
      </c>
      <c r="B271" s="317" t="s">
        <v>4405</v>
      </c>
      <c r="C271" s="95">
        <v>0</v>
      </c>
      <c r="D271" s="95">
        <v>2687</v>
      </c>
      <c r="E271" s="95"/>
      <c r="F271" s="95"/>
      <c r="G271" s="95">
        <v>6102</v>
      </c>
      <c r="H271" s="138">
        <v>29600</v>
      </c>
      <c r="I271" s="138"/>
      <c r="J271" s="126">
        <f t="shared" si="32"/>
        <v>29600</v>
      </c>
      <c r="K271" s="318">
        <v>43778</v>
      </c>
      <c r="L271" s="95">
        <v>0</v>
      </c>
      <c r="M271" s="9">
        <f t="shared" si="33"/>
        <v>43778</v>
      </c>
      <c r="N271" s="2" t="str">
        <f t="shared" si="34"/>
        <v>Pagado</v>
      </c>
      <c r="O271" s="318">
        <v>43780</v>
      </c>
      <c r="P271" s="138">
        <v>29600</v>
      </c>
      <c r="Q271" s="2" t="s">
        <v>1484</v>
      </c>
      <c r="R271" s="2"/>
      <c r="S271" s="95"/>
      <c r="T271" s="313" t="s">
        <v>1488</v>
      </c>
      <c r="U271" s="393"/>
      <c r="V271" s="95"/>
      <c r="W271" s="129"/>
      <c r="X271" s="318"/>
      <c r="Y271" s="95"/>
      <c r="Z271" s="131" t="s">
        <v>1467</v>
      </c>
      <c r="AA271" s="108" t="str">
        <f t="shared" si="35"/>
        <v/>
      </c>
      <c r="AB271" s="2"/>
      <c r="AC271" s="131">
        <f t="shared" si="36"/>
        <v>24873.949579831933</v>
      </c>
      <c r="AD271" s="108">
        <f t="shared" si="37"/>
        <v>4726.0504201680669</v>
      </c>
      <c r="AE271" s="95" t="s">
        <v>1501</v>
      </c>
      <c r="AF271" s="541" t="s">
        <v>3487</v>
      </c>
      <c r="AG271" s="2" t="str">
        <f t="shared" si="38"/>
        <v>SI</v>
      </c>
      <c r="AH271" s="284"/>
      <c r="AI271" s="541"/>
      <c r="AJ271" s="2" t="str">
        <f t="shared" si="39"/>
        <v>NV</v>
      </c>
      <c r="AK271" s="303"/>
    </row>
    <row r="272" spans="1:37" x14ac:dyDescent="0.25">
      <c r="A272" s="542" t="s">
        <v>4947</v>
      </c>
      <c r="B272" s="317" t="s">
        <v>4948</v>
      </c>
      <c r="C272" s="95">
        <v>0</v>
      </c>
      <c r="D272" s="95">
        <v>2685</v>
      </c>
      <c r="E272" s="95"/>
      <c r="F272" s="95"/>
      <c r="G272" s="95">
        <v>6098</v>
      </c>
      <c r="H272" s="138">
        <v>26300</v>
      </c>
      <c r="I272" s="138"/>
      <c r="J272" s="126">
        <f t="shared" si="32"/>
        <v>26300</v>
      </c>
      <c r="K272" s="318">
        <v>43778</v>
      </c>
      <c r="L272" s="95">
        <v>0</v>
      </c>
      <c r="M272" s="9">
        <f t="shared" si="33"/>
        <v>43778</v>
      </c>
      <c r="N272" s="2" t="str">
        <f t="shared" si="34"/>
        <v>Pagado</v>
      </c>
      <c r="O272" s="318">
        <v>43780</v>
      </c>
      <c r="P272" s="138">
        <v>26300</v>
      </c>
      <c r="Q272" s="2" t="s">
        <v>1484</v>
      </c>
      <c r="R272" s="2"/>
      <c r="S272" s="95"/>
      <c r="T272" s="9" t="s">
        <v>1488</v>
      </c>
      <c r="U272" s="393"/>
      <c r="V272" s="95"/>
      <c r="W272" s="129"/>
      <c r="X272" s="318"/>
      <c r="Y272" s="95"/>
      <c r="Z272" s="131" t="s">
        <v>1467</v>
      </c>
      <c r="AA272" s="108" t="str">
        <f t="shared" si="35"/>
        <v/>
      </c>
      <c r="AB272" s="2"/>
      <c r="AC272" s="131">
        <f t="shared" si="36"/>
        <v>22100.840336134454</v>
      </c>
      <c r="AD272" s="108">
        <f t="shared" si="37"/>
        <v>4199.1596638655465</v>
      </c>
      <c r="AE272" s="95" t="s">
        <v>1501</v>
      </c>
      <c r="AF272" s="541" t="s">
        <v>3487</v>
      </c>
      <c r="AG272" s="2" t="str">
        <f t="shared" si="38"/>
        <v>SI</v>
      </c>
      <c r="AH272" s="284"/>
      <c r="AI272" s="541"/>
      <c r="AJ272" s="2" t="str">
        <f t="shared" si="39"/>
        <v>NV</v>
      </c>
      <c r="AK272" s="303"/>
    </row>
    <row r="273" spans="1:37" x14ac:dyDescent="0.25">
      <c r="A273" s="499" t="s">
        <v>5377</v>
      </c>
      <c r="B273" s="317" t="s">
        <v>5378</v>
      </c>
      <c r="C273" s="95">
        <v>0</v>
      </c>
      <c r="D273" s="95">
        <v>2686</v>
      </c>
      <c r="E273" s="95"/>
      <c r="F273" s="95"/>
      <c r="G273" s="95">
        <v>6101</v>
      </c>
      <c r="H273" s="138">
        <v>11500</v>
      </c>
      <c r="I273" s="138"/>
      <c r="J273" s="126">
        <f t="shared" si="32"/>
        <v>11500</v>
      </c>
      <c r="K273" s="318">
        <v>43778</v>
      </c>
      <c r="L273" s="95">
        <v>0</v>
      </c>
      <c r="M273" s="313">
        <f t="shared" si="33"/>
        <v>43778</v>
      </c>
      <c r="N273" s="2" t="str">
        <f t="shared" si="34"/>
        <v>Pagado</v>
      </c>
      <c r="O273" s="318">
        <v>43778</v>
      </c>
      <c r="P273" s="138">
        <v>11500</v>
      </c>
      <c r="Q273" s="2" t="s">
        <v>1481</v>
      </c>
      <c r="R273" s="2"/>
      <c r="S273" s="95"/>
      <c r="T273" s="313"/>
      <c r="U273" s="393"/>
      <c r="V273" s="95"/>
      <c r="W273" s="129"/>
      <c r="X273" s="318"/>
      <c r="Y273" s="95"/>
      <c r="Z273" s="131" t="s">
        <v>1467</v>
      </c>
      <c r="AA273" s="108" t="str">
        <f t="shared" si="35"/>
        <v/>
      </c>
      <c r="AB273" s="2"/>
      <c r="AC273" s="131">
        <f t="shared" si="36"/>
        <v>9663.865546218487</v>
      </c>
      <c r="AD273" s="108">
        <f t="shared" si="37"/>
        <v>1836.134453781513</v>
      </c>
      <c r="AE273" s="95" t="s">
        <v>1501</v>
      </c>
      <c r="AF273" s="498" t="s">
        <v>3487</v>
      </c>
      <c r="AG273" s="2" t="str">
        <f t="shared" si="38"/>
        <v>SI</v>
      </c>
      <c r="AH273" s="284"/>
      <c r="AI273" s="498"/>
      <c r="AJ273" s="2" t="str">
        <f t="shared" si="39"/>
        <v>NV</v>
      </c>
      <c r="AK273" s="303"/>
    </row>
    <row r="274" spans="1:37" x14ac:dyDescent="0.25">
      <c r="A274" s="534" t="s">
        <v>4804</v>
      </c>
      <c r="B274" s="317" t="s">
        <v>4805</v>
      </c>
      <c r="C274" s="95">
        <v>0</v>
      </c>
      <c r="D274" s="95">
        <v>166</v>
      </c>
      <c r="E274" s="95"/>
      <c r="F274" s="95"/>
      <c r="G274" s="95">
        <v>6100</v>
      </c>
      <c r="H274" s="138">
        <v>22700</v>
      </c>
      <c r="I274" s="138"/>
      <c r="J274" s="126">
        <f t="shared" si="32"/>
        <v>22700</v>
      </c>
      <c r="K274" s="318">
        <v>43778</v>
      </c>
      <c r="L274" s="95">
        <v>0</v>
      </c>
      <c r="M274" s="9">
        <f t="shared" si="33"/>
        <v>43778</v>
      </c>
      <c r="N274" s="2" t="str">
        <f t="shared" si="34"/>
        <v>Pagado</v>
      </c>
      <c r="O274" s="318">
        <v>43778</v>
      </c>
      <c r="P274" s="138">
        <v>22700</v>
      </c>
      <c r="Q274" s="2" t="s">
        <v>1070</v>
      </c>
      <c r="R274" s="2" t="s">
        <v>1478</v>
      </c>
      <c r="S274" s="95">
        <v>166</v>
      </c>
      <c r="T274" s="313"/>
      <c r="U274" s="393"/>
      <c r="V274" s="95"/>
      <c r="W274" s="129"/>
      <c r="X274" s="318"/>
      <c r="Y274" s="95"/>
      <c r="Z274" s="131" t="s">
        <v>1467</v>
      </c>
      <c r="AA274" s="108" t="str">
        <f t="shared" si="35"/>
        <v/>
      </c>
      <c r="AB274" s="2"/>
      <c r="AC274" s="131">
        <f t="shared" si="36"/>
        <v>19075.63025210084</v>
      </c>
      <c r="AD274" s="108">
        <f t="shared" si="37"/>
        <v>3624.3697478991598</v>
      </c>
      <c r="AE274" s="95" t="s">
        <v>1501</v>
      </c>
      <c r="AF274" s="533" t="s">
        <v>3487</v>
      </c>
      <c r="AG274" s="2" t="str">
        <f t="shared" si="38"/>
        <v>SI</v>
      </c>
      <c r="AH274" s="284"/>
      <c r="AI274" s="533"/>
      <c r="AJ274" s="2" t="str">
        <f t="shared" si="39"/>
        <v>NV</v>
      </c>
      <c r="AK274" s="303"/>
    </row>
    <row r="275" spans="1:37" x14ac:dyDescent="0.25">
      <c r="A275" s="499" t="s">
        <v>4807</v>
      </c>
      <c r="B275" s="317" t="s">
        <v>4808</v>
      </c>
      <c r="C275" s="95">
        <v>0</v>
      </c>
      <c r="D275" s="95">
        <v>167</v>
      </c>
      <c r="E275" s="95"/>
      <c r="F275" s="95"/>
      <c r="G275" s="95">
        <v>6095</v>
      </c>
      <c r="H275" s="138">
        <v>46000</v>
      </c>
      <c r="I275" s="138"/>
      <c r="J275" s="126">
        <f t="shared" si="32"/>
        <v>46000</v>
      </c>
      <c r="K275" s="318">
        <v>43778</v>
      </c>
      <c r="L275" s="95">
        <v>0</v>
      </c>
      <c r="M275" s="9">
        <f t="shared" si="33"/>
        <v>43778</v>
      </c>
      <c r="N275" s="2" t="str">
        <f t="shared" si="34"/>
        <v>Pagado</v>
      </c>
      <c r="O275" s="318">
        <v>43778</v>
      </c>
      <c r="P275" s="138">
        <v>46000</v>
      </c>
      <c r="Q275" s="2" t="s">
        <v>1070</v>
      </c>
      <c r="R275" s="2" t="s">
        <v>2243</v>
      </c>
      <c r="S275" s="95">
        <v>167</v>
      </c>
      <c r="T275" s="9"/>
      <c r="U275" s="393"/>
      <c r="V275" s="95"/>
      <c r="W275" s="129"/>
      <c r="X275" s="318"/>
      <c r="Y275" s="95"/>
      <c r="Z275" s="131" t="s">
        <v>1467</v>
      </c>
      <c r="AA275" s="108" t="str">
        <f t="shared" si="35"/>
        <v/>
      </c>
      <c r="AB275" s="2"/>
      <c r="AC275" s="131">
        <f t="shared" si="36"/>
        <v>38655.462184873948</v>
      </c>
      <c r="AD275" s="108">
        <f t="shared" si="37"/>
        <v>7344.537815126052</v>
      </c>
      <c r="AE275" s="95" t="s">
        <v>1501</v>
      </c>
      <c r="AF275" s="498" t="s">
        <v>3487</v>
      </c>
      <c r="AG275" s="2" t="str">
        <f t="shared" si="38"/>
        <v>SI</v>
      </c>
      <c r="AH275" s="284"/>
      <c r="AI275" s="498"/>
      <c r="AJ275" s="2" t="str">
        <f t="shared" si="39"/>
        <v>NV</v>
      </c>
      <c r="AK275" s="303"/>
    </row>
    <row r="276" spans="1:37" x14ac:dyDescent="0.25">
      <c r="A276" s="499" t="s">
        <v>2344</v>
      </c>
      <c r="B276" s="317" t="s">
        <v>2345</v>
      </c>
      <c r="C276" s="95">
        <v>0</v>
      </c>
      <c r="D276" s="95">
        <v>2682</v>
      </c>
      <c r="E276" s="95"/>
      <c r="F276" s="95"/>
      <c r="G276" s="95">
        <v>6094</v>
      </c>
      <c r="H276" s="138">
        <v>33000</v>
      </c>
      <c r="I276" s="138"/>
      <c r="J276" s="126">
        <f t="shared" si="32"/>
        <v>33000</v>
      </c>
      <c r="K276" s="318">
        <v>43778</v>
      </c>
      <c r="L276" s="95">
        <v>0</v>
      </c>
      <c r="M276" s="9">
        <f t="shared" si="33"/>
        <v>43778</v>
      </c>
      <c r="N276" s="2" t="str">
        <f t="shared" si="34"/>
        <v>Pagado</v>
      </c>
      <c r="O276" s="318">
        <v>43781</v>
      </c>
      <c r="P276" s="138">
        <v>33000</v>
      </c>
      <c r="Q276" s="2" t="s">
        <v>1484</v>
      </c>
      <c r="R276" s="2"/>
      <c r="S276" s="95"/>
      <c r="T276" s="9" t="s">
        <v>1496</v>
      </c>
      <c r="U276" s="393"/>
      <c r="V276" s="95"/>
      <c r="W276" s="129"/>
      <c r="X276" s="318"/>
      <c r="Y276" s="95"/>
      <c r="Z276" s="131" t="s">
        <v>1467</v>
      </c>
      <c r="AA276" s="108" t="str">
        <f t="shared" si="35"/>
        <v/>
      </c>
      <c r="AB276" s="2"/>
      <c r="AC276" s="131">
        <f t="shared" si="36"/>
        <v>27731.092436974792</v>
      </c>
      <c r="AD276" s="108">
        <f t="shared" si="37"/>
        <v>5268.9075630252082</v>
      </c>
      <c r="AE276" s="95" t="s">
        <v>1501</v>
      </c>
      <c r="AF276" s="498" t="s">
        <v>3487</v>
      </c>
      <c r="AG276" s="2" t="str">
        <f t="shared" si="38"/>
        <v>SI</v>
      </c>
      <c r="AH276" s="284"/>
      <c r="AI276" s="498"/>
      <c r="AJ276" s="2" t="str">
        <f t="shared" si="39"/>
        <v>NV</v>
      </c>
      <c r="AK276" s="303"/>
    </row>
    <row r="277" spans="1:37" x14ac:dyDescent="0.25">
      <c r="A277" s="534" t="s">
        <v>4794</v>
      </c>
      <c r="B277" s="317" t="s">
        <v>4795</v>
      </c>
      <c r="C277" s="95">
        <v>0</v>
      </c>
      <c r="D277" s="95">
        <v>2683</v>
      </c>
      <c r="E277" s="95"/>
      <c r="F277" s="95"/>
      <c r="G277" s="95">
        <v>6099</v>
      </c>
      <c r="H277" s="138">
        <v>37400</v>
      </c>
      <c r="I277" s="138"/>
      <c r="J277" s="126">
        <f t="shared" si="32"/>
        <v>37400</v>
      </c>
      <c r="K277" s="318">
        <v>43778</v>
      </c>
      <c r="L277" s="95">
        <v>0</v>
      </c>
      <c r="M277" s="9">
        <f t="shared" si="33"/>
        <v>43778</v>
      </c>
      <c r="N277" s="2" t="str">
        <f t="shared" si="34"/>
        <v>Pagado</v>
      </c>
      <c r="O277" s="318">
        <v>43781</v>
      </c>
      <c r="P277" s="138">
        <v>37400</v>
      </c>
      <c r="Q277" s="2" t="s">
        <v>1484</v>
      </c>
      <c r="R277" s="2"/>
      <c r="S277" s="95"/>
      <c r="T277" s="9" t="s">
        <v>1492</v>
      </c>
      <c r="U277" s="393"/>
      <c r="V277" s="95"/>
      <c r="W277" s="129"/>
      <c r="X277" s="318"/>
      <c r="Y277" s="95"/>
      <c r="Z277" s="131" t="s">
        <v>1467</v>
      </c>
      <c r="AA277" s="108" t="str">
        <f t="shared" si="35"/>
        <v/>
      </c>
      <c r="AB277" s="2"/>
      <c r="AC277" s="131">
        <f t="shared" si="36"/>
        <v>31428.571428571431</v>
      </c>
      <c r="AD277" s="108">
        <f t="shared" si="37"/>
        <v>5971.4285714285688</v>
      </c>
      <c r="AE277" s="95" t="s">
        <v>1501</v>
      </c>
      <c r="AF277" s="533" t="s">
        <v>3487</v>
      </c>
      <c r="AG277" s="2" t="str">
        <f t="shared" si="38"/>
        <v>SI</v>
      </c>
      <c r="AH277" s="284"/>
      <c r="AI277" s="533"/>
      <c r="AJ277" s="2" t="str">
        <f t="shared" si="39"/>
        <v>NV</v>
      </c>
      <c r="AK277" s="303"/>
    </row>
    <row r="278" spans="1:37" x14ac:dyDescent="0.25">
      <c r="A278" s="499" t="s">
        <v>5273</v>
      </c>
      <c r="B278" s="317" t="s">
        <v>5274</v>
      </c>
      <c r="C278" s="95">
        <v>0</v>
      </c>
      <c r="D278" s="95">
        <v>2681</v>
      </c>
      <c r="E278" s="95"/>
      <c r="F278" s="95"/>
      <c r="G278" s="95">
        <v>6093</v>
      </c>
      <c r="H278" s="138">
        <v>39400</v>
      </c>
      <c r="I278" s="138"/>
      <c r="J278" s="126">
        <f t="shared" si="32"/>
        <v>39400</v>
      </c>
      <c r="K278" s="318">
        <v>43778</v>
      </c>
      <c r="L278" s="95">
        <v>0</v>
      </c>
      <c r="M278" s="9">
        <f t="shared" si="33"/>
        <v>43778</v>
      </c>
      <c r="N278" s="2" t="str">
        <f t="shared" si="34"/>
        <v>Pagado</v>
      </c>
      <c r="O278" s="318">
        <v>43777</v>
      </c>
      <c r="P278" s="138">
        <v>39400</v>
      </c>
      <c r="Q278" s="2" t="s">
        <v>1484</v>
      </c>
      <c r="R278" s="2"/>
      <c r="S278" s="95"/>
      <c r="T278" s="9" t="s">
        <v>1462</v>
      </c>
      <c r="U278" s="393"/>
      <c r="V278" s="95"/>
      <c r="W278" s="129"/>
      <c r="X278" s="318"/>
      <c r="Y278" s="95"/>
      <c r="Z278" s="131" t="s">
        <v>1467</v>
      </c>
      <c r="AA278" s="108" t="str">
        <f t="shared" si="35"/>
        <v/>
      </c>
      <c r="AB278" s="2"/>
      <c r="AC278" s="131">
        <f t="shared" si="36"/>
        <v>33109.243697478996</v>
      </c>
      <c r="AD278" s="108">
        <f t="shared" si="37"/>
        <v>6290.7563025210038</v>
      </c>
      <c r="AE278" s="95" t="s">
        <v>1501</v>
      </c>
      <c r="AF278" s="498" t="s">
        <v>3487</v>
      </c>
      <c r="AG278" s="2" t="str">
        <f t="shared" si="38"/>
        <v>SI</v>
      </c>
      <c r="AH278" s="284"/>
      <c r="AI278" s="498"/>
      <c r="AJ278" s="2" t="str">
        <f t="shared" si="39"/>
        <v>NV</v>
      </c>
      <c r="AK278" s="303"/>
    </row>
    <row r="279" spans="1:37" x14ac:dyDescent="0.25">
      <c r="A279" s="499" t="s">
        <v>5374</v>
      </c>
      <c r="B279" s="317" t="s">
        <v>5375</v>
      </c>
      <c r="C279" s="95">
        <v>0</v>
      </c>
      <c r="D279" s="95">
        <v>165</v>
      </c>
      <c r="E279" s="95"/>
      <c r="F279" s="95"/>
      <c r="G279" s="95">
        <v>6096</v>
      </c>
      <c r="H279" s="138">
        <v>16500</v>
      </c>
      <c r="I279" s="138"/>
      <c r="J279" s="126">
        <f t="shared" si="32"/>
        <v>16500</v>
      </c>
      <c r="K279" s="318">
        <v>43778</v>
      </c>
      <c r="L279" s="95">
        <v>0</v>
      </c>
      <c r="M279" s="9">
        <f t="shared" si="33"/>
        <v>43778</v>
      </c>
      <c r="N279" s="2" t="str">
        <f t="shared" si="34"/>
        <v>Pagado</v>
      </c>
      <c r="O279" s="318">
        <v>43778</v>
      </c>
      <c r="P279" s="138">
        <v>16500</v>
      </c>
      <c r="Q279" s="2" t="s">
        <v>1070</v>
      </c>
      <c r="R279" s="2" t="s">
        <v>2243</v>
      </c>
      <c r="S279" s="95">
        <v>165</v>
      </c>
      <c r="T279" s="9"/>
      <c r="U279" s="393"/>
      <c r="V279" s="95"/>
      <c r="W279" s="129"/>
      <c r="X279" s="318"/>
      <c r="Y279" s="95"/>
      <c r="Z279" s="131" t="s">
        <v>1467</v>
      </c>
      <c r="AA279" s="108" t="str">
        <f t="shared" si="35"/>
        <v/>
      </c>
      <c r="AB279" s="2"/>
      <c r="AC279" s="131">
        <f t="shared" si="36"/>
        <v>13865.546218487396</v>
      </c>
      <c r="AD279" s="108">
        <f t="shared" si="37"/>
        <v>2634.4537815126041</v>
      </c>
      <c r="AE279" s="95" t="s">
        <v>1501</v>
      </c>
      <c r="AF279" s="498" t="s">
        <v>3487</v>
      </c>
      <c r="AG279" s="2" t="str">
        <f t="shared" si="38"/>
        <v>SI</v>
      </c>
      <c r="AH279" s="284"/>
      <c r="AI279" s="498"/>
      <c r="AJ279" s="2" t="str">
        <f t="shared" si="39"/>
        <v>NV</v>
      </c>
      <c r="AK279" s="303"/>
    </row>
    <row r="280" spans="1:37" x14ac:dyDescent="0.25">
      <c r="A280" s="499" t="s">
        <v>1197</v>
      </c>
      <c r="B280" s="317" t="s">
        <v>2236</v>
      </c>
      <c r="C280" s="95">
        <v>2981</v>
      </c>
      <c r="D280" s="95">
        <v>0</v>
      </c>
      <c r="E280" s="95"/>
      <c r="F280" s="95"/>
      <c r="G280" s="95" t="s">
        <v>2528</v>
      </c>
      <c r="H280" s="138">
        <v>199114</v>
      </c>
      <c r="I280" s="138"/>
      <c r="J280" s="332">
        <f t="shared" si="32"/>
        <v>199114</v>
      </c>
      <c r="K280" s="318">
        <v>43778</v>
      </c>
      <c r="L280" s="95">
        <v>30</v>
      </c>
      <c r="M280" s="9">
        <f t="shared" si="33"/>
        <v>43808</v>
      </c>
      <c r="N280" s="2" t="str">
        <f t="shared" si="34"/>
        <v>Pagado</v>
      </c>
      <c r="O280" s="318">
        <v>43795</v>
      </c>
      <c r="P280" s="138">
        <v>199114</v>
      </c>
      <c r="Q280" s="2" t="s">
        <v>2131</v>
      </c>
      <c r="R280" s="2"/>
      <c r="S280" s="95">
        <v>487821</v>
      </c>
      <c r="T280" s="9" t="s">
        <v>1496</v>
      </c>
      <c r="U280" s="393">
        <v>43808</v>
      </c>
      <c r="V280" s="95"/>
      <c r="W280" s="129"/>
      <c r="X280" s="318"/>
      <c r="Y280" s="95"/>
      <c r="Z280" s="131" t="s">
        <v>1467</v>
      </c>
      <c r="AA280" s="108" t="str">
        <f t="shared" si="35"/>
        <v>Otros</v>
      </c>
      <c r="AB280" s="2"/>
      <c r="AC280" s="131">
        <f t="shared" si="36"/>
        <v>167322.68907563025</v>
      </c>
      <c r="AD280" s="108">
        <f t="shared" si="37"/>
        <v>31791.310924369755</v>
      </c>
      <c r="AE280" s="95" t="s">
        <v>1501</v>
      </c>
      <c r="AF280" s="498" t="s">
        <v>3490</v>
      </c>
      <c r="AG280" s="2" t="str">
        <f t="shared" si="38"/>
        <v>SI</v>
      </c>
      <c r="AH280" s="284"/>
      <c r="AI280" s="498"/>
      <c r="AJ280" s="2" t="str">
        <f t="shared" si="39"/>
        <v>Factura</v>
      </c>
      <c r="AK280" s="303"/>
    </row>
    <row r="281" spans="1:37" x14ac:dyDescent="0.25">
      <c r="A281" s="458" t="s">
        <v>1197</v>
      </c>
      <c r="B281" s="317" t="s">
        <v>2236</v>
      </c>
      <c r="C281" s="95">
        <v>0</v>
      </c>
      <c r="D281" s="95">
        <v>2684</v>
      </c>
      <c r="E281" s="95"/>
      <c r="F281" s="95"/>
      <c r="G281" s="95" t="s">
        <v>2528</v>
      </c>
      <c r="H281" s="138">
        <v>15600</v>
      </c>
      <c r="I281" s="138"/>
      <c r="J281" s="332">
        <f t="shared" si="32"/>
        <v>15600</v>
      </c>
      <c r="K281" s="318">
        <v>43778</v>
      </c>
      <c r="L281" s="95">
        <v>30</v>
      </c>
      <c r="M281" s="9">
        <f t="shared" si="33"/>
        <v>43808</v>
      </c>
      <c r="N281" s="2" t="str">
        <f t="shared" ca="1" si="34"/>
        <v>Vencido</v>
      </c>
      <c r="O281" s="318"/>
      <c r="P281" s="138"/>
      <c r="Q281" s="2"/>
      <c r="R281" s="2"/>
      <c r="S281" s="95"/>
      <c r="T281" s="9"/>
      <c r="U281" s="393"/>
      <c r="V281" s="95"/>
      <c r="W281" s="129"/>
      <c r="X281" s="318"/>
      <c r="Y281" s="95"/>
      <c r="Z281" s="131" t="s">
        <v>1467</v>
      </c>
      <c r="AA281" s="108" t="str">
        <f t="shared" si="35"/>
        <v/>
      </c>
      <c r="AB281" s="2"/>
      <c r="AC281" s="131">
        <f t="shared" si="36"/>
        <v>13109.243697478993</v>
      </c>
      <c r="AD281" s="108">
        <f t="shared" si="37"/>
        <v>2490.7563025210075</v>
      </c>
      <c r="AE281" s="95" t="s">
        <v>1501</v>
      </c>
      <c r="AF281" s="457" t="s">
        <v>3490</v>
      </c>
      <c r="AG281" s="2" t="str">
        <f t="shared" ca="1" si="38"/>
        <v>NO</v>
      </c>
      <c r="AH281" s="284"/>
      <c r="AI281" s="457"/>
      <c r="AJ281" s="2" t="str">
        <f t="shared" si="39"/>
        <v>NV</v>
      </c>
      <c r="AK281" s="303"/>
    </row>
    <row r="282" spans="1:37" x14ac:dyDescent="0.25">
      <c r="A282" s="542" t="s">
        <v>1183</v>
      </c>
      <c r="B282" s="317" t="s">
        <v>1999</v>
      </c>
      <c r="C282" s="95">
        <v>2982</v>
      </c>
      <c r="D282" s="95">
        <v>0</v>
      </c>
      <c r="E282" s="95"/>
      <c r="F282" s="95"/>
      <c r="G282" s="95" t="s">
        <v>2528</v>
      </c>
      <c r="H282" s="138">
        <v>54490</v>
      </c>
      <c r="I282" s="138"/>
      <c r="J282" s="126">
        <f t="shared" si="32"/>
        <v>54490</v>
      </c>
      <c r="K282" s="318">
        <v>43780</v>
      </c>
      <c r="L282" s="95">
        <v>30</v>
      </c>
      <c r="M282" s="9">
        <f t="shared" si="33"/>
        <v>43810</v>
      </c>
      <c r="N282" s="2" t="str">
        <f t="shared" si="34"/>
        <v>Pagado</v>
      </c>
      <c r="O282" s="318">
        <v>43780</v>
      </c>
      <c r="P282" s="138">
        <v>54490</v>
      </c>
      <c r="Q282" s="2" t="s">
        <v>1484</v>
      </c>
      <c r="R282" s="2"/>
      <c r="S282" s="95"/>
      <c r="T282" s="313" t="s">
        <v>1488</v>
      </c>
      <c r="U282" s="393"/>
      <c r="V282" s="95"/>
      <c r="W282" s="129"/>
      <c r="X282" s="318"/>
      <c r="Y282" s="95"/>
      <c r="Z282" s="131"/>
      <c r="AA282" s="108" t="str">
        <f t="shared" si="35"/>
        <v/>
      </c>
      <c r="AB282" s="2"/>
      <c r="AC282" s="131">
        <f t="shared" si="36"/>
        <v>45789.915966386558</v>
      </c>
      <c r="AD282" s="108">
        <f t="shared" si="37"/>
        <v>8700.0840336134424</v>
      </c>
      <c r="AE282" s="95" t="s">
        <v>1445</v>
      </c>
      <c r="AF282" s="541" t="s">
        <v>3490</v>
      </c>
      <c r="AG282" s="2" t="str">
        <f t="shared" si="38"/>
        <v>SI</v>
      </c>
      <c r="AH282" s="284"/>
      <c r="AI282" s="541"/>
      <c r="AJ282" s="2" t="str">
        <f t="shared" si="39"/>
        <v>Factura</v>
      </c>
      <c r="AK282" s="303"/>
    </row>
    <row r="283" spans="1:37" x14ac:dyDescent="0.25">
      <c r="A283" s="501" t="s">
        <v>2598</v>
      </c>
      <c r="B283" s="317" t="s">
        <v>2599</v>
      </c>
      <c r="C283" s="95">
        <v>0</v>
      </c>
      <c r="D283" s="95">
        <v>0</v>
      </c>
      <c r="E283" s="95"/>
      <c r="F283" s="95"/>
      <c r="G283" s="95">
        <v>6106</v>
      </c>
      <c r="H283" s="138">
        <v>14800</v>
      </c>
      <c r="I283" s="138"/>
      <c r="J283" s="126">
        <f t="shared" si="32"/>
        <v>14800</v>
      </c>
      <c r="K283" s="318">
        <v>43780</v>
      </c>
      <c r="L283" s="95">
        <v>0</v>
      </c>
      <c r="M283" s="9">
        <f t="shared" si="33"/>
        <v>43780</v>
      </c>
      <c r="N283" s="2" t="str">
        <f t="shared" si="34"/>
        <v>Pagado</v>
      </c>
      <c r="O283" s="318">
        <v>43780</v>
      </c>
      <c r="P283" s="138">
        <v>14800</v>
      </c>
      <c r="Q283" s="2" t="s">
        <v>1481</v>
      </c>
      <c r="R283" s="2"/>
      <c r="S283" s="95"/>
      <c r="T283" s="313"/>
      <c r="U283" s="393"/>
      <c r="V283" s="95"/>
      <c r="W283" s="129"/>
      <c r="X283" s="318"/>
      <c r="Y283" s="95"/>
      <c r="Z283" s="131" t="s">
        <v>1467</v>
      </c>
      <c r="AA283" s="108" t="str">
        <f t="shared" si="35"/>
        <v/>
      </c>
      <c r="AB283" s="2"/>
      <c r="AC283" s="131">
        <f t="shared" si="36"/>
        <v>12436.974789915967</v>
      </c>
      <c r="AD283" s="108">
        <f t="shared" si="37"/>
        <v>2363.0252100840335</v>
      </c>
      <c r="AE283" s="95" t="s">
        <v>1501</v>
      </c>
      <c r="AF283" s="500" t="s">
        <v>3489</v>
      </c>
      <c r="AG283" s="2" t="str">
        <f t="shared" si="38"/>
        <v>SI</v>
      </c>
      <c r="AH283" s="284"/>
      <c r="AI283" s="500"/>
      <c r="AJ283" s="2" t="str">
        <f t="shared" si="39"/>
        <v>NV</v>
      </c>
      <c r="AK283" s="303"/>
    </row>
    <row r="284" spans="1:37" x14ac:dyDescent="0.25">
      <c r="A284" s="501" t="s">
        <v>1237</v>
      </c>
      <c r="B284" s="317" t="s">
        <v>2147</v>
      </c>
      <c r="C284" s="95">
        <v>0</v>
      </c>
      <c r="D284" s="95">
        <v>2691</v>
      </c>
      <c r="E284" s="95"/>
      <c r="F284" s="95"/>
      <c r="G284" s="95">
        <v>6105</v>
      </c>
      <c r="H284" s="138">
        <v>56200</v>
      </c>
      <c r="I284" s="138"/>
      <c r="J284" s="126">
        <f t="shared" si="32"/>
        <v>56200</v>
      </c>
      <c r="K284" s="318">
        <v>43780</v>
      </c>
      <c r="L284" s="95">
        <v>0</v>
      </c>
      <c r="M284" s="9">
        <f t="shared" si="33"/>
        <v>43780</v>
      </c>
      <c r="N284" s="2" t="str">
        <f t="shared" si="34"/>
        <v>Pagado</v>
      </c>
      <c r="O284" s="318">
        <v>43780</v>
      </c>
      <c r="P284" s="138">
        <v>56200</v>
      </c>
      <c r="Q284" s="2" t="s">
        <v>1484</v>
      </c>
      <c r="R284" s="2"/>
      <c r="S284" s="95"/>
      <c r="T284" s="9" t="s">
        <v>1496</v>
      </c>
      <c r="U284" s="393"/>
      <c r="V284" s="95"/>
      <c r="W284" s="129"/>
      <c r="X284" s="318"/>
      <c r="Y284" s="95"/>
      <c r="Z284" s="131" t="s">
        <v>1467</v>
      </c>
      <c r="AA284" s="108" t="str">
        <f t="shared" si="35"/>
        <v/>
      </c>
      <c r="AB284" s="2"/>
      <c r="AC284" s="131">
        <f t="shared" si="36"/>
        <v>47226.89075630252</v>
      </c>
      <c r="AD284" s="108">
        <f t="shared" si="37"/>
        <v>8973.1092436974795</v>
      </c>
      <c r="AE284" s="95" t="s">
        <v>1501</v>
      </c>
      <c r="AF284" s="500" t="s">
        <v>3489</v>
      </c>
      <c r="AG284" s="2" t="str">
        <f t="shared" si="38"/>
        <v>SI</v>
      </c>
      <c r="AH284" s="284"/>
      <c r="AI284" s="500"/>
      <c r="AJ284" s="2" t="str">
        <f t="shared" si="39"/>
        <v>NV</v>
      </c>
      <c r="AK284" s="303"/>
    </row>
    <row r="285" spans="1:37" x14ac:dyDescent="0.25">
      <c r="A285" s="499" t="s">
        <v>1399</v>
      </c>
      <c r="B285" s="317" t="s">
        <v>1004</v>
      </c>
      <c r="C285" s="95">
        <v>0</v>
      </c>
      <c r="D285" s="95">
        <v>2688</v>
      </c>
      <c r="E285" s="95"/>
      <c r="F285" s="95"/>
      <c r="G285" s="95">
        <v>6104</v>
      </c>
      <c r="H285" s="138">
        <v>29900</v>
      </c>
      <c r="I285" s="138"/>
      <c r="J285" s="126">
        <f t="shared" si="32"/>
        <v>29900</v>
      </c>
      <c r="K285" s="318">
        <v>43780</v>
      </c>
      <c r="L285" s="95">
        <v>0</v>
      </c>
      <c r="M285" s="9">
        <f t="shared" si="33"/>
        <v>43780</v>
      </c>
      <c r="N285" s="2" t="str">
        <f t="shared" si="34"/>
        <v>Pagado</v>
      </c>
      <c r="O285" s="318">
        <v>43781</v>
      </c>
      <c r="P285" s="138">
        <v>29900</v>
      </c>
      <c r="Q285" s="2" t="s">
        <v>1484</v>
      </c>
      <c r="R285" s="2"/>
      <c r="S285" s="95"/>
      <c r="T285" s="9" t="s">
        <v>1488</v>
      </c>
      <c r="U285" s="393"/>
      <c r="V285" s="95"/>
      <c r="W285" s="129"/>
      <c r="X285" s="318"/>
      <c r="Y285" s="95"/>
      <c r="Z285" s="131" t="s">
        <v>1467</v>
      </c>
      <c r="AA285" s="108" t="str">
        <f t="shared" si="35"/>
        <v/>
      </c>
      <c r="AB285" s="2"/>
      <c r="AC285" s="131">
        <f t="shared" si="36"/>
        <v>25126.050420168067</v>
      </c>
      <c r="AD285" s="108">
        <f t="shared" si="37"/>
        <v>4773.9495798319331</v>
      </c>
      <c r="AE285" s="95" t="s">
        <v>1501</v>
      </c>
      <c r="AF285" s="533" t="s">
        <v>3487</v>
      </c>
      <c r="AG285" s="2" t="str">
        <f t="shared" si="38"/>
        <v>SI</v>
      </c>
      <c r="AH285" s="284"/>
      <c r="AI285" s="533"/>
      <c r="AJ285" s="2" t="str">
        <f t="shared" si="39"/>
        <v>NV</v>
      </c>
      <c r="AK285" s="303"/>
    </row>
    <row r="286" spans="1:37" x14ac:dyDescent="0.25">
      <c r="A286" s="499" t="s">
        <v>1399</v>
      </c>
      <c r="B286" s="317" t="s">
        <v>1004</v>
      </c>
      <c r="C286" s="95">
        <v>0</v>
      </c>
      <c r="D286" s="95">
        <v>2689</v>
      </c>
      <c r="E286" s="95"/>
      <c r="F286" s="95"/>
      <c r="G286" s="95">
        <v>6112</v>
      </c>
      <c r="H286" s="138">
        <v>23000</v>
      </c>
      <c r="I286" s="138"/>
      <c r="J286" s="126">
        <f t="shared" si="32"/>
        <v>23000</v>
      </c>
      <c r="K286" s="318">
        <v>43780</v>
      </c>
      <c r="L286" s="95">
        <v>0</v>
      </c>
      <c r="M286" s="9">
        <f t="shared" si="33"/>
        <v>43780</v>
      </c>
      <c r="N286" s="2" t="str">
        <f t="shared" si="34"/>
        <v>Pagado</v>
      </c>
      <c r="O286" s="318">
        <v>43781</v>
      </c>
      <c r="P286" s="138">
        <v>23000</v>
      </c>
      <c r="Q286" s="2" t="s">
        <v>1484</v>
      </c>
      <c r="R286" s="2"/>
      <c r="S286" s="95"/>
      <c r="T286" s="9" t="s">
        <v>1488</v>
      </c>
      <c r="U286" s="393"/>
      <c r="V286" s="95"/>
      <c r="W286" s="129"/>
      <c r="X286" s="318"/>
      <c r="Y286" s="95"/>
      <c r="Z286" s="131" t="s">
        <v>1467</v>
      </c>
      <c r="AA286" s="108" t="str">
        <f t="shared" si="35"/>
        <v/>
      </c>
      <c r="AB286" s="2"/>
      <c r="AC286" s="131">
        <f t="shared" si="36"/>
        <v>19327.731092436974</v>
      </c>
      <c r="AD286" s="108">
        <f t="shared" si="37"/>
        <v>3672.268907563026</v>
      </c>
      <c r="AE286" s="95" t="s">
        <v>1501</v>
      </c>
      <c r="AF286" s="498" t="s">
        <v>3487</v>
      </c>
      <c r="AG286" s="2" t="str">
        <f t="shared" si="38"/>
        <v>SI</v>
      </c>
      <c r="AH286" s="284"/>
      <c r="AI286" s="498"/>
      <c r="AJ286" s="2" t="str">
        <f t="shared" si="39"/>
        <v>NV</v>
      </c>
      <c r="AK286" s="303"/>
    </row>
    <row r="287" spans="1:37" x14ac:dyDescent="0.25">
      <c r="A287" s="499" t="s">
        <v>1250</v>
      </c>
      <c r="B287" s="317" t="s">
        <v>3398</v>
      </c>
      <c r="C287" s="95">
        <v>0</v>
      </c>
      <c r="D287" s="95">
        <v>2693</v>
      </c>
      <c r="E287" s="95"/>
      <c r="F287" s="95"/>
      <c r="G287" s="95">
        <v>6113</v>
      </c>
      <c r="H287" s="138">
        <v>81600</v>
      </c>
      <c r="I287" s="138"/>
      <c r="J287" s="126">
        <f t="shared" si="32"/>
        <v>81600</v>
      </c>
      <c r="K287" s="318">
        <v>43780</v>
      </c>
      <c r="L287" s="95">
        <v>0</v>
      </c>
      <c r="M287" s="9">
        <f t="shared" si="33"/>
        <v>43780</v>
      </c>
      <c r="N287" s="2" t="str">
        <f t="shared" si="34"/>
        <v>Pagado</v>
      </c>
      <c r="O287" s="318">
        <v>43781</v>
      </c>
      <c r="P287" s="138">
        <v>81600</v>
      </c>
      <c r="Q287" s="2" t="s">
        <v>1484</v>
      </c>
      <c r="R287" s="2"/>
      <c r="S287" s="95"/>
      <c r="T287" s="313" t="s">
        <v>1488</v>
      </c>
      <c r="U287" s="393"/>
      <c r="V287" s="95"/>
      <c r="W287" s="129"/>
      <c r="X287" s="318"/>
      <c r="Y287" s="95"/>
      <c r="Z287" s="131" t="s">
        <v>1467</v>
      </c>
      <c r="AA287" s="108" t="str">
        <f t="shared" si="35"/>
        <v/>
      </c>
      <c r="AB287" s="2"/>
      <c r="AC287" s="131">
        <f t="shared" si="36"/>
        <v>68571.42857142858</v>
      </c>
      <c r="AD287" s="108">
        <f t="shared" si="37"/>
        <v>13028.57142857142</v>
      </c>
      <c r="AE287" s="95" t="s">
        <v>1501</v>
      </c>
      <c r="AF287" s="498" t="s">
        <v>3489</v>
      </c>
      <c r="AG287" s="2" t="str">
        <f t="shared" si="38"/>
        <v>SI</v>
      </c>
      <c r="AH287" s="284"/>
      <c r="AI287" s="498"/>
      <c r="AJ287" s="2" t="str">
        <f t="shared" si="39"/>
        <v>NV</v>
      </c>
      <c r="AK287" s="303"/>
    </row>
    <row r="288" spans="1:37" x14ac:dyDescent="0.25">
      <c r="A288" s="499" t="s">
        <v>1419</v>
      </c>
      <c r="B288" s="317" t="s">
        <v>1119</v>
      </c>
      <c r="C288" s="95">
        <v>0</v>
      </c>
      <c r="D288" s="95">
        <v>2692</v>
      </c>
      <c r="E288" s="95"/>
      <c r="F288" s="95"/>
      <c r="G288" s="95">
        <v>6108</v>
      </c>
      <c r="H288" s="138">
        <v>29000</v>
      </c>
      <c r="I288" s="138"/>
      <c r="J288" s="126">
        <f t="shared" si="32"/>
        <v>29000</v>
      </c>
      <c r="K288" s="318">
        <v>43780</v>
      </c>
      <c r="L288" s="95">
        <v>0</v>
      </c>
      <c r="M288" s="9">
        <f t="shared" si="33"/>
        <v>43780</v>
      </c>
      <c r="N288" s="2" t="str">
        <f t="shared" si="34"/>
        <v>Pagado</v>
      </c>
      <c r="O288" s="318">
        <v>43780</v>
      </c>
      <c r="P288" s="138">
        <v>29000</v>
      </c>
      <c r="Q288" s="2" t="s">
        <v>1481</v>
      </c>
      <c r="R288" s="2"/>
      <c r="S288" s="95"/>
      <c r="T288" s="9"/>
      <c r="U288" s="393"/>
      <c r="V288" s="95"/>
      <c r="W288" s="129"/>
      <c r="X288" s="318"/>
      <c r="Y288" s="95"/>
      <c r="Z288" s="131" t="s">
        <v>1467</v>
      </c>
      <c r="AA288" s="108" t="str">
        <f t="shared" si="35"/>
        <v/>
      </c>
      <c r="AB288" s="2"/>
      <c r="AC288" s="131">
        <f t="shared" si="36"/>
        <v>24369.747899159665</v>
      </c>
      <c r="AD288" s="108">
        <f t="shared" si="37"/>
        <v>4630.2521008403346</v>
      </c>
      <c r="AE288" s="95" t="s">
        <v>1501</v>
      </c>
      <c r="AF288" s="498" t="s">
        <v>3489</v>
      </c>
      <c r="AG288" s="2" t="str">
        <f t="shared" si="38"/>
        <v>SI</v>
      </c>
      <c r="AH288" s="284"/>
      <c r="AI288" s="498"/>
      <c r="AJ288" s="2" t="str">
        <f t="shared" si="39"/>
        <v>NV</v>
      </c>
      <c r="AK288" s="303"/>
    </row>
    <row r="289" spans="1:37" x14ac:dyDescent="0.25">
      <c r="A289" s="499" t="s">
        <v>1197</v>
      </c>
      <c r="B289" s="317" t="s">
        <v>2236</v>
      </c>
      <c r="C289" s="95">
        <v>2983</v>
      </c>
      <c r="D289" s="95">
        <v>0</v>
      </c>
      <c r="E289" s="95"/>
      <c r="F289" s="95"/>
      <c r="G289" s="95" t="s">
        <v>2528</v>
      </c>
      <c r="H289" s="138">
        <v>225077</v>
      </c>
      <c r="I289" s="138"/>
      <c r="J289" s="365">
        <f t="shared" si="32"/>
        <v>225077</v>
      </c>
      <c r="K289" s="318">
        <v>43780</v>
      </c>
      <c r="L289" s="95">
        <v>30</v>
      </c>
      <c r="M289" s="9">
        <f t="shared" si="33"/>
        <v>43810</v>
      </c>
      <c r="N289" s="2" t="str">
        <f t="shared" si="34"/>
        <v>Pagado</v>
      </c>
      <c r="O289" s="318">
        <v>43795</v>
      </c>
      <c r="P289" s="138">
        <v>225077</v>
      </c>
      <c r="Q289" s="2" t="s">
        <v>2131</v>
      </c>
      <c r="R289" s="2"/>
      <c r="S289" s="95">
        <v>487822</v>
      </c>
      <c r="T289" s="9" t="s">
        <v>1496</v>
      </c>
      <c r="U289" s="393">
        <v>43810</v>
      </c>
      <c r="V289" s="95">
        <v>2270732</v>
      </c>
      <c r="W289" s="129">
        <v>225077</v>
      </c>
      <c r="X289" s="318">
        <v>43815</v>
      </c>
      <c r="Y289" s="95" t="s">
        <v>1488</v>
      </c>
      <c r="Z289" s="131" t="s">
        <v>1467</v>
      </c>
      <c r="AA289" s="108" t="str">
        <f t="shared" si="35"/>
        <v>Otros</v>
      </c>
      <c r="AB289" s="2"/>
      <c r="AC289" s="131">
        <f t="shared" si="36"/>
        <v>189140.3361344538</v>
      </c>
      <c r="AD289" s="108">
        <f t="shared" si="37"/>
        <v>35936.663865546201</v>
      </c>
      <c r="AE289" s="95" t="s">
        <v>1501</v>
      </c>
      <c r="AF289" s="498" t="s">
        <v>3490</v>
      </c>
      <c r="AG289" s="2" t="str">
        <f t="shared" si="38"/>
        <v>SI</v>
      </c>
      <c r="AH289" s="284"/>
      <c r="AI289" s="498"/>
      <c r="AJ289" s="2" t="str">
        <f t="shared" si="39"/>
        <v>Factura</v>
      </c>
      <c r="AK289" s="303"/>
    </row>
    <row r="290" spans="1:37" x14ac:dyDescent="0.25">
      <c r="A290" s="499" t="s">
        <v>1368</v>
      </c>
      <c r="B290" s="317" t="s">
        <v>2387</v>
      </c>
      <c r="C290" s="95">
        <v>0</v>
      </c>
      <c r="D290" s="95">
        <v>2690</v>
      </c>
      <c r="E290" s="95"/>
      <c r="F290" s="95"/>
      <c r="G290" s="95">
        <v>6069</v>
      </c>
      <c r="H290" s="138">
        <v>22800</v>
      </c>
      <c r="I290" s="138"/>
      <c r="J290" s="126">
        <f t="shared" si="32"/>
        <v>22800</v>
      </c>
      <c r="K290" s="318">
        <v>43780</v>
      </c>
      <c r="L290" s="95">
        <v>0</v>
      </c>
      <c r="M290" s="9">
        <f t="shared" si="33"/>
        <v>43780</v>
      </c>
      <c r="N290" s="2" t="str">
        <f t="shared" si="34"/>
        <v>Pagado</v>
      </c>
      <c r="O290" s="318">
        <v>43780</v>
      </c>
      <c r="P290" s="138">
        <v>22800</v>
      </c>
      <c r="Q290" s="2" t="s">
        <v>1484</v>
      </c>
      <c r="R290" s="2"/>
      <c r="S290" s="95"/>
      <c r="T290" s="9" t="s">
        <v>1488</v>
      </c>
      <c r="U290" s="393"/>
      <c r="V290" s="95"/>
      <c r="W290" s="129"/>
      <c r="X290" s="318"/>
      <c r="Y290" s="95"/>
      <c r="Z290" s="131" t="s">
        <v>1467</v>
      </c>
      <c r="AA290" s="108" t="str">
        <f t="shared" si="35"/>
        <v/>
      </c>
      <c r="AB290" s="2"/>
      <c r="AC290" s="131">
        <f t="shared" si="36"/>
        <v>19159.663865546219</v>
      </c>
      <c r="AD290" s="108">
        <f t="shared" si="37"/>
        <v>3640.3361344537807</v>
      </c>
      <c r="AE290" s="95" t="s">
        <v>1501</v>
      </c>
      <c r="AF290" s="498" t="s">
        <v>3487</v>
      </c>
      <c r="AG290" s="2" t="str">
        <f t="shared" si="38"/>
        <v>SI</v>
      </c>
      <c r="AH290" s="284"/>
      <c r="AI290" s="498"/>
      <c r="AJ290" s="2" t="str">
        <f t="shared" si="39"/>
        <v>NV</v>
      </c>
      <c r="AK290" s="303"/>
    </row>
    <row r="291" spans="1:37" x14ac:dyDescent="0.25">
      <c r="A291" s="429" t="s">
        <v>5382</v>
      </c>
      <c r="B291" s="317" t="s">
        <v>5383</v>
      </c>
      <c r="C291" s="95">
        <v>0</v>
      </c>
      <c r="D291" s="95">
        <v>169</v>
      </c>
      <c r="E291" s="95"/>
      <c r="F291" s="95"/>
      <c r="G291" s="95">
        <v>6107</v>
      </c>
      <c r="H291" s="138">
        <v>9900</v>
      </c>
      <c r="I291" s="138"/>
      <c r="J291" s="126">
        <f t="shared" si="32"/>
        <v>9900</v>
      </c>
      <c r="K291" s="318">
        <v>43780</v>
      </c>
      <c r="L291" s="95">
        <v>0</v>
      </c>
      <c r="M291" s="9">
        <f t="shared" si="33"/>
        <v>43780</v>
      </c>
      <c r="N291" s="2" t="str">
        <f t="shared" si="34"/>
        <v>Pagado</v>
      </c>
      <c r="O291" s="318">
        <v>43781</v>
      </c>
      <c r="P291" s="138">
        <v>9900</v>
      </c>
      <c r="Q291" s="2" t="s">
        <v>1070</v>
      </c>
      <c r="R291" s="2" t="s">
        <v>2243</v>
      </c>
      <c r="S291" s="95">
        <v>169</v>
      </c>
      <c r="T291" s="9"/>
      <c r="U291" s="393"/>
      <c r="V291" s="95"/>
      <c r="W291" s="129"/>
      <c r="X291" s="318"/>
      <c r="Y291" s="95"/>
      <c r="Z291" s="131" t="s">
        <v>1467</v>
      </c>
      <c r="AA291" s="108" t="str">
        <f t="shared" si="35"/>
        <v/>
      </c>
      <c r="AB291" s="2"/>
      <c r="AC291" s="131">
        <f t="shared" si="36"/>
        <v>8319.3277310924368</v>
      </c>
      <c r="AD291" s="108">
        <f t="shared" si="37"/>
        <v>1580.6722689075632</v>
      </c>
      <c r="AE291" s="95" t="s">
        <v>1501</v>
      </c>
      <c r="AF291" s="428" t="s">
        <v>3489</v>
      </c>
      <c r="AG291" s="2" t="str">
        <f t="shared" si="38"/>
        <v>SI</v>
      </c>
      <c r="AH291" s="284"/>
      <c r="AI291" s="428"/>
      <c r="AJ291" s="2" t="str">
        <f t="shared" si="39"/>
        <v>NV</v>
      </c>
      <c r="AK291" s="303"/>
    </row>
    <row r="292" spans="1:37" x14ac:dyDescent="0.25">
      <c r="A292" s="534" t="s">
        <v>1234</v>
      </c>
      <c r="B292" s="317" t="s">
        <v>970</v>
      </c>
      <c r="C292" s="95">
        <v>0</v>
      </c>
      <c r="D292" s="95">
        <v>168</v>
      </c>
      <c r="E292" s="95"/>
      <c r="F292" s="95"/>
      <c r="G292" s="95">
        <v>6103</v>
      </c>
      <c r="H292" s="138">
        <v>22700</v>
      </c>
      <c r="I292" s="138"/>
      <c r="J292" s="126">
        <f t="shared" si="32"/>
        <v>22700</v>
      </c>
      <c r="K292" s="318">
        <v>43780</v>
      </c>
      <c r="L292" s="95">
        <v>0</v>
      </c>
      <c r="M292" s="9">
        <f t="shared" si="33"/>
        <v>43780</v>
      </c>
      <c r="N292" s="2" t="str">
        <f t="shared" si="34"/>
        <v>Pagado</v>
      </c>
      <c r="O292" s="318">
        <v>43780</v>
      </c>
      <c r="P292" s="138">
        <v>22700</v>
      </c>
      <c r="Q292" s="2" t="s">
        <v>1070</v>
      </c>
      <c r="R292" s="2" t="s">
        <v>2243</v>
      </c>
      <c r="S292" s="95">
        <v>168</v>
      </c>
      <c r="T292" s="313"/>
      <c r="U292" s="393"/>
      <c r="V292" s="95"/>
      <c r="W292" s="129"/>
      <c r="X292" s="318"/>
      <c r="Y292" s="95"/>
      <c r="Z292" s="131" t="s">
        <v>1467</v>
      </c>
      <c r="AA292" s="108" t="str">
        <f t="shared" si="35"/>
        <v/>
      </c>
      <c r="AB292" s="2"/>
      <c r="AC292" s="131">
        <f t="shared" si="36"/>
        <v>19075.63025210084</v>
      </c>
      <c r="AD292" s="108">
        <f t="shared" si="37"/>
        <v>3624.3697478991598</v>
      </c>
      <c r="AE292" s="95" t="s">
        <v>1501</v>
      </c>
      <c r="AF292" s="533" t="s">
        <v>3489</v>
      </c>
      <c r="AG292" s="2" t="str">
        <f t="shared" si="38"/>
        <v>SI</v>
      </c>
      <c r="AH292" s="284"/>
      <c r="AI292" s="533"/>
      <c r="AJ292" s="2" t="str">
        <f t="shared" si="39"/>
        <v>NV</v>
      </c>
      <c r="AK292" s="303"/>
    </row>
    <row r="293" spans="1:37" x14ac:dyDescent="0.25">
      <c r="A293" s="542" t="s">
        <v>4545</v>
      </c>
      <c r="B293" s="317" t="s">
        <v>4546</v>
      </c>
      <c r="C293" s="95">
        <v>0</v>
      </c>
      <c r="D293" s="95">
        <v>2695</v>
      </c>
      <c r="E293" s="95"/>
      <c r="F293" s="95"/>
      <c r="G293" s="95">
        <v>6111</v>
      </c>
      <c r="H293" s="138">
        <v>29600</v>
      </c>
      <c r="I293" s="138"/>
      <c r="J293" s="126">
        <f t="shared" si="32"/>
        <v>29600</v>
      </c>
      <c r="K293" s="318">
        <v>43781</v>
      </c>
      <c r="L293" s="95">
        <v>0</v>
      </c>
      <c r="M293" s="9">
        <f t="shared" si="33"/>
        <v>43781</v>
      </c>
      <c r="N293" s="2" t="str">
        <f t="shared" si="34"/>
        <v>Pagado</v>
      </c>
      <c r="O293" s="318">
        <v>43781</v>
      </c>
      <c r="P293" s="138">
        <v>29600</v>
      </c>
      <c r="Q293" s="2" t="s">
        <v>1484</v>
      </c>
      <c r="R293" s="2"/>
      <c r="S293" s="95"/>
      <c r="T293" s="9" t="s">
        <v>1488</v>
      </c>
      <c r="U293" s="393"/>
      <c r="V293" s="95"/>
      <c r="W293" s="129"/>
      <c r="X293" s="318"/>
      <c r="Y293" s="95"/>
      <c r="Z293" s="131" t="s">
        <v>1467</v>
      </c>
      <c r="AA293" s="108" t="str">
        <f t="shared" si="35"/>
        <v/>
      </c>
      <c r="AB293" s="2"/>
      <c r="AC293" s="131">
        <f t="shared" si="36"/>
        <v>24873.949579831933</v>
      </c>
      <c r="AD293" s="108">
        <f t="shared" si="37"/>
        <v>4726.0504201680669</v>
      </c>
      <c r="AE293" s="95" t="s">
        <v>1501</v>
      </c>
      <c r="AF293" s="541" t="s">
        <v>3487</v>
      </c>
      <c r="AG293" s="2" t="str">
        <f t="shared" si="38"/>
        <v>SI</v>
      </c>
      <c r="AH293" s="284"/>
      <c r="AI293" s="541"/>
      <c r="AJ293" s="2" t="str">
        <f t="shared" si="39"/>
        <v>NV</v>
      </c>
      <c r="AK293" s="303"/>
    </row>
    <row r="294" spans="1:37" x14ac:dyDescent="0.25">
      <c r="A294" s="501" t="s">
        <v>1242</v>
      </c>
      <c r="B294" s="317" t="s">
        <v>958</v>
      </c>
      <c r="C294" s="95">
        <v>0</v>
      </c>
      <c r="D294" s="95">
        <v>0</v>
      </c>
      <c r="E294" s="95"/>
      <c r="F294" s="95"/>
      <c r="G294" s="95">
        <v>6109</v>
      </c>
      <c r="H294" s="138">
        <v>16000</v>
      </c>
      <c r="I294" s="138"/>
      <c r="J294" s="126">
        <f t="shared" si="32"/>
        <v>16000</v>
      </c>
      <c r="K294" s="318">
        <v>43781</v>
      </c>
      <c r="L294" s="95">
        <v>0</v>
      </c>
      <c r="M294" s="9">
        <f t="shared" si="33"/>
        <v>43781</v>
      </c>
      <c r="N294" s="2" t="str">
        <f t="shared" si="34"/>
        <v>Pagado</v>
      </c>
      <c r="O294" s="318">
        <v>43782</v>
      </c>
      <c r="P294" s="138">
        <v>16000</v>
      </c>
      <c r="Q294" s="2" t="s">
        <v>1484</v>
      </c>
      <c r="R294" s="2"/>
      <c r="S294" s="95"/>
      <c r="T294" s="9" t="s">
        <v>1488</v>
      </c>
      <c r="U294" s="393"/>
      <c r="V294" s="95"/>
      <c r="W294" s="129"/>
      <c r="X294" s="318"/>
      <c r="Y294" s="95"/>
      <c r="Z294" s="131" t="s">
        <v>1467</v>
      </c>
      <c r="AA294" s="108" t="str">
        <f t="shared" si="35"/>
        <v/>
      </c>
      <c r="AB294" s="2"/>
      <c r="AC294" s="131">
        <f t="shared" si="36"/>
        <v>13445.378151260506</v>
      </c>
      <c r="AD294" s="108">
        <f t="shared" si="37"/>
        <v>2554.6218487394945</v>
      </c>
      <c r="AE294" s="95" t="s">
        <v>1501</v>
      </c>
      <c r="AF294" s="500" t="s">
        <v>3489</v>
      </c>
      <c r="AG294" s="2" t="str">
        <f t="shared" si="38"/>
        <v>SI</v>
      </c>
      <c r="AH294" s="284"/>
      <c r="AI294" s="500"/>
      <c r="AJ294" s="2" t="str">
        <f t="shared" si="39"/>
        <v>NV</v>
      </c>
      <c r="AK294" s="303"/>
    </row>
    <row r="295" spans="1:37" x14ac:dyDescent="0.25">
      <c r="A295" s="501" t="s">
        <v>1242</v>
      </c>
      <c r="B295" s="317" t="s">
        <v>958</v>
      </c>
      <c r="C295" s="95">
        <v>0</v>
      </c>
      <c r="D295" s="95">
        <v>0</v>
      </c>
      <c r="E295" s="95"/>
      <c r="F295" s="95"/>
      <c r="G295" s="95">
        <v>6109</v>
      </c>
      <c r="H295" s="138">
        <v>23000</v>
      </c>
      <c r="I295" s="138"/>
      <c r="J295" s="126">
        <f t="shared" si="32"/>
        <v>23000</v>
      </c>
      <c r="K295" s="318">
        <v>43781</v>
      </c>
      <c r="L295" s="95">
        <v>0</v>
      </c>
      <c r="M295" s="313">
        <f t="shared" si="33"/>
        <v>43781</v>
      </c>
      <c r="N295" s="2" t="str">
        <f t="shared" si="34"/>
        <v>Pagado</v>
      </c>
      <c r="O295" s="318">
        <v>43782</v>
      </c>
      <c r="P295" s="138">
        <v>23000</v>
      </c>
      <c r="Q295" s="2" t="s">
        <v>1484</v>
      </c>
      <c r="R295" s="2"/>
      <c r="S295" s="95"/>
      <c r="T295" s="313" t="s">
        <v>1488</v>
      </c>
      <c r="U295" s="393"/>
      <c r="V295" s="95"/>
      <c r="W295" s="129"/>
      <c r="X295" s="318"/>
      <c r="Y295" s="95"/>
      <c r="Z295" s="131" t="s">
        <v>1467</v>
      </c>
      <c r="AA295" s="108" t="str">
        <f t="shared" si="35"/>
        <v/>
      </c>
      <c r="AB295" s="2"/>
      <c r="AC295" s="131">
        <f t="shared" si="36"/>
        <v>19327.731092436974</v>
      </c>
      <c r="AD295" s="108">
        <f t="shared" si="37"/>
        <v>3672.268907563026</v>
      </c>
      <c r="AE295" s="95" t="s">
        <v>1501</v>
      </c>
      <c r="AF295" s="500" t="s">
        <v>3489</v>
      </c>
      <c r="AG295" s="2" t="str">
        <f t="shared" si="38"/>
        <v>SI</v>
      </c>
      <c r="AH295" s="284"/>
      <c r="AI295" s="500"/>
      <c r="AJ295" s="2" t="str">
        <f t="shared" si="39"/>
        <v>NV</v>
      </c>
      <c r="AK295" s="303"/>
    </row>
    <row r="296" spans="1:37" x14ac:dyDescent="0.25">
      <c r="A296" s="499" t="s">
        <v>4577</v>
      </c>
      <c r="B296" s="317" t="s">
        <v>4578</v>
      </c>
      <c r="C296" s="95">
        <v>0</v>
      </c>
      <c r="D296" s="95">
        <v>171</v>
      </c>
      <c r="E296" s="95"/>
      <c r="F296" s="95"/>
      <c r="G296" s="95">
        <v>6117</v>
      </c>
      <c r="H296" s="138">
        <v>45400</v>
      </c>
      <c r="I296" s="138"/>
      <c r="J296" s="126">
        <f t="shared" si="32"/>
        <v>45400</v>
      </c>
      <c r="K296" s="318">
        <v>43781</v>
      </c>
      <c r="L296" s="95">
        <v>0</v>
      </c>
      <c r="M296" s="313">
        <f t="shared" si="33"/>
        <v>43781</v>
      </c>
      <c r="N296" s="2" t="str">
        <f t="shared" si="34"/>
        <v>Pagado</v>
      </c>
      <c r="O296" s="318">
        <v>43781</v>
      </c>
      <c r="P296" s="138">
        <v>45400</v>
      </c>
      <c r="Q296" s="2" t="s">
        <v>1070</v>
      </c>
      <c r="R296" s="2" t="s">
        <v>2243</v>
      </c>
      <c r="S296" s="95">
        <v>171</v>
      </c>
      <c r="T296" s="313"/>
      <c r="U296" s="393"/>
      <c r="V296" s="95"/>
      <c r="W296" s="129"/>
      <c r="X296" s="318"/>
      <c r="Y296" s="95"/>
      <c r="Z296" s="131" t="s">
        <v>1467</v>
      </c>
      <c r="AA296" s="108" t="str">
        <f t="shared" si="35"/>
        <v/>
      </c>
      <c r="AB296" s="2"/>
      <c r="AC296" s="131">
        <f t="shared" si="36"/>
        <v>38151.26050420168</v>
      </c>
      <c r="AD296" s="108">
        <f t="shared" si="37"/>
        <v>7248.7394957983197</v>
      </c>
      <c r="AE296" s="95" t="s">
        <v>1501</v>
      </c>
      <c r="AF296" s="498" t="s">
        <v>3487</v>
      </c>
      <c r="AG296" s="2" t="str">
        <f t="shared" si="38"/>
        <v>SI</v>
      </c>
      <c r="AH296" s="284"/>
      <c r="AI296" s="498"/>
      <c r="AJ296" s="2" t="str">
        <f t="shared" si="39"/>
        <v>NV</v>
      </c>
      <c r="AK296" s="303"/>
    </row>
    <row r="297" spans="1:37" x14ac:dyDescent="0.25">
      <c r="A297" s="542" t="s">
        <v>1218</v>
      </c>
      <c r="B297" s="317" t="s">
        <v>1075</v>
      </c>
      <c r="C297" s="95">
        <v>0</v>
      </c>
      <c r="D297" s="95">
        <v>0</v>
      </c>
      <c r="E297" s="95"/>
      <c r="F297" s="95"/>
      <c r="G297" s="95">
        <v>6116</v>
      </c>
      <c r="H297" s="138">
        <v>24300</v>
      </c>
      <c r="I297" s="138"/>
      <c r="J297" s="126">
        <f t="shared" si="32"/>
        <v>24300</v>
      </c>
      <c r="K297" s="318">
        <v>43781</v>
      </c>
      <c r="L297" s="95">
        <v>0</v>
      </c>
      <c r="M297" s="313">
        <f t="shared" si="33"/>
        <v>43781</v>
      </c>
      <c r="N297" s="2" t="str">
        <f t="shared" si="34"/>
        <v>Pagado</v>
      </c>
      <c r="O297" s="318">
        <v>43787</v>
      </c>
      <c r="P297" s="138">
        <v>24300</v>
      </c>
      <c r="Q297" s="2" t="s">
        <v>1484</v>
      </c>
      <c r="R297" s="2"/>
      <c r="S297" s="95"/>
      <c r="T297" s="313" t="s">
        <v>1462</v>
      </c>
      <c r="U297" s="393"/>
      <c r="V297" s="95"/>
      <c r="W297" s="129"/>
      <c r="X297" s="318"/>
      <c r="Y297" s="95"/>
      <c r="Z297" s="131" t="s">
        <v>1467</v>
      </c>
      <c r="AA297" s="108" t="str">
        <f t="shared" si="35"/>
        <v/>
      </c>
      <c r="AB297" s="2"/>
      <c r="AC297" s="131">
        <f t="shared" si="36"/>
        <v>20420.168067226892</v>
      </c>
      <c r="AD297" s="108">
        <f t="shared" si="37"/>
        <v>3879.8319327731078</v>
      </c>
      <c r="AE297" s="95" t="s">
        <v>1501</v>
      </c>
      <c r="AF297" s="541" t="s">
        <v>3489</v>
      </c>
      <c r="AG297" s="2" t="str">
        <f t="shared" si="38"/>
        <v>SI</v>
      </c>
      <c r="AH297" s="284"/>
      <c r="AI297" s="541"/>
      <c r="AJ297" s="2" t="str">
        <f t="shared" si="39"/>
        <v>NV</v>
      </c>
      <c r="AK297" s="303"/>
    </row>
    <row r="298" spans="1:37" x14ac:dyDescent="0.25">
      <c r="A298" s="542" t="s">
        <v>1285</v>
      </c>
      <c r="B298" s="317" t="s">
        <v>1071</v>
      </c>
      <c r="C298" s="95">
        <v>0</v>
      </c>
      <c r="D298" s="95">
        <v>170</v>
      </c>
      <c r="E298" s="95"/>
      <c r="F298" s="95"/>
      <c r="G298" s="95">
        <v>6115</v>
      </c>
      <c r="H298" s="138">
        <v>14800</v>
      </c>
      <c r="I298" s="138"/>
      <c r="J298" s="126">
        <f t="shared" si="32"/>
        <v>14800</v>
      </c>
      <c r="K298" s="318">
        <v>43781</v>
      </c>
      <c r="L298" s="95">
        <v>0</v>
      </c>
      <c r="M298" s="313">
        <f t="shared" si="33"/>
        <v>43781</v>
      </c>
      <c r="N298" s="2" t="str">
        <f t="shared" si="34"/>
        <v>Pagado</v>
      </c>
      <c r="O298" s="318">
        <v>43781</v>
      </c>
      <c r="P298" s="138">
        <v>14800</v>
      </c>
      <c r="Q298" s="2" t="s">
        <v>1070</v>
      </c>
      <c r="R298" s="2" t="s">
        <v>2243</v>
      </c>
      <c r="S298" s="95">
        <v>170</v>
      </c>
      <c r="T298" s="313"/>
      <c r="U298" s="393"/>
      <c r="V298" s="95"/>
      <c r="W298" s="129"/>
      <c r="X298" s="318"/>
      <c r="Y298" s="95"/>
      <c r="Z298" s="131" t="s">
        <v>1467</v>
      </c>
      <c r="AA298" s="108" t="str">
        <f t="shared" si="35"/>
        <v/>
      </c>
      <c r="AB298" s="2"/>
      <c r="AC298" s="131">
        <f t="shared" si="36"/>
        <v>12436.974789915967</v>
      </c>
      <c r="AD298" s="108">
        <f t="shared" si="37"/>
        <v>2363.0252100840335</v>
      </c>
      <c r="AE298" s="95" t="s">
        <v>1501</v>
      </c>
      <c r="AF298" s="541" t="s">
        <v>3487</v>
      </c>
      <c r="AG298" s="2" t="str">
        <f t="shared" si="38"/>
        <v>SI</v>
      </c>
      <c r="AH298" s="284"/>
      <c r="AI298" s="541"/>
      <c r="AJ298" s="2" t="str">
        <f t="shared" si="39"/>
        <v>NV</v>
      </c>
      <c r="AK298" s="303"/>
    </row>
    <row r="299" spans="1:37" x14ac:dyDescent="0.25">
      <c r="A299" s="542" t="s">
        <v>1175</v>
      </c>
      <c r="B299" s="317" t="s">
        <v>1144</v>
      </c>
      <c r="C299" s="95">
        <v>2990</v>
      </c>
      <c r="D299" s="95">
        <v>0</v>
      </c>
      <c r="E299" s="95"/>
      <c r="F299" s="95"/>
      <c r="G299" s="95" t="s">
        <v>2528</v>
      </c>
      <c r="H299" s="138">
        <v>96635</v>
      </c>
      <c r="I299" s="138"/>
      <c r="J299" s="126">
        <f t="shared" si="32"/>
        <v>96635</v>
      </c>
      <c r="K299" s="318">
        <v>43782</v>
      </c>
      <c r="L299" s="95">
        <v>30</v>
      </c>
      <c r="M299" s="313">
        <f t="shared" si="33"/>
        <v>43812</v>
      </c>
      <c r="N299" s="2" t="str">
        <f t="shared" si="34"/>
        <v>Pagado</v>
      </c>
      <c r="O299" s="318">
        <v>43818</v>
      </c>
      <c r="P299" s="138">
        <v>96635</v>
      </c>
      <c r="Q299" s="2" t="s">
        <v>1484</v>
      </c>
      <c r="R299" s="2"/>
      <c r="S299" s="95"/>
      <c r="T299" s="313" t="s">
        <v>1496</v>
      </c>
      <c r="U299" s="393"/>
      <c r="V299" s="95"/>
      <c r="W299" s="129"/>
      <c r="X299" s="318"/>
      <c r="Y299" s="95"/>
      <c r="Z299" s="131"/>
      <c r="AA299" s="108" t="str">
        <f t="shared" si="35"/>
        <v/>
      </c>
      <c r="AB299" s="2"/>
      <c r="AC299" s="131">
        <f t="shared" si="36"/>
        <v>81205.882352941175</v>
      </c>
      <c r="AD299" s="108">
        <f t="shared" si="37"/>
        <v>15429.117647058825</v>
      </c>
      <c r="AE299" s="95" t="s">
        <v>2050</v>
      </c>
      <c r="AF299" s="541" t="s">
        <v>3490</v>
      </c>
      <c r="AG299" s="2" t="str">
        <f t="shared" si="38"/>
        <v>SI</v>
      </c>
      <c r="AH299" s="284"/>
      <c r="AI299" s="541"/>
      <c r="AJ299" s="2" t="str">
        <f t="shared" si="39"/>
        <v>Factura</v>
      </c>
      <c r="AK299" s="303"/>
    </row>
    <row r="300" spans="1:37" x14ac:dyDescent="0.25">
      <c r="A300" s="542" t="s">
        <v>1259</v>
      </c>
      <c r="B300" s="317" t="s">
        <v>2778</v>
      </c>
      <c r="C300" s="95">
        <v>2987</v>
      </c>
      <c r="D300" s="95">
        <v>0</v>
      </c>
      <c r="E300" s="95"/>
      <c r="F300" s="95"/>
      <c r="G300" s="95" t="s">
        <v>2528</v>
      </c>
      <c r="H300" s="138">
        <v>85680</v>
      </c>
      <c r="I300" s="138"/>
      <c r="J300" s="126">
        <f t="shared" si="32"/>
        <v>85680</v>
      </c>
      <c r="K300" s="318">
        <v>43783</v>
      </c>
      <c r="L300" s="95">
        <v>30</v>
      </c>
      <c r="M300" s="9">
        <f t="shared" si="33"/>
        <v>43813</v>
      </c>
      <c r="N300" s="2" t="str">
        <f t="shared" ca="1" si="34"/>
        <v>Vencido</v>
      </c>
      <c r="O300" s="318"/>
      <c r="P300" s="138"/>
      <c r="Q300" s="2"/>
      <c r="R300" s="2"/>
      <c r="S300" s="95"/>
      <c r="T300" s="9"/>
      <c r="U300" s="393"/>
      <c r="V300" s="95"/>
      <c r="W300" s="129"/>
      <c r="X300" s="318"/>
      <c r="Y300" s="95"/>
      <c r="Z300" s="131" t="s">
        <v>1467</v>
      </c>
      <c r="AA300" s="108" t="str">
        <f t="shared" si="35"/>
        <v/>
      </c>
      <c r="AB300" s="2"/>
      <c r="AC300" s="131">
        <f t="shared" si="36"/>
        <v>72000</v>
      </c>
      <c r="AD300" s="108">
        <f t="shared" si="37"/>
        <v>13680</v>
      </c>
      <c r="AE300" s="95" t="s">
        <v>2050</v>
      </c>
      <c r="AF300" s="541" t="s">
        <v>3490</v>
      </c>
      <c r="AG300" s="2" t="str">
        <f t="shared" ca="1" si="38"/>
        <v>NO</v>
      </c>
      <c r="AH300" s="284"/>
      <c r="AI300" s="541"/>
      <c r="AJ300" s="2" t="str">
        <f t="shared" si="39"/>
        <v>Factura</v>
      </c>
      <c r="AK300" s="303"/>
    </row>
    <row r="301" spans="1:37" x14ac:dyDescent="0.25">
      <c r="A301" s="542" t="s">
        <v>1178</v>
      </c>
      <c r="B301" s="317" t="s">
        <v>950</v>
      </c>
      <c r="C301" s="95">
        <v>2984</v>
      </c>
      <c r="D301" s="95">
        <v>0</v>
      </c>
      <c r="E301" s="95">
        <v>268</v>
      </c>
      <c r="F301" s="95"/>
      <c r="G301" s="95" t="s">
        <v>2528</v>
      </c>
      <c r="H301" s="138">
        <v>121977</v>
      </c>
      <c r="I301" s="138">
        <v>-4418</v>
      </c>
      <c r="J301" s="126">
        <f t="shared" si="32"/>
        <v>117559</v>
      </c>
      <c r="K301" s="318">
        <v>43783</v>
      </c>
      <c r="L301" s="95">
        <v>7</v>
      </c>
      <c r="M301" s="9">
        <f t="shared" si="33"/>
        <v>43790</v>
      </c>
      <c r="N301" s="2" t="str">
        <f t="shared" si="34"/>
        <v>Pagado</v>
      </c>
      <c r="O301" s="318">
        <v>43782</v>
      </c>
      <c r="P301" s="138">
        <v>117559</v>
      </c>
      <c r="Q301" s="2" t="s">
        <v>2131</v>
      </c>
      <c r="R301" s="2"/>
      <c r="S301" s="95">
        <v>1115959</v>
      </c>
      <c r="T301" s="9" t="s">
        <v>1496</v>
      </c>
      <c r="U301" s="393">
        <v>7269</v>
      </c>
      <c r="V301" s="95">
        <v>133661</v>
      </c>
      <c r="W301" s="129">
        <v>117559</v>
      </c>
      <c r="X301" s="318">
        <v>43794</v>
      </c>
      <c r="Y301" s="95" t="s">
        <v>1488</v>
      </c>
      <c r="Z301" s="131" t="s">
        <v>1467</v>
      </c>
      <c r="AA301" s="108" t="str">
        <f t="shared" si="35"/>
        <v>Otros</v>
      </c>
      <c r="AB301" s="2"/>
      <c r="AC301" s="131">
        <f t="shared" si="36"/>
        <v>102501.68067226891</v>
      </c>
      <c r="AD301" s="108">
        <f t="shared" si="37"/>
        <v>19475.319327731093</v>
      </c>
      <c r="AE301" s="95" t="s">
        <v>2050</v>
      </c>
      <c r="AF301" s="541" t="s">
        <v>3490</v>
      </c>
      <c r="AG301" s="2" t="str">
        <f t="shared" si="38"/>
        <v>SI</v>
      </c>
      <c r="AH301" s="284"/>
      <c r="AI301" s="541"/>
      <c r="AJ301" s="2" t="str">
        <f t="shared" si="39"/>
        <v>Factura</v>
      </c>
      <c r="AK301" s="303"/>
    </row>
    <row r="302" spans="1:37" x14ac:dyDescent="0.25">
      <c r="A302" s="542" t="s">
        <v>5390</v>
      </c>
      <c r="B302" s="317" t="s">
        <v>5391</v>
      </c>
      <c r="C302" s="95">
        <v>0</v>
      </c>
      <c r="D302" s="95">
        <v>168</v>
      </c>
      <c r="E302" s="95"/>
      <c r="F302" s="95"/>
      <c r="G302" s="95">
        <v>6122</v>
      </c>
      <c r="H302" s="138">
        <v>30600</v>
      </c>
      <c r="I302" s="138"/>
      <c r="J302" s="126">
        <f t="shared" si="32"/>
        <v>30600</v>
      </c>
      <c r="K302" s="318">
        <v>43783</v>
      </c>
      <c r="L302" s="95">
        <v>0</v>
      </c>
      <c r="M302" s="9">
        <f t="shared" si="33"/>
        <v>43783</v>
      </c>
      <c r="N302" s="2" t="str">
        <f t="shared" si="34"/>
        <v>Pagado</v>
      </c>
      <c r="O302" s="318">
        <v>43783</v>
      </c>
      <c r="P302" s="138">
        <v>30600</v>
      </c>
      <c r="Q302" s="2" t="s">
        <v>1070</v>
      </c>
      <c r="R302" s="2" t="s">
        <v>2243</v>
      </c>
      <c r="S302" s="95">
        <v>168</v>
      </c>
      <c r="T302" s="9"/>
      <c r="U302" s="393"/>
      <c r="V302" s="95"/>
      <c r="W302" s="129"/>
      <c r="X302" s="318"/>
      <c r="Y302" s="95"/>
      <c r="Z302" s="131" t="s">
        <v>1467</v>
      </c>
      <c r="AA302" s="108" t="str">
        <f t="shared" si="35"/>
        <v/>
      </c>
      <c r="AB302" s="2"/>
      <c r="AC302" s="131">
        <f t="shared" si="36"/>
        <v>25714.285714285714</v>
      </c>
      <c r="AD302" s="108">
        <f t="shared" si="37"/>
        <v>4885.7142857142862</v>
      </c>
      <c r="AE302" s="95" t="s">
        <v>1501</v>
      </c>
      <c r="AF302" s="541" t="s">
        <v>3487</v>
      </c>
      <c r="AG302" s="2" t="str">
        <f t="shared" si="38"/>
        <v>SI</v>
      </c>
      <c r="AH302" s="284"/>
      <c r="AI302" s="541"/>
      <c r="AJ302" s="2" t="str">
        <f t="shared" si="39"/>
        <v>NV</v>
      </c>
      <c r="AK302" s="303"/>
    </row>
    <row r="303" spans="1:37" x14ac:dyDescent="0.25">
      <c r="A303" s="534" t="s">
        <v>3303</v>
      </c>
      <c r="B303" s="317" t="s">
        <v>3304</v>
      </c>
      <c r="C303" s="95">
        <v>0</v>
      </c>
      <c r="D303" s="95">
        <v>0</v>
      </c>
      <c r="E303" s="95"/>
      <c r="F303" s="95"/>
      <c r="G303" s="95">
        <v>6125</v>
      </c>
      <c r="H303" s="138">
        <v>14800</v>
      </c>
      <c r="I303" s="138"/>
      <c r="J303" s="126">
        <f t="shared" si="32"/>
        <v>14800</v>
      </c>
      <c r="K303" s="318">
        <v>43783</v>
      </c>
      <c r="L303" s="95">
        <v>0</v>
      </c>
      <c r="M303" s="9">
        <f t="shared" si="33"/>
        <v>43783</v>
      </c>
      <c r="N303" s="2" t="str">
        <f t="shared" si="34"/>
        <v>Pagado</v>
      </c>
      <c r="O303" s="318">
        <v>43783</v>
      </c>
      <c r="P303" s="138">
        <v>14800</v>
      </c>
      <c r="Q303" s="2" t="s">
        <v>1481</v>
      </c>
      <c r="R303" s="2"/>
      <c r="S303" s="95"/>
      <c r="T303" s="313"/>
      <c r="U303" s="393"/>
      <c r="V303" s="95"/>
      <c r="W303" s="129"/>
      <c r="X303" s="318"/>
      <c r="Y303" s="95"/>
      <c r="Z303" s="131" t="s">
        <v>1467</v>
      </c>
      <c r="AA303" s="108" t="str">
        <f t="shared" si="35"/>
        <v/>
      </c>
      <c r="AB303" s="2"/>
      <c r="AC303" s="131">
        <f t="shared" si="36"/>
        <v>12436.974789915967</v>
      </c>
      <c r="AD303" s="108">
        <f t="shared" si="37"/>
        <v>2363.0252100840335</v>
      </c>
      <c r="AE303" s="95" t="s">
        <v>1501</v>
      </c>
      <c r="AF303" s="533" t="s">
        <v>3487</v>
      </c>
      <c r="AG303" s="2" t="str">
        <f t="shared" si="38"/>
        <v>SI</v>
      </c>
      <c r="AH303" s="284"/>
      <c r="AI303" s="533"/>
      <c r="AJ303" s="2" t="str">
        <f t="shared" si="39"/>
        <v>NV</v>
      </c>
      <c r="AK303" s="303"/>
    </row>
    <row r="304" spans="1:37" x14ac:dyDescent="0.25">
      <c r="A304" s="501" t="s">
        <v>2276</v>
      </c>
      <c r="B304" s="317" t="s">
        <v>2277</v>
      </c>
      <c r="C304" s="95">
        <v>2988</v>
      </c>
      <c r="D304" s="95">
        <v>0</v>
      </c>
      <c r="E304" s="95"/>
      <c r="F304" s="95"/>
      <c r="G304" s="95" t="s">
        <v>2528</v>
      </c>
      <c r="H304" s="138">
        <v>28099</v>
      </c>
      <c r="I304" s="138"/>
      <c r="J304" s="126">
        <f t="shared" si="32"/>
        <v>28099</v>
      </c>
      <c r="K304" s="318">
        <v>43783</v>
      </c>
      <c r="L304" s="95">
        <v>0</v>
      </c>
      <c r="M304" s="313">
        <f t="shared" si="33"/>
        <v>43783</v>
      </c>
      <c r="N304" s="2" t="str">
        <f t="shared" si="34"/>
        <v>Pagado</v>
      </c>
      <c r="O304" s="318">
        <v>43789</v>
      </c>
      <c r="P304" s="138">
        <v>28099</v>
      </c>
      <c r="Q304" s="2" t="s">
        <v>1484</v>
      </c>
      <c r="R304" s="2"/>
      <c r="S304" s="95"/>
      <c r="T304" s="313" t="s">
        <v>1492</v>
      </c>
      <c r="U304" s="393"/>
      <c r="V304" s="95"/>
      <c r="W304" s="129"/>
      <c r="X304" s="318"/>
      <c r="Y304" s="95"/>
      <c r="Z304" s="131" t="s">
        <v>1467</v>
      </c>
      <c r="AA304" s="108" t="str">
        <f t="shared" si="35"/>
        <v/>
      </c>
      <c r="AB304" s="2"/>
      <c r="AC304" s="131">
        <f t="shared" si="36"/>
        <v>23612.605042016807</v>
      </c>
      <c r="AD304" s="108">
        <f t="shared" si="37"/>
        <v>4486.3949579831933</v>
      </c>
      <c r="AE304" s="95" t="s">
        <v>2050</v>
      </c>
      <c r="AF304" s="500" t="s">
        <v>3490</v>
      </c>
      <c r="AG304" s="2" t="str">
        <f t="shared" si="38"/>
        <v>SI</v>
      </c>
      <c r="AH304" s="284"/>
      <c r="AI304" s="500"/>
      <c r="AJ304" s="2" t="str">
        <f t="shared" si="39"/>
        <v>Factura</v>
      </c>
      <c r="AK304" s="303"/>
    </row>
    <row r="305" spans="1:37" x14ac:dyDescent="0.25">
      <c r="A305" s="501" t="s">
        <v>1179</v>
      </c>
      <c r="B305" s="317" t="s">
        <v>952</v>
      </c>
      <c r="C305" s="95">
        <v>2986</v>
      </c>
      <c r="D305" s="95">
        <v>0</v>
      </c>
      <c r="E305" s="95"/>
      <c r="F305" s="95"/>
      <c r="G305" s="95" t="s">
        <v>2528</v>
      </c>
      <c r="H305" s="503">
        <v>114677</v>
      </c>
      <c r="I305" s="138"/>
      <c r="J305" s="126">
        <f t="shared" si="32"/>
        <v>114677</v>
      </c>
      <c r="K305" s="318">
        <v>43783</v>
      </c>
      <c r="L305" s="95">
        <v>7</v>
      </c>
      <c r="M305" s="313">
        <f t="shared" si="33"/>
        <v>43790</v>
      </c>
      <c r="N305" s="2" t="str">
        <f t="shared" si="34"/>
        <v>Abonado</v>
      </c>
      <c r="O305" s="318">
        <v>43789</v>
      </c>
      <c r="P305" s="138">
        <v>91177</v>
      </c>
      <c r="Q305" s="2" t="s">
        <v>1481</v>
      </c>
      <c r="R305" s="2"/>
      <c r="S305" s="95"/>
      <c r="T305" s="313"/>
      <c r="U305" s="393"/>
      <c r="V305" s="95">
        <v>133658</v>
      </c>
      <c r="W305" s="129">
        <v>69000</v>
      </c>
      <c r="X305" s="318">
        <v>43790</v>
      </c>
      <c r="Y305" s="95" t="s">
        <v>1488</v>
      </c>
      <c r="Z305" s="131" t="s">
        <v>1467</v>
      </c>
      <c r="AA305" s="108" t="str">
        <f t="shared" si="35"/>
        <v/>
      </c>
      <c r="AB305" s="2"/>
      <c r="AC305" s="131">
        <f t="shared" si="36"/>
        <v>96367.226890756312</v>
      </c>
      <c r="AD305" s="108">
        <f t="shared" si="37"/>
        <v>18309.773109243688</v>
      </c>
      <c r="AE305" s="95" t="s">
        <v>2050</v>
      </c>
      <c r="AF305" s="500" t="s">
        <v>3490</v>
      </c>
      <c r="AG305" s="2" t="str">
        <f t="shared" si="38"/>
        <v>NO</v>
      </c>
      <c r="AH305" s="284"/>
      <c r="AI305" s="500"/>
      <c r="AJ305" s="2" t="str">
        <f t="shared" si="39"/>
        <v>Factura</v>
      </c>
      <c r="AK305" s="303"/>
    </row>
    <row r="306" spans="1:37" x14ac:dyDescent="0.25">
      <c r="A306" s="501" t="s">
        <v>1264</v>
      </c>
      <c r="B306" s="317" t="s">
        <v>1005</v>
      </c>
      <c r="C306" s="95">
        <v>0</v>
      </c>
      <c r="D306" s="95">
        <v>2694</v>
      </c>
      <c r="E306" s="95"/>
      <c r="F306" s="95"/>
      <c r="G306" s="95">
        <v>6120</v>
      </c>
      <c r="H306" s="138">
        <v>8000</v>
      </c>
      <c r="I306" s="138"/>
      <c r="J306" s="126">
        <f t="shared" si="32"/>
        <v>8000</v>
      </c>
      <c r="K306" s="318">
        <v>43783</v>
      </c>
      <c r="L306" s="95">
        <v>0</v>
      </c>
      <c r="M306" s="313">
        <f t="shared" si="33"/>
        <v>43783</v>
      </c>
      <c r="N306" s="2" t="str">
        <f t="shared" ca="1" si="34"/>
        <v>Vencido</v>
      </c>
      <c r="O306" s="318"/>
      <c r="P306" s="138"/>
      <c r="Q306" s="2"/>
      <c r="R306" s="2"/>
      <c r="S306" s="95"/>
      <c r="T306" s="313"/>
      <c r="U306" s="393"/>
      <c r="V306" s="95"/>
      <c r="W306" s="129"/>
      <c r="X306" s="318"/>
      <c r="Y306" s="95"/>
      <c r="Z306" s="131" t="s">
        <v>1467</v>
      </c>
      <c r="AA306" s="108" t="str">
        <f t="shared" si="35"/>
        <v/>
      </c>
      <c r="AB306" s="2"/>
      <c r="AC306" s="131">
        <f t="shared" si="36"/>
        <v>6722.6890756302528</v>
      </c>
      <c r="AD306" s="108">
        <f t="shared" si="37"/>
        <v>1277.3109243697472</v>
      </c>
      <c r="AE306" s="95" t="s">
        <v>1501</v>
      </c>
      <c r="AF306" s="500" t="s">
        <v>3489</v>
      </c>
      <c r="AG306" s="2" t="str">
        <f t="shared" ca="1" si="38"/>
        <v>NO</v>
      </c>
      <c r="AH306" s="284"/>
      <c r="AI306" s="500"/>
      <c r="AJ306" s="2" t="str">
        <f t="shared" si="39"/>
        <v>NV</v>
      </c>
      <c r="AK306" s="303"/>
    </row>
    <row r="307" spans="1:37" x14ac:dyDescent="0.25">
      <c r="A307" s="501" t="s">
        <v>1320</v>
      </c>
      <c r="B307" s="317" t="s">
        <v>3394</v>
      </c>
      <c r="C307" s="95">
        <v>0</v>
      </c>
      <c r="D307" s="95">
        <v>167</v>
      </c>
      <c r="E307" s="95"/>
      <c r="F307" s="95"/>
      <c r="G307" s="95">
        <v>6124</v>
      </c>
      <c r="H307" s="138">
        <v>34500</v>
      </c>
      <c r="I307" s="138"/>
      <c r="J307" s="126">
        <f t="shared" si="32"/>
        <v>34500</v>
      </c>
      <c r="K307" s="318">
        <v>43783</v>
      </c>
      <c r="L307" s="95">
        <v>0</v>
      </c>
      <c r="M307" s="313">
        <f t="shared" si="33"/>
        <v>43783</v>
      </c>
      <c r="N307" s="2" t="str">
        <f t="shared" si="34"/>
        <v>Pagado</v>
      </c>
      <c r="O307" s="318">
        <v>43783</v>
      </c>
      <c r="P307" s="138">
        <v>34500</v>
      </c>
      <c r="Q307" s="2" t="s">
        <v>1070</v>
      </c>
      <c r="R307" s="2" t="s">
        <v>2243</v>
      </c>
      <c r="S307" s="95">
        <v>167</v>
      </c>
      <c r="T307" s="313"/>
      <c r="U307" s="393"/>
      <c r="V307" s="95"/>
      <c r="W307" s="129"/>
      <c r="X307" s="318"/>
      <c r="Y307" s="95"/>
      <c r="Z307" s="131" t="s">
        <v>1467</v>
      </c>
      <c r="AA307" s="108" t="str">
        <f t="shared" si="35"/>
        <v/>
      </c>
      <c r="AB307" s="2"/>
      <c r="AC307" s="131">
        <f t="shared" si="36"/>
        <v>28991.596638655465</v>
      </c>
      <c r="AD307" s="108">
        <f t="shared" si="37"/>
        <v>5508.4033613445354</v>
      </c>
      <c r="AE307" s="95" t="s">
        <v>1501</v>
      </c>
      <c r="AF307" s="500" t="s">
        <v>3489</v>
      </c>
      <c r="AG307" s="2" t="str">
        <f t="shared" si="38"/>
        <v>SI</v>
      </c>
      <c r="AH307" s="284"/>
      <c r="AI307" s="500"/>
      <c r="AJ307" s="2" t="str">
        <f t="shared" si="39"/>
        <v>NV</v>
      </c>
      <c r="AK307" s="303"/>
    </row>
    <row r="308" spans="1:37" x14ac:dyDescent="0.25">
      <c r="A308" s="501" t="s">
        <v>1177</v>
      </c>
      <c r="B308" s="317" t="s">
        <v>1060</v>
      </c>
      <c r="C308" s="95">
        <v>2985</v>
      </c>
      <c r="D308" s="95">
        <v>0</v>
      </c>
      <c r="E308" s="95"/>
      <c r="F308" s="95"/>
      <c r="G308" s="95" t="s">
        <v>4444</v>
      </c>
      <c r="H308" s="138">
        <v>166932</v>
      </c>
      <c r="I308" s="138"/>
      <c r="J308" s="126">
        <f t="shared" si="32"/>
        <v>166932</v>
      </c>
      <c r="K308" s="318">
        <v>43783</v>
      </c>
      <c r="L308" s="95">
        <v>30</v>
      </c>
      <c r="M308" s="313">
        <f t="shared" si="33"/>
        <v>43813</v>
      </c>
      <c r="N308" s="2" t="str">
        <f t="shared" si="34"/>
        <v>Pagado</v>
      </c>
      <c r="O308" s="318">
        <v>43789</v>
      </c>
      <c r="P308" s="138">
        <v>166932</v>
      </c>
      <c r="Q308" s="2" t="s">
        <v>2131</v>
      </c>
      <c r="R308" s="2"/>
      <c r="S308" s="95">
        <v>20</v>
      </c>
      <c r="T308" s="313" t="s">
        <v>1494</v>
      </c>
      <c r="U308" s="393">
        <v>43813</v>
      </c>
      <c r="V308" s="95"/>
      <c r="W308" s="129"/>
      <c r="X308" s="318"/>
      <c r="Y308" s="95"/>
      <c r="Z308" s="131" t="s">
        <v>1467</v>
      </c>
      <c r="AA308" s="108" t="str">
        <f t="shared" si="35"/>
        <v>Otros</v>
      </c>
      <c r="AB308" s="2"/>
      <c r="AC308" s="131">
        <f t="shared" si="36"/>
        <v>140278.99159663866</v>
      </c>
      <c r="AD308" s="108">
        <f t="shared" si="37"/>
        <v>26653.008403361338</v>
      </c>
      <c r="AE308" s="95" t="s">
        <v>2050</v>
      </c>
      <c r="AF308" s="500" t="s">
        <v>3490</v>
      </c>
      <c r="AG308" s="2" t="str">
        <f t="shared" si="38"/>
        <v>SI</v>
      </c>
      <c r="AH308" s="284"/>
      <c r="AI308" s="500"/>
      <c r="AJ308" s="2" t="str">
        <f t="shared" si="39"/>
        <v>Factura</v>
      </c>
      <c r="AK308" s="303"/>
    </row>
    <row r="309" spans="1:37" x14ac:dyDescent="0.25">
      <c r="A309" s="534" t="s">
        <v>3236</v>
      </c>
      <c r="B309" s="317" t="s">
        <v>3237</v>
      </c>
      <c r="C309" s="95">
        <v>0</v>
      </c>
      <c r="D309" s="95">
        <v>0</v>
      </c>
      <c r="E309" s="95"/>
      <c r="F309" s="95"/>
      <c r="G309" s="95">
        <v>6119</v>
      </c>
      <c r="H309" s="138">
        <v>14800</v>
      </c>
      <c r="I309" s="138"/>
      <c r="J309" s="126">
        <f t="shared" si="32"/>
        <v>14800</v>
      </c>
      <c r="K309" s="318">
        <v>43783</v>
      </c>
      <c r="L309" s="95">
        <v>0</v>
      </c>
      <c r="M309" s="313">
        <f t="shared" si="33"/>
        <v>43783</v>
      </c>
      <c r="N309" s="2" t="str">
        <f t="shared" si="34"/>
        <v>Pagado</v>
      </c>
      <c r="O309" s="318">
        <v>43783</v>
      </c>
      <c r="P309" s="138">
        <v>14800</v>
      </c>
      <c r="Q309" s="2" t="s">
        <v>1481</v>
      </c>
      <c r="R309" s="2"/>
      <c r="S309" s="95"/>
      <c r="T309" s="313"/>
      <c r="U309" s="393"/>
      <c r="V309" s="95"/>
      <c r="W309" s="129"/>
      <c r="X309" s="318"/>
      <c r="Y309" s="95"/>
      <c r="Z309" s="131" t="s">
        <v>1467</v>
      </c>
      <c r="AA309" s="108" t="str">
        <f t="shared" si="35"/>
        <v/>
      </c>
      <c r="AB309" s="2"/>
      <c r="AC309" s="131">
        <f t="shared" si="36"/>
        <v>12436.974789915967</v>
      </c>
      <c r="AD309" s="108">
        <f t="shared" si="37"/>
        <v>2363.0252100840335</v>
      </c>
      <c r="AE309" s="95" t="s">
        <v>1501</v>
      </c>
      <c r="AF309" s="533" t="s">
        <v>3489</v>
      </c>
      <c r="AG309" s="2" t="str">
        <f t="shared" si="38"/>
        <v>SI</v>
      </c>
      <c r="AH309" s="284"/>
      <c r="AI309" s="533"/>
      <c r="AJ309" s="2" t="str">
        <f t="shared" si="39"/>
        <v>NV</v>
      </c>
      <c r="AK309" s="303"/>
    </row>
    <row r="310" spans="1:37" x14ac:dyDescent="0.25">
      <c r="A310" s="534" t="s">
        <v>4031</v>
      </c>
      <c r="B310" s="317" t="s">
        <v>4032</v>
      </c>
      <c r="C310" s="95">
        <v>0</v>
      </c>
      <c r="D310" s="95">
        <v>2696</v>
      </c>
      <c r="E310" s="95"/>
      <c r="F310" s="95"/>
      <c r="G310" s="95">
        <v>6118</v>
      </c>
      <c r="H310" s="138">
        <v>29600</v>
      </c>
      <c r="I310" s="138"/>
      <c r="J310" s="126">
        <f t="shared" si="32"/>
        <v>29600</v>
      </c>
      <c r="K310" s="318">
        <v>43783</v>
      </c>
      <c r="L310" s="95">
        <v>0</v>
      </c>
      <c r="M310" s="313">
        <f t="shared" si="33"/>
        <v>43783</v>
      </c>
      <c r="N310" s="2" t="str">
        <f t="shared" si="34"/>
        <v>Pagado</v>
      </c>
      <c r="O310" s="318">
        <v>43782</v>
      </c>
      <c r="P310" s="138">
        <v>29600</v>
      </c>
      <c r="Q310" s="2" t="s">
        <v>1484</v>
      </c>
      <c r="R310" s="2"/>
      <c r="S310" s="95"/>
      <c r="T310" s="313" t="s">
        <v>1462</v>
      </c>
      <c r="U310" s="393"/>
      <c r="V310" s="95"/>
      <c r="W310" s="129"/>
      <c r="X310" s="318"/>
      <c r="Y310" s="95"/>
      <c r="Z310" s="131" t="s">
        <v>1467</v>
      </c>
      <c r="AA310" s="108" t="str">
        <f t="shared" si="35"/>
        <v/>
      </c>
      <c r="AB310" s="2"/>
      <c r="AC310" s="131">
        <f t="shared" si="36"/>
        <v>24873.949579831933</v>
      </c>
      <c r="AD310" s="108">
        <f t="shared" si="37"/>
        <v>4726.0504201680669</v>
      </c>
      <c r="AE310" s="95" t="s">
        <v>1501</v>
      </c>
      <c r="AF310" s="533" t="s">
        <v>3487</v>
      </c>
      <c r="AG310" s="2" t="str">
        <f t="shared" si="38"/>
        <v>SI</v>
      </c>
      <c r="AH310" s="284"/>
      <c r="AI310" s="533"/>
      <c r="AJ310" s="2" t="str">
        <f t="shared" si="39"/>
        <v>NV</v>
      </c>
      <c r="AK310" s="303"/>
    </row>
    <row r="311" spans="1:37" x14ac:dyDescent="0.25">
      <c r="A311" s="542" t="s">
        <v>1175</v>
      </c>
      <c r="B311" s="317" t="s">
        <v>1144</v>
      </c>
      <c r="C311" s="95">
        <v>2989</v>
      </c>
      <c r="D311" s="95">
        <v>0</v>
      </c>
      <c r="E311" s="95">
        <v>269</v>
      </c>
      <c r="F311" s="95"/>
      <c r="G311" s="95">
        <v>1037495</v>
      </c>
      <c r="H311" s="138">
        <v>130178</v>
      </c>
      <c r="I311" s="138">
        <v>-10104</v>
      </c>
      <c r="J311" s="126">
        <f t="shared" si="32"/>
        <v>120074</v>
      </c>
      <c r="K311" s="318">
        <v>43783</v>
      </c>
      <c r="L311" s="95">
        <v>30</v>
      </c>
      <c r="M311" s="313">
        <f t="shared" si="33"/>
        <v>43813</v>
      </c>
      <c r="N311" s="2" t="str">
        <f t="shared" si="34"/>
        <v>Abonado</v>
      </c>
      <c r="O311" s="318">
        <v>43818</v>
      </c>
      <c r="P311" s="138">
        <v>20074</v>
      </c>
      <c r="Q311" s="2" t="s">
        <v>1484</v>
      </c>
      <c r="R311" s="2"/>
      <c r="S311" s="2"/>
      <c r="T311" s="313" t="s">
        <v>1496</v>
      </c>
      <c r="U311" s="393"/>
      <c r="V311" s="95"/>
      <c r="W311" s="129"/>
      <c r="X311" s="318"/>
      <c r="Y311" s="95"/>
      <c r="Z311" s="131" t="s">
        <v>1467</v>
      </c>
      <c r="AA311" s="108" t="str">
        <f t="shared" si="35"/>
        <v/>
      </c>
      <c r="AB311" s="2"/>
      <c r="AC311" s="131">
        <f t="shared" si="36"/>
        <v>109393.27731092437</v>
      </c>
      <c r="AD311" s="108">
        <f t="shared" si="37"/>
        <v>20784.722689075628</v>
      </c>
      <c r="AE311" s="95" t="s">
        <v>2050</v>
      </c>
      <c r="AF311" s="541" t="s">
        <v>3490</v>
      </c>
      <c r="AG311" s="2" t="str">
        <f t="shared" si="38"/>
        <v>NO</v>
      </c>
      <c r="AH311" s="284"/>
      <c r="AI311" s="541"/>
      <c r="AJ311" s="2" t="str">
        <f t="shared" si="39"/>
        <v>Factura</v>
      </c>
      <c r="AK311" s="303"/>
    </row>
    <row r="312" spans="1:37" x14ac:dyDescent="0.25">
      <c r="A312" s="542" t="s">
        <v>1175</v>
      </c>
      <c r="B312" s="317" t="s">
        <v>1144</v>
      </c>
      <c r="C312" s="95">
        <v>2992</v>
      </c>
      <c r="D312" s="95">
        <v>0</v>
      </c>
      <c r="E312" s="95"/>
      <c r="F312" s="95"/>
      <c r="G312" s="95">
        <v>1037524</v>
      </c>
      <c r="H312" s="138">
        <v>333900</v>
      </c>
      <c r="I312" s="138"/>
      <c r="J312" s="126">
        <f t="shared" si="32"/>
        <v>333900</v>
      </c>
      <c r="K312" s="318">
        <v>43783</v>
      </c>
      <c r="L312" s="95">
        <v>30</v>
      </c>
      <c r="M312" s="9">
        <f t="shared" si="33"/>
        <v>43813</v>
      </c>
      <c r="N312" s="2" t="str">
        <f t="shared" si="34"/>
        <v>Pagado</v>
      </c>
      <c r="O312" s="318">
        <v>43818</v>
      </c>
      <c r="P312" s="138">
        <v>333900</v>
      </c>
      <c r="Q312" s="2" t="s">
        <v>1484</v>
      </c>
      <c r="R312" s="2"/>
      <c r="S312" s="95"/>
      <c r="T312" s="9" t="s">
        <v>1496</v>
      </c>
      <c r="U312" s="393"/>
      <c r="V312" s="95"/>
      <c r="W312" s="129"/>
      <c r="X312" s="318"/>
      <c r="Y312" s="95"/>
      <c r="Z312" s="131" t="s">
        <v>1467</v>
      </c>
      <c r="AA312" s="108" t="str">
        <f t="shared" si="35"/>
        <v/>
      </c>
      <c r="AB312" s="2"/>
      <c r="AC312" s="131">
        <f t="shared" si="36"/>
        <v>280588.23529411765</v>
      </c>
      <c r="AD312" s="108">
        <f t="shared" si="37"/>
        <v>53311.76470588235</v>
      </c>
      <c r="AE312" s="95" t="s">
        <v>2050</v>
      </c>
      <c r="AF312" s="541" t="s">
        <v>3490</v>
      </c>
      <c r="AG312" s="2" t="str">
        <f t="shared" si="38"/>
        <v>SI</v>
      </c>
      <c r="AH312" s="284"/>
      <c r="AI312" s="541"/>
      <c r="AJ312" s="2" t="str">
        <f t="shared" si="39"/>
        <v>Factura</v>
      </c>
      <c r="AK312" s="303"/>
    </row>
    <row r="313" spans="1:37" x14ac:dyDescent="0.25">
      <c r="A313" s="429" t="s">
        <v>1209</v>
      </c>
      <c r="B313" s="317" t="s">
        <v>974</v>
      </c>
      <c r="C313" s="95">
        <v>0</v>
      </c>
      <c r="D313" s="95" t="s">
        <v>2528</v>
      </c>
      <c r="E313" s="95"/>
      <c r="F313" s="95"/>
      <c r="G313" s="95">
        <v>6110</v>
      </c>
      <c r="H313" s="138">
        <v>44700</v>
      </c>
      <c r="I313" s="138"/>
      <c r="J313" s="126">
        <f t="shared" si="32"/>
        <v>44700</v>
      </c>
      <c r="K313" s="318">
        <v>43783</v>
      </c>
      <c r="L313" s="95">
        <v>0</v>
      </c>
      <c r="M313" s="9">
        <f t="shared" si="33"/>
        <v>43783</v>
      </c>
      <c r="N313" s="2" t="str">
        <f t="shared" si="34"/>
        <v>Pagado</v>
      </c>
      <c r="O313" s="318">
        <v>43812</v>
      </c>
      <c r="P313" s="138">
        <v>44700</v>
      </c>
      <c r="Q313" s="2" t="s">
        <v>1484</v>
      </c>
      <c r="R313" s="2"/>
      <c r="S313" s="95"/>
      <c r="T313" s="313" t="s">
        <v>1490</v>
      </c>
      <c r="U313" s="393"/>
      <c r="V313" s="95"/>
      <c r="W313" s="129"/>
      <c r="X313" s="318"/>
      <c r="Y313" s="95"/>
      <c r="Z313" s="131" t="s">
        <v>1467</v>
      </c>
      <c r="AA313" s="108" t="str">
        <f t="shared" si="35"/>
        <v/>
      </c>
      <c r="AB313" s="2"/>
      <c r="AC313" s="131">
        <f t="shared" si="36"/>
        <v>37563.025210084037</v>
      </c>
      <c r="AD313" s="108">
        <f t="shared" si="37"/>
        <v>7136.9747899159629</v>
      </c>
      <c r="AE313" s="95" t="s">
        <v>2050</v>
      </c>
      <c r="AF313" s="428" t="s">
        <v>3487</v>
      </c>
      <c r="AG313" s="2" t="str">
        <f t="shared" si="38"/>
        <v>SI</v>
      </c>
      <c r="AH313" s="284"/>
      <c r="AI313" s="428"/>
      <c r="AJ313" s="2" t="str">
        <f t="shared" si="39"/>
        <v>NV</v>
      </c>
      <c r="AK313" s="303"/>
    </row>
    <row r="314" spans="1:37" x14ac:dyDescent="0.25">
      <c r="A314" s="534" t="s">
        <v>5154</v>
      </c>
      <c r="B314" s="317" t="s">
        <v>5155</v>
      </c>
      <c r="C314" s="95">
        <v>0</v>
      </c>
      <c r="D314" s="95">
        <v>2697</v>
      </c>
      <c r="E314" s="95"/>
      <c r="F314" s="95"/>
      <c r="G314" s="95">
        <v>6121</v>
      </c>
      <c r="H314" s="138">
        <v>20900</v>
      </c>
      <c r="I314" s="138"/>
      <c r="J314" s="126">
        <f t="shared" si="32"/>
        <v>20900</v>
      </c>
      <c r="K314" s="318">
        <v>43783</v>
      </c>
      <c r="L314" s="95">
        <v>0</v>
      </c>
      <c r="M314" s="9">
        <f t="shared" si="33"/>
        <v>43783</v>
      </c>
      <c r="N314" s="2" t="str">
        <f t="shared" si="34"/>
        <v>Pagado</v>
      </c>
      <c r="O314" s="318">
        <v>43783</v>
      </c>
      <c r="P314" s="138">
        <v>20900</v>
      </c>
      <c r="Q314" s="2" t="s">
        <v>1481</v>
      </c>
      <c r="R314" s="2"/>
      <c r="S314" s="95"/>
      <c r="T314" s="313"/>
      <c r="U314" s="393"/>
      <c r="V314" s="95"/>
      <c r="W314" s="129"/>
      <c r="X314" s="318"/>
      <c r="Y314" s="95"/>
      <c r="Z314" s="131" t="s">
        <v>1467</v>
      </c>
      <c r="AA314" s="108" t="str">
        <f t="shared" si="35"/>
        <v/>
      </c>
      <c r="AB314" s="2"/>
      <c r="AC314" s="131">
        <f t="shared" si="36"/>
        <v>17563.025210084033</v>
      </c>
      <c r="AD314" s="108">
        <f t="shared" si="37"/>
        <v>3336.9747899159665</v>
      </c>
      <c r="AE314" s="95" t="s">
        <v>1501</v>
      </c>
      <c r="AF314" s="533" t="s">
        <v>3487</v>
      </c>
      <c r="AG314" s="2" t="str">
        <f t="shared" si="38"/>
        <v>SI</v>
      </c>
      <c r="AH314" s="284"/>
      <c r="AI314" s="533"/>
      <c r="AJ314" s="2" t="str">
        <f t="shared" si="39"/>
        <v>NV</v>
      </c>
      <c r="AK314" s="303"/>
    </row>
    <row r="315" spans="1:37" x14ac:dyDescent="0.25">
      <c r="A315" s="542" t="s">
        <v>1243</v>
      </c>
      <c r="B315" s="317" t="s">
        <v>986</v>
      </c>
      <c r="C315" s="95">
        <v>0</v>
      </c>
      <c r="D315" s="95">
        <v>0</v>
      </c>
      <c r="E315" s="95"/>
      <c r="F315" s="95"/>
      <c r="G315" s="95">
        <v>6135</v>
      </c>
      <c r="H315" s="138">
        <v>26700</v>
      </c>
      <c r="I315" s="138"/>
      <c r="J315" s="126">
        <f t="shared" si="32"/>
        <v>26700</v>
      </c>
      <c r="K315" s="318">
        <v>43784</v>
      </c>
      <c r="L315" s="95">
        <v>0</v>
      </c>
      <c r="M315" s="9">
        <f t="shared" si="33"/>
        <v>43784</v>
      </c>
      <c r="N315" s="2" t="str">
        <f t="shared" si="34"/>
        <v>Pagado</v>
      </c>
      <c r="O315" s="318">
        <v>43785</v>
      </c>
      <c r="P315" s="138">
        <v>26700</v>
      </c>
      <c r="Q315" s="2" t="s">
        <v>1484</v>
      </c>
      <c r="R315" s="2"/>
      <c r="S315" s="95"/>
      <c r="T315" s="9" t="s">
        <v>1496</v>
      </c>
      <c r="U315" s="393"/>
      <c r="V315" s="95"/>
      <c r="W315" s="129"/>
      <c r="X315" s="318"/>
      <c r="Y315" s="95"/>
      <c r="Z315" s="131" t="s">
        <v>1467</v>
      </c>
      <c r="AA315" s="108" t="str">
        <f t="shared" si="35"/>
        <v/>
      </c>
      <c r="AB315" s="2"/>
      <c r="AC315" s="131">
        <f t="shared" si="36"/>
        <v>22436.974789915967</v>
      </c>
      <c r="AD315" s="108">
        <f t="shared" si="37"/>
        <v>4263.0252100840335</v>
      </c>
      <c r="AE315" s="95" t="s">
        <v>1501</v>
      </c>
      <c r="AF315" s="541" t="s">
        <v>3489</v>
      </c>
      <c r="AG315" s="2" t="str">
        <f t="shared" si="38"/>
        <v>SI</v>
      </c>
      <c r="AH315" s="284"/>
      <c r="AI315" s="541"/>
      <c r="AJ315" s="2" t="str">
        <f t="shared" si="39"/>
        <v>NV</v>
      </c>
      <c r="AK315" s="303"/>
    </row>
    <row r="316" spans="1:37" x14ac:dyDescent="0.25">
      <c r="A316" s="542" t="s">
        <v>3987</v>
      </c>
      <c r="B316" s="317" t="s">
        <v>3988</v>
      </c>
      <c r="C316" s="95">
        <v>0</v>
      </c>
      <c r="D316" s="95">
        <v>2700</v>
      </c>
      <c r="E316" s="95"/>
      <c r="F316" s="95"/>
      <c r="G316" s="95">
        <v>6128</v>
      </c>
      <c r="H316" s="138">
        <v>19900</v>
      </c>
      <c r="I316" s="138"/>
      <c r="J316" s="126">
        <f t="shared" si="32"/>
        <v>19900</v>
      </c>
      <c r="K316" s="318">
        <v>43784</v>
      </c>
      <c r="L316" s="95">
        <v>0</v>
      </c>
      <c r="M316" s="9">
        <f t="shared" si="33"/>
        <v>43784</v>
      </c>
      <c r="N316" s="2" t="str">
        <f t="shared" si="34"/>
        <v>Pagado</v>
      </c>
      <c r="O316" s="318">
        <v>43784</v>
      </c>
      <c r="P316" s="138">
        <v>19900</v>
      </c>
      <c r="Q316" s="2" t="s">
        <v>1484</v>
      </c>
      <c r="R316" s="2"/>
      <c r="S316" s="95"/>
      <c r="T316" s="9" t="s">
        <v>1492</v>
      </c>
      <c r="U316" s="393"/>
      <c r="V316" s="95"/>
      <c r="W316" s="129"/>
      <c r="X316" s="318"/>
      <c r="Y316" s="95"/>
      <c r="Z316" s="131" t="s">
        <v>1467</v>
      </c>
      <c r="AA316" s="108" t="str">
        <f t="shared" si="35"/>
        <v/>
      </c>
      <c r="AB316" s="2"/>
      <c r="AC316" s="131">
        <f t="shared" si="36"/>
        <v>16722.689075630253</v>
      </c>
      <c r="AD316" s="108">
        <f t="shared" si="37"/>
        <v>3177.3109243697472</v>
      </c>
      <c r="AE316" s="95" t="s">
        <v>1501</v>
      </c>
      <c r="AF316" s="541" t="s">
        <v>3488</v>
      </c>
      <c r="AG316" s="2" t="str">
        <f t="shared" si="38"/>
        <v>SI</v>
      </c>
      <c r="AH316" s="284"/>
      <c r="AI316" s="541"/>
      <c r="AJ316" s="2" t="str">
        <f t="shared" si="39"/>
        <v>NV</v>
      </c>
      <c r="AK316" s="303"/>
    </row>
    <row r="317" spans="1:37" x14ac:dyDescent="0.25">
      <c r="A317" s="542" t="s">
        <v>1256</v>
      </c>
      <c r="B317" s="317" t="s">
        <v>976</v>
      </c>
      <c r="C317" s="95">
        <v>2995</v>
      </c>
      <c r="D317" s="95">
        <v>0</v>
      </c>
      <c r="E317" s="95"/>
      <c r="F317" s="95"/>
      <c r="G317" s="95" t="s">
        <v>2528</v>
      </c>
      <c r="H317" s="138">
        <v>37529</v>
      </c>
      <c r="I317" s="138"/>
      <c r="J317" s="126">
        <f t="shared" si="32"/>
        <v>37529</v>
      </c>
      <c r="K317" s="318">
        <v>43784</v>
      </c>
      <c r="L317" s="95">
        <v>0</v>
      </c>
      <c r="M317" s="9">
        <f t="shared" si="33"/>
        <v>43784</v>
      </c>
      <c r="N317" s="2" t="str">
        <f t="shared" si="34"/>
        <v>Pagado</v>
      </c>
      <c r="O317" s="318">
        <v>43784</v>
      </c>
      <c r="P317" s="138">
        <v>37529</v>
      </c>
      <c r="Q317" s="2" t="s">
        <v>1481</v>
      </c>
      <c r="R317" s="2"/>
      <c r="S317" s="95"/>
      <c r="T317" s="9"/>
      <c r="U317" s="393"/>
      <c r="V317" s="95"/>
      <c r="W317" s="129"/>
      <c r="X317" s="318"/>
      <c r="Y317" s="95"/>
      <c r="Z317" s="131" t="s">
        <v>1467</v>
      </c>
      <c r="AA317" s="108" t="str">
        <f t="shared" si="35"/>
        <v/>
      </c>
      <c r="AB317" s="2"/>
      <c r="AC317" s="131">
        <f t="shared" si="36"/>
        <v>31536.974789915967</v>
      </c>
      <c r="AD317" s="108">
        <f t="shared" si="37"/>
        <v>5992.0252100840335</v>
      </c>
      <c r="AE317" s="95" t="s">
        <v>1445</v>
      </c>
      <c r="AF317" s="541" t="s">
        <v>3490</v>
      </c>
      <c r="AG317" s="2" t="str">
        <f t="shared" si="38"/>
        <v>SI</v>
      </c>
      <c r="AH317" s="284"/>
      <c r="AI317" s="541"/>
      <c r="AJ317" s="2" t="str">
        <f t="shared" si="39"/>
        <v>Factura</v>
      </c>
      <c r="AK317" s="303"/>
    </row>
    <row r="318" spans="1:37" x14ac:dyDescent="0.25">
      <c r="A318" s="542" t="s">
        <v>1402</v>
      </c>
      <c r="B318" s="317" t="s">
        <v>3588</v>
      </c>
      <c r="C318" s="95">
        <v>0</v>
      </c>
      <c r="D318" s="95">
        <v>2701</v>
      </c>
      <c r="E318" s="95"/>
      <c r="F318" s="95"/>
      <c r="G318" s="95">
        <v>6123</v>
      </c>
      <c r="H318" s="138">
        <v>32900</v>
      </c>
      <c r="I318" s="138"/>
      <c r="J318" s="126">
        <f t="shared" si="32"/>
        <v>32900</v>
      </c>
      <c r="K318" s="318">
        <v>43784</v>
      </c>
      <c r="L318" s="95">
        <v>0</v>
      </c>
      <c r="M318" s="9">
        <f t="shared" si="33"/>
        <v>43784</v>
      </c>
      <c r="N318" s="2" t="str">
        <f t="shared" si="34"/>
        <v>Pagado</v>
      </c>
      <c r="O318" s="318">
        <v>43480</v>
      </c>
      <c r="P318" s="138">
        <v>32900</v>
      </c>
      <c r="Q318" s="2" t="s">
        <v>1481</v>
      </c>
      <c r="R318" s="2"/>
      <c r="S318" s="95"/>
      <c r="T318" s="9" t="s">
        <v>1488</v>
      </c>
      <c r="U318" s="393"/>
      <c r="V318" s="95">
        <v>4951439</v>
      </c>
      <c r="W318" s="129">
        <v>32900</v>
      </c>
      <c r="X318" s="318">
        <v>43784</v>
      </c>
      <c r="Y318" s="95" t="s">
        <v>1488</v>
      </c>
      <c r="Z318" s="131" t="s">
        <v>1467</v>
      </c>
      <c r="AA318" s="108" t="str">
        <f t="shared" si="35"/>
        <v/>
      </c>
      <c r="AB318" s="2"/>
      <c r="AC318" s="131">
        <f t="shared" si="36"/>
        <v>27647.058823529413</v>
      </c>
      <c r="AD318" s="108">
        <f t="shared" si="37"/>
        <v>5252.9411764705874</v>
      </c>
      <c r="AE318" s="95" t="s">
        <v>1501</v>
      </c>
      <c r="AF318" s="541" t="s">
        <v>3489</v>
      </c>
      <c r="AG318" s="2" t="str">
        <f t="shared" si="38"/>
        <v>SI</v>
      </c>
      <c r="AH318" s="284"/>
      <c r="AI318" s="541"/>
      <c r="AJ318" s="2" t="str">
        <f t="shared" si="39"/>
        <v>NV</v>
      </c>
      <c r="AK318" s="303"/>
    </row>
    <row r="319" spans="1:37" x14ac:dyDescent="0.25">
      <c r="A319" s="542" t="s">
        <v>1275</v>
      </c>
      <c r="B319" s="317" t="s">
        <v>2218</v>
      </c>
      <c r="C319" s="95">
        <v>2996</v>
      </c>
      <c r="D319" s="95">
        <v>0</v>
      </c>
      <c r="E319" s="95"/>
      <c r="F319" s="95"/>
      <c r="G319" s="95" t="s">
        <v>2528</v>
      </c>
      <c r="H319" s="138">
        <v>29000</v>
      </c>
      <c r="I319" s="138"/>
      <c r="J319" s="126">
        <f t="shared" si="32"/>
        <v>29000</v>
      </c>
      <c r="K319" s="318">
        <v>43784</v>
      </c>
      <c r="L319" s="95">
        <v>0</v>
      </c>
      <c r="M319" s="9">
        <f t="shared" si="33"/>
        <v>43784</v>
      </c>
      <c r="N319" s="2" t="str">
        <f t="shared" si="34"/>
        <v>Pagado</v>
      </c>
      <c r="O319" s="318">
        <v>43784</v>
      </c>
      <c r="P319" s="138">
        <v>29000</v>
      </c>
      <c r="Q319" s="2" t="s">
        <v>1481</v>
      </c>
      <c r="R319" s="2"/>
      <c r="S319" s="95"/>
      <c r="T319" s="9"/>
      <c r="U319" s="393"/>
      <c r="V319" s="95"/>
      <c r="W319" s="129"/>
      <c r="X319" s="318"/>
      <c r="Y319" s="95"/>
      <c r="Z319" s="131" t="s">
        <v>1467</v>
      </c>
      <c r="AA319" s="108" t="str">
        <f t="shared" si="35"/>
        <v/>
      </c>
      <c r="AB319" s="2"/>
      <c r="AC319" s="131">
        <f t="shared" si="36"/>
        <v>24369.747899159665</v>
      </c>
      <c r="AD319" s="108">
        <f t="shared" si="37"/>
        <v>4630.2521008403346</v>
      </c>
      <c r="AE319" s="95" t="s">
        <v>1445</v>
      </c>
      <c r="AF319" s="541" t="s">
        <v>3490</v>
      </c>
      <c r="AG319" s="2" t="str">
        <f t="shared" si="38"/>
        <v>SI</v>
      </c>
      <c r="AH319" s="284"/>
      <c r="AI319" s="541"/>
      <c r="AJ319" s="2" t="str">
        <f t="shared" si="39"/>
        <v>Factura</v>
      </c>
      <c r="AK319" s="303"/>
    </row>
    <row r="320" spans="1:37" x14ac:dyDescent="0.25">
      <c r="A320" s="542" t="s">
        <v>1275</v>
      </c>
      <c r="B320" s="317" t="s">
        <v>2218</v>
      </c>
      <c r="C320" s="95">
        <v>2997</v>
      </c>
      <c r="D320" s="95">
        <v>0</v>
      </c>
      <c r="E320" s="95"/>
      <c r="F320" s="95"/>
      <c r="G320" s="95" t="s">
        <v>2528</v>
      </c>
      <c r="H320" s="138">
        <v>14500</v>
      </c>
      <c r="I320" s="138"/>
      <c r="J320" s="126">
        <f t="shared" si="32"/>
        <v>14500</v>
      </c>
      <c r="K320" s="318">
        <v>43784</v>
      </c>
      <c r="L320" s="95">
        <v>0</v>
      </c>
      <c r="M320" s="9">
        <f t="shared" si="33"/>
        <v>43784</v>
      </c>
      <c r="N320" s="2" t="str">
        <f t="shared" si="34"/>
        <v>Pagado</v>
      </c>
      <c r="O320" s="318">
        <v>43784</v>
      </c>
      <c r="P320" s="138">
        <v>14500</v>
      </c>
      <c r="Q320" s="2" t="s">
        <v>1481</v>
      </c>
      <c r="R320" s="2"/>
      <c r="S320" s="95"/>
      <c r="T320" s="9"/>
      <c r="U320" s="393"/>
      <c r="V320" s="95"/>
      <c r="W320" s="129"/>
      <c r="X320" s="318"/>
      <c r="Y320" s="95"/>
      <c r="Z320" s="131" t="s">
        <v>1467</v>
      </c>
      <c r="AA320" s="108" t="str">
        <f t="shared" si="35"/>
        <v/>
      </c>
      <c r="AB320" s="2"/>
      <c r="AC320" s="131">
        <f t="shared" si="36"/>
        <v>12184.873949579833</v>
      </c>
      <c r="AD320" s="108">
        <f t="shared" si="37"/>
        <v>2315.1260504201673</v>
      </c>
      <c r="AE320" s="95" t="s">
        <v>1445</v>
      </c>
      <c r="AF320" s="541" t="s">
        <v>3490</v>
      </c>
      <c r="AG320" s="2" t="str">
        <f t="shared" si="38"/>
        <v>SI</v>
      </c>
      <c r="AH320" s="284"/>
      <c r="AI320" s="541"/>
      <c r="AJ320" s="2" t="str">
        <f t="shared" si="39"/>
        <v>Factura</v>
      </c>
      <c r="AK320" s="303"/>
    </row>
    <row r="321" spans="1:37" x14ac:dyDescent="0.25">
      <c r="A321" s="501" t="s">
        <v>1374</v>
      </c>
      <c r="B321" s="317" t="s">
        <v>1015</v>
      </c>
      <c r="C321" s="95">
        <v>0</v>
      </c>
      <c r="D321" s="95" t="s">
        <v>2528</v>
      </c>
      <c r="E321" s="95"/>
      <c r="F321" s="95"/>
      <c r="G321" s="95">
        <v>6132</v>
      </c>
      <c r="H321" s="138">
        <v>19697</v>
      </c>
      <c r="I321" s="138"/>
      <c r="J321" s="126">
        <f t="shared" si="32"/>
        <v>19697</v>
      </c>
      <c r="K321" s="318">
        <v>43784</v>
      </c>
      <c r="L321" s="95">
        <v>0</v>
      </c>
      <c r="M321" s="9">
        <f t="shared" si="33"/>
        <v>43784</v>
      </c>
      <c r="N321" s="2" t="str">
        <f t="shared" si="34"/>
        <v>Pagado</v>
      </c>
      <c r="O321" s="318">
        <v>43784</v>
      </c>
      <c r="P321" s="138">
        <v>20000</v>
      </c>
      <c r="Q321" s="2" t="s">
        <v>1481</v>
      </c>
      <c r="R321" s="2"/>
      <c r="S321" s="95"/>
      <c r="T321" s="9"/>
      <c r="U321" s="393"/>
      <c r="V321" s="95"/>
      <c r="W321" s="129"/>
      <c r="X321" s="318"/>
      <c r="Y321" s="95"/>
      <c r="Z321" s="131" t="s">
        <v>1467</v>
      </c>
      <c r="AA321" s="108" t="str">
        <f t="shared" si="35"/>
        <v/>
      </c>
      <c r="AB321" s="2"/>
      <c r="AC321" s="131">
        <f t="shared" si="36"/>
        <v>16552.100840336134</v>
      </c>
      <c r="AD321" s="108">
        <f t="shared" si="37"/>
        <v>3144.8991596638662</v>
      </c>
      <c r="AE321" s="95" t="s">
        <v>1501</v>
      </c>
      <c r="AF321" s="500" t="s">
        <v>3489</v>
      </c>
      <c r="AG321" s="2" t="str">
        <f t="shared" si="38"/>
        <v>SI</v>
      </c>
      <c r="AH321" s="284"/>
      <c r="AI321" s="500"/>
      <c r="AJ321" s="2" t="str">
        <f t="shared" si="39"/>
        <v>NV</v>
      </c>
      <c r="AK321" s="303"/>
    </row>
    <row r="322" spans="1:37" x14ac:dyDescent="0.25">
      <c r="A322" s="501" t="s">
        <v>4907</v>
      </c>
      <c r="B322" s="317" t="s">
        <v>4908</v>
      </c>
      <c r="C322" s="95">
        <v>2994</v>
      </c>
      <c r="D322" s="95">
        <v>0</v>
      </c>
      <c r="E322" s="95"/>
      <c r="F322" s="95"/>
      <c r="G322" s="95" t="s">
        <v>2528</v>
      </c>
      <c r="H322" s="138">
        <v>67093</v>
      </c>
      <c r="I322" s="138"/>
      <c r="J322" s="126">
        <f t="shared" si="32"/>
        <v>67093</v>
      </c>
      <c r="K322" s="318">
        <v>43784</v>
      </c>
      <c r="L322" s="95">
        <v>30</v>
      </c>
      <c r="M322" s="9">
        <f t="shared" si="33"/>
        <v>43814</v>
      </c>
      <c r="N322" s="2" t="str">
        <f t="shared" si="34"/>
        <v>Pagado</v>
      </c>
      <c r="O322" s="318">
        <v>43819</v>
      </c>
      <c r="P322" s="138">
        <v>67093</v>
      </c>
      <c r="Q322" s="2" t="s">
        <v>2131</v>
      </c>
      <c r="R322" s="2"/>
      <c r="S322" s="95">
        <v>961</v>
      </c>
      <c r="T322" s="9" t="s">
        <v>1494</v>
      </c>
      <c r="U322" s="393">
        <v>43824</v>
      </c>
      <c r="V322" s="95"/>
      <c r="W322" s="129"/>
      <c r="X322" s="318"/>
      <c r="Y322" s="95"/>
      <c r="Z322" s="131" t="s">
        <v>1467</v>
      </c>
      <c r="AA322" s="108" t="str">
        <f t="shared" si="35"/>
        <v>Otros</v>
      </c>
      <c r="AB322" s="2"/>
      <c r="AC322" s="131">
        <f t="shared" si="36"/>
        <v>56380.672268907569</v>
      </c>
      <c r="AD322" s="108">
        <f t="shared" si="37"/>
        <v>10712.327731092431</v>
      </c>
      <c r="AE322" s="95" t="s">
        <v>1445</v>
      </c>
      <c r="AF322" s="500" t="s">
        <v>3490</v>
      </c>
      <c r="AG322" s="2" t="str">
        <f t="shared" si="38"/>
        <v>SI</v>
      </c>
      <c r="AH322" s="284"/>
      <c r="AI322" s="500"/>
      <c r="AJ322" s="2" t="str">
        <f t="shared" si="39"/>
        <v>Factura</v>
      </c>
      <c r="AK322" s="303"/>
    </row>
    <row r="323" spans="1:37" x14ac:dyDescent="0.25">
      <c r="A323" s="534" t="s">
        <v>1181</v>
      </c>
      <c r="B323" s="317" t="s">
        <v>939</v>
      </c>
      <c r="C323" s="95" t="s">
        <v>2528</v>
      </c>
      <c r="D323" s="95">
        <v>0</v>
      </c>
      <c r="E323" s="95"/>
      <c r="F323" s="95"/>
      <c r="G323" s="95" t="s">
        <v>2528</v>
      </c>
      <c r="H323" s="138">
        <v>6151</v>
      </c>
      <c r="I323" s="138"/>
      <c r="J323" s="126">
        <f t="shared" ref="J323:J386" si="40">+H323+I323</f>
        <v>6151</v>
      </c>
      <c r="K323" s="318">
        <v>43784</v>
      </c>
      <c r="L323" s="95">
        <v>0</v>
      </c>
      <c r="M323" s="9">
        <f t="shared" ref="M323:M386" si="41">+L323+K323</f>
        <v>43784</v>
      </c>
      <c r="N323" s="2" t="str">
        <f t="shared" ref="N323:N386" si="42">+IF(J323=0,"Nulo",IF(P323&gt;=J323,"Pagado",IF(P323&gt;0,"Abonado",IF(M323&lt;$M$1,"Vencido",IF(J323&gt;P323,"Pendiente","Vencido")))))</f>
        <v>Pagado</v>
      </c>
      <c r="O323" s="318">
        <v>43784</v>
      </c>
      <c r="P323" s="138">
        <v>6151</v>
      </c>
      <c r="Q323" s="2" t="s">
        <v>1481</v>
      </c>
      <c r="R323" s="2"/>
      <c r="S323" s="95"/>
      <c r="T323" s="313"/>
      <c r="U323" s="393"/>
      <c r="V323" s="95"/>
      <c r="W323" s="129"/>
      <c r="X323" s="318"/>
      <c r="Y323" s="95"/>
      <c r="Z323" s="131" t="s">
        <v>1467</v>
      </c>
      <c r="AA323" s="108" t="str">
        <f t="shared" ref="AA323:AA386" si="43">+IF(LEFT(Q323,6)="Cheque",IF(T323="Chile","Chile","Otros"),"")</f>
        <v/>
      </c>
      <c r="AB323" s="2"/>
      <c r="AC323" s="131">
        <f t="shared" ref="AC323:AC386" si="44">+IF(C323="","",H323/1.19)</f>
        <v>5168.90756302521</v>
      </c>
      <c r="AD323" s="108">
        <f t="shared" ref="AD323:AD386" si="45">+IF(C323="","",H323-AC323)</f>
        <v>982.09243697478996</v>
      </c>
      <c r="AE323" s="95" t="s">
        <v>1445</v>
      </c>
      <c r="AF323" s="533" t="s">
        <v>3490</v>
      </c>
      <c r="AG323" s="2" t="str">
        <f t="shared" ref="AG323:AG386" si="46">+IF(N323="Pagado","SI",IF(N323="NULO","SI","NO"))</f>
        <v>SI</v>
      </c>
      <c r="AH323" s="284"/>
      <c r="AI323" s="533"/>
      <c r="AJ323" s="2" t="str">
        <f t="shared" ref="AJ323:AJ386" si="47">+IF(C323=0,"NV","Factura")</f>
        <v>Factura</v>
      </c>
      <c r="AK323" s="303"/>
    </row>
    <row r="324" spans="1:37" x14ac:dyDescent="0.25">
      <c r="A324" s="534" t="s">
        <v>1197</v>
      </c>
      <c r="B324" s="317" t="s">
        <v>2236</v>
      </c>
      <c r="C324" s="95">
        <v>0</v>
      </c>
      <c r="D324" s="95">
        <v>2699</v>
      </c>
      <c r="E324" s="95"/>
      <c r="F324" s="95"/>
      <c r="G324" s="95">
        <v>6127</v>
      </c>
      <c r="H324" s="138">
        <v>62400</v>
      </c>
      <c r="I324" s="138"/>
      <c r="J324" s="332">
        <f t="shared" si="40"/>
        <v>62400</v>
      </c>
      <c r="K324" s="318">
        <v>43784</v>
      </c>
      <c r="L324" s="95">
        <v>30</v>
      </c>
      <c r="M324" s="9">
        <f t="shared" si="41"/>
        <v>43814</v>
      </c>
      <c r="N324" s="2" t="str">
        <f t="shared" ca="1" si="42"/>
        <v>Vencido</v>
      </c>
      <c r="O324" s="318"/>
      <c r="P324" s="138"/>
      <c r="Q324" s="2"/>
      <c r="R324" s="2"/>
      <c r="S324" s="95"/>
      <c r="T324" s="313"/>
      <c r="U324" s="393"/>
      <c r="V324" s="95"/>
      <c r="W324" s="129"/>
      <c r="X324" s="318"/>
      <c r="Y324" s="95"/>
      <c r="Z324" s="131" t="s">
        <v>1467</v>
      </c>
      <c r="AA324" s="108" t="str">
        <f t="shared" si="43"/>
        <v/>
      </c>
      <c r="AB324" s="2"/>
      <c r="AC324" s="131">
        <f t="shared" si="44"/>
        <v>52436.97478991597</v>
      </c>
      <c r="AD324" s="108">
        <f t="shared" si="45"/>
        <v>9963.0252100840298</v>
      </c>
      <c r="AE324" s="95" t="s">
        <v>1501</v>
      </c>
      <c r="AF324" s="533" t="s">
        <v>3490</v>
      </c>
      <c r="AG324" s="2" t="str">
        <f t="shared" ca="1" si="46"/>
        <v>NO</v>
      </c>
      <c r="AH324" s="284"/>
      <c r="AI324" s="533"/>
      <c r="AJ324" s="2" t="str">
        <f t="shared" si="47"/>
        <v>NV</v>
      </c>
      <c r="AK324" s="303"/>
    </row>
    <row r="325" spans="1:37" x14ac:dyDescent="0.25">
      <c r="A325" s="534" t="s">
        <v>2752</v>
      </c>
      <c r="B325" s="317" t="s">
        <v>2753</v>
      </c>
      <c r="C325" s="95">
        <v>0</v>
      </c>
      <c r="D325" s="95">
        <v>172</v>
      </c>
      <c r="E325" s="95"/>
      <c r="F325" s="95"/>
      <c r="G325" s="95">
        <v>6130</v>
      </c>
      <c r="H325" s="138">
        <v>24500</v>
      </c>
      <c r="I325" s="138"/>
      <c r="J325" s="126">
        <f t="shared" si="40"/>
        <v>24500</v>
      </c>
      <c r="K325" s="318">
        <v>43784</v>
      </c>
      <c r="L325" s="95">
        <v>0</v>
      </c>
      <c r="M325" s="9">
        <f t="shared" si="41"/>
        <v>43784</v>
      </c>
      <c r="N325" s="2" t="str">
        <f t="shared" si="42"/>
        <v>Pagado</v>
      </c>
      <c r="O325" s="318">
        <v>43784</v>
      </c>
      <c r="P325" s="138">
        <v>24500</v>
      </c>
      <c r="Q325" s="2" t="s">
        <v>1070</v>
      </c>
      <c r="R325" s="2" t="s">
        <v>2243</v>
      </c>
      <c r="S325" s="95">
        <v>172</v>
      </c>
      <c r="T325" s="9"/>
      <c r="U325" s="393"/>
      <c r="V325" s="95"/>
      <c r="W325" s="129"/>
      <c r="X325" s="318"/>
      <c r="Y325" s="95"/>
      <c r="Z325" s="131" t="s">
        <v>1467</v>
      </c>
      <c r="AA325" s="108" t="str">
        <f t="shared" si="43"/>
        <v/>
      </c>
      <c r="AB325" s="2"/>
      <c r="AC325" s="131">
        <f t="shared" si="44"/>
        <v>20588.235294117647</v>
      </c>
      <c r="AD325" s="108">
        <f t="shared" si="45"/>
        <v>3911.7647058823532</v>
      </c>
      <c r="AE325" s="95" t="s">
        <v>1501</v>
      </c>
      <c r="AF325" s="533" t="s">
        <v>3489</v>
      </c>
      <c r="AG325" s="2" t="str">
        <f t="shared" si="46"/>
        <v>SI</v>
      </c>
      <c r="AH325" s="284"/>
      <c r="AI325" s="533"/>
      <c r="AJ325" s="2" t="str">
        <f t="shared" si="47"/>
        <v>NV</v>
      </c>
      <c r="AK325" s="303"/>
    </row>
    <row r="326" spans="1:37" x14ac:dyDescent="0.25">
      <c r="A326" s="534" t="s">
        <v>1278</v>
      </c>
      <c r="B326" s="317" t="s">
        <v>1942</v>
      </c>
      <c r="C326" s="95">
        <v>0</v>
      </c>
      <c r="D326" s="95">
        <v>2702</v>
      </c>
      <c r="E326" s="95"/>
      <c r="F326" s="95"/>
      <c r="G326" s="95">
        <v>6129</v>
      </c>
      <c r="H326" s="138">
        <v>28600</v>
      </c>
      <c r="I326" s="138"/>
      <c r="J326" s="126">
        <f t="shared" si="40"/>
        <v>28600</v>
      </c>
      <c r="K326" s="318">
        <v>43784</v>
      </c>
      <c r="L326" s="95">
        <v>0</v>
      </c>
      <c r="M326" s="9">
        <f t="shared" si="41"/>
        <v>43784</v>
      </c>
      <c r="N326" s="2" t="str">
        <f t="shared" si="42"/>
        <v>Pagado</v>
      </c>
      <c r="O326" s="318">
        <v>43788</v>
      </c>
      <c r="P326" s="138">
        <v>28600</v>
      </c>
      <c r="Q326" s="2" t="s">
        <v>1484</v>
      </c>
      <c r="R326" s="2"/>
      <c r="S326" s="95"/>
      <c r="T326" s="9" t="s">
        <v>1496</v>
      </c>
      <c r="U326" s="393"/>
      <c r="V326" s="95"/>
      <c r="W326" s="129"/>
      <c r="X326" s="318"/>
      <c r="Y326" s="95"/>
      <c r="Z326" s="131" t="s">
        <v>1467</v>
      </c>
      <c r="AA326" s="108" t="str">
        <f t="shared" si="43"/>
        <v/>
      </c>
      <c r="AB326" s="2"/>
      <c r="AC326" s="131">
        <f t="shared" si="44"/>
        <v>24033.613445378152</v>
      </c>
      <c r="AD326" s="108">
        <f t="shared" si="45"/>
        <v>4566.3865546218476</v>
      </c>
      <c r="AE326" s="95" t="s">
        <v>1501</v>
      </c>
      <c r="AF326" s="533" t="s">
        <v>3487</v>
      </c>
      <c r="AG326" s="2" t="str">
        <f t="shared" si="46"/>
        <v>SI</v>
      </c>
      <c r="AH326" s="284"/>
      <c r="AI326" s="533"/>
      <c r="AJ326" s="2" t="str">
        <f t="shared" si="47"/>
        <v>NV</v>
      </c>
      <c r="AK326" s="303"/>
    </row>
    <row r="327" spans="1:37" x14ac:dyDescent="0.25">
      <c r="A327" s="429" t="s">
        <v>1199</v>
      </c>
      <c r="B327" s="317" t="s">
        <v>2546</v>
      </c>
      <c r="C327" s="95">
        <v>2991</v>
      </c>
      <c r="D327" s="95">
        <v>0</v>
      </c>
      <c r="E327" s="95">
        <v>270</v>
      </c>
      <c r="F327" s="95"/>
      <c r="G327" s="95" t="s">
        <v>2528</v>
      </c>
      <c r="H327" s="138">
        <v>175352</v>
      </c>
      <c r="I327" s="138">
        <f>-76723-2551</f>
        <v>-79274</v>
      </c>
      <c r="J327" s="126">
        <f t="shared" si="40"/>
        <v>96078</v>
      </c>
      <c r="K327" s="318">
        <v>43784</v>
      </c>
      <c r="L327" s="95">
        <v>0</v>
      </c>
      <c r="M327" s="9">
        <f t="shared" si="41"/>
        <v>43784</v>
      </c>
      <c r="N327" s="2" t="str">
        <f t="shared" si="42"/>
        <v>Abonado</v>
      </c>
      <c r="O327" s="318">
        <v>43784</v>
      </c>
      <c r="P327" s="138">
        <v>94391</v>
      </c>
      <c r="Q327" s="2" t="s">
        <v>1481</v>
      </c>
      <c r="R327" s="2"/>
      <c r="S327" s="95"/>
      <c r="T327" s="9"/>
      <c r="U327" s="393"/>
      <c r="V327" s="95"/>
      <c r="W327" s="129"/>
      <c r="X327" s="318"/>
      <c r="Y327" s="95"/>
      <c r="Z327" s="131" t="s">
        <v>1467</v>
      </c>
      <c r="AA327" s="108" t="str">
        <f t="shared" si="43"/>
        <v/>
      </c>
      <c r="AB327" s="2"/>
      <c r="AC327" s="131">
        <f t="shared" si="44"/>
        <v>147354.62184873951</v>
      </c>
      <c r="AD327" s="108">
        <f t="shared" si="45"/>
        <v>27997.378151260491</v>
      </c>
      <c r="AE327" s="95" t="s">
        <v>1445</v>
      </c>
      <c r="AF327" s="428" t="s">
        <v>3490</v>
      </c>
      <c r="AG327" s="2" t="str">
        <f t="shared" si="46"/>
        <v>NO</v>
      </c>
      <c r="AH327" s="284"/>
      <c r="AI327" s="428"/>
      <c r="AJ327" s="2" t="str">
        <f t="shared" si="47"/>
        <v>Factura</v>
      </c>
      <c r="AK327" s="303"/>
    </row>
    <row r="328" spans="1:37" x14ac:dyDescent="0.25">
      <c r="A328" s="534" t="s">
        <v>1199</v>
      </c>
      <c r="B328" s="317" t="s">
        <v>2546</v>
      </c>
      <c r="C328" s="95">
        <v>2993</v>
      </c>
      <c r="D328" s="95">
        <v>0</v>
      </c>
      <c r="E328" s="95" t="s">
        <v>5467</v>
      </c>
      <c r="F328" s="95"/>
      <c r="G328" s="95" t="s">
        <v>2528</v>
      </c>
      <c r="H328" s="138">
        <v>51148</v>
      </c>
      <c r="I328" s="138">
        <f>-1705-2551</f>
        <v>-4256</v>
      </c>
      <c r="J328" s="126">
        <f t="shared" si="40"/>
        <v>46892</v>
      </c>
      <c r="K328" s="318">
        <v>43784</v>
      </c>
      <c r="L328" s="95">
        <v>0</v>
      </c>
      <c r="M328" s="9">
        <f t="shared" si="41"/>
        <v>43784</v>
      </c>
      <c r="N328" s="2" t="str">
        <f t="shared" si="42"/>
        <v>Pagado</v>
      </c>
      <c r="O328" s="318">
        <v>43784</v>
      </c>
      <c r="P328" s="138">
        <v>49443</v>
      </c>
      <c r="Q328" s="2" t="s">
        <v>1481</v>
      </c>
      <c r="R328" s="2"/>
      <c r="S328" s="95"/>
      <c r="T328" s="313"/>
      <c r="U328" s="393"/>
      <c r="V328" s="95"/>
      <c r="W328" s="129"/>
      <c r="X328" s="318"/>
      <c r="Y328" s="95"/>
      <c r="Z328" s="131" t="s">
        <v>1467</v>
      </c>
      <c r="AA328" s="108" t="str">
        <f t="shared" si="43"/>
        <v/>
      </c>
      <c r="AB328" s="2"/>
      <c r="AC328" s="131">
        <f t="shared" si="44"/>
        <v>42981.512605042022</v>
      </c>
      <c r="AD328" s="108">
        <f t="shared" si="45"/>
        <v>8166.4873949579778</v>
      </c>
      <c r="AE328" s="95" t="s">
        <v>1445</v>
      </c>
      <c r="AF328" s="533" t="s">
        <v>3490</v>
      </c>
      <c r="AG328" s="2" t="str">
        <f t="shared" si="46"/>
        <v>SI</v>
      </c>
      <c r="AH328" s="284"/>
      <c r="AI328" s="533"/>
      <c r="AJ328" s="2" t="str">
        <f t="shared" si="47"/>
        <v>Factura</v>
      </c>
      <c r="AK328" s="303"/>
    </row>
    <row r="329" spans="1:37" x14ac:dyDescent="0.25">
      <c r="A329" s="458" t="s">
        <v>1204</v>
      </c>
      <c r="B329" s="317" t="s">
        <v>1052</v>
      </c>
      <c r="C329" s="95">
        <v>0</v>
      </c>
      <c r="D329" s="95" t="s">
        <v>2528</v>
      </c>
      <c r="E329" s="95"/>
      <c r="F329" s="95"/>
      <c r="G329" s="95">
        <v>6131</v>
      </c>
      <c r="H329" s="138">
        <v>39263</v>
      </c>
      <c r="I329" s="138"/>
      <c r="J329" s="126">
        <f t="shared" si="40"/>
        <v>39263</v>
      </c>
      <c r="K329" s="318">
        <v>43784</v>
      </c>
      <c r="L329" s="95">
        <v>0</v>
      </c>
      <c r="M329" s="313">
        <f t="shared" si="41"/>
        <v>43784</v>
      </c>
      <c r="N329" s="2" t="str">
        <f t="shared" si="42"/>
        <v>Pagado</v>
      </c>
      <c r="O329" s="318">
        <v>43789</v>
      </c>
      <c r="P329" s="138">
        <v>39263</v>
      </c>
      <c r="Q329" s="2" t="s">
        <v>2132</v>
      </c>
      <c r="R329" s="2"/>
      <c r="S329" s="95">
        <v>745691</v>
      </c>
      <c r="T329" s="313" t="s">
        <v>1492</v>
      </c>
      <c r="U329" s="396">
        <v>43789</v>
      </c>
      <c r="V329" s="95">
        <v>133955</v>
      </c>
      <c r="W329" s="129">
        <v>39263</v>
      </c>
      <c r="X329" s="318">
        <v>43789</v>
      </c>
      <c r="Y329" s="95" t="s">
        <v>1488</v>
      </c>
      <c r="Z329" s="131" t="s">
        <v>1467</v>
      </c>
      <c r="AA329" s="108" t="str">
        <f t="shared" si="43"/>
        <v>Otros</v>
      </c>
      <c r="AB329" s="2"/>
      <c r="AC329" s="131">
        <f t="shared" si="44"/>
        <v>32994.117647058825</v>
      </c>
      <c r="AD329" s="108">
        <f t="shared" si="45"/>
        <v>6268.8823529411748</v>
      </c>
      <c r="AE329" s="95" t="s">
        <v>1501</v>
      </c>
      <c r="AF329" s="457" t="s">
        <v>3489</v>
      </c>
      <c r="AG329" s="2" t="str">
        <f t="shared" si="46"/>
        <v>SI</v>
      </c>
      <c r="AH329" s="284"/>
      <c r="AI329" s="457"/>
      <c r="AJ329" s="2" t="str">
        <f t="shared" si="47"/>
        <v>NV</v>
      </c>
      <c r="AK329" s="303"/>
    </row>
    <row r="330" spans="1:37" x14ac:dyDescent="0.25">
      <c r="A330" s="429" t="s">
        <v>2011</v>
      </c>
      <c r="B330" s="317" t="s">
        <v>2162</v>
      </c>
      <c r="C330" s="95">
        <v>0</v>
      </c>
      <c r="D330" s="95">
        <v>2703</v>
      </c>
      <c r="E330" s="95"/>
      <c r="F330" s="95"/>
      <c r="G330" s="95">
        <v>6134</v>
      </c>
      <c r="H330" s="138">
        <v>25300</v>
      </c>
      <c r="I330" s="138"/>
      <c r="J330" s="126">
        <f t="shared" si="40"/>
        <v>25300</v>
      </c>
      <c r="K330" s="318">
        <v>43785</v>
      </c>
      <c r="L330" s="95">
        <v>0</v>
      </c>
      <c r="M330" s="9">
        <f t="shared" si="41"/>
        <v>43785</v>
      </c>
      <c r="N330" s="2" t="str">
        <f t="shared" si="42"/>
        <v>Pagado</v>
      </c>
      <c r="O330" s="318">
        <v>43785</v>
      </c>
      <c r="P330" s="138">
        <v>25300</v>
      </c>
      <c r="Q330" s="2" t="s">
        <v>1484</v>
      </c>
      <c r="R330" s="2"/>
      <c r="S330" s="95"/>
      <c r="T330" s="313" t="s">
        <v>1496</v>
      </c>
      <c r="U330" s="393"/>
      <c r="V330" s="95"/>
      <c r="W330" s="129"/>
      <c r="X330" s="318"/>
      <c r="Y330" s="95"/>
      <c r="Z330" s="131" t="s">
        <v>1467</v>
      </c>
      <c r="AA330" s="108" t="str">
        <f t="shared" si="43"/>
        <v/>
      </c>
      <c r="AB330" s="2"/>
      <c r="AC330" s="131">
        <f t="shared" si="44"/>
        <v>21260.504201680673</v>
      </c>
      <c r="AD330" s="108">
        <f t="shared" si="45"/>
        <v>4039.4957983193272</v>
      </c>
      <c r="AE330" s="95" t="s">
        <v>1501</v>
      </c>
      <c r="AF330" s="428" t="s">
        <v>3487</v>
      </c>
      <c r="AG330" s="2" t="str">
        <f t="shared" si="46"/>
        <v>SI</v>
      </c>
      <c r="AH330" s="284"/>
      <c r="AI330" s="428"/>
      <c r="AJ330" s="2" t="str">
        <f t="shared" si="47"/>
        <v>NV</v>
      </c>
      <c r="AK330" s="303"/>
    </row>
    <row r="331" spans="1:37" x14ac:dyDescent="0.25">
      <c r="A331" s="476" t="s">
        <v>1411</v>
      </c>
      <c r="B331" s="317" t="s">
        <v>1150</v>
      </c>
      <c r="C331" s="95">
        <v>0</v>
      </c>
      <c r="D331" s="95">
        <v>173</v>
      </c>
      <c r="E331" s="95"/>
      <c r="F331" s="95"/>
      <c r="G331" s="95">
        <v>6133</v>
      </c>
      <c r="H331" s="138">
        <v>23000</v>
      </c>
      <c r="I331" s="138"/>
      <c r="J331" s="126">
        <f t="shared" si="40"/>
        <v>23000</v>
      </c>
      <c r="K331" s="318">
        <v>43785</v>
      </c>
      <c r="L331" s="95">
        <v>0</v>
      </c>
      <c r="M331" s="313">
        <f t="shared" si="41"/>
        <v>43785</v>
      </c>
      <c r="N331" s="2" t="str">
        <f t="shared" ca="1" si="42"/>
        <v>Vencido</v>
      </c>
      <c r="O331" s="318"/>
      <c r="P331" s="138"/>
      <c r="Q331" s="2"/>
      <c r="R331" s="2"/>
      <c r="S331" s="95"/>
      <c r="T331" s="313"/>
      <c r="U331" s="393"/>
      <c r="V331" s="95"/>
      <c r="W331" s="129"/>
      <c r="X331" s="318"/>
      <c r="Y331" s="95"/>
      <c r="Z331" s="131" t="s">
        <v>1467</v>
      </c>
      <c r="AA331" s="108" t="str">
        <f t="shared" si="43"/>
        <v/>
      </c>
      <c r="AB331" s="2"/>
      <c r="AC331" s="131">
        <f t="shared" si="44"/>
        <v>19327.731092436974</v>
      </c>
      <c r="AD331" s="108">
        <f t="shared" si="45"/>
        <v>3672.268907563026</v>
      </c>
      <c r="AE331" s="95" t="s">
        <v>1501</v>
      </c>
      <c r="AF331" s="475" t="s">
        <v>3487</v>
      </c>
      <c r="AG331" s="2" t="str">
        <f t="shared" ca="1" si="46"/>
        <v>NO</v>
      </c>
      <c r="AH331" s="284"/>
      <c r="AI331" s="475"/>
      <c r="AJ331" s="2" t="str">
        <f t="shared" si="47"/>
        <v>NV</v>
      </c>
      <c r="AK331" s="303"/>
    </row>
    <row r="332" spans="1:37" x14ac:dyDescent="0.25">
      <c r="A332" s="458" t="s">
        <v>2619</v>
      </c>
      <c r="B332" s="317" t="s">
        <v>3361</v>
      </c>
      <c r="C332" s="95">
        <v>0</v>
      </c>
      <c r="D332" s="95">
        <v>2706</v>
      </c>
      <c r="E332" s="95"/>
      <c r="F332" s="95"/>
      <c r="G332" s="95">
        <v>6138</v>
      </c>
      <c r="H332" s="138">
        <v>33900</v>
      </c>
      <c r="I332" s="138"/>
      <c r="J332" s="126">
        <f t="shared" si="40"/>
        <v>33900</v>
      </c>
      <c r="K332" s="318">
        <v>43787</v>
      </c>
      <c r="L332" s="95">
        <v>0</v>
      </c>
      <c r="M332" s="313">
        <f t="shared" si="41"/>
        <v>43787</v>
      </c>
      <c r="N332" s="2" t="str">
        <f t="shared" si="42"/>
        <v>Pagado</v>
      </c>
      <c r="O332" s="318">
        <v>43790</v>
      </c>
      <c r="P332" s="138">
        <v>33900</v>
      </c>
      <c r="Q332" s="2" t="s">
        <v>1484</v>
      </c>
      <c r="R332" s="2"/>
      <c r="S332" s="95"/>
      <c r="T332" s="313" t="s">
        <v>1496</v>
      </c>
      <c r="U332" s="393"/>
      <c r="V332" s="95"/>
      <c r="W332" s="129"/>
      <c r="X332" s="318"/>
      <c r="Y332" s="95"/>
      <c r="Z332" s="131" t="s">
        <v>1467</v>
      </c>
      <c r="AA332" s="108" t="str">
        <f t="shared" si="43"/>
        <v/>
      </c>
      <c r="AB332" s="2"/>
      <c r="AC332" s="131">
        <f t="shared" si="44"/>
        <v>28487.394957983193</v>
      </c>
      <c r="AD332" s="108">
        <f t="shared" si="45"/>
        <v>5412.6050420168067</v>
      </c>
      <c r="AE332" s="95" t="s">
        <v>1501</v>
      </c>
      <c r="AF332" s="457" t="s">
        <v>3489</v>
      </c>
      <c r="AG332" s="2" t="str">
        <f t="shared" si="46"/>
        <v>SI</v>
      </c>
      <c r="AH332" s="284"/>
      <c r="AI332" s="457"/>
      <c r="AJ332" s="2" t="str">
        <f t="shared" si="47"/>
        <v>NV</v>
      </c>
      <c r="AK332" s="303"/>
    </row>
    <row r="333" spans="1:37" x14ac:dyDescent="0.25">
      <c r="A333" s="534" t="s">
        <v>2437</v>
      </c>
      <c r="B333" s="317" t="s">
        <v>2438</v>
      </c>
      <c r="C333" s="95">
        <v>0</v>
      </c>
      <c r="D333" s="95">
        <v>2705</v>
      </c>
      <c r="E333" s="95"/>
      <c r="F333" s="95"/>
      <c r="G333" s="95">
        <v>6139</v>
      </c>
      <c r="H333" s="138">
        <v>22800</v>
      </c>
      <c r="I333" s="138"/>
      <c r="J333" s="126">
        <f t="shared" si="40"/>
        <v>22800</v>
      </c>
      <c r="K333" s="318">
        <v>43787</v>
      </c>
      <c r="L333" s="95">
        <v>0</v>
      </c>
      <c r="M333" s="313">
        <f t="shared" si="41"/>
        <v>43787</v>
      </c>
      <c r="N333" s="2" t="str">
        <f t="shared" si="42"/>
        <v>Pagado</v>
      </c>
      <c r="O333" s="318">
        <v>43786</v>
      </c>
      <c r="P333" s="138">
        <v>22800</v>
      </c>
      <c r="Q333" s="2" t="s">
        <v>1481</v>
      </c>
      <c r="R333" s="2"/>
      <c r="S333" s="95"/>
      <c r="T333" s="313"/>
      <c r="U333" s="393"/>
      <c r="V333" s="95">
        <v>133671</v>
      </c>
      <c r="W333" s="129">
        <v>22800</v>
      </c>
      <c r="X333" s="318">
        <v>43798</v>
      </c>
      <c r="Y333" s="95" t="s">
        <v>1488</v>
      </c>
      <c r="Z333" s="131" t="s">
        <v>1467</v>
      </c>
      <c r="AA333" s="108" t="str">
        <f t="shared" si="43"/>
        <v/>
      </c>
      <c r="AB333" s="2"/>
      <c r="AC333" s="131">
        <f t="shared" si="44"/>
        <v>19159.663865546219</v>
      </c>
      <c r="AD333" s="108">
        <f t="shared" si="45"/>
        <v>3640.3361344537807</v>
      </c>
      <c r="AE333" s="95" t="s">
        <v>1501</v>
      </c>
      <c r="AF333" s="533" t="s">
        <v>3489</v>
      </c>
      <c r="AG333" s="2" t="str">
        <f t="shared" si="46"/>
        <v>SI</v>
      </c>
      <c r="AH333" s="284"/>
      <c r="AI333" s="533"/>
      <c r="AJ333" s="2" t="str">
        <f t="shared" si="47"/>
        <v>NV</v>
      </c>
      <c r="AK333" s="303"/>
    </row>
    <row r="334" spans="1:37" x14ac:dyDescent="0.25">
      <c r="A334" s="476" t="s">
        <v>1205</v>
      </c>
      <c r="B334" s="317" t="s">
        <v>2171</v>
      </c>
      <c r="C334" s="95">
        <v>0</v>
      </c>
      <c r="D334" s="95">
        <v>2704</v>
      </c>
      <c r="E334" s="95"/>
      <c r="F334" s="95"/>
      <c r="G334" s="95">
        <v>6136</v>
      </c>
      <c r="H334" s="138">
        <v>31400</v>
      </c>
      <c r="I334" s="138"/>
      <c r="J334" s="126">
        <f t="shared" si="40"/>
        <v>31400</v>
      </c>
      <c r="K334" s="318">
        <v>43787</v>
      </c>
      <c r="L334" s="95">
        <v>0</v>
      </c>
      <c r="M334" s="313">
        <f t="shared" si="41"/>
        <v>43787</v>
      </c>
      <c r="N334" s="2" t="str">
        <f t="shared" si="42"/>
        <v>Pagado</v>
      </c>
      <c r="O334" s="318">
        <v>43787</v>
      </c>
      <c r="P334" s="138">
        <v>31400</v>
      </c>
      <c r="Q334" s="2" t="s">
        <v>1484</v>
      </c>
      <c r="R334" s="2"/>
      <c r="S334" s="95"/>
      <c r="T334" s="313" t="s">
        <v>1490</v>
      </c>
      <c r="U334" s="393"/>
      <c r="V334" s="95"/>
      <c r="W334" s="129"/>
      <c r="X334" s="318"/>
      <c r="Y334" s="95"/>
      <c r="Z334" s="131" t="s">
        <v>1467</v>
      </c>
      <c r="AA334" s="108" t="str">
        <f t="shared" si="43"/>
        <v/>
      </c>
      <c r="AB334" s="2"/>
      <c r="AC334" s="131">
        <f t="shared" si="44"/>
        <v>26386.55462184874</v>
      </c>
      <c r="AD334" s="108">
        <f t="shared" si="45"/>
        <v>5013.4453781512602</v>
      </c>
      <c r="AE334" s="95" t="s">
        <v>1445</v>
      </c>
      <c r="AF334" s="475" t="s">
        <v>3489</v>
      </c>
      <c r="AG334" s="2" t="str">
        <f t="shared" si="46"/>
        <v>SI</v>
      </c>
      <c r="AH334" s="284"/>
      <c r="AI334" s="475"/>
      <c r="AJ334" s="2" t="str">
        <f t="shared" si="47"/>
        <v>NV</v>
      </c>
      <c r="AK334" s="303"/>
    </row>
    <row r="335" spans="1:37" x14ac:dyDescent="0.25">
      <c r="A335" s="476" t="s">
        <v>4853</v>
      </c>
      <c r="B335" s="317" t="s">
        <v>4854</v>
      </c>
      <c r="C335" s="95">
        <v>0</v>
      </c>
      <c r="D335" s="95">
        <v>174</v>
      </c>
      <c r="E335" s="95"/>
      <c r="F335" s="95"/>
      <c r="G335" s="95">
        <v>6137</v>
      </c>
      <c r="H335" s="138">
        <v>23000</v>
      </c>
      <c r="I335" s="138"/>
      <c r="J335" s="126">
        <f t="shared" si="40"/>
        <v>23000</v>
      </c>
      <c r="K335" s="318">
        <v>43787</v>
      </c>
      <c r="L335" s="95">
        <v>0</v>
      </c>
      <c r="M335" s="313">
        <f t="shared" si="41"/>
        <v>43787</v>
      </c>
      <c r="N335" s="2" t="str">
        <f t="shared" si="42"/>
        <v>Pagado</v>
      </c>
      <c r="O335" s="318">
        <v>43787</v>
      </c>
      <c r="P335" s="138">
        <v>23000</v>
      </c>
      <c r="Q335" s="2" t="s">
        <v>1070</v>
      </c>
      <c r="R335" s="2" t="s">
        <v>2243</v>
      </c>
      <c r="S335" s="95">
        <v>174</v>
      </c>
      <c r="T335" s="313"/>
      <c r="U335" s="393"/>
      <c r="V335" s="95"/>
      <c r="W335" s="129"/>
      <c r="X335" s="318"/>
      <c r="Y335" s="95"/>
      <c r="Z335" s="131" t="s">
        <v>1467</v>
      </c>
      <c r="AA335" s="108" t="str">
        <f t="shared" si="43"/>
        <v/>
      </c>
      <c r="AB335" s="2"/>
      <c r="AC335" s="131">
        <f t="shared" si="44"/>
        <v>19327.731092436974</v>
      </c>
      <c r="AD335" s="108">
        <f t="shared" si="45"/>
        <v>3672.268907563026</v>
      </c>
      <c r="AE335" s="95" t="s">
        <v>1501</v>
      </c>
      <c r="AF335" s="475" t="s">
        <v>3487</v>
      </c>
      <c r="AG335" s="2" t="str">
        <f t="shared" si="46"/>
        <v>SI</v>
      </c>
      <c r="AH335" s="284"/>
      <c r="AI335" s="475"/>
      <c r="AJ335" s="2" t="str">
        <f t="shared" si="47"/>
        <v>NV</v>
      </c>
      <c r="AK335" s="303"/>
    </row>
    <row r="336" spans="1:37" x14ac:dyDescent="0.25">
      <c r="A336" s="542" t="s">
        <v>3200</v>
      </c>
      <c r="B336" s="317" t="s">
        <v>3201</v>
      </c>
      <c r="C336" s="95">
        <v>0</v>
      </c>
      <c r="D336" s="95">
        <v>169</v>
      </c>
      <c r="E336" s="95"/>
      <c r="F336" s="95"/>
      <c r="G336" s="95">
        <v>6141</v>
      </c>
      <c r="H336" s="138">
        <v>45200</v>
      </c>
      <c r="I336" s="138"/>
      <c r="J336" s="126">
        <f t="shared" si="40"/>
        <v>45200</v>
      </c>
      <c r="K336" s="318">
        <v>43787</v>
      </c>
      <c r="L336" s="95">
        <v>0</v>
      </c>
      <c r="M336" s="9">
        <f t="shared" si="41"/>
        <v>43787</v>
      </c>
      <c r="N336" s="2" t="str">
        <f t="shared" si="42"/>
        <v>Pagado</v>
      </c>
      <c r="O336" s="318">
        <v>43787</v>
      </c>
      <c r="P336" s="138">
        <v>45200</v>
      </c>
      <c r="Q336" s="2" t="s">
        <v>1070</v>
      </c>
      <c r="R336" s="2" t="s">
        <v>2243</v>
      </c>
      <c r="S336" s="95">
        <v>169</v>
      </c>
      <c r="T336" s="313"/>
      <c r="U336" s="393"/>
      <c r="V336" s="95"/>
      <c r="W336" s="129"/>
      <c r="X336" s="318"/>
      <c r="Y336" s="95"/>
      <c r="Z336" s="131" t="s">
        <v>1467</v>
      </c>
      <c r="AA336" s="108" t="str">
        <f t="shared" si="43"/>
        <v/>
      </c>
      <c r="AB336" s="2"/>
      <c r="AC336" s="131">
        <f t="shared" si="44"/>
        <v>37983.193277310929</v>
      </c>
      <c r="AD336" s="108">
        <f t="shared" si="45"/>
        <v>7216.8067226890707</v>
      </c>
      <c r="AE336" s="95" t="s">
        <v>1501</v>
      </c>
      <c r="AF336" s="541" t="s">
        <v>3487</v>
      </c>
      <c r="AG336" s="2" t="str">
        <f t="shared" si="46"/>
        <v>SI</v>
      </c>
      <c r="AH336" s="284"/>
      <c r="AI336" s="541"/>
      <c r="AJ336" s="2" t="str">
        <f t="shared" si="47"/>
        <v>NV</v>
      </c>
      <c r="AK336" s="303"/>
    </row>
    <row r="337" spans="1:37" x14ac:dyDescent="0.25">
      <c r="A337" s="501" t="s">
        <v>1300</v>
      </c>
      <c r="B337" s="317" t="s">
        <v>1159</v>
      </c>
      <c r="C337" s="95">
        <v>0</v>
      </c>
      <c r="D337" s="95">
        <v>2709</v>
      </c>
      <c r="E337" s="95"/>
      <c r="F337" s="95"/>
      <c r="G337" s="95">
        <v>6143</v>
      </c>
      <c r="H337" s="138">
        <v>33000</v>
      </c>
      <c r="I337" s="138"/>
      <c r="J337" s="126">
        <f t="shared" si="40"/>
        <v>33000</v>
      </c>
      <c r="K337" s="318">
        <v>43788</v>
      </c>
      <c r="L337" s="95">
        <v>0</v>
      </c>
      <c r="M337" s="9">
        <f t="shared" si="41"/>
        <v>43788</v>
      </c>
      <c r="N337" s="2" t="str">
        <f t="shared" si="42"/>
        <v>Pagado</v>
      </c>
      <c r="O337" s="318">
        <v>43789</v>
      </c>
      <c r="P337" s="138">
        <v>33000</v>
      </c>
      <c r="Q337" s="2" t="s">
        <v>1484</v>
      </c>
      <c r="R337" s="2"/>
      <c r="S337" s="95"/>
      <c r="T337" s="9" t="s">
        <v>1488</v>
      </c>
      <c r="U337" s="393"/>
      <c r="V337" s="95"/>
      <c r="W337" s="129"/>
      <c r="X337" s="318"/>
      <c r="Y337" s="95"/>
      <c r="Z337" s="131" t="s">
        <v>1467</v>
      </c>
      <c r="AA337" s="108" t="str">
        <f t="shared" si="43"/>
        <v/>
      </c>
      <c r="AB337" s="2"/>
      <c r="AC337" s="131">
        <f t="shared" si="44"/>
        <v>27731.092436974792</v>
      </c>
      <c r="AD337" s="108">
        <f t="shared" si="45"/>
        <v>5268.9075630252082</v>
      </c>
      <c r="AE337" s="95" t="s">
        <v>1849</v>
      </c>
      <c r="AF337" s="500" t="s">
        <v>3489</v>
      </c>
      <c r="AG337" s="2" t="str">
        <f t="shared" si="46"/>
        <v>SI</v>
      </c>
      <c r="AH337" s="284"/>
      <c r="AI337" s="500"/>
      <c r="AJ337" s="2" t="str">
        <f t="shared" si="47"/>
        <v>NV</v>
      </c>
      <c r="AK337" s="303"/>
    </row>
    <row r="338" spans="1:37" x14ac:dyDescent="0.25">
      <c r="A338" s="501" t="s">
        <v>5399</v>
      </c>
      <c r="B338" s="317" t="s">
        <v>5400</v>
      </c>
      <c r="C338" s="95">
        <v>0</v>
      </c>
      <c r="D338" s="95">
        <v>2708</v>
      </c>
      <c r="E338" s="95"/>
      <c r="F338" s="95"/>
      <c r="G338" s="95">
        <v>6144</v>
      </c>
      <c r="H338" s="138">
        <v>33000</v>
      </c>
      <c r="I338" s="138"/>
      <c r="J338" s="126">
        <f t="shared" si="40"/>
        <v>33000</v>
      </c>
      <c r="K338" s="318">
        <v>43788</v>
      </c>
      <c r="L338" s="95">
        <v>0</v>
      </c>
      <c r="M338" s="9">
        <f t="shared" si="41"/>
        <v>43788</v>
      </c>
      <c r="N338" s="2" t="str">
        <f t="shared" si="42"/>
        <v>Pagado</v>
      </c>
      <c r="O338" s="318">
        <v>43789</v>
      </c>
      <c r="P338" s="138">
        <v>33000</v>
      </c>
      <c r="Q338" s="2" t="s">
        <v>1484</v>
      </c>
      <c r="R338" s="2"/>
      <c r="S338" s="95"/>
      <c r="T338" s="9" t="s">
        <v>1488</v>
      </c>
      <c r="U338" s="393"/>
      <c r="V338" s="95"/>
      <c r="W338" s="129"/>
      <c r="X338" s="318"/>
      <c r="Y338" s="95"/>
      <c r="Z338" s="131" t="s">
        <v>1467</v>
      </c>
      <c r="AA338" s="108" t="str">
        <f t="shared" si="43"/>
        <v/>
      </c>
      <c r="AB338" s="2"/>
      <c r="AC338" s="131">
        <f t="shared" si="44"/>
        <v>27731.092436974792</v>
      </c>
      <c r="AD338" s="108">
        <f t="shared" si="45"/>
        <v>5268.9075630252082</v>
      </c>
      <c r="AE338" s="95" t="s">
        <v>1501</v>
      </c>
      <c r="AF338" s="500" t="s">
        <v>3487</v>
      </c>
      <c r="AG338" s="2" t="str">
        <f t="shared" si="46"/>
        <v>SI</v>
      </c>
      <c r="AH338" s="284"/>
      <c r="AI338" s="500"/>
      <c r="AJ338" s="2" t="str">
        <f t="shared" si="47"/>
        <v>NV</v>
      </c>
      <c r="AK338" s="303"/>
    </row>
    <row r="339" spans="1:37" x14ac:dyDescent="0.25">
      <c r="A339" s="458" t="s">
        <v>5402</v>
      </c>
      <c r="B339" s="317" t="s">
        <v>5403</v>
      </c>
      <c r="C339" s="95">
        <v>0</v>
      </c>
      <c r="D339" s="95">
        <v>2710</v>
      </c>
      <c r="E339" s="95"/>
      <c r="F339" s="95"/>
      <c r="G339" s="95">
        <v>6148</v>
      </c>
      <c r="H339" s="138">
        <v>19700</v>
      </c>
      <c r="I339" s="138"/>
      <c r="J339" s="126">
        <f t="shared" si="40"/>
        <v>19700</v>
      </c>
      <c r="K339" s="318">
        <v>43788</v>
      </c>
      <c r="L339" s="95">
        <v>0</v>
      </c>
      <c r="M339" s="9">
        <f t="shared" si="41"/>
        <v>43788</v>
      </c>
      <c r="N339" s="2" t="str">
        <f t="shared" si="42"/>
        <v>Pagado</v>
      </c>
      <c r="O339" s="318">
        <v>43788</v>
      </c>
      <c r="P339" s="138">
        <v>19700</v>
      </c>
      <c r="Q339" s="2" t="s">
        <v>1481</v>
      </c>
      <c r="R339" s="2"/>
      <c r="S339" s="95"/>
      <c r="T339" s="9"/>
      <c r="U339" s="393"/>
      <c r="V339" s="95">
        <v>133664</v>
      </c>
      <c r="W339" s="129">
        <v>19700</v>
      </c>
      <c r="X339" s="318">
        <v>43795</v>
      </c>
      <c r="Y339" s="95" t="s">
        <v>1488</v>
      </c>
      <c r="Z339" s="131" t="s">
        <v>1467</v>
      </c>
      <c r="AA339" s="108" t="str">
        <f t="shared" si="43"/>
        <v/>
      </c>
      <c r="AB339" s="2"/>
      <c r="AC339" s="131">
        <f t="shared" si="44"/>
        <v>16554.621848739498</v>
      </c>
      <c r="AD339" s="108">
        <f t="shared" si="45"/>
        <v>3145.3781512605019</v>
      </c>
      <c r="AE339" s="95" t="s">
        <v>1501</v>
      </c>
      <c r="AF339" s="457" t="s">
        <v>3489</v>
      </c>
      <c r="AG339" s="2" t="str">
        <f t="shared" si="46"/>
        <v>SI</v>
      </c>
      <c r="AH339" s="284"/>
      <c r="AI339" s="457"/>
      <c r="AJ339" s="2" t="str">
        <f t="shared" si="47"/>
        <v>NV</v>
      </c>
      <c r="AK339" s="303"/>
    </row>
    <row r="340" spans="1:37" x14ac:dyDescent="0.25">
      <c r="A340" s="429" t="s">
        <v>1242</v>
      </c>
      <c r="B340" s="317" t="s">
        <v>958</v>
      </c>
      <c r="C340" s="95">
        <v>0</v>
      </c>
      <c r="D340" s="95">
        <v>2711</v>
      </c>
      <c r="E340" s="95"/>
      <c r="F340" s="95"/>
      <c r="G340" s="95">
        <v>6149</v>
      </c>
      <c r="H340" s="138">
        <v>21400</v>
      </c>
      <c r="I340" s="138"/>
      <c r="J340" s="126">
        <f t="shared" si="40"/>
        <v>21400</v>
      </c>
      <c r="K340" s="318">
        <v>43788</v>
      </c>
      <c r="L340" s="95">
        <v>0</v>
      </c>
      <c r="M340" s="9">
        <f t="shared" si="41"/>
        <v>43788</v>
      </c>
      <c r="N340" s="2" t="str">
        <f t="shared" si="42"/>
        <v>Pagado</v>
      </c>
      <c r="O340" s="318">
        <v>43789</v>
      </c>
      <c r="P340" s="138">
        <v>21400</v>
      </c>
      <c r="Q340" s="2" t="s">
        <v>1484</v>
      </c>
      <c r="R340" s="2"/>
      <c r="S340" s="95"/>
      <c r="T340" s="313" t="s">
        <v>1488</v>
      </c>
      <c r="U340" s="393"/>
      <c r="V340" s="95"/>
      <c r="W340" s="129"/>
      <c r="X340" s="318"/>
      <c r="Y340" s="95"/>
      <c r="Z340" s="131" t="s">
        <v>1467</v>
      </c>
      <c r="AA340" s="108" t="str">
        <f t="shared" si="43"/>
        <v/>
      </c>
      <c r="AB340" s="2"/>
      <c r="AC340" s="131">
        <f t="shared" si="44"/>
        <v>17983.193277310926</v>
      </c>
      <c r="AD340" s="108">
        <f t="shared" si="45"/>
        <v>3416.8067226890744</v>
      </c>
      <c r="AE340" s="95" t="s">
        <v>1501</v>
      </c>
      <c r="AF340" s="428" t="s">
        <v>3489</v>
      </c>
      <c r="AG340" s="2" t="str">
        <f t="shared" si="46"/>
        <v>SI</v>
      </c>
      <c r="AH340" s="284"/>
      <c r="AI340" s="428"/>
      <c r="AJ340" s="2" t="str">
        <f t="shared" si="47"/>
        <v>NV</v>
      </c>
      <c r="AK340" s="303"/>
    </row>
    <row r="341" spans="1:37" x14ac:dyDescent="0.25">
      <c r="A341" s="534" t="s">
        <v>1419</v>
      </c>
      <c r="B341" s="317" t="s">
        <v>1119</v>
      </c>
      <c r="C341" s="95">
        <v>0</v>
      </c>
      <c r="D341" s="95">
        <v>2707</v>
      </c>
      <c r="E341" s="95"/>
      <c r="F341" s="95"/>
      <c r="G341" s="95">
        <v>6142</v>
      </c>
      <c r="H341" s="138">
        <v>39100</v>
      </c>
      <c r="I341" s="138"/>
      <c r="J341" s="126">
        <f t="shared" si="40"/>
        <v>39100</v>
      </c>
      <c r="K341" s="318">
        <v>43788</v>
      </c>
      <c r="L341" s="95">
        <v>0</v>
      </c>
      <c r="M341" s="9">
        <f t="shared" si="41"/>
        <v>43788</v>
      </c>
      <c r="N341" s="2" t="str">
        <f t="shared" si="42"/>
        <v>Pagado</v>
      </c>
      <c r="O341" s="318">
        <v>43788</v>
      </c>
      <c r="P341" s="138">
        <v>39100</v>
      </c>
      <c r="Q341" s="2" t="s">
        <v>1481</v>
      </c>
      <c r="R341" s="2"/>
      <c r="S341" s="95"/>
      <c r="T341" s="313"/>
      <c r="U341" s="393"/>
      <c r="V341" s="95">
        <v>133664</v>
      </c>
      <c r="W341" s="129">
        <v>39100</v>
      </c>
      <c r="X341" s="318">
        <v>43795</v>
      </c>
      <c r="Y341" s="95" t="s">
        <v>1488</v>
      </c>
      <c r="Z341" s="131" t="s">
        <v>1467</v>
      </c>
      <c r="AA341" s="108" t="str">
        <f t="shared" si="43"/>
        <v/>
      </c>
      <c r="AB341" s="2"/>
      <c r="AC341" s="131">
        <f t="shared" si="44"/>
        <v>32857.142857142855</v>
      </c>
      <c r="AD341" s="108">
        <f t="shared" si="45"/>
        <v>6242.8571428571449</v>
      </c>
      <c r="AE341" s="95" t="s">
        <v>1501</v>
      </c>
      <c r="AF341" s="533" t="s">
        <v>3489</v>
      </c>
      <c r="AG341" s="2" t="str">
        <f t="shared" si="46"/>
        <v>SI</v>
      </c>
      <c r="AH341" s="284"/>
      <c r="AI341" s="533"/>
      <c r="AJ341" s="2" t="str">
        <f t="shared" si="47"/>
        <v>NV</v>
      </c>
      <c r="AK341" s="303"/>
    </row>
    <row r="342" spans="1:37" x14ac:dyDescent="0.25">
      <c r="A342" s="458" t="s">
        <v>1224</v>
      </c>
      <c r="B342" s="317" t="s">
        <v>2150</v>
      </c>
      <c r="C342" s="95">
        <v>0</v>
      </c>
      <c r="D342" s="95">
        <v>0</v>
      </c>
      <c r="E342" s="95"/>
      <c r="F342" s="95"/>
      <c r="G342" s="95">
        <v>6145</v>
      </c>
      <c r="H342" s="138">
        <v>23500</v>
      </c>
      <c r="I342" s="138"/>
      <c r="J342" s="126">
        <f t="shared" si="40"/>
        <v>23500</v>
      </c>
      <c r="K342" s="318">
        <v>43788</v>
      </c>
      <c r="L342" s="95">
        <v>0</v>
      </c>
      <c r="M342" s="9">
        <f t="shared" si="41"/>
        <v>43788</v>
      </c>
      <c r="N342" s="2" t="str">
        <f t="shared" si="42"/>
        <v>Pagado</v>
      </c>
      <c r="O342" s="318">
        <v>43788</v>
      </c>
      <c r="P342" s="138">
        <v>23500</v>
      </c>
      <c r="Q342" s="2" t="s">
        <v>1484</v>
      </c>
      <c r="R342" s="2"/>
      <c r="S342" s="95"/>
      <c r="T342" s="313" t="s">
        <v>1494</v>
      </c>
      <c r="U342" s="393"/>
      <c r="V342" s="95"/>
      <c r="W342" s="129"/>
      <c r="X342" s="318"/>
      <c r="Y342" s="95"/>
      <c r="Z342" s="131" t="s">
        <v>1467</v>
      </c>
      <c r="AA342" s="108" t="str">
        <f t="shared" si="43"/>
        <v/>
      </c>
      <c r="AB342" s="2"/>
      <c r="AC342" s="131">
        <f t="shared" si="44"/>
        <v>19747.899159663866</v>
      </c>
      <c r="AD342" s="108">
        <f t="shared" si="45"/>
        <v>3752.1008403361338</v>
      </c>
      <c r="AE342" s="95" t="s">
        <v>1501</v>
      </c>
      <c r="AF342" s="457" t="s">
        <v>3487</v>
      </c>
      <c r="AG342" s="2" t="str">
        <f t="shared" si="46"/>
        <v>SI</v>
      </c>
      <c r="AH342" s="284"/>
      <c r="AI342" s="457"/>
      <c r="AJ342" s="2" t="str">
        <f t="shared" si="47"/>
        <v>NV</v>
      </c>
      <c r="AK342" s="303"/>
    </row>
    <row r="343" spans="1:37" x14ac:dyDescent="0.25">
      <c r="A343" s="429" t="s">
        <v>1210</v>
      </c>
      <c r="B343" s="317" t="s">
        <v>1045</v>
      </c>
      <c r="C343" s="95">
        <v>0</v>
      </c>
      <c r="D343" s="95">
        <v>0</v>
      </c>
      <c r="E343" s="95"/>
      <c r="F343" s="95"/>
      <c r="G343" s="95">
        <v>6146</v>
      </c>
      <c r="H343" s="138">
        <v>42600</v>
      </c>
      <c r="I343" s="138"/>
      <c r="J343" s="126">
        <f t="shared" si="40"/>
        <v>42600</v>
      </c>
      <c r="K343" s="318">
        <v>43788</v>
      </c>
      <c r="L343" s="95">
        <v>0</v>
      </c>
      <c r="M343" s="9">
        <f t="shared" si="41"/>
        <v>43788</v>
      </c>
      <c r="N343" s="2" t="str">
        <f t="shared" si="42"/>
        <v>Pagado</v>
      </c>
      <c r="O343" s="318">
        <v>43826</v>
      </c>
      <c r="P343" s="138">
        <v>42600</v>
      </c>
      <c r="Q343" s="2" t="s">
        <v>1484</v>
      </c>
      <c r="R343" s="2"/>
      <c r="S343" s="95"/>
      <c r="T343" s="313" t="s">
        <v>1488</v>
      </c>
      <c r="U343" s="393"/>
      <c r="V343" s="95"/>
      <c r="W343" s="129"/>
      <c r="X343" s="318"/>
      <c r="Y343" s="95"/>
      <c r="Z343" s="131" t="s">
        <v>1467</v>
      </c>
      <c r="AA343" s="108" t="str">
        <f t="shared" si="43"/>
        <v/>
      </c>
      <c r="AB343" s="2"/>
      <c r="AC343" s="131">
        <f t="shared" si="44"/>
        <v>35798.319327731093</v>
      </c>
      <c r="AD343" s="108">
        <f t="shared" si="45"/>
        <v>6801.6806722689071</v>
      </c>
      <c r="AE343" s="95" t="s">
        <v>1501</v>
      </c>
      <c r="AF343" s="428" t="s">
        <v>3489</v>
      </c>
      <c r="AG343" s="2" t="str">
        <f t="shared" si="46"/>
        <v>SI</v>
      </c>
      <c r="AH343" s="284"/>
      <c r="AI343" s="428"/>
      <c r="AJ343" s="2" t="str">
        <f t="shared" si="47"/>
        <v>NV</v>
      </c>
      <c r="AK343" s="303"/>
    </row>
    <row r="344" spans="1:37" x14ac:dyDescent="0.25">
      <c r="A344" s="458" t="s">
        <v>1234</v>
      </c>
      <c r="B344" s="317" t="s">
        <v>970</v>
      </c>
      <c r="C344" s="95">
        <v>0</v>
      </c>
      <c r="D344" s="95">
        <v>175</v>
      </c>
      <c r="E344" s="95"/>
      <c r="F344" s="95"/>
      <c r="G344" s="95">
        <v>6147</v>
      </c>
      <c r="H344" s="138">
        <v>16500</v>
      </c>
      <c r="I344" s="138"/>
      <c r="J344" s="126">
        <f t="shared" si="40"/>
        <v>16500</v>
      </c>
      <c r="K344" s="318">
        <v>43788</v>
      </c>
      <c r="L344" s="95">
        <v>0</v>
      </c>
      <c r="M344" s="9">
        <f t="shared" si="41"/>
        <v>43788</v>
      </c>
      <c r="N344" s="2" t="str">
        <f t="shared" si="42"/>
        <v>Pagado</v>
      </c>
      <c r="O344" s="318">
        <v>43788</v>
      </c>
      <c r="P344" s="138">
        <v>16500</v>
      </c>
      <c r="Q344" s="2" t="s">
        <v>1070</v>
      </c>
      <c r="R344" s="2" t="s">
        <v>2243</v>
      </c>
      <c r="S344" s="95">
        <v>175</v>
      </c>
      <c r="T344" s="313"/>
      <c r="U344" s="393"/>
      <c r="V344" s="95"/>
      <c r="W344" s="129"/>
      <c r="X344" s="318"/>
      <c r="Y344" s="95"/>
      <c r="Z344" s="131" t="s">
        <v>1467</v>
      </c>
      <c r="AA344" s="108" t="str">
        <f t="shared" si="43"/>
        <v/>
      </c>
      <c r="AB344" s="2"/>
      <c r="AC344" s="131">
        <f t="shared" si="44"/>
        <v>13865.546218487396</v>
      </c>
      <c r="AD344" s="108">
        <f t="shared" si="45"/>
        <v>2634.4537815126041</v>
      </c>
      <c r="AE344" s="95" t="s">
        <v>1501</v>
      </c>
      <c r="AF344" s="457" t="s">
        <v>3489</v>
      </c>
      <c r="AG344" s="2" t="str">
        <f t="shared" si="46"/>
        <v>SI</v>
      </c>
      <c r="AH344" s="284"/>
      <c r="AI344" s="457"/>
      <c r="AJ344" s="2" t="str">
        <f t="shared" si="47"/>
        <v>NV</v>
      </c>
      <c r="AK344" s="303"/>
    </row>
    <row r="345" spans="1:37" x14ac:dyDescent="0.25">
      <c r="A345" s="542" t="s">
        <v>1259</v>
      </c>
      <c r="B345" s="317" t="s">
        <v>2778</v>
      </c>
      <c r="C345" s="95">
        <v>0</v>
      </c>
      <c r="D345" s="95">
        <v>0</v>
      </c>
      <c r="E345" s="95"/>
      <c r="F345" s="95"/>
      <c r="G345" s="95" t="s">
        <v>2528</v>
      </c>
      <c r="H345" s="138">
        <v>58832</v>
      </c>
      <c r="I345" s="138">
        <v>-58832</v>
      </c>
      <c r="J345" s="126">
        <f t="shared" si="40"/>
        <v>0</v>
      </c>
      <c r="K345" s="318">
        <v>43789</v>
      </c>
      <c r="L345" s="95">
        <v>30</v>
      </c>
      <c r="M345" s="9">
        <f t="shared" si="41"/>
        <v>43819</v>
      </c>
      <c r="N345" s="2" t="str">
        <f t="shared" si="42"/>
        <v>Nulo</v>
      </c>
      <c r="O345" s="318"/>
      <c r="P345" s="138"/>
      <c r="Q345" s="2"/>
      <c r="R345" s="2"/>
      <c r="S345" s="95"/>
      <c r="T345" s="313"/>
      <c r="U345" s="393"/>
      <c r="V345" s="95"/>
      <c r="W345" s="129"/>
      <c r="X345" s="318"/>
      <c r="Y345" s="95"/>
      <c r="Z345" s="131" t="s">
        <v>1467</v>
      </c>
      <c r="AA345" s="108" t="str">
        <f t="shared" si="43"/>
        <v/>
      </c>
      <c r="AB345" s="2"/>
      <c r="AC345" s="131">
        <f t="shared" si="44"/>
        <v>49438.655462184877</v>
      </c>
      <c r="AD345" s="108">
        <f t="shared" si="45"/>
        <v>9393.3445378151227</v>
      </c>
      <c r="AE345" s="95" t="s">
        <v>2050</v>
      </c>
      <c r="AF345" s="541" t="s">
        <v>3490</v>
      </c>
      <c r="AG345" s="2" t="str">
        <f t="shared" si="46"/>
        <v>SI</v>
      </c>
      <c r="AH345" s="284"/>
      <c r="AI345" s="541"/>
      <c r="AJ345" s="2" t="str">
        <f t="shared" si="47"/>
        <v>NV</v>
      </c>
      <c r="AK345" s="303"/>
    </row>
    <row r="346" spans="1:37" x14ac:dyDescent="0.25">
      <c r="A346" s="542" t="s">
        <v>1178</v>
      </c>
      <c r="B346" s="317" t="s">
        <v>950</v>
      </c>
      <c r="C346" s="95">
        <v>3001</v>
      </c>
      <c r="D346" s="95">
        <v>0</v>
      </c>
      <c r="E346" s="95"/>
      <c r="F346" s="95"/>
      <c r="G346" s="95" t="s">
        <v>2528</v>
      </c>
      <c r="H346" s="138">
        <v>96075</v>
      </c>
      <c r="I346" s="138"/>
      <c r="J346" s="126">
        <f t="shared" si="40"/>
        <v>96075</v>
      </c>
      <c r="K346" s="318">
        <v>43789</v>
      </c>
      <c r="L346" s="95">
        <v>7</v>
      </c>
      <c r="M346" s="9">
        <f t="shared" si="41"/>
        <v>43796</v>
      </c>
      <c r="N346" s="2" t="str">
        <f t="shared" si="42"/>
        <v>Pagado</v>
      </c>
      <c r="O346" s="318">
        <v>43796</v>
      </c>
      <c r="P346" s="138">
        <v>96075</v>
      </c>
      <c r="Q346" s="2" t="s">
        <v>2131</v>
      </c>
      <c r="R346" s="2"/>
      <c r="S346" s="95">
        <v>1115993</v>
      </c>
      <c r="T346" s="313" t="s">
        <v>1496</v>
      </c>
      <c r="U346" s="393">
        <v>43801</v>
      </c>
      <c r="V346" s="95"/>
      <c r="W346" s="129"/>
      <c r="X346" s="318"/>
      <c r="Y346" s="95"/>
      <c r="Z346" s="131" t="s">
        <v>1467</v>
      </c>
      <c r="AA346" s="108" t="str">
        <f t="shared" si="43"/>
        <v>Otros</v>
      </c>
      <c r="AB346" s="2"/>
      <c r="AC346" s="131">
        <f t="shared" si="44"/>
        <v>80735.294117647063</v>
      </c>
      <c r="AD346" s="108">
        <f t="shared" si="45"/>
        <v>15339.705882352937</v>
      </c>
      <c r="AE346" s="95" t="s">
        <v>2050</v>
      </c>
      <c r="AF346" s="541" t="s">
        <v>3490</v>
      </c>
      <c r="AG346" s="2" t="str">
        <f t="shared" si="46"/>
        <v>SI</v>
      </c>
      <c r="AH346" s="284"/>
      <c r="AI346" s="541"/>
      <c r="AJ346" s="2" t="str">
        <f t="shared" si="47"/>
        <v>Factura</v>
      </c>
      <c r="AK346" s="303"/>
    </row>
    <row r="347" spans="1:37" x14ac:dyDescent="0.25">
      <c r="A347" s="501" t="s">
        <v>3460</v>
      </c>
      <c r="B347" s="317" t="s">
        <v>3461</v>
      </c>
      <c r="C347" s="95">
        <v>3002</v>
      </c>
      <c r="D347" s="95">
        <v>0</v>
      </c>
      <c r="E347" s="95">
        <v>274</v>
      </c>
      <c r="F347" s="95"/>
      <c r="G347" s="95" t="s">
        <v>2528</v>
      </c>
      <c r="H347" s="138">
        <v>149758</v>
      </c>
      <c r="I347" s="138">
        <v>-149758</v>
      </c>
      <c r="J347" s="126">
        <f t="shared" si="40"/>
        <v>0</v>
      </c>
      <c r="K347" s="318">
        <v>43789</v>
      </c>
      <c r="L347" s="95">
        <v>0</v>
      </c>
      <c r="M347" s="9">
        <f t="shared" si="41"/>
        <v>43789</v>
      </c>
      <c r="N347" s="2" t="str">
        <f t="shared" si="42"/>
        <v>Nulo</v>
      </c>
      <c r="O347" s="318"/>
      <c r="P347" s="138"/>
      <c r="Q347" s="2"/>
      <c r="R347" s="2"/>
      <c r="S347" s="95"/>
      <c r="T347" s="313"/>
      <c r="U347" s="393"/>
      <c r="V347" s="95"/>
      <c r="W347" s="129"/>
      <c r="X347" s="318"/>
      <c r="Y347" s="95"/>
      <c r="Z347" s="131"/>
      <c r="AA347" s="108" t="str">
        <f t="shared" si="43"/>
        <v/>
      </c>
      <c r="AB347" s="2"/>
      <c r="AC347" s="131">
        <f t="shared" si="44"/>
        <v>125847.05882352941</v>
      </c>
      <c r="AD347" s="108">
        <f t="shared" si="45"/>
        <v>23910.941176470587</v>
      </c>
      <c r="AE347" s="95" t="s">
        <v>1501</v>
      </c>
      <c r="AF347" s="500" t="s">
        <v>3490</v>
      </c>
      <c r="AG347" s="2" t="str">
        <f t="shared" si="46"/>
        <v>SI</v>
      </c>
      <c r="AH347" s="284"/>
      <c r="AI347" s="500"/>
      <c r="AJ347" s="2" t="str">
        <f t="shared" si="47"/>
        <v>Factura</v>
      </c>
      <c r="AK347" s="303"/>
    </row>
    <row r="348" spans="1:37" x14ac:dyDescent="0.25">
      <c r="A348" s="501" t="s">
        <v>2276</v>
      </c>
      <c r="B348" s="317" t="s">
        <v>2277</v>
      </c>
      <c r="C348" s="95">
        <v>3000</v>
      </c>
      <c r="D348" s="95">
        <v>0</v>
      </c>
      <c r="E348" s="95"/>
      <c r="F348" s="95"/>
      <c r="G348" s="95" t="s">
        <v>2528</v>
      </c>
      <c r="H348" s="138">
        <v>12670</v>
      </c>
      <c r="I348" s="138"/>
      <c r="J348" s="126">
        <f t="shared" si="40"/>
        <v>12670</v>
      </c>
      <c r="K348" s="318">
        <v>43789</v>
      </c>
      <c r="L348" s="95">
        <v>0</v>
      </c>
      <c r="M348" s="9">
        <f t="shared" si="41"/>
        <v>43789</v>
      </c>
      <c r="N348" s="2" t="str">
        <f t="shared" si="42"/>
        <v>Pagado</v>
      </c>
      <c r="O348" s="318">
        <v>43789</v>
      </c>
      <c r="P348" s="138">
        <v>12670</v>
      </c>
      <c r="Q348" s="2" t="s">
        <v>1484</v>
      </c>
      <c r="R348" s="2"/>
      <c r="S348" s="95"/>
      <c r="T348" s="313"/>
      <c r="U348" s="393"/>
      <c r="V348" s="95"/>
      <c r="W348" s="129"/>
      <c r="X348" s="318"/>
      <c r="Y348" s="95"/>
      <c r="Z348" s="131" t="s">
        <v>1467</v>
      </c>
      <c r="AA348" s="108" t="str">
        <f t="shared" si="43"/>
        <v/>
      </c>
      <c r="AB348" s="2"/>
      <c r="AC348" s="131">
        <f t="shared" si="44"/>
        <v>10647.058823529413</v>
      </c>
      <c r="AD348" s="108">
        <f t="shared" si="45"/>
        <v>2022.9411764705874</v>
      </c>
      <c r="AE348" s="95" t="s">
        <v>2050</v>
      </c>
      <c r="AF348" s="500" t="s">
        <v>3490</v>
      </c>
      <c r="AG348" s="2" t="str">
        <f t="shared" si="46"/>
        <v>SI</v>
      </c>
      <c r="AH348" s="284"/>
      <c r="AI348" s="500"/>
      <c r="AJ348" s="2" t="str">
        <f t="shared" si="47"/>
        <v>Factura</v>
      </c>
      <c r="AK348" s="303"/>
    </row>
    <row r="349" spans="1:37" x14ac:dyDescent="0.25">
      <c r="A349" s="501" t="s">
        <v>5258</v>
      </c>
      <c r="B349" s="317" t="s">
        <v>5259</v>
      </c>
      <c r="C349" s="95">
        <v>0</v>
      </c>
      <c r="D349" s="95">
        <v>2714</v>
      </c>
      <c r="E349" s="95"/>
      <c r="F349" s="95"/>
      <c r="G349" s="95">
        <v>6153</v>
      </c>
      <c r="H349" s="138">
        <v>19700</v>
      </c>
      <c r="I349" s="138"/>
      <c r="J349" s="126">
        <f t="shared" si="40"/>
        <v>19700</v>
      </c>
      <c r="K349" s="318">
        <v>43789</v>
      </c>
      <c r="L349" s="95">
        <v>0</v>
      </c>
      <c r="M349" s="9">
        <f t="shared" si="41"/>
        <v>43789</v>
      </c>
      <c r="N349" s="2" t="str">
        <f t="shared" si="42"/>
        <v>Pagado</v>
      </c>
      <c r="O349" s="318">
        <v>43790</v>
      </c>
      <c r="P349" s="138">
        <v>19700</v>
      </c>
      <c r="Q349" s="2" t="s">
        <v>1481</v>
      </c>
      <c r="R349" s="2"/>
      <c r="S349" s="95"/>
      <c r="T349" s="313"/>
      <c r="U349" s="393"/>
      <c r="V349" s="95">
        <v>133664</v>
      </c>
      <c r="W349" s="129">
        <v>20000</v>
      </c>
      <c r="X349" s="318">
        <v>43795</v>
      </c>
      <c r="Y349" s="95"/>
      <c r="Z349" s="131" t="s">
        <v>1467</v>
      </c>
      <c r="AA349" s="108" t="str">
        <f t="shared" si="43"/>
        <v/>
      </c>
      <c r="AB349" s="2"/>
      <c r="AC349" s="131">
        <f t="shared" si="44"/>
        <v>16554.621848739498</v>
      </c>
      <c r="AD349" s="108">
        <f t="shared" si="45"/>
        <v>3145.3781512605019</v>
      </c>
      <c r="AE349" s="95" t="s">
        <v>1501</v>
      </c>
      <c r="AF349" s="500" t="s">
        <v>3487</v>
      </c>
      <c r="AG349" s="2" t="str">
        <f t="shared" si="46"/>
        <v>SI</v>
      </c>
      <c r="AH349" s="284"/>
      <c r="AI349" s="500"/>
      <c r="AJ349" s="2" t="str">
        <f t="shared" si="47"/>
        <v>NV</v>
      </c>
      <c r="AK349" s="303"/>
    </row>
    <row r="350" spans="1:37" x14ac:dyDescent="0.25">
      <c r="A350" s="501" t="s">
        <v>1179</v>
      </c>
      <c r="B350" s="317" t="s">
        <v>952</v>
      </c>
      <c r="C350" s="95">
        <v>2999</v>
      </c>
      <c r="D350" s="95">
        <v>0</v>
      </c>
      <c r="E350" s="95"/>
      <c r="F350" s="95"/>
      <c r="G350" s="95" t="s">
        <v>2528</v>
      </c>
      <c r="H350" s="138">
        <v>107952</v>
      </c>
      <c r="I350" s="138"/>
      <c r="J350" s="126">
        <f t="shared" si="40"/>
        <v>107952</v>
      </c>
      <c r="K350" s="318">
        <v>43789</v>
      </c>
      <c r="L350" s="95">
        <v>7</v>
      </c>
      <c r="M350" s="9">
        <f t="shared" si="41"/>
        <v>43796</v>
      </c>
      <c r="N350" s="2" t="str">
        <f t="shared" si="42"/>
        <v>Pagado</v>
      </c>
      <c r="O350" s="318">
        <v>43796</v>
      </c>
      <c r="P350" s="138">
        <v>107952</v>
      </c>
      <c r="Q350" s="2" t="s">
        <v>1481</v>
      </c>
      <c r="R350" s="2"/>
      <c r="S350" s="95"/>
      <c r="T350" s="313"/>
      <c r="U350" s="393"/>
      <c r="V350" s="95">
        <v>133670</v>
      </c>
      <c r="W350" s="129">
        <v>107952</v>
      </c>
      <c r="X350" s="318">
        <v>43798</v>
      </c>
      <c r="Y350" s="95" t="s">
        <v>1488</v>
      </c>
      <c r="Z350" s="131" t="s">
        <v>1467</v>
      </c>
      <c r="AA350" s="108" t="str">
        <f t="shared" si="43"/>
        <v/>
      </c>
      <c r="AB350" s="2"/>
      <c r="AC350" s="131">
        <f t="shared" si="44"/>
        <v>90715.966386554632</v>
      </c>
      <c r="AD350" s="108">
        <f t="shared" si="45"/>
        <v>17236.033613445368</v>
      </c>
      <c r="AE350" s="95" t="s">
        <v>2050</v>
      </c>
      <c r="AF350" s="500" t="s">
        <v>3490</v>
      </c>
      <c r="AG350" s="2" t="str">
        <f t="shared" si="46"/>
        <v>SI</v>
      </c>
      <c r="AH350" s="284"/>
      <c r="AI350" s="500"/>
      <c r="AJ350" s="2" t="str">
        <f t="shared" si="47"/>
        <v>Factura</v>
      </c>
      <c r="AK350" s="303"/>
    </row>
    <row r="351" spans="1:37" x14ac:dyDescent="0.25">
      <c r="A351" s="499" t="s">
        <v>3175</v>
      </c>
      <c r="B351" s="317" t="s">
        <v>3176</v>
      </c>
      <c r="C351" s="95">
        <v>0</v>
      </c>
      <c r="D351" s="95">
        <v>2715</v>
      </c>
      <c r="E351" s="95"/>
      <c r="F351" s="95"/>
      <c r="G351" s="95">
        <v>6150</v>
      </c>
      <c r="H351" s="138">
        <v>29000</v>
      </c>
      <c r="I351" s="138"/>
      <c r="J351" s="126">
        <f t="shared" si="40"/>
        <v>29000</v>
      </c>
      <c r="K351" s="318">
        <v>43789</v>
      </c>
      <c r="L351" s="95">
        <v>0</v>
      </c>
      <c r="M351" s="9">
        <f t="shared" si="41"/>
        <v>43789</v>
      </c>
      <c r="N351" s="2" t="str">
        <f t="shared" si="42"/>
        <v>Pagado</v>
      </c>
      <c r="O351" s="318">
        <v>43790</v>
      </c>
      <c r="P351" s="138">
        <v>29000</v>
      </c>
      <c r="Q351" s="2" t="s">
        <v>1484</v>
      </c>
      <c r="R351" s="2"/>
      <c r="S351" s="95"/>
      <c r="T351" s="313" t="s">
        <v>2353</v>
      </c>
      <c r="U351" s="393"/>
      <c r="V351" s="95"/>
      <c r="W351" s="129"/>
      <c r="X351" s="318"/>
      <c r="Y351" s="95"/>
      <c r="Z351" s="131" t="s">
        <v>1467</v>
      </c>
      <c r="AA351" s="108" t="str">
        <f t="shared" si="43"/>
        <v/>
      </c>
      <c r="AB351" s="2"/>
      <c r="AC351" s="131">
        <f t="shared" si="44"/>
        <v>24369.747899159665</v>
      </c>
      <c r="AD351" s="108">
        <f t="shared" si="45"/>
        <v>4630.2521008403346</v>
      </c>
      <c r="AE351" s="95" t="s">
        <v>1501</v>
      </c>
      <c r="AF351" s="498" t="s">
        <v>3489</v>
      </c>
      <c r="AG351" s="2" t="str">
        <f t="shared" si="46"/>
        <v>SI</v>
      </c>
      <c r="AH351" s="284"/>
      <c r="AI351" s="498"/>
      <c r="AJ351" s="2" t="str">
        <f t="shared" si="47"/>
        <v>NV</v>
      </c>
      <c r="AK351" s="303"/>
    </row>
    <row r="352" spans="1:37" x14ac:dyDescent="0.25">
      <c r="A352" s="534" t="s">
        <v>1258</v>
      </c>
      <c r="B352" s="317" t="s">
        <v>1059</v>
      </c>
      <c r="C352" s="95">
        <v>0</v>
      </c>
      <c r="D352" s="95">
        <v>2712</v>
      </c>
      <c r="E352" s="95"/>
      <c r="F352" s="95"/>
      <c r="G352" s="95">
        <v>6154</v>
      </c>
      <c r="H352" s="138">
        <v>69000</v>
      </c>
      <c r="I352" s="138"/>
      <c r="J352" s="126">
        <f t="shared" si="40"/>
        <v>69000</v>
      </c>
      <c r="K352" s="318">
        <v>43789</v>
      </c>
      <c r="L352" s="95">
        <v>0</v>
      </c>
      <c r="M352" s="9">
        <f t="shared" si="41"/>
        <v>43789</v>
      </c>
      <c r="N352" s="2" t="str">
        <f t="shared" si="42"/>
        <v>Pagado</v>
      </c>
      <c r="O352" s="318">
        <v>43789</v>
      </c>
      <c r="P352" s="138">
        <v>69000</v>
      </c>
      <c r="Q352" s="2" t="s">
        <v>1484</v>
      </c>
      <c r="R352" s="2"/>
      <c r="S352" s="95"/>
      <c r="T352" s="313" t="s">
        <v>1491</v>
      </c>
      <c r="U352" s="393"/>
      <c r="V352" s="95"/>
      <c r="W352" s="129"/>
      <c r="X352" s="318"/>
      <c r="Y352" s="95"/>
      <c r="Z352" s="131" t="s">
        <v>1467</v>
      </c>
      <c r="AA352" s="108" t="str">
        <f t="shared" si="43"/>
        <v/>
      </c>
      <c r="AB352" s="2"/>
      <c r="AC352" s="131">
        <f t="shared" si="44"/>
        <v>57983.193277310929</v>
      </c>
      <c r="AD352" s="108">
        <f t="shared" si="45"/>
        <v>11016.806722689071</v>
      </c>
      <c r="AE352" s="95" t="s">
        <v>1501</v>
      </c>
      <c r="AF352" s="533" t="s">
        <v>3487</v>
      </c>
      <c r="AG352" s="2" t="str">
        <f t="shared" si="46"/>
        <v>SI</v>
      </c>
      <c r="AH352" s="284"/>
      <c r="AI352" s="533"/>
      <c r="AJ352" s="2" t="str">
        <f t="shared" si="47"/>
        <v>NV</v>
      </c>
      <c r="AK352" s="303"/>
    </row>
    <row r="353" spans="1:37" x14ac:dyDescent="0.25">
      <c r="A353" s="499" t="s">
        <v>1177</v>
      </c>
      <c r="B353" s="317" t="s">
        <v>1060</v>
      </c>
      <c r="C353" s="95">
        <v>2998</v>
      </c>
      <c r="D353" s="95">
        <v>0</v>
      </c>
      <c r="E353" s="95">
        <v>273</v>
      </c>
      <c r="F353" s="95"/>
      <c r="G353" s="95" t="s">
        <v>2528</v>
      </c>
      <c r="H353" s="138">
        <v>183343</v>
      </c>
      <c r="I353" s="138">
        <v>-32892</v>
      </c>
      <c r="J353" s="126">
        <f t="shared" si="40"/>
        <v>150451</v>
      </c>
      <c r="K353" s="318">
        <v>43789</v>
      </c>
      <c r="L353" s="95">
        <v>30</v>
      </c>
      <c r="M353" s="9">
        <f t="shared" si="41"/>
        <v>43819</v>
      </c>
      <c r="N353" s="2" t="str">
        <f t="shared" si="42"/>
        <v>Pagado</v>
      </c>
      <c r="O353" s="318"/>
      <c r="P353" s="138">
        <v>150451</v>
      </c>
      <c r="Q353" s="2" t="s">
        <v>2131</v>
      </c>
      <c r="R353" s="2"/>
      <c r="S353" s="95">
        <v>21</v>
      </c>
      <c r="T353" s="9" t="s">
        <v>1494</v>
      </c>
      <c r="U353" s="393">
        <v>43819</v>
      </c>
      <c r="V353" s="95">
        <v>2270742</v>
      </c>
      <c r="W353" s="129">
        <v>150451</v>
      </c>
      <c r="X353" s="318">
        <v>43819</v>
      </c>
      <c r="Y353" s="95" t="s">
        <v>1488</v>
      </c>
      <c r="Z353" s="131" t="s">
        <v>1467</v>
      </c>
      <c r="AA353" s="108" t="str">
        <f t="shared" si="43"/>
        <v>Otros</v>
      </c>
      <c r="AB353" s="2"/>
      <c r="AC353" s="131">
        <f t="shared" si="44"/>
        <v>154069.74789915967</v>
      </c>
      <c r="AD353" s="108">
        <f t="shared" si="45"/>
        <v>29273.252100840327</v>
      </c>
      <c r="AE353" s="95" t="s">
        <v>2050</v>
      </c>
      <c r="AF353" s="498" t="s">
        <v>3490</v>
      </c>
      <c r="AG353" s="2" t="str">
        <f t="shared" si="46"/>
        <v>SI</v>
      </c>
      <c r="AH353" s="284"/>
      <c r="AI353" s="498"/>
      <c r="AJ353" s="2" t="str">
        <f t="shared" si="47"/>
        <v>Factura</v>
      </c>
      <c r="AK353" s="303"/>
    </row>
    <row r="354" spans="1:37" x14ac:dyDescent="0.25">
      <c r="A354" s="499" t="s">
        <v>1214</v>
      </c>
      <c r="B354" s="317" t="s">
        <v>2143</v>
      </c>
      <c r="C354" s="95">
        <v>0</v>
      </c>
      <c r="D354" s="95">
        <v>2713</v>
      </c>
      <c r="E354" s="95"/>
      <c r="F354" s="95"/>
      <c r="G354" s="95">
        <v>6152</v>
      </c>
      <c r="H354" s="138">
        <v>24700</v>
      </c>
      <c r="I354" s="138"/>
      <c r="J354" s="126">
        <f t="shared" si="40"/>
        <v>24700</v>
      </c>
      <c r="K354" s="318">
        <v>43789</v>
      </c>
      <c r="L354" s="95">
        <v>0</v>
      </c>
      <c r="M354" s="9">
        <f t="shared" si="41"/>
        <v>43789</v>
      </c>
      <c r="N354" s="2" t="str">
        <f t="shared" si="42"/>
        <v>Pagado</v>
      </c>
      <c r="O354" s="318">
        <v>43789</v>
      </c>
      <c r="P354" s="138">
        <v>24700</v>
      </c>
      <c r="Q354" s="2" t="s">
        <v>1484</v>
      </c>
      <c r="R354" s="2"/>
      <c r="S354" s="95"/>
      <c r="T354" s="9" t="s">
        <v>1494</v>
      </c>
      <c r="U354" s="393"/>
      <c r="V354" s="95"/>
      <c r="W354" s="129"/>
      <c r="X354" s="318"/>
      <c r="Y354" s="95"/>
      <c r="Z354" s="131" t="s">
        <v>1467</v>
      </c>
      <c r="AA354" s="108" t="str">
        <f t="shared" si="43"/>
        <v/>
      </c>
      <c r="AB354" s="2"/>
      <c r="AC354" s="131">
        <f t="shared" si="44"/>
        <v>20756.302521008405</v>
      </c>
      <c r="AD354" s="108">
        <f t="shared" si="45"/>
        <v>3943.6974789915948</v>
      </c>
      <c r="AE354" s="95" t="s">
        <v>1501</v>
      </c>
      <c r="AF354" s="498" t="s">
        <v>3487</v>
      </c>
      <c r="AG354" s="2" t="str">
        <f t="shared" si="46"/>
        <v>SI</v>
      </c>
      <c r="AH354" s="284"/>
      <c r="AI354" s="498"/>
      <c r="AJ354" s="2" t="str">
        <f t="shared" si="47"/>
        <v>NV</v>
      </c>
      <c r="AK354" s="303"/>
    </row>
    <row r="355" spans="1:37" x14ac:dyDescent="0.25">
      <c r="A355" s="534" t="s">
        <v>4008</v>
      </c>
      <c r="B355" s="317" t="s">
        <v>4009</v>
      </c>
      <c r="C355" s="95">
        <v>0</v>
      </c>
      <c r="D355" s="95">
        <v>2716</v>
      </c>
      <c r="E355" s="95"/>
      <c r="F355" s="95"/>
      <c r="G355" s="95">
        <v>6151</v>
      </c>
      <c r="H355" s="138">
        <v>104000</v>
      </c>
      <c r="I355" s="138"/>
      <c r="J355" s="126">
        <f t="shared" si="40"/>
        <v>104000</v>
      </c>
      <c r="K355" s="318">
        <v>43789</v>
      </c>
      <c r="L355" s="95">
        <v>30</v>
      </c>
      <c r="M355" s="9">
        <f t="shared" si="41"/>
        <v>43819</v>
      </c>
      <c r="N355" s="2" t="str">
        <f t="shared" si="42"/>
        <v>Pagado</v>
      </c>
      <c r="O355" s="318">
        <v>43789</v>
      </c>
      <c r="P355" s="138">
        <v>104000</v>
      </c>
      <c r="Q355" s="2" t="s">
        <v>1484</v>
      </c>
      <c r="R355" s="2"/>
      <c r="S355" s="95"/>
      <c r="T355" s="313" t="s">
        <v>1491</v>
      </c>
      <c r="U355" s="393"/>
      <c r="V355" s="95"/>
      <c r="W355" s="129"/>
      <c r="X355" s="318"/>
      <c r="Y355" s="95"/>
      <c r="Z355" s="131" t="s">
        <v>1467</v>
      </c>
      <c r="AA355" s="108" t="str">
        <f t="shared" si="43"/>
        <v/>
      </c>
      <c r="AB355" s="2"/>
      <c r="AC355" s="131">
        <f t="shared" si="44"/>
        <v>87394.957983193279</v>
      </c>
      <c r="AD355" s="108">
        <f t="shared" si="45"/>
        <v>16605.042016806721</v>
      </c>
      <c r="AE355" s="95" t="s">
        <v>1501</v>
      </c>
      <c r="AF355" s="533" t="s">
        <v>3489</v>
      </c>
      <c r="AG355" s="2" t="str">
        <f t="shared" si="46"/>
        <v>SI</v>
      </c>
      <c r="AH355" s="284"/>
      <c r="AI355" s="533"/>
      <c r="AJ355" s="2" t="str">
        <f t="shared" si="47"/>
        <v>NV</v>
      </c>
      <c r="AK355" s="303"/>
    </row>
    <row r="356" spans="1:37" x14ac:dyDescent="0.25">
      <c r="A356" s="542" t="s">
        <v>1243</v>
      </c>
      <c r="B356" s="317" t="s">
        <v>986</v>
      </c>
      <c r="C356" s="95">
        <v>0</v>
      </c>
      <c r="D356" s="95">
        <v>0</v>
      </c>
      <c r="E356" s="95"/>
      <c r="F356" s="95"/>
      <c r="G356" s="95">
        <v>6164</v>
      </c>
      <c r="H356" s="138">
        <v>56670</v>
      </c>
      <c r="I356" s="138">
        <v>-4800</v>
      </c>
      <c r="J356" s="126">
        <f t="shared" si="40"/>
        <v>51870</v>
      </c>
      <c r="K356" s="318">
        <v>43790</v>
      </c>
      <c r="L356" s="95">
        <v>0</v>
      </c>
      <c r="M356" s="9">
        <f t="shared" si="41"/>
        <v>43790</v>
      </c>
      <c r="N356" s="2" t="str">
        <f t="shared" si="42"/>
        <v>Pagado</v>
      </c>
      <c r="O356" s="318">
        <v>43809</v>
      </c>
      <c r="P356" s="138">
        <v>52000</v>
      </c>
      <c r="Q356" s="2" t="s">
        <v>1484</v>
      </c>
      <c r="R356" s="2"/>
      <c r="S356" s="95"/>
      <c r="T356" s="313" t="s">
        <v>1496</v>
      </c>
      <c r="U356" s="393"/>
      <c r="V356" s="95"/>
      <c r="W356" s="129"/>
      <c r="X356" s="318"/>
      <c r="Y356" s="95"/>
      <c r="Z356" s="131" t="s">
        <v>1467</v>
      </c>
      <c r="AA356" s="108" t="str">
        <f t="shared" si="43"/>
        <v/>
      </c>
      <c r="AB356" s="2"/>
      <c r="AC356" s="131">
        <f t="shared" si="44"/>
        <v>47621.848739495799</v>
      </c>
      <c r="AD356" s="108">
        <f t="shared" si="45"/>
        <v>9048.1512605042008</v>
      </c>
      <c r="AE356" s="95" t="s">
        <v>1501</v>
      </c>
      <c r="AF356" s="541" t="s">
        <v>3489</v>
      </c>
      <c r="AG356" s="2" t="str">
        <f t="shared" si="46"/>
        <v>SI</v>
      </c>
      <c r="AH356" s="284"/>
      <c r="AI356" s="541"/>
      <c r="AJ356" s="2" t="str">
        <f t="shared" si="47"/>
        <v>NV</v>
      </c>
      <c r="AK356" s="303"/>
    </row>
    <row r="357" spans="1:37" x14ac:dyDescent="0.25">
      <c r="A357" s="501" t="s">
        <v>3460</v>
      </c>
      <c r="B357" s="317" t="s">
        <v>3461</v>
      </c>
      <c r="C357" s="95">
        <v>3003</v>
      </c>
      <c r="D357" s="95">
        <v>0</v>
      </c>
      <c r="E357" s="95"/>
      <c r="F357" s="95"/>
      <c r="G357" s="95" t="s">
        <v>2528</v>
      </c>
      <c r="H357" s="138">
        <v>141879</v>
      </c>
      <c r="I357" s="138"/>
      <c r="J357" s="126">
        <f t="shared" si="40"/>
        <v>141879</v>
      </c>
      <c r="K357" s="318">
        <v>43790</v>
      </c>
      <c r="L357" s="95">
        <v>0</v>
      </c>
      <c r="M357" s="9">
        <f t="shared" si="41"/>
        <v>43790</v>
      </c>
      <c r="N357" s="2" t="str">
        <f t="shared" si="42"/>
        <v>Pagado</v>
      </c>
      <c r="O357" s="318">
        <v>43802</v>
      </c>
      <c r="P357" s="138">
        <v>141879</v>
      </c>
      <c r="Q357" s="2" t="s">
        <v>1484</v>
      </c>
      <c r="R357" s="2"/>
      <c r="S357" s="95"/>
      <c r="T357" s="313" t="s">
        <v>1496</v>
      </c>
      <c r="U357" s="393"/>
      <c r="V357" s="95"/>
      <c r="W357" s="129"/>
      <c r="X357" s="318"/>
      <c r="Y357" s="95"/>
      <c r="Z357" s="131" t="s">
        <v>1467</v>
      </c>
      <c r="AA357" s="108" t="str">
        <f t="shared" si="43"/>
        <v/>
      </c>
      <c r="AB357" s="2"/>
      <c r="AC357" s="131">
        <f t="shared" si="44"/>
        <v>119226.05042016807</v>
      </c>
      <c r="AD357" s="108">
        <f t="shared" si="45"/>
        <v>22652.949579831926</v>
      </c>
      <c r="AE357" s="95" t="s">
        <v>1501</v>
      </c>
      <c r="AF357" s="500" t="s">
        <v>3490</v>
      </c>
      <c r="AG357" s="2" t="str">
        <f t="shared" si="46"/>
        <v>SI</v>
      </c>
      <c r="AH357" s="284"/>
      <c r="AI357" s="500"/>
      <c r="AJ357" s="2" t="str">
        <f t="shared" si="47"/>
        <v>Factura</v>
      </c>
      <c r="AK357" s="303"/>
    </row>
    <row r="358" spans="1:37" x14ac:dyDescent="0.25">
      <c r="A358" s="534" t="s">
        <v>3460</v>
      </c>
      <c r="B358" s="317" t="s">
        <v>3461</v>
      </c>
      <c r="C358" s="95">
        <v>3004</v>
      </c>
      <c r="D358" s="95">
        <v>0</v>
      </c>
      <c r="E358" s="95">
        <v>275</v>
      </c>
      <c r="F358" s="95"/>
      <c r="G358" s="95" t="s">
        <v>2528</v>
      </c>
      <c r="H358" s="138">
        <v>20963</v>
      </c>
      <c r="I358" s="138">
        <v>-20963</v>
      </c>
      <c r="J358" s="126">
        <f t="shared" si="40"/>
        <v>0</v>
      </c>
      <c r="K358" s="318">
        <v>43790</v>
      </c>
      <c r="L358" s="95">
        <v>0</v>
      </c>
      <c r="M358" s="9">
        <f t="shared" si="41"/>
        <v>43790</v>
      </c>
      <c r="N358" s="2" t="str">
        <f t="shared" si="42"/>
        <v>Nulo</v>
      </c>
      <c r="O358" s="318"/>
      <c r="P358" s="138"/>
      <c r="Q358" s="2"/>
      <c r="R358" s="2"/>
      <c r="S358" s="95"/>
      <c r="T358" s="313"/>
      <c r="U358" s="393"/>
      <c r="V358" s="95"/>
      <c r="W358" s="129"/>
      <c r="X358" s="318"/>
      <c r="Y358" s="95"/>
      <c r="Z358" s="131"/>
      <c r="AA358" s="108" t="str">
        <f t="shared" si="43"/>
        <v/>
      </c>
      <c r="AB358" s="2"/>
      <c r="AC358" s="131">
        <f t="shared" si="44"/>
        <v>17615.966386554621</v>
      </c>
      <c r="AD358" s="108">
        <f t="shared" si="45"/>
        <v>3347.0336134453792</v>
      </c>
      <c r="AE358" s="95" t="s">
        <v>1501</v>
      </c>
      <c r="AF358" s="533" t="s">
        <v>3490</v>
      </c>
      <c r="AG358" s="2" t="str">
        <f t="shared" si="46"/>
        <v>SI</v>
      </c>
      <c r="AH358" s="284"/>
      <c r="AI358" s="533"/>
      <c r="AJ358" s="2" t="str">
        <f t="shared" si="47"/>
        <v>Factura</v>
      </c>
      <c r="AK358" s="303"/>
    </row>
    <row r="359" spans="1:37" x14ac:dyDescent="0.25">
      <c r="A359" s="534" t="s">
        <v>5405</v>
      </c>
      <c r="B359" s="317" t="s">
        <v>5422</v>
      </c>
      <c r="C359" s="95">
        <v>0</v>
      </c>
      <c r="D359" s="95">
        <v>2718</v>
      </c>
      <c r="E359" s="95"/>
      <c r="F359" s="95"/>
      <c r="G359" s="95">
        <v>6157</v>
      </c>
      <c r="H359" s="138">
        <v>24500</v>
      </c>
      <c r="I359" s="138"/>
      <c r="J359" s="126">
        <f t="shared" si="40"/>
        <v>24500</v>
      </c>
      <c r="K359" s="318">
        <v>43790</v>
      </c>
      <c r="L359" s="95">
        <v>0</v>
      </c>
      <c r="M359" s="313">
        <f t="shared" si="41"/>
        <v>43790</v>
      </c>
      <c r="N359" s="2" t="str">
        <f t="shared" si="42"/>
        <v>Pagado</v>
      </c>
      <c r="O359" s="318">
        <v>43790</v>
      </c>
      <c r="P359" s="138">
        <v>24500</v>
      </c>
      <c r="Q359" s="2" t="s">
        <v>1484</v>
      </c>
      <c r="R359" s="2"/>
      <c r="S359" s="95"/>
      <c r="T359" s="313" t="s">
        <v>1488</v>
      </c>
      <c r="U359" s="393"/>
      <c r="V359" s="95"/>
      <c r="W359" s="129"/>
      <c r="X359" s="318"/>
      <c r="Y359" s="95"/>
      <c r="Z359" s="131" t="s">
        <v>1467</v>
      </c>
      <c r="AA359" s="108" t="str">
        <f t="shared" si="43"/>
        <v/>
      </c>
      <c r="AB359" s="2"/>
      <c r="AC359" s="131">
        <f t="shared" si="44"/>
        <v>20588.235294117647</v>
      </c>
      <c r="AD359" s="108">
        <f t="shared" si="45"/>
        <v>3911.7647058823532</v>
      </c>
      <c r="AE359" s="95" t="s">
        <v>1501</v>
      </c>
      <c r="AF359" s="533" t="s">
        <v>5408</v>
      </c>
      <c r="AG359" s="2" t="str">
        <f t="shared" si="46"/>
        <v>SI</v>
      </c>
      <c r="AH359" s="284"/>
      <c r="AI359" s="533"/>
      <c r="AJ359" s="2" t="str">
        <f t="shared" si="47"/>
        <v>NV</v>
      </c>
      <c r="AK359" s="303"/>
    </row>
    <row r="360" spans="1:37" x14ac:dyDescent="0.25">
      <c r="A360" s="534" t="s">
        <v>2226</v>
      </c>
      <c r="B360" s="317" t="s">
        <v>2227</v>
      </c>
      <c r="C360" s="95">
        <v>0</v>
      </c>
      <c r="D360" s="95">
        <v>176</v>
      </c>
      <c r="E360" s="95"/>
      <c r="F360" s="95"/>
      <c r="G360" s="95">
        <v>6140</v>
      </c>
      <c r="H360" s="138">
        <v>108000</v>
      </c>
      <c r="I360" s="138"/>
      <c r="J360" s="126">
        <f t="shared" si="40"/>
        <v>108000</v>
      </c>
      <c r="K360" s="318">
        <v>43790</v>
      </c>
      <c r="L360" s="95">
        <v>0</v>
      </c>
      <c r="M360" s="9">
        <f t="shared" si="41"/>
        <v>43790</v>
      </c>
      <c r="N360" s="2" t="str">
        <f t="shared" si="42"/>
        <v>Pagado</v>
      </c>
      <c r="O360" s="318">
        <v>43790</v>
      </c>
      <c r="P360" s="138">
        <v>108000</v>
      </c>
      <c r="Q360" s="2" t="s">
        <v>1070</v>
      </c>
      <c r="R360" s="2" t="s">
        <v>2243</v>
      </c>
      <c r="S360" s="95">
        <v>176</v>
      </c>
      <c r="T360" s="313"/>
      <c r="U360" s="393"/>
      <c r="V360" s="95"/>
      <c r="W360" s="129"/>
      <c r="X360" s="318"/>
      <c r="Y360" s="95"/>
      <c r="Z360" s="131" t="s">
        <v>1467</v>
      </c>
      <c r="AA360" s="108" t="str">
        <f t="shared" si="43"/>
        <v/>
      </c>
      <c r="AB360" s="2"/>
      <c r="AC360" s="131">
        <f t="shared" si="44"/>
        <v>90756.302521008402</v>
      </c>
      <c r="AD360" s="108">
        <f t="shared" si="45"/>
        <v>17243.697478991598</v>
      </c>
      <c r="AE360" s="95" t="s">
        <v>1501</v>
      </c>
      <c r="AF360" s="533" t="s">
        <v>5421</v>
      </c>
      <c r="AG360" s="2" t="str">
        <f t="shared" si="46"/>
        <v>SI</v>
      </c>
      <c r="AH360" s="284"/>
      <c r="AI360" s="533"/>
      <c r="AJ360" s="2" t="str">
        <f t="shared" si="47"/>
        <v>NV</v>
      </c>
      <c r="AK360" s="303"/>
    </row>
    <row r="361" spans="1:37" x14ac:dyDescent="0.25">
      <c r="A361" s="501" t="s">
        <v>1189</v>
      </c>
      <c r="B361" s="317" t="s">
        <v>940</v>
      </c>
      <c r="C361" s="95">
        <v>3006</v>
      </c>
      <c r="D361" s="95">
        <v>0</v>
      </c>
      <c r="E361" s="95"/>
      <c r="F361" s="95"/>
      <c r="G361" s="95" t="s">
        <v>2528</v>
      </c>
      <c r="H361" s="138">
        <v>34285</v>
      </c>
      <c r="I361" s="138"/>
      <c r="J361" s="126">
        <f t="shared" si="40"/>
        <v>34285</v>
      </c>
      <c r="K361" s="318">
        <v>43791</v>
      </c>
      <c r="L361" s="95">
        <v>0</v>
      </c>
      <c r="M361" s="9">
        <f t="shared" si="41"/>
        <v>43791</v>
      </c>
      <c r="N361" s="2" t="str">
        <f t="shared" si="42"/>
        <v>Pagado</v>
      </c>
      <c r="O361" s="318">
        <v>43812</v>
      </c>
      <c r="P361" s="138">
        <v>34285</v>
      </c>
      <c r="Q361" s="2" t="s">
        <v>1481</v>
      </c>
      <c r="R361" s="2"/>
      <c r="S361" s="95"/>
      <c r="T361" s="313"/>
      <c r="U361" s="393"/>
      <c r="V361" s="95"/>
      <c r="W361" s="129"/>
      <c r="X361" s="318"/>
      <c r="Y361" s="95"/>
      <c r="Z361" s="131" t="s">
        <v>1467</v>
      </c>
      <c r="AA361" s="108" t="str">
        <f t="shared" si="43"/>
        <v/>
      </c>
      <c r="AB361" s="2"/>
      <c r="AC361" s="131">
        <f t="shared" si="44"/>
        <v>28810.9243697479</v>
      </c>
      <c r="AD361" s="108">
        <f t="shared" si="45"/>
        <v>5474.0756302521004</v>
      </c>
      <c r="AE361" s="95" t="s">
        <v>1445</v>
      </c>
      <c r="AF361" s="500" t="s">
        <v>3490</v>
      </c>
      <c r="AG361" s="2" t="str">
        <f t="shared" si="46"/>
        <v>SI</v>
      </c>
      <c r="AH361" s="284"/>
      <c r="AI361" s="500"/>
      <c r="AJ361" s="2" t="str">
        <f t="shared" si="47"/>
        <v>Factura</v>
      </c>
      <c r="AK361" s="303"/>
    </row>
    <row r="362" spans="1:37" x14ac:dyDescent="0.25">
      <c r="A362" s="501" t="s">
        <v>2632</v>
      </c>
      <c r="B362" s="317" t="s">
        <v>2633</v>
      </c>
      <c r="C362" s="95">
        <v>0</v>
      </c>
      <c r="D362" s="95" t="s">
        <v>2528</v>
      </c>
      <c r="E362" s="95"/>
      <c r="F362" s="95"/>
      <c r="G362" s="95">
        <v>6160</v>
      </c>
      <c r="H362" s="138">
        <v>45400</v>
      </c>
      <c r="I362" s="138"/>
      <c r="J362" s="126">
        <f t="shared" si="40"/>
        <v>45400</v>
      </c>
      <c r="K362" s="318">
        <v>43791</v>
      </c>
      <c r="L362" s="95">
        <v>0</v>
      </c>
      <c r="M362" s="9">
        <f t="shared" si="41"/>
        <v>43791</v>
      </c>
      <c r="N362" s="2" t="str">
        <f t="shared" si="42"/>
        <v>Pagado</v>
      </c>
      <c r="O362" s="318">
        <v>43794</v>
      </c>
      <c r="P362" s="138">
        <v>45400</v>
      </c>
      <c r="Q362" s="2" t="s">
        <v>1484</v>
      </c>
      <c r="R362" s="2"/>
      <c r="S362" s="95"/>
      <c r="T362" s="313" t="s">
        <v>1488</v>
      </c>
      <c r="U362" s="393"/>
      <c r="V362" s="95"/>
      <c r="W362" s="129"/>
      <c r="X362" s="318"/>
      <c r="Y362" s="95"/>
      <c r="Z362" s="131" t="s">
        <v>1467</v>
      </c>
      <c r="AA362" s="108" t="str">
        <f t="shared" si="43"/>
        <v/>
      </c>
      <c r="AB362" s="2"/>
      <c r="AC362" s="131">
        <f t="shared" si="44"/>
        <v>38151.26050420168</v>
      </c>
      <c r="AD362" s="108">
        <f t="shared" si="45"/>
        <v>7248.7394957983197</v>
      </c>
      <c r="AE362" s="95" t="s">
        <v>1445</v>
      </c>
      <c r="AF362" s="500" t="s">
        <v>3487</v>
      </c>
      <c r="AG362" s="2" t="str">
        <f t="shared" si="46"/>
        <v>SI</v>
      </c>
      <c r="AH362" s="284"/>
      <c r="AI362" s="500"/>
      <c r="AJ362" s="2" t="str">
        <f t="shared" si="47"/>
        <v>NV</v>
      </c>
      <c r="AK362" s="303"/>
    </row>
    <row r="363" spans="1:37" x14ac:dyDescent="0.25">
      <c r="A363" s="501" t="s">
        <v>4950</v>
      </c>
      <c r="B363" s="317" t="s">
        <v>4951</v>
      </c>
      <c r="C363" s="95">
        <v>0</v>
      </c>
      <c r="D363" s="95">
        <v>0</v>
      </c>
      <c r="E363" s="95"/>
      <c r="F363" s="95"/>
      <c r="G363" s="95">
        <v>6169</v>
      </c>
      <c r="H363" s="138">
        <v>37200</v>
      </c>
      <c r="I363" s="138"/>
      <c r="J363" s="126">
        <f t="shared" si="40"/>
        <v>37200</v>
      </c>
      <c r="K363" s="318">
        <v>43791</v>
      </c>
      <c r="L363" s="95">
        <v>0</v>
      </c>
      <c r="M363" s="9">
        <f t="shared" si="41"/>
        <v>43791</v>
      </c>
      <c r="N363" s="2" t="str">
        <f t="shared" si="42"/>
        <v>Pagado</v>
      </c>
      <c r="O363" s="318">
        <v>43791</v>
      </c>
      <c r="P363" s="138">
        <v>37200</v>
      </c>
      <c r="Q363" s="2" t="s">
        <v>1481</v>
      </c>
      <c r="R363" s="2"/>
      <c r="S363" s="95"/>
      <c r="T363" s="313"/>
      <c r="U363" s="393"/>
      <c r="V363" s="95">
        <v>133664</v>
      </c>
      <c r="W363" s="129">
        <v>37200</v>
      </c>
      <c r="X363" s="318">
        <v>43795</v>
      </c>
      <c r="Y363" s="95" t="s">
        <v>1488</v>
      </c>
      <c r="Z363" s="131" t="s">
        <v>1467</v>
      </c>
      <c r="AA363" s="108" t="str">
        <f t="shared" si="43"/>
        <v/>
      </c>
      <c r="AB363" s="2"/>
      <c r="AC363" s="131">
        <f t="shared" si="44"/>
        <v>31260.504201680673</v>
      </c>
      <c r="AD363" s="108">
        <f t="shared" si="45"/>
        <v>5939.4957983193272</v>
      </c>
      <c r="AE363" s="95" t="s">
        <v>1501</v>
      </c>
      <c r="AF363" s="500" t="s">
        <v>3487</v>
      </c>
      <c r="AG363" s="2" t="str">
        <f t="shared" si="46"/>
        <v>SI</v>
      </c>
      <c r="AH363" s="284"/>
      <c r="AI363" s="500"/>
      <c r="AJ363" s="2" t="str">
        <f t="shared" si="47"/>
        <v>NV</v>
      </c>
      <c r="AK363" s="303"/>
    </row>
    <row r="364" spans="1:37" x14ac:dyDescent="0.25">
      <c r="A364" s="534" t="s">
        <v>1200</v>
      </c>
      <c r="B364" s="317" t="s">
        <v>2316</v>
      </c>
      <c r="C364" s="95">
        <v>0</v>
      </c>
      <c r="D364" s="95" t="s">
        <v>2528</v>
      </c>
      <c r="E364" s="95"/>
      <c r="F364" s="95"/>
      <c r="G364" s="95">
        <v>6168</v>
      </c>
      <c r="H364" s="138">
        <v>51600</v>
      </c>
      <c r="I364" s="138"/>
      <c r="J364" s="126">
        <f t="shared" si="40"/>
        <v>51600</v>
      </c>
      <c r="K364" s="318">
        <v>43791</v>
      </c>
      <c r="L364" s="95">
        <v>0</v>
      </c>
      <c r="M364" s="9">
        <f t="shared" si="41"/>
        <v>43791</v>
      </c>
      <c r="N364" s="2" t="str">
        <f t="shared" si="42"/>
        <v>Pagado</v>
      </c>
      <c r="O364" s="318">
        <v>43810</v>
      </c>
      <c r="P364" s="138">
        <v>51600</v>
      </c>
      <c r="Q364" s="2" t="s">
        <v>1484</v>
      </c>
      <c r="R364" s="2"/>
      <c r="S364" s="95"/>
      <c r="T364" s="313" t="s">
        <v>1493</v>
      </c>
      <c r="U364" s="393"/>
      <c r="V364" s="95"/>
      <c r="W364" s="129"/>
      <c r="X364" s="318"/>
      <c r="Y364" s="95"/>
      <c r="Z364" s="131" t="s">
        <v>1467</v>
      </c>
      <c r="AA364" s="108" t="str">
        <f t="shared" si="43"/>
        <v/>
      </c>
      <c r="AB364" s="2"/>
      <c r="AC364" s="131">
        <f t="shared" si="44"/>
        <v>43361.34453781513</v>
      </c>
      <c r="AD364" s="108">
        <f t="shared" si="45"/>
        <v>8238.65546218487</v>
      </c>
      <c r="AE364" s="95" t="s">
        <v>1445</v>
      </c>
      <c r="AF364" s="533" t="s">
        <v>3489</v>
      </c>
      <c r="AG364" s="2" t="str">
        <f t="shared" si="46"/>
        <v>SI</v>
      </c>
      <c r="AH364" s="284"/>
      <c r="AI364" s="533"/>
      <c r="AJ364" s="2" t="str">
        <f t="shared" si="47"/>
        <v>NV</v>
      </c>
      <c r="AK364" s="303"/>
    </row>
    <row r="365" spans="1:37" x14ac:dyDescent="0.25">
      <c r="A365" s="534" t="s">
        <v>1301</v>
      </c>
      <c r="B365" s="317" t="s">
        <v>968</v>
      </c>
      <c r="C365" s="95">
        <v>0</v>
      </c>
      <c r="D365" s="95">
        <v>2720</v>
      </c>
      <c r="E365" s="95"/>
      <c r="F365" s="95"/>
      <c r="G365" s="95" t="s">
        <v>2528</v>
      </c>
      <c r="H365" s="138">
        <v>37600</v>
      </c>
      <c r="I365" s="138"/>
      <c r="J365" s="126">
        <f t="shared" si="40"/>
        <v>37600</v>
      </c>
      <c r="K365" s="318">
        <v>43791</v>
      </c>
      <c r="L365" s="95">
        <v>0</v>
      </c>
      <c r="M365" s="9">
        <f t="shared" si="41"/>
        <v>43791</v>
      </c>
      <c r="N365" s="2" t="str">
        <f t="shared" si="42"/>
        <v>Pagado</v>
      </c>
      <c r="O365" s="318">
        <v>43801</v>
      </c>
      <c r="P365" s="138">
        <v>37600</v>
      </c>
      <c r="Q365" s="2" t="s">
        <v>1484</v>
      </c>
      <c r="R365" s="2"/>
      <c r="S365" s="95"/>
      <c r="T365" s="313" t="s">
        <v>1496</v>
      </c>
      <c r="U365" s="393"/>
      <c r="V365" s="95"/>
      <c r="W365" s="129"/>
      <c r="X365" s="318"/>
      <c r="Y365" s="95"/>
      <c r="Z365" s="131" t="s">
        <v>1467</v>
      </c>
      <c r="AA365" s="108" t="str">
        <f t="shared" si="43"/>
        <v/>
      </c>
      <c r="AB365" s="2"/>
      <c r="AC365" s="131">
        <f t="shared" si="44"/>
        <v>31596.638655462186</v>
      </c>
      <c r="AD365" s="108">
        <f t="shared" si="45"/>
        <v>6003.3613445378141</v>
      </c>
      <c r="AE365" s="95" t="s">
        <v>1501</v>
      </c>
      <c r="AF365" s="533" t="s">
        <v>3489</v>
      </c>
      <c r="AG365" s="2" t="str">
        <f t="shared" si="46"/>
        <v>SI</v>
      </c>
      <c r="AH365" s="284"/>
      <c r="AI365" s="533"/>
      <c r="AJ365" s="2" t="str">
        <f t="shared" si="47"/>
        <v>NV</v>
      </c>
      <c r="AK365" s="303"/>
    </row>
    <row r="366" spans="1:37" x14ac:dyDescent="0.25">
      <c r="A366" s="499" t="s">
        <v>1227</v>
      </c>
      <c r="B366" s="317" t="s">
        <v>933</v>
      </c>
      <c r="C366" s="95">
        <v>0</v>
      </c>
      <c r="D366" s="95">
        <v>177</v>
      </c>
      <c r="E366" s="95"/>
      <c r="F366" s="95"/>
      <c r="G366" s="95">
        <v>6165</v>
      </c>
      <c r="H366" s="138">
        <v>39900</v>
      </c>
      <c r="I366" s="138"/>
      <c r="J366" s="126">
        <f t="shared" si="40"/>
        <v>39900</v>
      </c>
      <c r="K366" s="318">
        <v>43791</v>
      </c>
      <c r="L366" s="95">
        <v>0</v>
      </c>
      <c r="M366" s="9">
        <f t="shared" si="41"/>
        <v>43791</v>
      </c>
      <c r="N366" s="2" t="str">
        <f t="shared" si="42"/>
        <v>Pagado</v>
      </c>
      <c r="O366" s="318">
        <v>43791</v>
      </c>
      <c r="P366" s="138">
        <v>39900</v>
      </c>
      <c r="Q366" s="2" t="s">
        <v>1070</v>
      </c>
      <c r="R366" s="2" t="s">
        <v>1478</v>
      </c>
      <c r="S366" s="95">
        <v>177</v>
      </c>
      <c r="T366" s="313"/>
      <c r="U366" s="393"/>
      <c r="V366" s="95"/>
      <c r="W366" s="129"/>
      <c r="X366" s="318"/>
      <c r="Y366" s="95"/>
      <c r="Z366" s="131" t="s">
        <v>1467</v>
      </c>
      <c r="AA366" s="108" t="str">
        <f t="shared" si="43"/>
        <v/>
      </c>
      <c r="AB366" s="2"/>
      <c r="AC366" s="131">
        <f t="shared" si="44"/>
        <v>33529.411764705881</v>
      </c>
      <c r="AD366" s="108">
        <f t="shared" si="45"/>
        <v>6370.5882352941189</v>
      </c>
      <c r="AE366" s="95" t="s">
        <v>1501</v>
      </c>
      <c r="AF366" s="498" t="s">
        <v>3489</v>
      </c>
      <c r="AG366" s="2" t="str">
        <f t="shared" si="46"/>
        <v>SI</v>
      </c>
      <c r="AH366" s="284"/>
      <c r="AI366" s="498"/>
      <c r="AJ366" s="2" t="str">
        <f t="shared" si="47"/>
        <v>NV</v>
      </c>
      <c r="AK366" s="303"/>
    </row>
    <row r="367" spans="1:37" x14ac:dyDescent="0.25">
      <c r="A367" s="499" t="s">
        <v>5413</v>
      </c>
      <c r="B367" s="317" t="s">
        <v>5414</v>
      </c>
      <c r="C367" s="95">
        <v>0</v>
      </c>
      <c r="D367" s="95">
        <v>179</v>
      </c>
      <c r="E367" s="95"/>
      <c r="F367" s="95"/>
      <c r="G367" s="95">
        <v>6170</v>
      </c>
      <c r="H367" s="138">
        <v>23000</v>
      </c>
      <c r="I367" s="138"/>
      <c r="J367" s="126">
        <f t="shared" si="40"/>
        <v>23000</v>
      </c>
      <c r="K367" s="318">
        <v>43791</v>
      </c>
      <c r="L367" s="95">
        <v>0</v>
      </c>
      <c r="M367" s="9">
        <f t="shared" si="41"/>
        <v>43791</v>
      </c>
      <c r="N367" s="2" t="str">
        <f t="shared" si="42"/>
        <v>Pagado</v>
      </c>
      <c r="O367" s="318">
        <v>43791</v>
      </c>
      <c r="P367" s="138">
        <v>23000</v>
      </c>
      <c r="Q367" s="2" t="s">
        <v>1070</v>
      </c>
      <c r="R367" s="2" t="s">
        <v>2243</v>
      </c>
      <c r="S367" s="95">
        <v>179</v>
      </c>
      <c r="T367" s="313"/>
      <c r="U367" s="393"/>
      <c r="V367" s="95"/>
      <c r="W367" s="129"/>
      <c r="X367" s="318"/>
      <c r="Y367" s="95"/>
      <c r="Z367" s="131" t="s">
        <v>1467</v>
      </c>
      <c r="AA367" s="108" t="str">
        <f t="shared" si="43"/>
        <v/>
      </c>
      <c r="AB367" s="2"/>
      <c r="AC367" s="131">
        <f t="shared" si="44"/>
        <v>19327.731092436974</v>
      </c>
      <c r="AD367" s="108">
        <f t="shared" si="45"/>
        <v>3672.268907563026</v>
      </c>
      <c r="AE367" s="95" t="s">
        <v>1501</v>
      </c>
      <c r="AF367" s="498" t="s">
        <v>5408</v>
      </c>
      <c r="AG367" s="2" t="str">
        <f t="shared" si="46"/>
        <v>SI</v>
      </c>
      <c r="AH367" s="284"/>
      <c r="AI367" s="498"/>
      <c r="AJ367" s="2" t="str">
        <f t="shared" si="47"/>
        <v>NV</v>
      </c>
      <c r="AK367" s="303"/>
    </row>
    <row r="368" spans="1:37" x14ac:dyDescent="0.25">
      <c r="A368" s="499" t="s">
        <v>1181</v>
      </c>
      <c r="B368" s="317" t="s">
        <v>939</v>
      </c>
      <c r="C368" s="95" t="s">
        <v>2528</v>
      </c>
      <c r="D368" s="95">
        <v>0</v>
      </c>
      <c r="E368" s="95"/>
      <c r="F368" s="95"/>
      <c r="G368" s="95" t="s">
        <v>2528</v>
      </c>
      <c r="H368" s="138">
        <v>18127</v>
      </c>
      <c r="I368" s="138"/>
      <c r="J368" s="126">
        <f t="shared" si="40"/>
        <v>18127</v>
      </c>
      <c r="K368" s="318">
        <v>43791</v>
      </c>
      <c r="L368" s="95">
        <v>0</v>
      </c>
      <c r="M368" s="9">
        <f t="shared" si="41"/>
        <v>43791</v>
      </c>
      <c r="N368" s="2" t="str">
        <f t="shared" si="42"/>
        <v>Pagado</v>
      </c>
      <c r="O368" s="318">
        <v>43487</v>
      </c>
      <c r="P368" s="138">
        <v>18127</v>
      </c>
      <c r="Q368" s="2" t="s">
        <v>1481</v>
      </c>
      <c r="R368" s="2"/>
      <c r="S368" s="95"/>
      <c r="T368" s="313"/>
      <c r="U368" s="393"/>
      <c r="V368" s="95"/>
      <c r="W368" s="129"/>
      <c r="X368" s="318"/>
      <c r="Y368" s="95"/>
      <c r="Z368" s="131" t="s">
        <v>1467</v>
      </c>
      <c r="AA368" s="108" t="str">
        <f t="shared" si="43"/>
        <v/>
      </c>
      <c r="AB368" s="2"/>
      <c r="AC368" s="131">
        <f t="shared" si="44"/>
        <v>15232.773109243699</v>
      </c>
      <c r="AD368" s="108">
        <f t="shared" si="45"/>
        <v>2894.2268907563011</v>
      </c>
      <c r="AE368" s="95" t="s">
        <v>1445</v>
      </c>
      <c r="AF368" s="498" t="s">
        <v>3490</v>
      </c>
      <c r="AG368" s="2" t="str">
        <f t="shared" si="46"/>
        <v>SI</v>
      </c>
      <c r="AH368" s="284"/>
      <c r="AI368" s="498"/>
      <c r="AJ368" s="2" t="str">
        <f t="shared" si="47"/>
        <v>Factura</v>
      </c>
      <c r="AK368" s="303"/>
    </row>
    <row r="369" spans="1:37" x14ac:dyDescent="0.25">
      <c r="A369" s="534" t="s">
        <v>4962</v>
      </c>
      <c r="B369" s="317" t="s">
        <v>4963</v>
      </c>
      <c r="C369" s="95">
        <v>0</v>
      </c>
      <c r="D369" s="95">
        <v>178</v>
      </c>
      <c r="E369" s="95"/>
      <c r="F369" s="95"/>
      <c r="G369" s="95">
        <v>6163</v>
      </c>
      <c r="H369" s="138">
        <v>38600</v>
      </c>
      <c r="I369" s="138"/>
      <c r="J369" s="126">
        <f t="shared" si="40"/>
        <v>38600</v>
      </c>
      <c r="K369" s="318">
        <v>43791</v>
      </c>
      <c r="L369" s="95">
        <v>0</v>
      </c>
      <c r="M369" s="9">
        <f t="shared" si="41"/>
        <v>43791</v>
      </c>
      <c r="N369" s="2" t="str">
        <f t="shared" si="42"/>
        <v>Pagado</v>
      </c>
      <c r="O369" s="318">
        <v>43791</v>
      </c>
      <c r="P369" s="138">
        <v>38600</v>
      </c>
      <c r="Q369" s="2" t="s">
        <v>1070</v>
      </c>
      <c r="R369" s="2" t="s">
        <v>2243</v>
      </c>
      <c r="S369" s="95">
        <v>178</v>
      </c>
      <c r="T369" s="313"/>
      <c r="U369" s="393"/>
      <c r="V369" s="95"/>
      <c r="W369" s="129"/>
      <c r="X369" s="318"/>
      <c r="Y369" s="95"/>
      <c r="Z369" s="131" t="s">
        <v>1467</v>
      </c>
      <c r="AA369" s="108" t="str">
        <f t="shared" si="43"/>
        <v/>
      </c>
      <c r="AB369" s="2"/>
      <c r="AC369" s="131">
        <f t="shared" si="44"/>
        <v>32436.974789915967</v>
      </c>
      <c r="AD369" s="108">
        <f t="shared" si="45"/>
        <v>6163.0252100840335</v>
      </c>
      <c r="AE369" s="95" t="s">
        <v>1501</v>
      </c>
      <c r="AF369" s="533" t="s">
        <v>3487</v>
      </c>
      <c r="AG369" s="2" t="str">
        <f t="shared" si="46"/>
        <v>SI</v>
      </c>
      <c r="AH369" s="284"/>
      <c r="AI369" s="533"/>
      <c r="AJ369" s="2" t="str">
        <f t="shared" si="47"/>
        <v>NV</v>
      </c>
      <c r="AK369" s="303"/>
    </row>
    <row r="370" spans="1:37" x14ac:dyDescent="0.25">
      <c r="A370" s="534" t="s">
        <v>4580</v>
      </c>
      <c r="B370" s="317" t="s">
        <v>4581</v>
      </c>
      <c r="C370" s="95">
        <v>0</v>
      </c>
      <c r="D370" s="95">
        <v>2724</v>
      </c>
      <c r="E370" s="95"/>
      <c r="F370" s="95"/>
      <c r="G370" s="95">
        <v>6161</v>
      </c>
      <c r="H370" s="138">
        <v>61000</v>
      </c>
      <c r="I370" s="138"/>
      <c r="J370" s="126">
        <f t="shared" si="40"/>
        <v>61000</v>
      </c>
      <c r="K370" s="318">
        <v>43791</v>
      </c>
      <c r="L370" s="95">
        <v>0</v>
      </c>
      <c r="M370" s="9">
        <f t="shared" si="41"/>
        <v>43791</v>
      </c>
      <c r="N370" s="2" t="str">
        <f t="shared" si="42"/>
        <v>Pagado</v>
      </c>
      <c r="O370" s="318">
        <v>43794</v>
      </c>
      <c r="P370" s="138">
        <v>61000</v>
      </c>
      <c r="Q370" s="2" t="s">
        <v>1484</v>
      </c>
      <c r="R370" s="2"/>
      <c r="S370" s="95"/>
      <c r="T370" s="313" t="s">
        <v>1462</v>
      </c>
      <c r="U370" s="393"/>
      <c r="V370" s="95"/>
      <c r="W370" s="129"/>
      <c r="X370" s="318"/>
      <c r="Y370" s="95"/>
      <c r="Z370" s="131" t="s">
        <v>1467</v>
      </c>
      <c r="AA370" s="108" t="str">
        <f t="shared" si="43"/>
        <v/>
      </c>
      <c r="AB370" s="2"/>
      <c r="AC370" s="131">
        <f t="shared" si="44"/>
        <v>51260.504201680676</v>
      </c>
      <c r="AD370" s="108">
        <f t="shared" si="45"/>
        <v>9739.4957983193235</v>
      </c>
      <c r="AE370" s="95" t="s">
        <v>1501</v>
      </c>
      <c r="AF370" s="533" t="s">
        <v>3487</v>
      </c>
      <c r="AG370" s="2" t="str">
        <f t="shared" si="46"/>
        <v>SI</v>
      </c>
      <c r="AH370" s="284"/>
      <c r="AI370" s="533"/>
      <c r="AJ370" s="2" t="str">
        <f t="shared" si="47"/>
        <v>NV</v>
      </c>
      <c r="AK370" s="303"/>
    </row>
    <row r="371" spans="1:37" x14ac:dyDescent="0.25">
      <c r="A371" s="499" t="s">
        <v>1205</v>
      </c>
      <c r="B371" s="317" t="s">
        <v>2171</v>
      </c>
      <c r="C371" s="95">
        <v>0</v>
      </c>
      <c r="D371" s="95">
        <v>2721</v>
      </c>
      <c r="E371" s="95"/>
      <c r="F371" s="95"/>
      <c r="G371" s="95">
        <v>6156</v>
      </c>
      <c r="H371" s="138">
        <v>27500</v>
      </c>
      <c r="I371" s="138"/>
      <c r="J371" s="126">
        <f t="shared" si="40"/>
        <v>27500</v>
      </c>
      <c r="K371" s="318">
        <v>43791</v>
      </c>
      <c r="L371" s="95">
        <v>0</v>
      </c>
      <c r="M371" s="9">
        <f t="shared" si="41"/>
        <v>43791</v>
      </c>
      <c r="N371" s="2" t="str">
        <f t="shared" si="42"/>
        <v>Pagado</v>
      </c>
      <c r="O371" s="318">
        <v>43802</v>
      </c>
      <c r="P371" s="138">
        <v>27500</v>
      </c>
      <c r="Q371" s="2" t="s">
        <v>1484</v>
      </c>
      <c r="R371" s="2"/>
      <c r="S371" s="95"/>
      <c r="T371" s="313" t="s">
        <v>1490</v>
      </c>
      <c r="U371" s="393"/>
      <c r="V371" s="95"/>
      <c r="W371" s="129"/>
      <c r="X371" s="318"/>
      <c r="Y371" s="95"/>
      <c r="Z371" s="131" t="s">
        <v>1467</v>
      </c>
      <c r="AA371" s="108" t="str">
        <f t="shared" si="43"/>
        <v/>
      </c>
      <c r="AB371" s="2"/>
      <c r="AC371" s="131">
        <f t="shared" si="44"/>
        <v>23109.243697478993</v>
      </c>
      <c r="AD371" s="108">
        <f t="shared" si="45"/>
        <v>4390.7563025210075</v>
      </c>
      <c r="AE371" s="95" t="s">
        <v>1445</v>
      </c>
      <c r="AF371" s="498" t="s">
        <v>3489</v>
      </c>
      <c r="AG371" s="2" t="str">
        <f t="shared" si="46"/>
        <v>SI</v>
      </c>
      <c r="AH371" s="284"/>
      <c r="AI371" s="498"/>
      <c r="AJ371" s="2" t="str">
        <f t="shared" si="47"/>
        <v>NV</v>
      </c>
      <c r="AK371" s="303"/>
    </row>
    <row r="372" spans="1:37" x14ac:dyDescent="0.25">
      <c r="A372" s="429" t="s">
        <v>4953</v>
      </c>
      <c r="B372" s="317" t="s">
        <v>4954</v>
      </c>
      <c r="C372" s="95">
        <v>0</v>
      </c>
      <c r="D372" s="95">
        <v>2717</v>
      </c>
      <c r="E372" s="95"/>
      <c r="F372" s="95"/>
      <c r="G372" s="95">
        <v>6158</v>
      </c>
      <c r="H372" s="138">
        <v>19700</v>
      </c>
      <c r="I372" s="138"/>
      <c r="J372" s="126">
        <f t="shared" si="40"/>
        <v>19700</v>
      </c>
      <c r="K372" s="318">
        <v>43791</v>
      </c>
      <c r="L372" s="95">
        <v>0</v>
      </c>
      <c r="M372" s="9">
        <f t="shared" si="41"/>
        <v>43791</v>
      </c>
      <c r="N372" s="2" t="str">
        <f t="shared" si="42"/>
        <v>Pagado</v>
      </c>
      <c r="O372" s="318">
        <v>43791</v>
      </c>
      <c r="P372" s="138">
        <v>19700</v>
      </c>
      <c r="Q372" s="2" t="s">
        <v>1481</v>
      </c>
      <c r="R372" s="2"/>
      <c r="S372" s="95"/>
      <c r="T372" s="313"/>
      <c r="U372" s="393"/>
      <c r="V372" s="95">
        <v>133664</v>
      </c>
      <c r="W372" s="129">
        <v>19700</v>
      </c>
      <c r="X372" s="318">
        <v>43795</v>
      </c>
      <c r="Y372" s="95" t="s">
        <v>1488</v>
      </c>
      <c r="Z372" s="131" t="s">
        <v>1467</v>
      </c>
      <c r="AA372" s="108" t="str">
        <f t="shared" si="43"/>
        <v/>
      </c>
      <c r="AB372" s="2"/>
      <c r="AC372" s="131">
        <f t="shared" si="44"/>
        <v>16554.621848739498</v>
      </c>
      <c r="AD372" s="108">
        <f t="shared" si="45"/>
        <v>3145.3781512605019</v>
      </c>
      <c r="AE372" s="95" t="s">
        <v>1501</v>
      </c>
      <c r="AF372" s="428" t="s">
        <v>3487</v>
      </c>
      <c r="AG372" s="2" t="str">
        <f t="shared" si="46"/>
        <v>SI</v>
      </c>
      <c r="AH372" s="284"/>
      <c r="AI372" s="428"/>
      <c r="AJ372" s="2" t="str">
        <f t="shared" si="47"/>
        <v>NV</v>
      </c>
      <c r="AK372" s="303"/>
    </row>
    <row r="373" spans="1:37" x14ac:dyDescent="0.25">
      <c r="A373" s="429" t="s">
        <v>1282</v>
      </c>
      <c r="B373" s="317" t="s">
        <v>2389</v>
      </c>
      <c r="C373" s="95">
        <v>3007</v>
      </c>
      <c r="D373" s="95">
        <v>0</v>
      </c>
      <c r="E373" s="95"/>
      <c r="F373" s="95"/>
      <c r="G373" s="95" t="s">
        <v>2528</v>
      </c>
      <c r="H373" s="138">
        <v>317085</v>
      </c>
      <c r="I373" s="138"/>
      <c r="J373" s="126">
        <f t="shared" si="40"/>
        <v>317085</v>
      </c>
      <c r="K373" s="318">
        <v>43791</v>
      </c>
      <c r="L373" s="95">
        <v>0</v>
      </c>
      <c r="M373" s="9">
        <f t="shared" si="41"/>
        <v>43791</v>
      </c>
      <c r="N373" s="2" t="str">
        <f t="shared" si="42"/>
        <v>Pagado</v>
      </c>
      <c r="O373" s="318">
        <v>43791</v>
      </c>
      <c r="P373" s="138">
        <v>317085</v>
      </c>
      <c r="Q373" s="2" t="s">
        <v>1481</v>
      </c>
      <c r="R373" s="2"/>
      <c r="S373" s="95"/>
      <c r="T373" s="313"/>
      <c r="U373" s="393"/>
      <c r="V373" s="95"/>
      <c r="W373" s="129"/>
      <c r="X373" s="318"/>
      <c r="Y373" s="95"/>
      <c r="Z373" s="131" t="s">
        <v>1467</v>
      </c>
      <c r="AA373" s="108" t="str">
        <f t="shared" si="43"/>
        <v/>
      </c>
      <c r="AB373" s="2"/>
      <c r="AC373" s="131">
        <f t="shared" si="44"/>
        <v>266457.98319327732</v>
      </c>
      <c r="AD373" s="108">
        <f t="shared" si="45"/>
        <v>50627.016806722677</v>
      </c>
      <c r="AE373" s="95" t="s">
        <v>1445</v>
      </c>
      <c r="AF373" s="428" t="s">
        <v>3490</v>
      </c>
      <c r="AG373" s="2" t="str">
        <f t="shared" si="46"/>
        <v>SI</v>
      </c>
      <c r="AH373" s="284"/>
      <c r="AI373" s="428"/>
      <c r="AJ373" s="2" t="str">
        <f t="shared" si="47"/>
        <v>Factura</v>
      </c>
      <c r="AK373" s="303"/>
    </row>
    <row r="374" spans="1:37" x14ac:dyDescent="0.25">
      <c r="A374" s="534" t="s">
        <v>4008</v>
      </c>
      <c r="B374" s="317" t="s">
        <v>4009</v>
      </c>
      <c r="C374" s="95">
        <v>0</v>
      </c>
      <c r="D374" s="95">
        <v>2723</v>
      </c>
      <c r="E374" s="95"/>
      <c r="F374" s="95"/>
      <c r="G374" s="95">
        <v>6162</v>
      </c>
      <c r="H374" s="138">
        <v>10500</v>
      </c>
      <c r="I374" s="138"/>
      <c r="J374" s="126">
        <f t="shared" si="40"/>
        <v>10500</v>
      </c>
      <c r="K374" s="318">
        <v>43791</v>
      </c>
      <c r="L374" s="95">
        <v>30</v>
      </c>
      <c r="M374" s="9">
        <f t="shared" si="41"/>
        <v>43821</v>
      </c>
      <c r="N374" s="2" t="str">
        <f t="shared" si="42"/>
        <v>Pagado</v>
      </c>
      <c r="O374" s="318">
        <v>43791</v>
      </c>
      <c r="P374" s="138">
        <v>10500</v>
      </c>
      <c r="Q374" s="2" t="s">
        <v>1481</v>
      </c>
      <c r="R374" s="2"/>
      <c r="S374" s="95"/>
      <c r="T374" s="313"/>
      <c r="U374" s="393"/>
      <c r="V374" s="95">
        <v>133664</v>
      </c>
      <c r="W374" s="129">
        <v>10500</v>
      </c>
      <c r="X374" s="318">
        <v>43795</v>
      </c>
      <c r="Y374" s="95" t="s">
        <v>1488</v>
      </c>
      <c r="Z374" s="131" t="s">
        <v>1467</v>
      </c>
      <c r="AA374" s="108" t="str">
        <f t="shared" si="43"/>
        <v/>
      </c>
      <c r="AB374" s="2"/>
      <c r="AC374" s="131">
        <f t="shared" si="44"/>
        <v>8823.5294117647063</v>
      </c>
      <c r="AD374" s="108">
        <f t="shared" si="45"/>
        <v>1676.4705882352937</v>
      </c>
      <c r="AE374" s="95" t="s">
        <v>1501</v>
      </c>
      <c r="AF374" s="533" t="s">
        <v>3489</v>
      </c>
      <c r="AG374" s="2" t="str">
        <f t="shared" si="46"/>
        <v>SI</v>
      </c>
      <c r="AH374" s="284"/>
      <c r="AI374" s="533"/>
      <c r="AJ374" s="2" t="str">
        <f t="shared" si="47"/>
        <v>NV</v>
      </c>
      <c r="AK374" s="303"/>
    </row>
    <row r="375" spans="1:37" x14ac:dyDescent="0.25">
      <c r="A375" s="429" t="s">
        <v>5228</v>
      </c>
      <c r="B375" s="317" t="s">
        <v>5229</v>
      </c>
      <c r="C375" s="95">
        <v>0</v>
      </c>
      <c r="D375" s="95">
        <v>2719</v>
      </c>
      <c r="E375" s="95"/>
      <c r="F375" s="95"/>
      <c r="G375" s="95">
        <v>6159</v>
      </c>
      <c r="H375" s="138">
        <v>79900</v>
      </c>
      <c r="I375" s="138"/>
      <c r="J375" s="126">
        <f t="shared" si="40"/>
        <v>79900</v>
      </c>
      <c r="K375" s="318">
        <v>43791</v>
      </c>
      <c r="L375" s="95">
        <v>0</v>
      </c>
      <c r="M375" s="9">
        <f t="shared" si="41"/>
        <v>43791</v>
      </c>
      <c r="N375" s="2" t="str">
        <f t="shared" si="42"/>
        <v>Pagado</v>
      </c>
      <c r="O375" s="318">
        <v>43791</v>
      </c>
      <c r="P375" s="138">
        <v>79900</v>
      </c>
      <c r="Q375" s="2" t="s">
        <v>2132</v>
      </c>
      <c r="R375" s="2"/>
      <c r="S375" s="95"/>
      <c r="T375" s="313" t="s">
        <v>1489</v>
      </c>
      <c r="U375" s="393"/>
      <c r="V375" s="95"/>
      <c r="W375" s="129"/>
      <c r="X375" s="318"/>
      <c r="Y375" s="95"/>
      <c r="Z375" s="131" t="s">
        <v>1467</v>
      </c>
      <c r="AA375" s="108" t="str">
        <f t="shared" si="43"/>
        <v>Otros</v>
      </c>
      <c r="AB375" s="2"/>
      <c r="AC375" s="131">
        <f t="shared" si="44"/>
        <v>67142.857142857145</v>
      </c>
      <c r="AD375" s="108">
        <f t="shared" si="45"/>
        <v>12757.142857142855</v>
      </c>
      <c r="AE375" s="95" t="s">
        <v>1501</v>
      </c>
      <c r="AF375" s="428" t="s">
        <v>3487</v>
      </c>
      <c r="AG375" s="2" t="str">
        <f t="shared" si="46"/>
        <v>SI</v>
      </c>
      <c r="AH375" s="284"/>
      <c r="AI375" s="428"/>
      <c r="AJ375" s="2" t="str">
        <f t="shared" si="47"/>
        <v>NV</v>
      </c>
      <c r="AK375" s="303"/>
    </row>
    <row r="376" spans="1:37" x14ac:dyDescent="0.25">
      <c r="A376" s="458" t="s">
        <v>1193</v>
      </c>
      <c r="B376" s="317" t="s">
        <v>1017</v>
      </c>
      <c r="C376" s="95">
        <v>3005</v>
      </c>
      <c r="D376" s="95">
        <v>0</v>
      </c>
      <c r="E376" s="95"/>
      <c r="F376" s="95"/>
      <c r="G376" s="95" t="s">
        <v>2528</v>
      </c>
      <c r="H376" s="138">
        <v>63066</v>
      </c>
      <c r="I376" s="138"/>
      <c r="J376" s="126">
        <f t="shared" si="40"/>
        <v>63066</v>
      </c>
      <c r="K376" s="318">
        <v>43791</v>
      </c>
      <c r="L376" s="95">
        <v>0</v>
      </c>
      <c r="M376" s="9">
        <f t="shared" si="41"/>
        <v>43791</v>
      </c>
      <c r="N376" s="2" t="str">
        <f t="shared" si="42"/>
        <v>Pagado</v>
      </c>
      <c r="O376" s="318">
        <v>43791</v>
      </c>
      <c r="P376" s="138">
        <v>63066</v>
      </c>
      <c r="Q376" s="2" t="s">
        <v>1481</v>
      </c>
      <c r="R376" s="2"/>
      <c r="S376" s="95"/>
      <c r="T376" s="313"/>
      <c r="U376" s="393"/>
      <c r="V376" s="95"/>
      <c r="W376" s="129"/>
      <c r="X376" s="318"/>
      <c r="Y376" s="95"/>
      <c r="Z376" s="131" t="s">
        <v>1467</v>
      </c>
      <c r="AA376" s="108" t="str">
        <f t="shared" si="43"/>
        <v/>
      </c>
      <c r="AB376" s="2"/>
      <c r="AC376" s="131">
        <f t="shared" si="44"/>
        <v>52996.638655462186</v>
      </c>
      <c r="AD376" s="108">
        <f t="shared" si="45"/>
        <v>10069.361344537814</v>
      </c>
      <c r="AE376" s="95" t="s">
        <v>1445</v>
      </c>
      <c r="AF376" s="457" t="s">
        <v>3490</v>
      </c>
      <c r="AG376" s="2" t="str">
        <f t="shared" si="46"/>
        <v>SI</v>
      </c>
      <c r="AH376" s="284"/>
      <c r="AI376" s="457"/>
      <c r="AJ376" s="2" t="str">
        <f t="shared" si="47"/>
        <v>Factura</v>
      </c>
      <c r="AK376" s="303"/>
    </row>
    <row r="377" spans="1:37" x14ac:dyDescent="0.25">
      <c r="A377" s="542" t="s">
        <v>5416</v>
      </c>
      <c r="B377" s="317" t="s">
        <v>5417</v>
      </c>
      <c r="C377" s="95">
        <v>0</v>
      </c>
      <c r="D377" s="95">
        <v>2727</v>
      </c>
      <c r="E377" s="95"/>
      <c r="F377" s="95"/>
      <c r="G377" s="95">
        <v>6172</v>
      </c>
      <c r="H377" s="138">
        <v>14500</v>
      </c>
      <c r="I377" s="138"/>
      <c r="J377" s="126">
        <f t="shared" si="40"/>
        <v>14500</v>
      </c>
      <c r="K377" s="318">
        <v>43792</v>
      </c>
      <c r="L377" s="95">
        <v>0</v>
      </c>
      <c r="M377" s="9">
        <f t="shared" si="41"/>
        <v>43792</v>
      </c>
      <c r="N377" s="2" t="str">
        <f t="shared" si="42"/>
        <v>Pagado</v>
      </c>
      <c r="O377" s="318">
        <v>43792</v>
      </c>
      <c r="P377" s="138">
        <v>14500</v>
      </c>
      <c r="Q377" s="2" t="s">
        <v>1481</v>
      </c>
      <c r="R377" s="2"/>
      <c r="S377" s="95"/>
      <c r="T377" s="313"/>
      <c r="U377" s="393"/>
      <c r="V377" s="95">
        <v>133664</v>
      </c>
      <c r="W377" s="129">
        <v>14500</v>
      </c>
      <c r="X377" s="318">
        <v>43795</v>
      </c>
      <c r="Y377" s="95" t="s">
        <v>1488</v>
      </c>
      <c r="Z377" s="131" t="s">
        <v>1467</v>
      </c>
      <c r="AA377" s="108" t="str">
        <f t="shared" si="43"/>
        <v/>
      </c>
      <c r="AB377" s="2"/>
      <c r="AC377" s="131">
        <f t="shared" si="44"/>
        <v>12184.873949579833</v>
      </c>
      <c r="AD377" s="108">
        <f t="shared" si="45"/>
        <v>2315.1260504201673</v>
      </c>
      <c r="AE377" s="95" t="s">
        <v>1501</v>
      </c>
      <c r="AF377" s="541" t="s">
        <v>3489</v>
      </c>
      <c r="AG377" s="2" t="str">
        <f t="shared" si="46"/>
        <v>SI</v>
      </c>
      <c r="AH377" s="284"/>
      <c r="AI377" s="541"/>
      <c r="AJ377" s="2" t="str">
        <f t="shared" si="47"/>
        <v>NV</v>
      </c>
      <c r="AK377" s="303"/>
    </row>
    <row r="378" spans="1:37" x14ac:dyDescent="0.25">
      <c r="A378" s="542" t="s">
        <v>1276</v>
      </c>
      <c r="B378" s="317" t="s">
        <v>1064</v>
      </c>
      <c r="C378" s="95">
        <v>0</v>
      </c>
      <c r="D378" s="95">
        <v>2725</v>
      </c>
      <c r="E378" s="95"/>
      <c r="F378" s="95"/>
      <c r="G378" s="95">
        <v>6173</v>
      </c>
      <c r="H378" s="138">
        <v>19700</v>
      </c>
      <c r="I378" s="138"/>
      <c r="J378" s="126">
        <f t="shared" si="40"/>
        <v>19700</v>
      </c>
      <c r="K378" s="318">
        <v>43792</v>
      </c>
      <c r="L378" s="95">
        <v>0</v>
      </c>
      <c r="M378" s="9">
        <f t="shared" si="41"/>
        <v>43792</v>
      </c>
      <c r="N378" s="2" t="str">
        <f t="shared" si="42"/>
        <v>Pagado</v>
      </c>
      <c r="O378" s="318">
        <v>43792</v>
      </c>
      <c r="P378" s="138">
        <v>19700</v>
      </c>
      <c r="Q378" s="2" t="s">
        <v>1481</v>
      </c>
      <c r="R378" s="2"/>
      <c r="S378" s="95"/>
      <c r="T378" s="313"/>
      <c r="U378" s="393"/>
      <c r="V378" s="95">
        <v>133664</v>
      </c>
      <c r="W378" s="129">
        <v>19700</v>
      </c>
      <c r="X378" s="318">
        <v>43795</v>
      </c>
      <c r="Y378" s="95" t="s">
        <v>1488</v>
      </c>
      <c r="Z378" s="131" t="s">
        <v>1467</v>
      </c>
      <c r="AA378" s="108" t="str">
        <f t="shared" si="43"/>
        <v/>
      </c>
      <c r="AB378" s="2"/>
      <c r="AC378" s="131">
        <f t="shared" si="44"/>
        <v>16554.621848739498</v>
      </c>
      <c r="AD378" s="108">
        <f t="shared" si="45"/>
        <v>3145.3781512605019</v>
      </c>
      <c r="AE378" s="95" t="s">
        <v>1501</v>
      </c>
      <c r="AF378" s="541" t="s">
        <v>3489</v>
      </c>
      <c r="AG378" s="2" t="str">
        <f t="shared" si="46"/>
        <v>SI</v>
      </c>
      <c r="AH378" s="284"/>
      <c r="AI378" s="541"/>
      <c r="AJ378" s="2" t="str">
        <f t="shared" si="47"/>
        <v>NV</v>
      </c>
      <c r="AK378" s="303"/>
    </row>
    <row r="379" spans="1:37" x14ac:dyDescent="0.25">
      <c r="A379" s="429" t="s">
        <v>3990</v>
      </c>
      <c r="B379" s="317" t="s">
        <v>3993</v>
      </c>
      <c r="C379" s="95">
        <v>0</v>
      </c>
      <c r="D379" s="95">
        <v>2726</v>
      </c>
      <c r="E379" s="95"/>
      <c r="F379" s="95"/>
      <c r="G379" s="95">
        <v>6171</v>
      </c>
      <c r="H379" s="138">
        <v>14800</v>
      </c>
      <c r="I379" s="138"/>
      <c r="J379" s="126">
        <f t="shared" si="40"/>
        <v>14800</v>
      </c>
      <c r="K379" s="318">
        <v>43792</v>
      </c>
      <c r="L379" s="95">
        <v>0</v>
      </c>
      <c r="M379" s="9">
        <f t="shared" si="41"/>
        <v>43792</v>
      </c>
      <c r="N379" s="2" t="str">
        <f t="shared" si="42"/>
        <v>Pagado</v>
      </c>
      <c r="O379" s="318">
        <v>43792</v>
      </c>
      <c r="P379" s="138">
        <v>14800</v>
      </c>
      <c r="Q379" s="2" t="s">
        <v>1481</v>
      </c>
      <c r="R379" s="2"/>
      <c r="S379" s="95"/>
      <c r="T379" s="313"/>
      <c r="U379" s="393"/>
      <c r="V379" s="95">
        <v>133664</v>
      </c>
      <c r="W379" s="129">
        <v>14800</v>
      </c>
      <c r="X379" s="318">
        <v>43795</v>
      </c>
      <c r="Y379" s="95" t="s">
        <v>1488</v>
      </c>
      <c r="Z379" s="131" t="s">
        <v>1467</v>
      </c>
      <c r="AA379" s="108" t="str">
        <f t="shared" si="43"/>
        <v/>
      </c>
      <c r="AB379" s="2"/>
      <c r="AC379" s="131">
        <f t="shared" si="44"/>
        <v>12436.974789915967</v>
      </c>
      <c r="AD379" s="108">
        <f t="shared" si="45"/>
        <v>2363.0252100840335</v>
      </c>
      <c r="AE379" s="95" t="s">
        <v>2050</v>
      </c>
      <c r="AF379" s="428" t="s">
        <v>3489</v>
      </c>
      <c r="AG379" s="2" t="str">
        <f t="shared" si="46"/>
        <v>SI</v>
      </c>
      <c r="AH379" s="284"/>
      <c r="AI379" s="428"/>
      <c r="AJ379" s="2" t="str">
        <f t="shared" si="47"/>
        <v>NV</v>
      </c>
      <c r="AK379" s="303"/>
    </row>
    <row r="380" spans="1:37" x14ac:dyDescent="0.25">
      <c r="A380" s="542" t="s">
        <v>2565</v>
      </c>
      <c r="B380" s="317" t="s">
        <v>2566</v>
      </c>
      <c r="C380" s="95">
        <v>0</v>
      </c>
      <c r="D380" s="95">
        <v>0</v>
      </c>
      <c r="E380" s="95"/>
      <c r="F380" s="95"/>
      <c r="G380" s="95">
        <v>6181</v>
      </c>
      <c r="H380" s="138">
        <v>50350</v>
      </c>
      <c r="I380" s="138"/>
      <c r="J380" s="126">
        <f t="shared" si="40"/>
        <v>50350</v>
      </c>
      <c r="K380" s="318">
        <v>43794</v>
      </c>
      <c r="L380" s="95">
        <v>0</v>
      </c>
      <c r="M380" s="9">
        <f t="shared" si="41"/>
        <v>43794</v>
      </c>
      <c r="N380" s="2" t="str">
        <f t="shared" si="42"/>
        <v>Pagado</v>
      </c>
      <c r="O380" s="318">
        <v>43802</v>
      </c>
      <c r="P380" s="138">
        <v>50350</v>
      </c>
      <c r="Q380" s="2" t="s">
        <v>1484</v>
      </c>
      <c r="R380" s="2"/>
      <c r="S380" s="95"/>
      <c r="T380" s="313" t="s">
        <v>1494</v>
      </c>
      <c r="U380" s="393"/>
      <c r="V380" s="95"/>
      <c r="W380" s="129"/>
      <c r="X380" s="318"/>
      <c r="Y380" s="95"/>
      <c r="Z380" s="131" t="s">
        <v>1467</v>
      </c>
      <c r="AA380" s="108" t="str">
        <f t="shared" si="43"/>
        <v/>
      </c>
      <c r="AB380" s="2"/>
      <c r="AC380" s="131">
        <f t="shared" si="44"/>
        <v>42310.924369747903</v>
      </c>
      <c r="AD380" s="108">
        <f t="shared" si="45"/>
        <v>8039.0756302520967</v>
      </c>
      <c r="AE380" s="95" t="s">
        <v>1501</v>
      </c>
      <c r="AF380" s="541" t="s">
        <v>3489</v>
      </c>
      <c r="AG380" s="2" t="str">
        <f t="shared" si="46"/>
        <v>SI</v>
      </c>
      <c r="AH380" s="284"/>
      <c r="AI380" s="541"/>
      <c r="AJ380" s="2" t="str">
        <f t="shared" si="47"/>
        <v>NV</v>
      </c>
      <c r="AK380" s="303"/>
    </row>
    <row r="381" spans="1:37" x14ac:dyDescent="0.25">
      <c r="A381" s="542" t="s">
        <v>4551</v>
      </c>
      <c r="B381" s="317" t="s">
        <v>4552</v>
      </c>
      <c r="C381" s="95">
        <v>0</v>
      </c>
      <c r="D381" s="95">
        <v>2733</v>
      </c>
      <c r="E381" s="95"/>
      <c r="F381" s="95"/>
      <c r="G381" s="95">
        <v>6182</v>
      </c>
      <c r="H381" s="138">
        <v>16500</v>
      </c>
      <c r="I381" s="138"/>
      <c r="J381" s="126">
        <f t="shared" si="40"/>
        <v>16500</v>
      </c>
      <c r="K381" s="318">
        <v>43794</v>
      </c>
      <c r="L381" s="95">
        <v>0</v>
      </c>
      <c r="M381" s="9">
        <f t="shared" si="41"/>
        <v>43794</v>
      </c>
      <c r="N381" s="2" t="str">
        <f t="shared" si="42"/>
        <v>Pagado</v>
      </c>
      <c r="O381" s="318">
        <v>43794</v>
      </c>
      <c r="P381" s="138">
        <v>16500</v>
      </c>
      <c r="Q381" s="2" t="s">
        <v>1481</v>
      </c>
      <c r="R381" s="2"/>
      <c r="S381" s="95"/>
      <c r="T381" s="313"/>
      <c r="U381" s="393"/>
      <c r="V381" s="95"/>
      <c r="W381" s="129"/>
      <c r="X381" s="318"/>
      <c r="Y381" s="95"/>
      <c r="Z381" s="131" t="s">
        <v>1467</v>
      </c>
      <c r="AA381" s="108" t="str">
        <f t="shared" si="43"/>
        <v/>
      </c>
      <c r="AB381" s="2"/>
      <c r="AC381" s="131">
        <f t="shared" si="44"/>
        <v>13865.546218487396</v>
      </c>
      <c r="AD381" s="108">
        <f t="shared" si="45"/>
        <v>2634.4537815126041</v>
      </c>
      <c r="AE381" s="95" t="s">
        <v>1501</v>
      </c>
      <c r="AF381" s="541" t="s">
        <v>3489</v>
      </c>
      <c r="AG381" s="2" t="str">
        <f t="shared" si="46"/>
        <v>SI</v>
      </c>
      <c r="AH381" s="284"/>
      <c r="AI381" s="541"/>
      <c r="AJ381" s="2" t="str">
        <f t="shared" si="47"/>
        <v>NV</v>
      </c>
      <c r="AK381" s="303"/>
    </row>
    <row r="382" spans="1:37" x14ac:dyDescent="0.25">
      <c r="A382" s="542" t="s">
        <v>1402</v>
      </c>
      <c r="B382" s="317" t="s">
        <v>3588</v>
      </c>
      <c r="C382" s="95">
        <v>0</v>
      </c>
      <c r="D382" s="95">
        <v>2728</v>
      </c>
      <c r="E382" s="95"/>
      <c r="F382" s="95"/>
      <c r="G382" s="95">
        <v>6176</v>
      </c>
      <c r="H382" s="138">
        <v>20900</v>
      </c>
      <c r="I382" s="138"/>
      <c r="J382" s="126">
        <f t="shared" si="40"/>
        <v>20900</v>
      </c>
      <c r="K382" s="318">
        <v>43794</v>
      </c>
      <c r="L382" s="95">
        <v>0</v>
      </c>
      <c r="M382" s="9">
        <f t="shared" si="41"/>
        <v>43794</v>
      </c>
      <c r="N382" s="2" t="str">
        <f t="shared" si="42"/>
        <v>Pagado</v>
      </c>
      <c r="O382" s="318">
        <v>43794</v>
      </c>
      <c r="P382" s="138">
        <v>20900</v>
      </c>
      <c r="Q382" s="2" t="s">
        <v>1484</v>
      </c>
      <c r="R382" s="2"/>
      <c r="S382" s="95"/>
      <c r="T382" s="313" t="s">
        <v>1488</v>
      </c>
      <c r="U382" s="393"/>
      <c r="V382" s="95"/>
      <c r="W382" s="129"/>
      <c r="X382" s="318"/>
      <c r="Y382" s="95"/>
      <c r="Z382" s="131" t="s">
        <v>1467</v>
      </c>
      <c r="AA382" s="108" t="str">
        <f t="shared" si="43"/>
        <v/>
      </c>
      <c r="AB382" s="2"/>
      <c r="AC382" s="131">
        <f t="shared" si="44"/>
        <v>17563.025210084033</v>
      </c>
      <c r="AD382" s="108">
        <f t="shared" si="45"/>
        <v>3336.9747899159665</v>
      </c>
      <c r="AE382" s="95" t="s">
        <v>1501</v>
      </c>
      <c r="AF382" s="541" t="s">
        <v>3489</v>
      </c>
      <c r="AG382" s="2" t="str">
        <f t="shared" si="46"/>
        <v>SI</v>
      </c>
      <c r="AH382" s="284"/>
      <c r="AI382" s="541"/>
      <c r="AJ382" s="2" t="str">
        <f t="shared" si="47"/>
        <v>NV</v>
      </c>
      <c r="AK382" s="303"/>
    </row>
    <row r="383" spans="1:37" x14ac:dyDescent="0.25">
      <c r="A383" s="542" t="s">
        <v>1402</v>
      </c>
      <c r="B383" s="317" t="s">
        <v>3588</v>
      </c>
      <c r="C383" s="95">
        <v>0</v>
      </c>
      <c r="D383" s="95">
        <v>2729</v>
      </c>
      <c r="E383" s="95"/>
      <c r="F383" s="95"/>
      <c r="G383" s="95">
        <v>6177</v>
      </c>
      <c r="H383" s="138">
        <v>32400</v>
      </c>
      <c r="I383" s="138"/>
      <c r="J383" s="126">
        <f t="shared" si="40"/>
        <v>32400</v>
      </c>
      <c r="K383" s="318">
        <v>43794</v>
      </c>
      <c r="L383" s="95">
        <v>0</v>
      </c>
      <c r="M383" s="9">
        <f t="shared" si="41"/>
        <v>43794</v>
      </c>
      <c r="N383" s="2" t="str">
        <f t="shared" si="42"/>
        <v>Pagado</v>
      </c>
      <c r="O383" s="318">
        <v>43794</v>
      </c>
      <c r="P383" s="138">
        <v>32400</v>
      </c>
      <c r="Q383" s="2" t="s">
        <v>1484</v>
      </c>
      <c r="R383" s="2"/>
      <c r="S383" s="95"/>
      <c r="T383" s="313" t="s">
        <v>1488</v>
      </c>
      <c r="U383" s="393"/>
      <c r="V383" s="95"/>
      <c r="W383" s="129"/>
      <c r="X383" s="318"/>
      <c r="Y383" s="95"/>
      <c r="Z383" s="131" t="s">
        <v>1467</v>
      </c>
      <c r="AA383" s="108" t="str">
        <f t="shared" si="43"/>
        <v/>
      </c>
      <c r="AB383" s="2"/>
      <c r="AC383" s="131">
        <f t="shared" si="44"/>
        <v>27226.89075630252</v>
      </c>
      <c r="AD383" s="108">
        <f t="shared" si="45"/>
        <v>5173.1092436974795</v>
      </c>
      <c r="AE383" s="95" t="s">
        <v>1501</v>
      </c>
      <c r="AF383" s="541" t="s">
        <v>3489</v>
      </c>
      <c r="AG383" s="2" t="str">
        <f t="shared" si="46"/>
        <v>SI</v>
      </c>
      <c r="AH383" s="284"/>
      <c r="AI383" s="541"/>
      <c r="AJ383" s="2" t="str">
        <f t="shared" si="47"/>
        <v>NV</v>
      </c>
      <c r="AK383" s="303"/>
    </row>
    <row r="384" spans="1:37" x14ac:dyDescent="0.25">
      <c r="A384" s="542" t="s">
        <v>5419</v>
      </c>
      <c r="B384" s="317" t="s">
        <v>5420</v>
      </c>
      <c r="C384" s="95">
        <v>0</v>
      </c>
      <c r="D384" s="95">
        <v>2734</v>
      </c>
      <c r="E384" s="95"/>
      <c r="F384" s="95"/>
      <c r="G384" s="95">
        <v>6186</v>
      </c>
      <c r="H384" s="138">
        <v>29600</v>
      </c>
      <c r="I384" s="138"/>
      <c r="J384" s="126">
        <f t="shared" si="40"/>
        <v>29600</v>
      </c>
      <c r="K384" s="318">
        <v>43794</v>
      </c>
      <c r="L384" s="95">
        <v>0</v>
      </c>
      <c r="M384" s="313">
        <f t="shared" si="41"/>
        <v>43794</v>
      </c>
      <c r="N384" s="2" t="str">
        <f t="shared" si="42"/>
        <v>Pagado</v>
      </c>
      <c r="O384" s="318">
        <v>43794</v>
      </c>
      <c r="P384" s="138">
        <v>29600</v>
      </c>
      <c r="Q384" s="2" t="s">
        <v>1484</v>
      </c>
      <c r="R384" s="2"/>
      <c r="S384" s="95"/>
      <c r="T384" s="313" t="s">
        <v>1492</v>
      </c>
      <c r="U384" s="393"/>
      <c r="V384" s="95"/>
      <c r="W384" s="129"/>
      <c r="X384" s="318"/>
      <c r="Y384" s="95"/>
      <c r="Z384" s="131" t="s">
        <v>1467</v>
      </c>
      <c r="AA384" s="108" t="str">
        <f t="shared" si="43"/>
        <v/>
      </c>
      <c r="AB384" s="2"/>
      <c r="AC384" s="131">
        <f t="shared" si="44"/>
        <v>24873.949579831933</v>
      </c>
      <c r="AD384" s="108">
        <f t="shared" si="45"/>
        <v>4726.0504201680669</v>
      </c>
      <c r="AE384" s="95" t="s">
        <v>1501</v>
      </c>
      <c r="AF384" s="541" t="s">
        <v>3487</v>
      </c>
      <c r="AG384" s="2" t="str">
        <f t="shared" si="46"/>
        <v>SI</v>
      </c>
      <c r="AH384" s="284"/>
      <c r="AI384" s="541"/>
      <c r="AJ384" s="2" t="str">
        <f t="shared" si="47"/>
        <v>NV</v>
      </c>
      <c r="AK384" s="303"/>
    </row>
    <row r="385" spans="1:37" x14ac:dyDescent="0.25">
      <c r="A385" s="458" t="s">
        <v>2656</v>
      </c>
      <c r="B385" s="317" t="s">
        <v>3362</v>
      </c>
      <c r="C385" s="95">
        <v>0</v>
      </c>
      <c r="D385" s="95">
        <v>2730</v>
      </c>
      <c r="E385" s="95"/>
      <c r="F385" s="95"/>
      <c r="G385" s="95">
        <v>6183</v>
      </c>
      <c r="H385" s="138">
        <v>14800</v>
      </c>
      <c r="I385" s="138"/>
      <c r="J385" s="126">
        <f t="shared" si="40"/>
        <v>14800</v>
      </c>
      <c r="K385" s="318">
        <v>43794</v>
      </c>
      <c r="L385" s="95">
        <v>0</v>
      </c>
      <c r="M385" s="313">
        <f t="shared" si="41"/>
        <v>43794</v>
      </c>
      <c r="N385" s="2" t="str">
        <f t="shared" si="42"/>
        <v>Pagado</v>
      </c>
      <c r="O385" s="318">
        <v>43794</v>
      </c>
      <c r="P385" s="138">
        <v>14800</v>
      </c>
      <c r="Q385" s="2" t="s">
        <v>1484</v>
      </c>
      <c r="R385" s="2"/>
      <c r="S385" s="95"/>
      <c r="T385" s="313" t="s">
        <v>1462</v>
      </c>
      <c r="U385" s="393"/>
      <c r="V385" s="95"/>
      <c r="W385" s="129"/>
      <c r="X385" s="318"/>
      <c r="Y385" s="95"/>
      <c r="Z385" s="131" t="s">
        <v>1467</v>
      </c>
      <c r="AA385" s="108" t="str">
        <f t="shared" si="43"/>
        <v/>
      </c>
      <c r="AB385" s="2"/>
      <c r="AC385" s="131">
        <f t="shared" si="44"/>
        <v>12436.974789915967</v>
      </c>
      <c r="AD385" s="108">
        <f t="shared" si="45"/>
        <v>2363.0252100840335</v>
      </c>
      <c r="AE385" s="95" t="s">
        <v>1501</v>
      </c>
      <c r="AF385" s="457" t="s">
        <v>3489</v>
      </c>
      <c r="AG385" s="2" t="str">
        <f t="shared" si="46"/>
        <v>SI</v>
      </c>
      <c r="AH385" s="284"/>
      <c r="AI385" s="457"/>
      <c r="AJ385" s="2" t="str">
        <f t="shared" si="47"/>
        <v>NV</v>
      </c>
      <c r="AK385" s="303"/>
    </row>
    <row r="386" spans="1:37" x14ac:dyDescent="0.25">
      <c r="A386" s="458" t="s">
        <v>4262</v>
      </c>
      <c r="B386" s="317" t="s">
        <v>4263</v>
      </c>
      <c r="C386" s="95">
        <v>0</v>
      </c>
      <c r="D386" s="95">
        <v>2732</v>
      </c>
      <c r="E386" s="95"/>
      <c r="F386" s="95"/>
      <c r="G386" s="95">
        <v>6174</v>
      </c>
      <c r="H386" s="138">
        <v>9800</v>
      </c>
      <c r="I386" s="138"/>
      <c r="J386" s="126">
        <f t="shared" si="40"/>
        <v>9800</v>
      </c>
      <c r="K386" s="318">
        <v>43794</v>
      </c>
      <c r="L386" s="95">
        <v>0</v>
      </c>
      <c r="M386" s="313">
        <f t="shared" si="41"/>
        <v>43794</v>
      </c>
      <c r="N386" s="2" t="str">
        <f t="shared" si="42"/>
        <v>Pagado</v>
      </c>
      <c r="O386" s="318">
        <v>43794</v>
      </c>
      <c r="P386" s="138">
        <v>9800</v>
      </c>
      <c r="Q386" s="2" t="s">
        <v>1481</v>
      </c>
      <c r="R386" s="2"/>
      <c r="S386" s="95"/>
      <c r="T386" s="313"/>
      <c r="U386" s="393"/>
      <c r="V386" s="95"/>
      <c r="W386" s="129"/>
      <c r="X386" s="318"/>
      <c r="Y386" s="95"/>
      <c r="Z386" s="131" t="s">
        <v>1467</v>
      </c>
      <c r="AA386" s="108" t="str">
        <f t="shared" si="43"/>
        <v/>
      </c>
      <c r="AB386" s="2"/>
      <c r="AC386" s="131">
        <f t="shared" si="44"/>
        <v>8235.2941176470595</v>
      </c>
      <c r="AD386" s="108">
        <f t="shared" si="45"/>
        <v>1564.7058823529405</v>
      </c>
      <c r="AE386" s="95" t="s">
        <v>1501</v>
      </c>
      <c r="AF386" s="457" t="s">
        <v>3487</v>
      </c>
      <c r="AG386" s="2" t="str">
        <f t="shared" si="46"/>
        <v>SI</v>
      </c>
      <c r="AH386" s="284"/>
      <c r="AI386" s="457"/>
      <c r="AJ386" s="2" t="str">
        <f t="shared" si="47"/>
        <v>NV</v>
      </c>
      <c r="AK386" s="303"/>
    </row>
    <row r="387" spans="1:37" x14ac:dyDescent="0.25">
      <c r="A387" s="458" t="s">
        <v>4041</v>
      </c>
      <c r="B387" s="317" t="s">
        <v>4042</v>
      </c>
      <c r="C387" s="95">
        <v>0</v>
      </c>
      <c r="D387" s="95">
        <v>2731</v>
      </c>
      <c r="E387" s="95"/>
      <c r="F387" s="95"/>
      <c r="G387" s="95">
        <v>6179</v>
      </c>
      <c r="H387" s="138">
        <v>14800</v>
      </c>
      <c r="I387" s="138"/>
      <c r="J387" s="126">
        <f t="shared" ref="J387:J450" si="48">+H387+I387</f>
        <v>14800</v>
      </c>
      <c r="K387" s="318">
        <v>43794</v>
      </c>
      <c r="L387" s="95">
        <v>0</v>
      </c>
      <c r="M387" s="313">
        <f t="shared" ref="M387:M450" si="49">+L387+K387</f>
        <v>43794</v>
      </c>
      <c r="N387" s="2" t="str">
        <f t="shared" ref="N387:N450" si="50">+IF(J387=0,"Nulo",IF(P387&gt;=J387,"Pagado",IF(P387&gt;0,"Abonado",IF(M387&lt;$M$1,"Vencido",IF(J387&gt;P387,"Pendiente","Vencido")))))</f>
        <v>Pagado</v>
      </c>
      <c r="O387" s="318">
        <v>43796</v>
      </c>
      <c r="P387" s="138">
        <v>14800</v>
      </c>
      <c r="Q387" s="2" t="s">
        <v>1484</v>
      </c>
      <c r="R387" s="2"/>
      <c r="S387" s="95"/>
      <c r="T387" s="313" t="s">
        <v>1462</v>
      </c>
      <c r="U387" s="393"/>
      <c r="V387" s="95"/>
      <c r="W387" s="129"/>
      <c r="X387" s="318"/>
      <c r="Y387" s="95"/>
      <c r="Z387" s="131" t="s">
        <v>1467</v>
      </c>
      <c r="AA387" s="108" t="str">
        <f t="shared" ref="AA387:AA450" si="51">+IF(LEFT(Q387,6)="Cheque",IF(T387="Chile","Chile","Otros"),"")</f>
        <v/>
      </c>
      <c r="AB387" s="2"/>
      <c r="AC387" s="131">
        <f t="shared" ref="AC387:AC450" si="52">+IF(C387="","",H387/1.19)</f>
        <v>12436.974789915967</v>
      </c>
      <c r="AD387" s="108">
        <f t="shared" ref="AD387:AD450" si="53">+IF(C387="","",H387-AC387)</f>
        <v>2363.0252100840335</v>
      </c>
      <c r="AE387" s="95" t="s">
        <v>1501</v>
      </c>
      <c r="AF387" s="457" t="s">
        <v>3489</v>
      </c>
      <c r="AG387" s="2" t="str">
        <f t="shared" ref="AG387:AG450" si="54">+IF(N387="Pagado","SI",IF(N387="NULO","SI","NO"))</f>
        <v>SI</v>
      </c>
      <c r="AH387" s="284"/>
      <c r="AI387" s="457"/>
      <c r="AJ387" s="2" t="str">
        <f t="shared" ref="AJ387:AJ450" si="55">+IF(C387=0,"NV","Factura")</f>
        <v>NV</v>
      </c>
      <c r="AK387" s="303"/>
    </row>
    <row r="388" spans="1:37" x14ac:dyDescent="0.25">
      <c r="A388" s="542" t="s">
        <v>1239</v>
      </c>
      <c r="B388" s="317" t="s">
        <v>3501</v>
      </c>
      <c r="C388" s="95">
        <v>3008</v>
      </c>
      <c r="D388" s="95">
        <v>0</v>
      </c>
      <c r="E388" s="95"/>
      <c r="F388" s="95"/>
      <c r="G388" s="95" t="s">
        <v>2528</v>
      </c>
      <c r="H388" s="138">
        <v>19299</v>
      </c>
      <c r="I388" s="138"/>
      <c r="J388" s="126">
        <f t="shared" si="48"/>
        <v>19299</v>
      </c>
      <c r="K388" s="318">
        <v>43795</v>
      </c>
      <c r="L388" s="95">
        <v>30</v>
      </c>
      <c r="M388" s="313">
        <f t="shared" si="49"/>
        <v>43825</v>
      </c>
      <c r="N388" s="2" t="str">
        <f t="shared" si="50"/>
        <v>Pagado</v>
      </c>
      <c r="O388" s="318">
        <v>43825</v>
      </c>
      <c r="P388" s="138">
        <v>19299</v>
      </c>
      <c r="Q388" s="2" t="s">
        <v>1484</v>
      </c>
      <c r="R388" s="2"/>
      <c r="S388" s="95"/>
      <c r="T388" s="313" t="s">
        <v>1462</v>
      </c>
      <c r="U388" s="393"/>
      <c r="V388" s="95"/>
      <c r="W388" s="129"/>
      <c r="X388" s="318"/>
      <c r="Y388" s="95"/>
      <c r="Z388" s="131"/>
      <c r="AA388" s="108" t="str">
        <f t="shared" si="51"/>
        <v/>
      </c>
      <c r="AB388" s="2"/>
      <c r="AC388" s="131">
        <f t="shared" si="52"/>
        <v>16217.64705882353</v>
      </c>
      <c r="AD388" s="108">
        <f t="shared" si="53"/>
        <v>3081.3529411764703</v>
      </c>
      <c r="AE388" s="95" t="s">
        <v>1849</v>
      </c>
      <c r="AF388" s="541" t="s">
        <v>3489</v>
      </c>
      <c r="AG388" s="2" t="str">
        <f t="shared" si="54"/>
        <v>SI</v>
      </c>
      <c r="AH388" s="284"/>
      <c r="AI388" s="541"/>
      <c r="AJ388" s="2" t="str">
        <f t="shared" si="55"/>
        <v>Factura</v>
      </c>
      <c r="AK388" s="303"/>
    </row>
    <row r="389" spans="1:37" x14ac:dyDescent="0.25">
      <c r="A389" s="501" t="s">
        <v>4586</v>
      </c>
      <c r="B389" s="317" t="s">
        <v>4587</v>
      </c>
      <c r="C389" s="95">
        <v>0</v>
      </c>
      <c r="D389" s="95">
        <v>0</v>
      </c>
      <c r="E389" s="95"/>
      <c r="F389" s="95"/>
      <c r="G389" s="95">
        <v>6187</v>
      </c>
      <c r="H389" s="138">
        <v>11500</v>
      </c>
      <c r="I389" s="138"/>
      <c r="J389" s="126">
        <f t="shared" si="48"/>
        <v>11500</v>
      </c>
      <c r="K389" s="318">
        <v>43795</v>
      </c>
      <c r="L389" s="95">
        <v>0</v>
      </c>
      <c r="M389" s="313">
        <f t="shared" si="49"/>
        <v>43795</v>
      </c>
      <c r="N389" s="2" t="str">
        <f t="shared" si="50"/>
        <v>Pagado</v>
      </c>
      <c r="O389" s="318">
        <v>43795</v>
      </c>
      <c r="P389" s="138">
        <v>11500</v>
      </c>
      <c r="Q389" s="2" t="s">
        <v>1481</v>
      </c>
      <c r="R389" s="2"/>
      <c r="S389" s="95"/>
      <c r="T389" s="313"/>
      <c r="U389" s="393"/>
      <c r="V389" s="95">
        <v>133672</v>
      </c>
      <c r="W389" s="129">
        <v>11500</v>
      </c>
      <c r="X389" s="318">
        <v>43828</v>
      </c>
      <c r="Y389" s="95" t="s">
        <v>1488</v>
      </c>
      <c r="Z389" s="131"/>
      <c r="AA389" s="108" t="str">
        <f t="shared" si="51"/>
        <v/>
      </c>
      <c r="AB389" s="2"/>
      <c r="AC389" s="131">
        <f t="shared" si="52"/>
        <v>9663.865546218487</v>
      </c>
      <c r="AD389" s="108">
        <f t="shared" si="53"/>
        <v>1836.134453781513</v>
      </c>
      <c r="AE389" s="95" t="s">
        <v>1501</v>
      </c>
      <c r="AF389" s="500" t="s">
        <v>3487</v>
      </c>
      <c r="AG389" s="2" t="str">
        <f t="shared" si="54"/>
        <v>SI</v>
      </c>
      <c r="AH389" s="284"/>
      <c r="AI389" s="500"/>
      <c r="AJ389" s="2" t="str">
        <f t="shared" si="55"/>
        <v>NV</v>
      </c>
      <c r="AK389" s="303"/>
    </row>
    <row r="390" spans="1:37" x14ac:dyDescent="0.25">
      <c r="A390" s="499" t="s">
        <v>4706</v>
      </c>
      <c r="B390" s="317" t="s">
        <v>4707</v>
      </c>
      <c r="C390" s="95">
        <v>0</v>
      </c>
      <c r="D390" s="95">
        <v>2736</v>
      </c>
      <c r="E390" s="95"/>
      <c r="F390" s="95"/>
      <c r="G390" s="95">
        <v>6151</v>
      </c>
      <c r="H390" s="138">
        <v>23500</v>
      </c>
      <c r="I390" s="138"/>
      <c r="J390" s="126">
        <f t="shared" si="48"/>
        <v>23500</v>
      </c>
      <c r="K390" s="318">
        <v>43795</v>
      </c>
      <c r="L390" s="95">
        <v>0</v>
      </c>
      <c r="M390" s="313">
        <f t="shared" si="49"/>
        <v>43795</v>
      </c>
      <c r="N390" s="2" t="str">
        <f t="shared" si="50"/>
        <v>Pagado</v>
      </c>
      <c r="O390" s="318">
        <v>43795</v>
      </c>
      <c r="P390" s="138">
        <v>23500</v>
      </c>
      <c r="Q390" s="2" t="s">
        <v>1484</v>
      </c>
      <c r="R390" s="2"/>
      <c r="S390" s="95"/>
      <c r="T390" s="313" t="s">
        <v>1462</v>
      </c>
      <c r="U390" s="393"/>
      <c r="V390" s="95"/>
      <c r="W390" s="129"/>
      <c r="X390" s="318"/>
      <c r="Y390" s="95"/>
      <c r="Z390" s="131"/>
      <c r="AA390" s="108" t="str">
        <f t="shared" si="51"/>
        <v/>
      </c>
      <c r="AB390" s="2"/>
      <c r="AC390" s="131">
        <f t="shared" si="52"/>
        <v>19747.899159663866</v>
      </c>
      <c r="AD390" s="108">
        <f t="shared" si="53"/>
        <v>3752.1008403361338</v>
      </c>
      <c r="AE390" s="95" t="s">
        <v>1501</v>
      </c>
      <c r="AF390" s="498" t="s">
        <v>3487</v>
      </c>
      <c r="AG390" s="2" t="str">
        <f t="shared" si="54"/>
        <v>SI</v>
      </c>
      <c r="AH390" s="284"/>
      <c r="AI390" s="498"/>
      <c r="AJ390" s="2" t="str">
        <f t="shared" si="55"/>
        <v>NV</v>
      </c>
      <c r="AK390" s="303"/>
    </row>
    <row r="391" spans="1:37" x14ac:dyDescent="0.25">
      <c r="A391" s="499" t="s">
        <v>1197</v>
      </c>
      <c r="B391" s="317" t="s">
        <v>2236</v>
      </c>
      <c r="C391" s="95">
        <v>0</v>
      </c>
      <c r="D391" s="95">
        <v>2735</v>
      </c>
      <c r="E391" s="95"/>
      <c r="F391" s="95"/>
      <c r="G391" s="95">
        <v>6188</v>
      </c>
      <c r="H391" s="138">
        <v>15600</v>
      </c>
      <c r="I391" s="138"/>
      <c r="J391" s="332">
        <f t="shared" si="48"/>
        <v>15600</v>
      </c>
      <c r="K391" s="318">
        <v>43795</v>
      </c>
      <c r="L391" s="95">
        <v>30</v>
      </c>
      <c r="M391" s="313">
        <f t="shared" si="49"/>
        <v>43825</v>
      </c>
      <c r="N391" s="2" t="str">
        <f t="shared" ca="1" si="50"/>
        <v>Vencido</v>
      </c>
      <c r="O391" s="318"/>
      <c r="P391" s="138"/>
      <c r="Q391" s="2"/>
      <c r="R391" s="2"/>
      <c r="S391" s="95"/>
      <c r="T391" s="313"/>
      <c r="U391" s="393"/>
      <c r="V391" s="95"/>
      <c r="W391" s="129"/>
      <c r="X391" s="318"/>
      <c r="Y391" s="95"/>
      <c r="Z391" s="131"/>
      <c r="AA391" s="108" t="str">
        <f t="shared" si="51"/>
        <v/>
      </c>
      <c r="AB391" s="2"/>
      <c r="AC391" s="131">
        <f t="shared" si="52"/>
        <v>13109.243697478993</v>
      </c>
      <c r="AD391" s="108">
        <f t="shared" si="53"/>
        <v>2490.7563025210075</v>
      </c>
      <c r="AE391" s="95" t="s">
        <v>1501</v>
      </c>
      <c r="AF391" s="498" t="s">
        <v>3490</v>
      </c>
      <c r="AG391" s="2" t="str">
        <f t="shared" ca="1" si="54"/>
        <v>NO</v>
      </c>
      <c r="AH391" s="284"/>
      <c r="AI391" s="498"/>
      <c r="AJ391" s="2" t="str">
        <f t="shared" si="55"/>
        <v>NV</v>
      </c>
      <c r="AK391" s="303"/>
    </row>
    <row r="392" spans="1:37" x14ac:dyDescent="0.25">
      <c r="A392" s="542" t="s">
        <v>1259</v>
      </c>
      <c r="B392" s="317" t="s">
        <v>2778</v>
      </c>
      <c r="C392" s="95">
        <v>3009</v>
      </c>
      <c r="D392" s="95">
        <v>0</v>
      </c>
      <c r="E392" s="95"/>
      <c r="F392" s="95"/>
      <c r="G392" s="95" t="s">
        <v>2528</v>
      </c>
      <c r="H392" s="138">
        <v>58819</v>
      </c>
      <c r="I392" s="138"/>
      <c r="J392" s="126">
        <f t="shared" si="48"/>
        <v>58819</v>
      </c>
      <c r="K392" s="318">
        <v>43796</v>
      </c>
      <c r="L392" s="95">
        <v>30</v>
      </c>
      <c r="M392" s="313">
        <f t="shared" si="49"/>
        <v>43826</v>
      </c>
      <c r="N392" s="2" t="str">
        <f t="shared" si="50"/>
        <v>Pagado</v>
      </c>
      <c r="O392" s="318">
        <v>43796</v>
      </c>
      <c r="P392" s="138">
        <v>58819</v>
      </c>
      <c r="Q392" s="2" t="s">
        <v>1481</v>
      </c>
      <c r="R392" s="2"/>
      <c r="S392" s="95"/>
      <c r="T392" s="313"/>
      <c r="U392" s="393"/>
      <c r="V392" s="95">
        <v>133670</v>
      </c>
      <c r="W392" s="129">
        <v>58819</v>
      </c>
      <c r="X392" s="318">
        <v>43798</v>
      </c>
      <c r="Y392" s="95" t="s">
        <v>1488</v>
      </c>
      <c r="Z392" s="131" t="s">
        <v>1467</v>
      </c>
      <c r="AA392" s="108" t="str">
        <f t="shared" si="51"/>
        <v/>
      </c>
      <c r="AB392" s="2"/>
      <c r="AC392" s="131">
        <f t="shared" si="52"/>
        <v>49427.731092436974</v>
      </c>
      <c r="AD392" s="108">
        <f t="shared" si="53"/>
        <v>9391.268907563026</v>
      </c>
      <c r="AE392" s="95" t="s">
        <v>2050</v>
      </c>
      <c r="AF392" s="541" t="s">
        <v>3490</v>
      </c>
      <c r="AG392" s="2" t="str">
        <f t="shared" si="54"/>
        <v>SI</v>
      </c>
      <c r="AH392" s="284"/>
      <c r="AI392" s="541"/>
      <c r="AJ392" s="2" t="str">
        <f t="shared" si="55"/>
        <v>Factura</v>
      </c>
      <c r="AK392" s="303"/>
    </row>
    <row r="393" spans="1:37" x14ac:dyDescent="0.25">
      <c r="A393" s="542" t="s">
        <v>1178</v>
      </c>
      <c r="B393" s="317" t="s">
        <v>950</v>
      </c>
      <c r="C393" s="95">
        <v>3011</v>
      </c>
      <c r="D393" s="95">
        <v>0</v>
      </c>
      <c r="E393" s="95"/>
      <c r="F393" s="95"/>
      <c r="G393" s="95" t="s">
        <v>2528</v>
      </c>
      <c r="H393" s="138">
        <v>104019</v>
      </c>
      <c r="I393" s="138"/>
      <c r="J393" s="126">
        <f t="shared" si="48"/>
        <v>104019</v>
      </c>
      <c r="K393" s="318">
        <v>43796</v>
      </c>
      <c r="L393" s="95">
        <v>7</v>
      </c>
      <c r="M393" s="313">
        <f t="shared" si="49"/>
        <v>43803</v>
      </c>
      <c r="N393" s="2" t="str">
        <f t="shared" si="50"/>
        <v>Pagado</v>
      </c>
      <c r="O393" s="318">
        <v>43803</v>
      </c>
      <c r="P393" s="138">
        <v>104019</v>
      </c>
      <c r="Q393" s="2" t="s">
        <v>2131</v>
      </c>
      <c r="R393" s="2"/>
      <c r="S393" s="95">
        <v>1116026</v>
      </c>
      <c r="T393" s="313" t="s">
        <v>1496</v>
      </c>
      <c r="U393" s="393">
        <v>43808</v>
      </c>
      <c r="V393" s="95"/>
      <c r="W393" s="129"/>
      <c r="X393" s="318"/>
      <c r="Y393" s="95"/>
      <c r="Z393" s="131" t="s">
        <v>1467</v>
      </c>
      <c r="AA393" s="108" t="str">
        <f t="shared" si="51"/>
        <v>Otros</v>
      </c>
      <c r="AB393" s="2"/>
      <c r="AC393" s="131">
        <f t="shared" si="52"/>
        <v>87410.924369747896</v>
      </c>
      <c r="AD393" s="108">
        <f t="shared" si="53"/>
        <v>16608.075630252104</v>
      </c>
      <c r="AE393" s="95" t="s">
        <v>2050</v>
      </c>
      <c r="AF393" s="541" t="s">
        <v>3490</v>
      </c>
      <c r="AG393" s="2" t="str">
        <f t="shared" si="54"/>
        <v>SI</v>
      </c>
      <c r="AH393" s="284"/>
      <c r="AI393" s="541"/>
      <c r="AJ393" s="2" t="str">
        <f t="shared" si="55"/>
        <v>Factura</v>
      </c>
      <c r="AK393" s="303"/>
    </row>
    <row r="394" spans="1:37" x14ac:dyDescent="0.25">
      <c r="A394" s="501" t="s">
        <v>4950</v>
      </c>
      <c r="B394" s="317" t="s">
        <v>4951</v>
      </c>
      <c r="C394" s="95">
        <v>0</v>
      </c>
      <c r="D394" s="95">
        <v>2738</v>
      </c>
      <c r="E394" s="95"/>
      <c r="F394" s="95"/>
      <c r="G394" s="95">
        <v>6184</v>
      </c>
      <c r="H394" s="138">
        <v>35500</v>
      </c>
      <c r="I394" s="138"/>
      <c r="J394" s="126">
        <f t="shared" si="48"/>
        <v>35500</v>
      </c>
      <c r="K394" s="318">
        <v>43796</v>
      </c>
      <c r="L394" s="95">
        <v>0</v>
      </c>
      <c r="M394" s="313">
        <f t="shared" si="49"/>
        <v>43796</v>
      </c>
      <c r="N394" s="2" t="str">
        <f t="shared" si="50"/>
        <v>Pagado</v>
      </c>
      <c r="O394" s="318">
        <v>43796</v>
      </c>
      <c r="P394" s="138">
        <v>35500</v>
      </c>
      <c r="Q394" s="2" t="s">
        <v>1481</v>
      </c>
      <c r="R394" s="2"/>
      <c r="S394" s="95"/>
      <c r="T394" s="313"/>
      <c r="U394" s="393"/>
      <c r="V394" s="95">
        <v>4955436</v>
      </c>
      <c r="W394" s="129">
        <v>35500</v>
      </c>
      <c r="X394" s="318">
        <v>43805</v>
      </c>
      <c r="Y394" s="95" t="s">
        <v>1488</v>
      </c>
      <c r="Z394" s="131"/>
      <c r="AA394" s="108" t="str">
        <f t="shared" si="51"/>
        <v/>
      </c>
      <c r="AB394" s="2"/>
      <c r="AC394" s="131">
        <f t="shared" si="52"/>
        <v>29831.932773109245</v>
      </c>
      <c r="AD394" s="108">
        <f t="shared" si="53"/>
        <v>5668.0672268907547</v>
      </c>
      <c r="AE394" s="95" t="s">
        <v>1501</v>
      </c>
      <c r="AF394" s="500" t="s">
        <v>3487</v>
      </c>
      <c r="AG394" s="2" t="str">
        <f t="shared" si="54"/>
        <v>SI</v>
      </c>
      <c r="AH394" s="284"/>
      <c r="AI394" s="500"/>
      <c r="AJ394" s="2" t="str">
        <f t="shared" si="55"/>
        <v>NV</v>
      </c>
      <c r="AK394" s="303"/>
    </row>
    <row r="395" spans="1:37" x14ac:dyDescent="0.25">
      <c r="A395" s="501" t="s">
        <v>1179</v>
      </c>
      <c r="B395" s="317" t="s">
        <v>952</v>
      </c>
      <c r="C395" s="95">
        <v>3010</v>
      </c>
      <c r="D395" s="95">
        <v>0</v>
      </c>
      <c r="E395" s="95"/>
      <c r="F395" s="95"/>
      <c r="G395" s="95" t="s">
        <v>2528</v>
      </c>
      <c r="H395" s="138">
        <v>46780</v>
      </c>
      <c r="I395" s="138"/>
      <c r="J395" s="126">
        <f t="shared" si="48"/>
        <v>46780</v>
      </c>
      <c r="K395" s="318">
        <v>43796</v>
      </c>
      <c r="L395" s="95">
        <v>7</v>
      </c>
      <c r="M395" s="313">
        <f t="shared" si="49"/>
        <v>43803</v>
      </c>
      <c r="N395" s="2" t="str">
        <f t="shared" si="50"/>
        <v>Pagado</v>
      </c>
      <c r="O395" s="318">
        <v>43811</v>
      </c>
      <c r="P395" s="138">
        <v>46780</v>
      </c>
      <c r="Q395" s="2" t="s">
        <v>1481</v>
      </c>
      <c r="R395" s="2"/>
      <c r="S395" s="95"/>
      <c r="T395" s="313"/>
      <c r="U395" s="393"/>
      <c r="V395" s="95"/>
      <c r="W395" s="129"/>
      <c r="X395" s="318"/>
      <c r="Y395" s="95"/>
      <c r="Z395" s="131" t="s">
        <v>1467</v>
      </c>
      <c r="AA395" s="108" t="str">
        <f t="shared" si="51"/>
        <v/>
      </c>
      <c r="AB395" s="2"/>
      <c r="AC395" s="131">
        <f t="shared" si="52"/>
        <v>39310.924369747903</v>
      </c>
      <c r="AD395" s="108">
        <f t="shared" si="53"/>
        <v>7469.0756302520967</v>
      </c>
      <c r="AE395" s="95" t="s">
        <v>2050</v>
      </c>
      <c r="AF395" s="500" t="s">
        <v>3490</v>
      </c>
      <c r="AG395" s="2" t="str">
        <f t="shared" si="54"/>
        <v>SI</v>
      </c>
      <c r="AH395" s="284"/>
      <c r="AI395" s="500"/>
      <c r="AJ395" s="2" t="str">
        <f t="shared" si="55"/>
        <v>Factura</v>
      </c>
      <c r="AK395" s="303"/>
    </row>
    <row r="396" spans="1:37" x14ac:dyDescent="0.25">
      <c r="A396" s="501" t="s">
        <v>5273</v>
      </c>
      <c r="B396" s="317" t="s">
        <v>5274</v>
      </c>
      <c r="C396" s="95">
        <v>0</v>
      </c>
      <c r="D396" s="95">
        <v>2737</v>
      </c>
      <c r="E396" s="95"/>
      <c r="F396" s="95"/>
      <c r="G396" s="95">
        <v>6190</v>
      </c>
      <c r="H396" s="138">
        <v>19700</v>
      </c>
      <c r="I396" s="138"/>
      <c r="J396" s="126">
        <f t="shared" si="48"/>
        <v>19700</v>
      </c>
      <c r="K396" s="318">
        <v>43796</v>
      </c>
      <c r="L396" s="95">
        <v>0</v>
      </c>
      <c r="M396" s="313">
        <f t="shared" si="49"/>
        <v>43796</v>
      </c>
      <c r="N396" s="2" t="str">
        <f t="shared" si="50"/>
        <v>Pagado</v>
      </c>
      <c r="O396" s="318">
        <v>43796</v>
      </c>
      <c r="P396" s="138">
        <v>19700</v>
      </c>
      <c r="Q396" s="2" t="s">
        <v>1484</v>
      </c>
      <c r="R396" s="2"/>
      <c r="S396" s="95"/>
      <c r="T396" s="313" t="s">
        <v>1462</v>
      </c>
      <c r="U396" s="393"/>
      <c r="V396" s="95"/>
      <c r="W396" s="129"/>
      <c r="X396" s="318"/>
      <c r="Y396" s="95"/>
      <c r="Z396" s="131"/>
      <c r="AA396" s="108" t="str">
        <f t="shared" si="51"/>
        <v/>
      </c>
      <c r="AB396" s="2"/>
      <c r="AC396" s="131">
        <f t="shared" si="52"/>
        <v>16554.621848739498</v>
      </c>
      <c r="AD396" s="108">
        <f t="shared" si="53"/>
        <v>3145.3781512605019</v>
      </c>
      <c r="AE396" s="95" t="s">
        <v>1501</v>
      </c>
      <c r="AF396" s="500" t="s">
        <v>3487</v>
      </c>
      <c r="AG396" s="2" t="str">
        <f t="shared" si="54"/>
        <v>SI</v>
      </c>
      <c r="AH396" s="284"/>
      <c r="AI396" s="500"/>
      <c r="AJ396" s="2" t="str">
        <f t="shared" si="55"/>
        <v>NV</v>
      </c>
      <c r="AK396" s="303"/>
    </row>
    <row r="397" spans="1:37" x14ac:dyDescent="0.25">
      <c r="A397" s="542" t="s">
        <v>1175</v>
      </c>
      <c r="B397" s="317" t="s">
        <v>1144</v>
      </c>
      <c r="C397" s="95">
        <v>3012</v>
      </c>
      <c r="D397" s="95">
        <v>0</v>
      </c>
      <c r="E397" s="95"/>
      <c r="F397" s="95"/>
      <c r="G397" s="95">
        <v>1037674</v>
      </c>
      <c r="H397" s="138">
        <v>104496</v>
      </c>
      <c r="I397" s="138"/>
      <c r="J397" s="126">
        <f t="shared" si="48"/>
        <v>104496</v>
      </c>
      <c r="K397" s="318">
        <v>43796</v>
      </c>
      <c r="L397" s="95">
        <v>30</v>
      </c>
      <c r="M397" s="313">
        <f t="shared" si="49"/>
        <v>43826</v>
      </c>
      <c r="N397" s="2" t="str">
        <f t="shared" si="50"/>
        <v>Pagado</v>
      </c>
      <c r="O397" s="318">
        <v>43467</v>
      </c>
      <c r="P397" s="138">
        <v>104496</v>
      </c>
      <c r="Q397" s="2" t="s">
        <v>1484</v>
      </c>
      <c r="R397" s="2"/>
      <c r="S397" s="95"/>
      <c r="T397" s="313" t="s">
        <v>1496</v>
      </c>
      <c r="U397" s="393"/>
      <c r="V397" s="95"/>
      <c r="W397" s="129"/>
      <c r="X397" s="318"/>
      <c r="Y397" s="95"/>
      <c r="Z397" s="131" t="s">
        <v>1467</v>
      </c>
      <c r="AA397" s="108" t="str">
        <f t="shared" si="51"/>
        <v/>
      </c>
      <c r="AB397" s="2"/>
      <c r="AC397" s="131">
        <f t="shared" si="52"/>
        <v>87811.764705882364</v>
      </c>
      <c r="AD397" s="108">
        <f t="shared" si="53"/>
        <v>16684.235294117636</v>
      </c>
      <c r="AE397" s="95" t="s">
        <v>2050</v>
      </c>
      <c r="AF397" s="541" t="s">
        <v>3490</v>
      </c>
      <c r="AG397" s="2" t="str">
        <f t="shared" si="54"/>
        <v>SI</v>
      </c>
      <c r="AH397" s="284"/>
      <c r="AI397" s="541"/>
      <c r="AJ397" s="2" t="str">
        <f t="shared" si="55"/>
        <v>Factura</v>
      </c>
      <c r="AK397" s="303"/>
    </row>
    <row r="398" spans="1:37" x14ac:dyDescent="0.25">
      <c r="A398" s="542" t="s">
        <v>1175</v>
      </c>
      <c r="B398" s="317" t="s">
        <v>1144</v>
      </c>
      <c r="C398" s="95">
        <v>3013</v>
      </c>
      <c r="D398" s="95">
        <v>0</v>
      </c>
      <c r="E398" s="95">
        <v>276</v>
      </c>
      <c r="F398" s="95"/>
      <c r="G398" s="95">
        <v>1037674</v>
      </c>
      <c r="H398" s="138">
        <v>201422</v>
      </c>
      <c r="I398" s="138">
        <v>-31762</v>
      </c>
      <c r="J398" s="126">
        <f t="shared" si="48"/>
        <v>169660</v>
      </c>
      <c r="K398" s="318">
        <v>43796</v>
      </c>
      <c r="L398" s="95">
        <v>30</v>
      </c>
      <c r="M398" s="313">
        <f t="shared" si="49"/>
        <v>43826</v>
      </c>
      <c r="N398" s="2" t="str">
        <f t="shared" si="50"/>
        <v>Pagado</v>
      </c>
      <c r="O398" s="318">
        <v>43832</v>
      </c>
      <c r="P398" s="138">
        <v>169660</v>
      </c>
      <c r="Q398" s="2" t="s">
        <v>1484</v>
      </c>
      <c r="R398" s="2"/>
      <c r="S398" s="95"/>
      <c r="T398" s="313" t="s">
        <v>1496</v>
      </c>
      <c r="U398" s="393"/>
      <c r="V398" s="95"/>
      <c r="W398" s="129"/>
      <c r="X398" s="318"/>
      <c r="Y398" s="95"/>
      <c r="Z398" s="131" t="s">
        <v>1467</v>
      </c>
      <c r="AA398" s="108" t="str">
        <f t="shared" si="51"/>
        <v/>
      </c>
      <c r="AB398" s="2"/>
      <c r="AC398" s="131">
        <f t="shared" si="52"/>
        <v>169262.18487394959</v>
      </c>
      <c r="AD398" s="108">
        <f t="shared" si="53"/>
        <v>32159.815126050409</v>
      </c>
      <c r="AE398" s="95" t="s">
        <v>2050</v>
      </c>
      <c r="AF398" s="541" t="s">
        <v>3490</v>
      </c>
      <c r="AG398" s="2" t="str">
        <f t="shared" si="54"/>
        <v>SI</v>
      </c>
      <c r="AH398" s="284"/>
      <c r="AI398" s="541"/>
      <c r="AJ398" s="2" t="str">
        <f t="shared" si="55"/>
        <v>Factura</v>
      </c>
      <c r="AK398" s="303"/>
    </row>
    <row r="399" spans="1:37" x14ac:dyDescent="0.25">
      <c r="A399" s="499" t="s">
        <v>1234</v>
      </c>
      <c r="B399" s="317" t="s">
        <v>970</v>
      </c>
      <c r="C399" s="95">
        <v>0</v>
      </c>
      <c r="D399" s="95">
        <v>170</v>
      </c>
      <c r="E399" s="95"/>
      <c r="F399" s="95"/>
      <c r="G399" s="95">
        <v>6189</v>
      </c>
      <c r="H399" s="138">
        <v>10200</v>
      </c>
      <c r="I399" s="138"/>
      <c r="J399" s="126">
        <f t="shared" si="48"/>
        <v>10200</v>
      </c>
      <c r="K399" s="318">
        <v>43796</v>
      </c>
      <c r="L399" s="95">
        <v>0</v>
      </c>
      <c r="M399" s="313">
        <f t="shared" si="49"/>
        <v>43796</v>
      </c>
      <c r="N399" s="2" t="str">
        <f t="shared" si="50"/>
        <v>Pagado</v>
      </c>
      <c r="O399" s="318">
        <v>43796</v>
      </c>
      <c r="P399" s="138">
        <v>10200</v>
      </c>
      <c r="Q399" s="2" t="s">
        <v>1070</v>
      </c>
      <c r="R399" s="2" t="s">
        <v>2243</v>
      </c>
      <c r="S399" s="95">
        <v>170</v>
      </c>
      <c r="T399" s="313"/>
      <c r="U399" s="393"/>
      <c r="V399" s="95"/>
      <c r="W399" s="129"/>
      <c r="X399" s="318"/>
      <c r="Y399" s="95"/>
      <c r="Z399" s="131"/>
      <c r="AA399" s="108" t="str">
        <f t="shared" si="51"/>
        <v/>
      </c>
      <c r="AB399" s="2"/>
      <c r="AC399" s="131">
        <f t="shared" si="52"/>
        <v>8571.4285714285725</v>
      </c>
      <c r="AD399" s="108">
        <f t="shared" si="53"/>
        <v>1628.5714285714275</v>
      </c>
      <c r="AE399" s="95" t="s">
        <v>1501</v>
      </c>
      <c r="AF399" s="498" t="s">
        <v>3489</v>
      </c>
      <c r="AG399" s="2" t="str">
        <f t="shared" si="54"/>
        <v>SI</v>
      </c>
      <c r="AH399" s="284"/>
      <c r="AI399" s="498"/>
      <c r="AJ399" s="2" t="str">
        <f t="shared" si="55"/>
        <v>NV</v>
      </c>
      <c r="AK399" s="303"/>
    </row>
    <row r="400" spans="1:37" x14ac:dyDescent="0.25">
      <c r="A400" s="534" t="s">
        <v>4008</v>
      </c>
      <c r="B400" s="317" t="s">
        <v>4009</v>
      </c>
      <c r="C400" s="95">
        <v>0</v>
      </c>
      <c r="D400" s="95">
        <v>0</v>
      </c>
      <c r="E400" s="95"/>
      <c r="F400" s="95"/>
      <c r="G400" s="95">
        <v>6180</v>
      </c>
      <c r="H400" s="138">
        <v>37500</v>
      </c>
      <c r="I400" s="138"/>
      <c r="J400" s="126">
        <f t="shared" si="48"/>
        <v>37500</v>
      </c>
      <c r="K400" s="318">
        <v>43796</v>
      </c>
      <c r="L400" s="95">
        <v>30</v>
      </c>
      <c r="M400" s="313">
        <f t="shared" si="49"/>
        <v>43826</v>
      </c>
      <c r="N400" s="2" t="str">
        <f t="shared" si="50"/>
        <v>Pagado</v>
      </c>
      <c r="O400" s="318">
        <v>43796</v>
      </c>
      <c r="P400" s="138">
        <v>37500</v>
      </c>
      <c r="Q400" s="2" t="s">
        <v>1484</v>
      </c>
      <c r="R400" s="2"/>
      <c r="S400" s="95"/>
      <c r="T400" s="313" t="s">
        <v>1491</v>
      </c>
      <c r="U400" s="393"/>
      <c r="V400" s="95"/>
      <c r="W400" s="129"/>
      <c r="X400" s="318"/>
      <c r="Y400" s="95"/>
      <c r="Z400" s="131"/>
      <c r="AA400" s="108" t="str">
        <f t="shared" si="51"/>
        <v/>
      </c>
      <c r="AB400" s="2"/>
      <c r="AC400" s="131">
        <f t="shared" si="52"/>
        <v>31512.605042016807</v>
      </c>
      <c r="AD400" s="108">
        <f t="shared" si="53"/>
        <v>5987.3949579831933</v>
      </c>
      <c r="AE400" s="95" t="s">
        <v>1501</v>
      </c>
      <c r="AF400" s="533" t="s">
        <v>3489</v>
      </c>
      <c r="AG400" s="2" t="str">
        <f t="shared" si="54"/>
        <v>SI</v>
      </c>
      <c r="AH400" s="284"/>
      <c r="AI400" s="533"/>
      <c r="AJ400" s="2" t="str">
        <f t="shared" si="55"/>
        <v>NV</v>
      </c>
      <c r="AK400" s="303"/>
    </row>
    <row r="401" spans="1:37" x14ac:dyDescent="0.25">
      <c r="A401" s="542" t="s">
        <v>4403</v>
      </c>
      <c r="B401" s="317" t="s">
        <v>4405</v>
      </c>
      <c r="C401" s="95">
        <v>0</v>
      </c>
      <c r="D401" s="95">
        <v>2741</v>
      </c>
      <c r="E401" s="95"/>
      <c r="F401" s="95"/>
      <c r="G401" s="95">
        <v>6191</v>
      </c>
      <c r="H401" s="138">
        <v>29600</v>
      </c>
      <c r="I401" s="138"/>
      <c r="J401" s="126">
        <f t="shared" si="48"/>
        <v>29600</v>
      </c>
      <c r="K401" s="318">
        <v>43797</v>
      </c>
      <c r="L401" s="95">
        <v>0</v>
      </c>
      <c r="M401" s="313">
        <f t="shared" si="49"/>
        <v>43797</v>
      </c>
      <c r="N401" s="2" t="str">
        <f t="shared" si="50"/>
        <v>Pagado</v>
      </c>
      <c r="O401" s="318">
        <v>43798</v>
      </c>
      <c r="P401" s="138">
        <v>29600</v>
      </c>
      <c r="Q401" s="2" t="s">
        <v>1484</v>
      </c>
      <c r="R401" s="2"/>
      <c r="S401" s="95"/>
      <c r="T401" s="313" t="s">
        <v>1488</v>
      </c>
      <c r="U401" s="393"/>
      <c r="V401" s="95"/>
      <c r="W401" s="129"/>
      <c r="X401" s="318"/>
      <c r="Y401" s="95"/>
      <c r="Z401" s="131"/>
      <c r="AA401" s="108" t="str">
        <f t="shared" si="51"/>
        <v/>
      </c>
      <c r="AB401" s="2"/>
      <c r="AC401" s="131">
        <f t="shared" si="52"/>
        <v>24873.949579831933</v>
      </c>
      <c r="AD401" s="108">
        <f t="shared" si="53"/>
        <v>4726.0504201680669</v>
      </c>
      <c r="AE401" s="95" t="s">
        <v>1501</v>
      </c>
      <c r="AF401" s="541" t="s">
        <v>3487</v>
      </c>
      <c r="AG401" s="2" t="str">
        <f t="shared" si="54"/>
        <v>SI</v>
      </c>
      <c r="AH401" s="284"/>
      <c r="AI401" s="541"/>
      <c r="AJ401" s="2" t="str">
        <f t="shared" si="55"/>
        <v>NV</v>
      </c>
      <c r="AK401" s="303"/>
    </row>
    <row r="402" spans="1:37" x14ac:dyDescent="0.25">
      <c r="A402" s="542" t="s">
        <v>1236</v>
      </c>
      <c r="B402" s="317" t="s">
        <v>1920</v>
      </c>
      <c r="C402" s="95">
        <v>0</v>
      </c>
      <c r="D402" s="95">
        <v>2743</v>
      </c>
      <c r="E402" s="95"/>
      <c r="F402" s="95"/>
      <c r="G402" s="95">
        <v>6196</v>
      </c>
      <c r="H402" s="138">
        <v>22400</v>
      </c>
      <c r="I402" s="138"/>
      <c r="J402" s="126">
        <f t="shared" si="48"/>
        <v>22400</v>
      </c>
      <c r="K402" s="318">
        <v>43797</v>
      </c>
      <c r="L402" s="95">
        <v>0</v>
      </c>
      <c r="M402" s="313">
        <f t="shared" si="49"/>
        <v>43797</v>
      </c>
      <c r="N402" s="2" t="str">
        <f t="shared" si="50"/>
        <v>Pagado</v>
      </c>
      <c r="O402" s="318">
        <v>43805</v>
      </c>
      <c r="P402" s="138">
        <v>22400</v>
      </c>
      <c r="Q402" s="2" t="s">
        <v>2131</v>
      </c>
      <c r="R402" s="2"/>
      <c r="S402" s="95">
        <v>2827037</v>
      </c>
      <c r="T402" s="313" t="s">
        <v>1491</v>
      </c>
      <c r="U402" s="393"/>
      <c r="V402" s="95">
        <v>8025733</v>
      </c>
      <c r="W402" s="129">
        <v>22400</v>
      </c>
      <c r="X402" s="318">
        <v>43805</v>
      </c>
      <c r="Y402" s="95" t="s">
        <v>1488</v>
      </c>
      <c r="Z402" s="131"/>
      <c r="AA402" s="108" t="str">
        <f t="shared" si="51"/>
        <v>Otros</v>
      </c>
      <c r="AB402" s="2"/>
      <c r="AC402" s="131">
        <f t="shared" si="52"/>
        <v>18823.529411764706</v>
      </c>
      <c r="AD402" s="108">
        <f t="shared" si="53"/>
        <v>3576.4705882352937</v>
      </c>
      <c r="AE402" s="95" t="s">
        <v>1501</v>
      </c>
      <c r="AF402" s="541" t="s">
        <v>3489</v>
      </c>
      <c r="AG402" s="2" t="str">
        <f t="shared" si="54"/>
        <v>SI</v>
      </c>
      <c r="AH402" s="284"/>
      <c r="AI402" s="541"/>
      <c r="AJ402" s="2" t="str">
        <f t="shared" si="55"/>
        <v>NV</v>
      </c>
      <c r="AK402" s="303"/>
    </row>
    <row r="403" spans="1:37" x14ac:dyDescent="0.25">
      <c r="A403" s="499" t="s">
        <v>5423</v>
      </c>
      <c r="B403" s="317" t="s">
        <v>5424</v>
      </c>
      <c r="C403" s="95">
        <v>0</v>
      </c>
      <c r="D403" s="95">
        <v>2742</v>
      </c>
      <c r="E403" s="95"/>
      <c r="F403" s="95"/>
      <c r="G403" s="95">
        <v>6193</v>
      </c>
      <c r="H403" s="138">
        <v>35500</v>
      </c>
      <c r="I403" s="138"/>
      <c r="J403" s="126">
        <f t="shared" si="48"/>
        <v>35500</v>
      </c>
      <c r="K403" s="318">
        <v>43797</v>
      </c>
      <c r="L403" s="95">
        <v>0</v>
      </c>
      <c r="M403" s="313">
        <f t="shared" si="49"/>
        <v>43797</v>
      </c>
      <c r="N403" s="2" t="str">
        <f t="shared" si="50"/>
        <v>Pagado</v>
      </c>
      <c r="O403" s="318">
        <v>43797</v>
      </c>
      <c r="P403" s="138">
        <v>35500</v>
      </c>
      <c r="Q403" s="2" t="s">
        <v>1481</v>
      </c>
      <c r="R403" s="2"/>
      <c r="S403" s="95"/>
      <c r="T403" s="313"/>
      <c r="U403" s="393"/>
      <c r="V403" s="95">
        <v>133672</v>
      </c>
      <c r="W403" s="129">
        <v>35500</v>
      </c>
      <c r="X403" s="318">
        <v>43798</v>
      </c>
      <c r="Y403" s="95" t="s">
        <v>1488</v>
      </c>
      <c r="Z403" s="131"/>
      <c r="AA403" s="108" t="str">
        <f t="shared" si="51"/>
        <v/>
      </c>
      <c r="AB403" s="2"/>
      <c r="AC403" s="131">
        <f t="shared" si="52"/>
        <v>29831.932773109245</v>
      </c>
      <c r="AD403" s="108">
        <f t="shared" si="53"/>
        <v>5668.0672268907547</v>
      </c>
      <c r="AE403" s="95" t="s">
        <v>1501</v>
      </c>
      <c r="AF403" s="498" t="s">
        <v>3489</v>
      </c>
      <c r="AG403" s="2" t="str">
        <f t="shared" si="54"/>
        <v>SI</v>
      </c>
      <c r="AH403" s="284"/>
      <c r="AI403" s="498"/>
      <c r="AJ403" s="2" t="str">
        <f t="shared" si="55"/>
        <v>NV</v>
      </c>
      <c r="AK403" s="303"/>
    </row>
    <row r="404" spans="1:37" x14ac:dyDescent="0.25">
      <c r="A404" s="534" t="s">
        <v>3460</v>
      </c>
      <c r="B404" s="317" t="s">
        <v>3461</v>
      </c>
      <c r="C404" s="95">
        <v>3014</v>
      </c>
      <c r="D404" s="95">
        <v>0</v>
      </c>
      <c r="E404" s="95"/>
      <c r="F404" s="95"/>
      <c r="G404" s="95" t="s">
        <v>2528</v>
      </c>
      <c r="H404" s="138">
        <v>99501</v>
      </c>
      <c r="I404" s="138"/>
      <c r="J404" s="126">
        <f t="shared" si="48"/>
        <v>99501</v>
      </c>
      <c r="K404" s="318">
        <v>43797</v>
      </c>
      <c r="L404" s="95">
        <v>0</v>
      </c>
      <c r="M404" s="313">
        <f t="shared" si="49"/>
        <v>43797</v>
      </c>
      <c r="N404" s="2" t="str">
        <f t="shared" si="50"/>
        <v>Pagado</v>
      </c>
      <c r="O404" s="318">
        <v>43816</v>
      </c>
      <c r="P404" s="138">
        <v>99501</v>
      </c>
      <c r="Q404" s="2" t="s">
        <v>1484</v>
      </c>
      <c r="R404" s="2"/>
      <c r="S404" s="95"/>
      <c r="T404" s="313" t="s">
        <v>1496</v>
      </c>
      <c r="U404" s="393"/>
      <c r="V404" s="95"/>
      <c r="W404" s="129"/>
      <c r="X404" s="318"/>
      <c r="Y404" s="95"/>
      <c r="Z404" s="131"/>
      <c r="AA404" s="108" t="str">
        <f t="shared" si="51"/>
        <v/>
      </c>
      <c r="AB404" s="2"/>
      <c r="AC404" s="131">
        <f t="shared" si="52"/>
        <v>83614.285714285725</v>
      </c>
      <c r="AD404" s="108">
        <f t="shared" si="53"/>
        <v>15886.714285714275</v>
      </c>
      <c r="AE404" s="95" t="s">
        <v>1501</v>
      </c>
      <c r="AF404" s="533" t="s">
        <v>3490</v>
      </c>
      <c r="AG404" s="2" t="str">
        <f t="shared" si="54"/>
        <v>SI</v>
      </c>
      <c r="AH404" s="284"/>
      <c r="AI404" s="533"/>
      <c r="AJ404" s="2" t="str">
        <f t="shared" si="55"/>
        <v>Factura</v>
      </c>
      <c r="AK404" s="303"/>
    </row>
    <row r="405" spans="1:37" x14ac:dyDescent="0.25">
      <c r="A405" s="499" t="s">
        <v>4863</v>
      </c>
      <c r="B405" s="317" t="s">
        <v>4864</v>
      </c>
      <c r="C405" s="95">
        <v>0</v>
      </c>
      <c r="D405" s="95">
        <v>2742</v>
      </c>
      <c r="E405" s="95"/>
      <c r="F405" s="95"/>
      <c r="G405" s="95">
        <v>6194</v>
      </c>
      <c r="H405" s="138">
        <v>35500</v>
      </c>
      <c r="I405" s="138"/>
      <c r="J405" s="126">
        <f t="shared" si="48"/>
        <v>35500</v>
      </c>
      <c r="K405" s="318">
        <v>43797</v>
      </c>
      <c r="L405" s="95">
        <v>0</v>
      </c>
      <c r="M405" s="313">
        <f t="shared" si="49"/>
        <v>43797</v>
      </c>
      <c r="N405" s="2" t="str">
        <f t="shared" si="50"/>
        <v>Pagado</v>
      </c>
      <c r="O405" s="318">
        <v>43797</v>
      </c>
      <c r="P405" s="138">
        <v>35500</v>
      </c>
      <c r="Q405" s="2" t="s">
        <v>1481</v>
      </c>
      <c r="R405" s="2"/>
      <c r="S405" s="95"/>
      <c r="T405" s="313"/>
      <c r="U405" s="393"/>
      <c r="V405" s="95">
        <v>133672</v>
      </c>
      <c r="W405" s="129">
        <v>35500</v>
      </c>
      <c r="X405" s="318">
        <v>43798</v>
      </c>
      <c r="Y405" s="95" t="s">
        <v>1488</v>
      </c>
      <c r="Z405" s="131"/>
      <c r="AA405" s="108" t="str">
        <f t="shared" si="51"/>
        <v/>
      </c>
      <c r="AB405" s="2"/>
      <c r="AC405" s="131">
        <f t="shared" si="52"/>
        <v>29831.932773109245</v>
      </c>
      <c r="AD405" s="108">
        <f t="shared" si="53"/>
        <v>5668.0672268907547</v>
      </c>
      <c r="AE405" s="95" t="s">
        <v>1501</v>
      </c>
      <c r="AF405" s="498" t="s">
        <v>3487</v>
      </c>
      <c r="AG405" s="2" t="str">
        <f t="shared" si="54"/>
        <v>SI</v>
      </c>
      <c r="AH405" s="284"/>
      <c r="AI405" s="498"/>
      <c r="AJ405" s="2" t="str">
        <f t="shared" si="55"/>
        <v>NV</v>
      </c>
      <c r="AK405" s="303"/>
    </row>
    <row r="406" spans="1:37" x14ac:dyDescent="0.25">
      <c r="A406" s="499" t="s">
        <v>1216</v>
      </c>
      <c r="B406" s="317" t="s">
        <v>2209</v>
      </c>
      <c r="C406" s="95">
        <v>0</v>
      </c>
      <c r="D406" s="95">
        <v>2739</v>
      </c>
      <c r="E406" s="95"/>
      <c r="F406" s="95"/>
      <c r="G406" s="95">
        <v>6195</v>
      </c>
      <c r="H406" s="138">
        <v>47800</v>
      </c>
      <c r="I406" s="138"/>
      <c r="J406" s="126">
        <f t="shared" si="48"/>
        <v>47800</v>
      </c>
      <c r="K406" s="318">
        <v>43797</v>
      </c>
      <c r="L406" s="95">
        <v>0</v>
      </c>
      <c r="M406" s="313">
        <f t="shared" si="49"/>
        <v>43797</v>
      </c>
      <c r="N406" s="2" t="str">
        <f t="shared" si="50"/>
        <v>Pagado</v>
      </c>
      <c r="O406" s="318">
        <v>43797</v>
      </c>
      <c r="P406" s="138">
        <v>47800</v>
      </c>
      <c r="Q406" s="2" t="s">
        <v>1484</v>
      </c>
      <c r="R406" s="2"/>
      <c r="S406" s="95"/>
      <c r="T406" s="313" t="s">
        <v>1488</v>
      </c>
      <c r="U406" s="393"/>
      <c r="V406" s="95"/>
      <c r="W406" s="129"/>
      <c r="X406" s="318"/>
      <c r="Y406" s="95"/>
      <c r="Z406" s="131"/>
      <c r="AA406" s="108" t="str">
        <f t="shared" si="51"/>
        <v/>
      </c>
      <c r="AB406" s="2"/>
      <c r="AC406" s="131">
        <f t="shared" si="52"/>
        <v>40168.067226890758</v>
      </c>
      <c r="AD406" s="108">
        <f t="shared" si="53"/>
        <v>7631.9327731092417</v>
      </c>
      <c r="AE406" s="95" t="s">
        <v>1501</v>
      </c>
      <c r="AF406" s="498" t="s">
        <v>3489</v>
      </c>
      <c r="AG406" s="2" t="str">
        <f t="shared" si="54"/>
        <v>SI</v>
      </c>
      <c r="AH406" s="284"/>
      <c r="AI406" s="498"/>
      <c r="AJ406" s="2" t="str">
        <f t="shared" si="55"/>
        <v>NV</v>
      </c>
      <c r="AK406" s="303"/>
    </row>
    <row r="407" spans="1:37" x14ac:dyDescent="0.25">
      <c r="A407" s="534" t="s">
        <v>4462</v>
      </c>
      <c r="B407" s="317" t="s">
        <v>4463</v>
      </c>
      <c r="C407" s="95">
        <v>0</v>
      </c>
      <c r="D407" s="95">
        <v>2744</v>
      </c>
      <c r="E407" s="95"/>
      <c r="F407" s="95"/>
      <c r="G407" s="95">
        <v>6197</v>
      </c>
      <c r="H407" s="138">
        <v>16500</v>
      </c>
      <c r="I407" s="138"/>
      <c r="J407" s="126">
        <f t="shared" si="48"/>
        <v>16500</v>
      </c>
      <c r="K407" s="318">
        <v>43797</v>
      </c>
      <c r="L407" s="95">
        <v>0</v>
      </c>
      <c r="M407" s="313">
        <f t="shared" si="49"/>
        <v>43797</v>
      </c>
      <c r="N407" s="2" t="str">
        <f t="shared" si="50"/>
        <v>Pagado</v>
      </c>
      <c r="O407" s="318">
        <v>43797</v>
      </c>
      <c r="P407" s="138">
        <v>16500</v>
      </c>
      <c r="Q407" s="2" t="s">
        <v>1484</v>
      </c>
      <c r="R407" s="2"/>
      <c r="S407" s="95"/>
      <c r="T407" s="313" t="s">
        <v>1462</v>
      </c>
      <c r="U407" s="393"/>
      <c r="V407" s="95"/>
      <c r="W407" s="129"/>
      <c r="X407" s="318"/>
      <c r="Y407" s="95"/>
      <c r="Z407" s="131"/>
      <c r="AA407" s="108" t="str">
        <f t="shared" si="51"/>
        <v/>
      </c>
      <c r="AB407" s="2"/>
      <c r="AC407" s="131">
        <f t="shared" si="52"/>
        <v>13865.546218487396</v>
      </c>
      <c r="AD407" s="108">
        <f t="shared" si="53"/>
        <v>2634.4537815126041</v>
      </c>
      <c r="AE407" s="95" t="s">
        <v>1501</v>
      </c>
      <c r="AF407" s="533" t="s">
        <v>3487</v>
      </c>
      <c r="AG407" s="2" t="str">
        <f t="shared" si="54"/>
        <v>SI</v>
      </c>
      <c r="AH407" s="284"/>
      <c r="AI407" s="533"/>
      <c r="AJ407" s="2" t="str">
        <f t="shared" si="55"/>
        <v>NV</v>
      </c>
      <c r="AK407" s="303"/>
    </row>
    <row r="408" spans="1:37" x14ac:dyDescent="0.25">
      <c r="A408" s="499" t="s">
        <v>1257</v>
      </c>
      <c r="B408" s="317" t="s">
        <v>2145</v>
      </c>
      <c r="C408" s="95">
        <v>0</v>
      </c>
      <c r="D408" s="95">
        <v>2740</v>
      </c>
      <c r="E408" s="95"/>
      <c r="F408" s="95"/>
      <c r="G408" s="95">
        <v>6192</v>
      </c>
      <c r="H408" s="138">
        <v>18400</v>
      </c>
      <c r="I408" s="138"/>
      <c r="J408" s="126">
        <f t="shared" si="48"/>
        <v>18400</v>
      </c>
      <c r="K408" s="318">
        <v>43797</v>
      </c>
      <c r="L408" s="95">
        <v>0</v>
      </c>
      <c r="M408" s="313">
        <f t="shared" si="49"/>
        <v>43797</v>
      </c>
      <c r="N408" s="2" t="str">
        <f t="shared" si="50"/>
        <v>Pagado</v>
      </c>
      <c r="O408" s="318">
        <v>43808</v>
      </c>
      <c r="P408" s="138">
        <v>18400</v>
      </c>
      <c r="Q408" s="2" t="s">
        <v>1484</v>
      </c>
      <c r="R408" s="2"/>
      <c r="S408" s="95"/>
      <c r="T408" s="313" t="s">
        <v>1488</v>
      </c>
      <c r="U408" s="393"/>
      <c r="V408" s="95"/>
      <c r="W408" s="129"/>
      <c r="X408" s="318"/>
      <c r="Y408" s="95"/>
      <c r="Z408" s="131"/>
      <c r="AA408" s="108" t="str">
        <f t="shared" si="51"/>
        <v/>
      </c>
      <c r="AB408" s="2"/>
      <c r="AC408" s="131">
        <f t="shared" si="52"/>
        <v>15462.18487394958</v>
      </c>
      <c r="AD408" s="108">
        <f t="shared" si="53"/>
        <v>2937.8151260504201</v>
      </c>
      <c r="AE408" s="95" t="s">
        <v>1501</v>
      </c>
      <c r="AF408" s="498" t="s">
        <v>3489</v>
      </c>
      <c r="AG408" s="2" t="str">
        <f t="shared" si="54"/>
        <v>SI</v>
      </c>
      <c r="AH408" s="284"/>
      <c r="AI408" s="498"/>
      <c r="AJ408" s="2" t="str">
        <f t="shared" si="55"/>
        <v>NV</v>
      </c>
      <c r="AK408" s="303"/>
    </row>
    <row r="409" spans="1:37" x14ac:dyDescent="0.25">
      <c r="A409" s="542" t="s">
        <v>3994</v>
      </c>
      <c r="B409" s="317" t="s">
        <v>3995</v>
      </c>
      <c r="C409" s="95">
        <v>0</v>
      </c>
      <c r="D409" s="95">
        <v>2745</v>
      </c>
      <c r="E409" s="95"/>
      <c r="F409" s="95"/>
      <c r="G409" s="95">
        <v>6199</v>
      </c>
      <c r="H409" s="138">
        <v>22800</v>
      </c>
      <c r="I409" s="138"/>
      <c r="J409" s="126">
        <f t="shared" si="48"/>
        <v>22800</v>
      </c>
      <c r="K409" s="318">
        <v>43798</v>
      </c>
      <c r="L409" s="95">
        <v>0</v>
      </c>
      <c r="M409" s="313">
        <f t="shared" si="49"/>
        <v>43798</v>
      </c>
      <c r="N409" s="2" t="str">
        <f t="shared" si="50"/>
        <v>Pagado</v>
      </c>
      <c r="O409" s="318">
        <v>43797</v>
      </c>
      <c r="P409" s="138">
        <v>22800</v>
      </c>
      <c r="Q409" s="2" t="s">
        <v>1484</v>
      </c>
      <c r="R409" s="2"/>
      <c r="S409" s="95"/>
      <c r="T409" s="313" t="s">
        <v>1492</v>
      </c>
      <c r="U409" s="393"/>
      <c r="V409" s="95"/>
      <c r="W409" s="129"/>
      <c r="X409" s="318"/>
      <c r="Y409" s="95"/>
      <c r="Z409" s="131"/>
      <c r="AA409" s="108" t="str">
        <f t="shared" si="51"/>
        <v/>
      </c>
      <c r="AB409" s="2"/>
      <c r="AC409" s="131">
        <f t="shared" si="52"/>
        <v>19159.663865546219</v>
      </c>
      <c r="AD409" s="108">
        <f t="shared" si="53"/>
        <v>3640.3361344537807</v>
      </c>
      <c r="AE409" s="95" t="s">
        <v>2050</v>
      </c>
      <c r="AF409" s="541" t="s">
        <v>3487</v>
      </c>
      <c r="AG409" s="2" t="str">
        <f t="shared" si="54"/>
        <v>SI</v>
      </c>
      <c r="AH409" s="284"/>
      <c r="AI409" s="541"/>
      <c r="AJ409" s="2" t="str">
        <f t="shared" si="55"/>
        <v>NV</v>
      </c>
      <c r="AK409" s="303"/>
    </row>
    <row r="410" spans="1:37" x14ac:dyDescent="0.25">
      <c r="A410" s="499" t="s">
        <v>1250</v>
      </c>
      <c r="B410" s="317" t="s">
        <v>3398</v>
      </c>
      <c r="C410" s="95">
        <v>0</v>
      </c>
      <c r="D410" s="95">
        <v>2747</v>
      </c>
      <c r="E410" s="95"/>
      <c r="F410" s="95"/>
      <c r="G410" s="95">
        <v>6198</v>
      </c>
      <c r="H410" s="138">
        <v>9600</v>
      </c>
      <c r="I410" s="138"/>
      <c r="J410" s="126">
        <f t="shared" si="48"/>
        <v>9600</v>
      </c>
      <c r="K410" s="318">
        <v>43798</v>
      </c>
      <c r="L410" s="95">
        <v>0</v>
      </c>
      <c r="M410" s="313">
        <f t="shared" si="49"/>
        <v>43798</v>
      </c>
      <c r="N410" s="2" t="str">
        <f t="shared" si="50"/>
        <v>Pagado</v>
      </c>
      <c r="O410" s="318">
        <v>43798</v>
      </c>
      <c r="P410" s="138">
        <v>9600</v>
      </c>
      <c r="Q410" s="2" t="s">
        <v>1481</v>
      </c>
      <c r="R410" s="2"/>
      <c r="S410" s="95"/>
      <c r="T410" s="313"/>
      <c r="U410" s="393"/>
      <c r="V410" s="95"/>
      <c r="W410" s="129"/>
      <c r="X410" s="318"/>
      <c r="Y410" s="95"/>
      <c r="Z410" s="131"/>
      <c r="AA410" s="108" t="str">
        <f t="shared" si="51"/>
        <v/>
      </c>
      <c r="AB410" s="2"/>
      <c r="AC410" s="131">
        <f t="shared" si="52"/>
        <v>8067.226890756303</v>
      </c>
      <c r="AD410" s="108">
        <f t="shared" si="53"/>
        <v>1532.773109243697</v>
      </c>
      <c r="AE410" s="95" t="s">
        <v>1501</v>
      </c>
      <c r="AF410" s="498" t="s">
        <v>3489</v>
      </c>
      <c r="AG410" s="2" t="str">
        <f t="shared" si="54"/>
        <v>SI</v>
      </c>
      <c r="AH410" s="284"/>
      <c r="AI410" s="498"/>
      <c r="AJ410" s="2" t="str">
        <f t="shared" si="55"/>
        <v>NV</v>
      </c>
      <c r="AK410" s="303"/>
    </row>
    <row r="411" spans="1:37" x14ac:dyDescent="0.25">
      <c r="A411" s="499" t="s">
        <v>1207</v>
      </c>
      <c r="B411" s="317" t="s">
        <v>963</v>
      </c>
      <c r="C411" s="95">
        <v>3015</v>
      </c>
      <c r="D411" s="95">
        <v>0</v>
      </c>
      <c r="E411" s="95"/>
      <c r="F411" s="95"/>
      <c r="G411" s="95" t="s">
        <v>2528</v>
      </c>
      <c r="H411" s="138">
        <v>48680</v>
      </c>
      <c r="I411" s="138"/>
      <c r="J411" s="126">
        <f t="shared" si="48"/>
        <v>48680</v>
      </c>
      <c r="K411" s="318">
        <v>43798</v>
      </c>
      <c r="L411" s="95">
        <v>0</v>
      </c>
      <c r="M411" s="313">
        <f t="shared" si="49"/>
        <v>43798</v>
      </c>
      <c r="N411" s="2" t="str">
        <f t="shared" si="50"/>
        <v>Pagado</v>
      </c>
      <c r="O411" s="318">
        <v>43798</v>
      </c>
      <c r="P411" s="138">
        <v>48680</v>
      </c>
      <c r="Q411" s="2" t="s">
        <v>1481</v>
      </c>
      <c r="R411" s="2"/>
      <c r="S411" s="95"/>
      <c r="T411" s="313"/>
      <c r="U411" s="393"/>
      <c r="V411" s="95"/>
      <c r="W411" s="129"/>
      <c r="X411" s="318"/>
      <c r="Y411" s="95"/>
      <c r="Z411" s="131"/>
      <c r="AA411" s="108" t="str">
        <f t="shared" si="51"/>
        <v/>
      </c>
      <c r="AB411" s="2"/>
      <c r="AC411" s="131">
        <f t="shared" si="52"/>
        <v>40907.563025210089</v>
      </c>
      <c r="AD411" s="108">
        <f t="shared" si="53"/>
        <v>7772.4369747899109</v>
      </c>
      <c r="AE411" s="95" t="s">
        <v>1445</v>
      </c>
      <c r="AF411" s="498" t="s">
        <v>3490</v>
      </c>
      <c r="AG411" s="2" t="str">
        <f t="shared" si="54"/>
        <v>SI</v>
      </c>
      <c r="AH411" s="284"/>
      <c r="AI411" s="498"/>
      <c r="AJ411" s="2" t="str">
        <f t="shared" si="55"/>
        <v>Factura</v>
      </c>
      <c r="AK411" s="303"/>
    </row>
    <row r="412" spans="1:37" x14ac:dyDescent="0.25">
      <c r="A412" s="499" t="s">
        <v>1419</v>
      </c>
      <c r="B412" s="317" t="s">
        <v>1119</v>
      </c>
      <c r="C412" s="95">
        <v>0</v>
      </c>
      <c r="D412" s="95">
        <v>2746</v>
      </c>
      <c r="E412" s="95"/>
      <c r="F412" s="95"/>
      <c r="G412" s="95" t="s">
        <v>2528</v>
      </c>
      <c r="H412" s="138">
        <v>23500</v>
      </c>
      <c r="I412" s="138"/>
      <c r="J412" s="126">
        <f t="shared" si="48"/>
        <v>23500</v>
      </c>
      <c r="K412" s="318">
        <v>43798</v>
      </c>
      <c r="L412" s="95">
        <v>0</v>
      </c>
      <c r="M412" s="313">
        <f t="shared" si="49"/>
        <v>43798</v>
      </c>
      <c r="N412" s="2" t="str">
        <f t="shared" si="50"/>
        <v>Pagado</v>
      </c>
      <c r="O412" s="318">
        <v>43798</v>
      </c>
      <c r="P412" s="138">
        <v>23500</v>
      </c>
      <c r="Q412" s="2" t="s">
        <v>1481</v>
      </c>
      <c r="R412" s="2"/>
      <c r="S412" s="95"/>
      <c r="T412" s="313"/>
      <c r="U412" s="393"/>
      <c r="V412" s="95"/>
      <c r="W412" s="129"/>
      <c r="X412" s="318"/>
      <c r="Y412" s="95"/>
      <c r="Z412" s="131"/>
      <c r="AA412" s="108" t="str">
        <f t="shared" si="51"/>
        <v/>
      </c>
      <c r="AB412" s="2"/>
      <c r="AC412" s="131">
        <f t="shared" si="52"/>
        <v>19747.899159663866</v>
      </c>
      <c r="AD412" s="108">
        <f t="shared" si="53"/>
        <v>3752.1008403361338</v>
      </c>
      <c r="AE412" s="95" t="s">
        <v>1501</v>
      </c>
      <c r="AF412" s="498" t="s">
        <v>3489</v>
      </c>
      <c r="AG412" s="2" t="str">
        <f t="shared" si="54"/>
        <v>SI</v>
      </c>
      <c r="AH412" s="284"/>
      <c r="AI412" s="498"/>
      <c r="AJ412" s="2" t="str">
        <f t="shared" si="55"/>
        <v>NV</v>
      </c>
      <c r="AK412" s="303"/>
    </row>
    <row r="413" spans="1:37" x14ac:dyDescent="0.25">
      <c r="A413" s="534" t="s">
        <v>3562</v>
      </c>
      <c r="B413" s="317" t="s">
        <v>3563</v>
      </c>
      <c r="C413" s="95">
        <v>0</v>
      </c>
      <c r="D413" s="95">
        <v>2748</v>
      </c>
      <c r="E413" s="95"/>
      <c r="F413" s="95"/>
      <c r="G413" s="95">
        <v>6201</v>
      </c>
      <c r="H413" s="138">
        <v>25300</v>
      </c>
      <c r="I413" s="138"/>
      <c r="J413" s="126">
        <f t="shared" si="48"/>
        <v>25300</v>
      </c>
      <c r="K413" s="318">
        <v>43798</v>
      </c>
      <c r="L413" s="95">
        <v>0</v>
      </c>
      <c r="M413" s="313">
        <f t="shared" si="49"/>
        <v>43798</v>
      </c>
      <c r="N413" s="2" t="str">
        <f t="shared" si="50"/>
        <v>Abonado</v>
      </c>
      <c r="O413" s="318">
        <v>43798</v>
      </c>
      <c r="P413" s="138">
        <v>20000</v>
      </c>
      <c r="Q413" s="2" t="s">
        <v>1481</v>
      </c>
      <c r="R413" s="2"/>
      <c r="S413" s="95"/>
      <c r="T413" s="313"/>
      <c r="U413" s="393"/>
      <c r="V413" s="95"/>
      <c r="W413" s="129"/>
      <c r="X413" s="318"/>
      <c r="Y413" s="95"/>
      <c r="Z413" s="131"/>
      <c r="AA413" s="108" t="str">
        <f t="shared" si="51"/>
        <v/>
      </c>
      <c r="AB413" s="2"/>
      <c r="AC413" s="131">
        <f t="shared" si="52"/>
        <v>21260.504201680673</v>
      </c>
      <c r="AD413" s="108">
        <f t="shared" si="53"/>
        <v>4039.4957983193272</v>
      </c>
      <c r="AE413" s="95" t="s">
        <v>1501</v>
      </c>
      <c r="AF413" s="533" t="s">
        <v>3489</v>
      </c>
      <c r="AG413" s="2" t="str">
        <f t="shared" si="54"/>
        <v>NO</v>
      </c>
      <c r="AH413" s="284"/>
      <c r="AI413" s="533"/>
      <c r="AJ413" s="2" t="str">
        <f t="shared" si="55"/>
        <v>NV</v>
      </c>
      <c r="AK413" s="303"/>
    </row>
    <row r="414" spans="1:37" x14ac:dyDescent="0.25">
      <c r="A414" s="542" t="s">
        <v>1233</v>
      </c>
      <c r="B414" s="317" t="s">
        <v>1046</v>
      </c>
      <c r="C414" s="95">
        <v>0</v>
      </c>
      <c r="D414" s="95">
        <v>0</v>
      </c>
      <c r="E414" s="95"/>
      <c r="F414" s="95"/>
      <c r="G414" s="95">
        <v>6204</v>
      </c>
      <c r="H414" s="138">
        <v>7500</v>
      </c>
      <c r="I414" s="138"/>
      <c r="J414" s="126">
        <f t="shared" si="48"/>
        <v>7500</v>
      </c>
      <c r="K414" s="318">
        <v>43799</v>
      </c>
      <c r="L414" s="95">
        <v>0</v>
      </c>
      <c r="M414" s="313">
        <f t="shared" si="49"/>
        <v>43799</v>
      </c>
      <c r="N414" s="2" t="str">
        <f t="shared" si="50"/>
        <v>Pagado</v>
      </c>
      <c r="O414" s="318">
        <v>43810</v>
      </c>
      <c r="P414" s="138">
        <v>7500</v>
      </c>
      <c r="Q414" s="2" t="s">
        <v>1484</v>
      </c>
      <c r="R414" s="2"/>
      <c r="S414" s="95"/>
      <c r="T414" s="313" t="s">
        <v>1492</v>
      </c>
      <c r="U414" s="393"/>
      <c r="V414" s="95"/>
      <c r="W414" s="129"/>
      <c r="X414" s="318"/>
      <c r="Y414" s="95"/>
      <c r="Z414" s="131"/>
      <c r="AA414" s="108" t="str">
        <f t="shared" si="51"/>
        <v/>
      </c>
      <c r="AB414" s="2"/>
      <c r="AC414" s="131">
        <f t="shared" si="52"/>
        <v>6302.5210084033615</v>
      </c>
      <c r="AD414" s="108">
        <f t="shared" si="53"/>
        <v>1197.4789915966385</v>
      </c>
      <c r="AE414" s="95" t="s">
        <v>1501</v>
      </c>
      <c r="AF414" s="541" t="s">
        <v>3489</v>
      </c>
      <c r="AG414" s="2" t="str">
        <f t="shared" si="54"/>
        <v>SI</v>
      </c>
      <c r="AH414" s="284"/>
      <c r="AI414" s="541"/>
      <c r="AJ414" s="2" t="str">
        <f t="shared" si="55"/>
        <v>NV</v>
      </c>
      <c r="AK414" s="303"/>
    </row>
    <row r="415" spans="1:37" x14ac:dyDescent="0.25">
      <c r="A415" s="501" t="s">
        <v>1200</v>
      </c>
      <c r="B415" s="317" t="s">
        <v>2316</v>
      </c>
      <c r="C415" s="95">
        <v>0</v>
      </c>
      <c r="D415" s="95">
        <v>0</v>
      </c>
      <c r="E415" s="95"/>
      <c r="F415" s="95"/>
      <c r="G415" s="95">
        <v>6206</v>
      </c>
      <c r="H415" s="138">
        <v>14000</v>
      </c>
      <c r="I415" s="138"/>
      <c r="J415" s="126">
        <f t="shared" si="48"/>
        <v>14000</v>
      </c>
      <c r="K415" s="318">
        <v>43799</v>
      </c>
      <c r="L415" s="95">
        <v>0</v>
      </c>
      <c r="M415" s="313">
        <f t="shared" si="49"/>
        <v>43799</v>
      </c>
      <c r="N415" s="2" t="str">
        <f t="shared" si="50"/>
        <v>Pagado</v>
      </c>
      <c r="O415" s="318">
        <v>43810</v>
      </c>
      <c r="P415" s="138">
        <v>14000</v>
      </c>
      <c r="Q415" s="2" t="s">
        <v>1484</v>
      </c>
      <c r="R415" s="2"/>
      <c r="S415" s="95"/>
      <c r="T415" s="313" t="s">
        <v>1493</v>
      </c>
      <c r="U415" s="393"/>
      <c r="V415" s="95"/>
      <c r="W415" s="129"/>
      <c r="X415" s="318"/>
      <c r="Y415" s="95"/>
      <c r="Z415" s="131"/>
      <c r="AA415" s="108" t="str">
        <f t="shared" si="51"/>
        <v/>
      </c>
      <c r="AB415" s="2"/>
      <c r="AC415" s="131">
        <f t="shared" si="52"/>
        <v>11764.705882352942</v>
      </c>
      <c r="AD415" s="108">
        <f t="shared" si="53"/>
        <v>2235.2941176470576</v>
      </c>
      <c r="AE415" s="95" t="s">
        <v>1445</v>
      </c>
      <c r="AF415" s="500" t="s">
        <v>3489</v>
      </c>
      <c r="AG415" s="2" t="str">
        <f t="shared" si="54"/>
        <v>SI</v>
      </c>
      <c r="AH415" s="284"/>
      <c r="AI415" s="500"/>
      <c r="AJ415" s="2" t="str">
        <f t="shared" si="55"/>
        <v>NV</v>
      </c>
      <c r="AK415" s="303"/>
    </row>
    <row r="416" spans="1:37" x14ac:dyDescent="0.25">
      <c r="A416" s="534" t="s">
        <v>4800</v>
      </c>
      <c r="B416" s="317" t="s">
        <v>4801</v>
      </c>
      <c r="C416" s="95">
        <v>0</v>
      </c>
      <c r="D416" s="95">
        <v>0</v>
      </c>
      <c r="E416" s="95"/>
      <c r="F416" s="95"/>
      <c r="G416" s="95">
        <v>6166</v>
      </c>
      <c r="H416" s="138">
        <v>106500</v>
      </c>
      <c r="I416" s="138"/>
      <c r="J416" s="126">
        <f t="shared" si="48"/>
        <v>106500</v>
      </c>
      <c r="K416" s="318">
        <v>43799</v>
      </c>
      <c r="L416" s="95">
        <v>0</v>
      </c>
      <c r="M416" s="313">
        <f t="shared" si="49"/>
        <v>43799</v>
      </c>
      <c r="N416" s="2" t="str">
        <f t="shared" si="50"/>
        <v>Pagado</v>
      </c>
      <c r="O416" s="318">
        <v>43801</v>
      </c>
      <c r="P416" s="138">
        <v>106500</v>
      </c>
      <c r="Q416" s="2" t="s">
        <v>1484</v>
      </c>
      <c r="R416" s="2"/>
      <c r="S416" s="95"/>
      <c r="T416" s="313" t="s">
        <v>1496</v>
      </c>
      <c r="U416" s="393"/>
      <c r="V416" s="95"/>
      <c r="W416" s="129"/>
      <c r="X416" s="318"/>
      <c r="Y416" s="95"/>
      <c r="Z416" s="131"/>
      <c r="AA416" s="108" t="str">
        <f t="shared" si="51"/>
        <v/>
      </c>
      <c r="AB416" s="2"/>
      <c r="AC416" s="131">
        <f t="shared" si="52"/>
        <v>89495.798319327732</v>
      </c>
      <c r="AD416" s="108">
        <f t="shared" si="53"/>
        <v>17004.201680672268</v>
      </c>
      <c r="AE416" s="95" t="s">
        <v>1501</v>
      </c>
      <c r="AF416" s="533" t="s">
        <v>4803</v>
      </c>
      <c r="AG416" s="2" t="str">
        <f t="shared" si="54"/>
        <v>SI</v>
      </c>
      <c r="AH416" s="284"/>
      <c r="AI416" s="533"/>
      <c r="AJ416" s="2" t="str">
        <f t="shared" si="55"/>
        <v>NV</v>
      </c>
      <c r="AK416" s="303"/>
    </row>
    <row r="417" spans="1:37" x14ac:dyDescent="0.25">
      <c r="A417" s="534" t="s">
        <v>5443</v>
      </c>
      <c r="B417" s="317" t="s">
        <v>5445</v>
      </c>
      <c r="C417" s="95">
        <v>0</v>
      </c>
      <c r="D417" s="95" t="s">
        <v>2528</v>
      </c>
      <c r="E417" s="95"/>
      <c r="F417" s="95"/>
      <c r="G417" s="95">
        <v>6202</v>
      </c>
      <c r="H417" s="138">
        <v>19000</v>
      </c>
      <c r="I417" s="138"/>
      <c r="J417" s="126">
        <f t="shared" si="48"/>
        <v>19000</v>
      </c>
      <c r="K417" s="318">
        <v>43799</v>
      </c>
      <c r="L417" s="95">
        <v>0</v>
      </c>
      <c r="M417" s="313">
        <f t="shared" si="49"/>
        <v>43799</v>
      </c>
      <c r="N417" s="2" t="str">
        <f t="shared" si="50"/>
        <v>Pagado</v>
      </c>
      <c r="O417" s="318">
        <v>43799</v>
      </c>
      <c r="P417" s="138">
        <v>19000</v>
      </c>
      <c r="Q417" s="2" t="s">
        <v>1481</v>
      </c>
      <c r="R417" s="2"/>
      <c r="S417" s="95"/>
      <c r="T417" s="313"/>
      <c r="U417" s="393"/>
      <c r="V417" s="95">
        <v>4955436</v>
      </c>
      <c r="W417" s="129">
        <v>19000</v>
      </c>
      <c r="X417" s="318">
        <v>43805</v>
      </c>
      <c r="Y417" s="95" t="s">
        <v>1488</v>
      </c>
      <c r="Z417" s="131"/>
      <c r="AA417" s="108" t="str">
        <f t="shared" si="51"/>
        <v/>
      </c>
      <c r="AB417" s="2"/>
      <c r="AC417" s="131">
        <f t="shared" si="52"/>
        <v>15966.386554621849</v>
      </c>
      <c r="AD417" s="108">
        <f t="shared" si="53"/>
        <v>3033.6134453781506</v>
      </c>
      <c r="AE417" s="95" t="s">
        <v>1501</v>
      </c>
      <c r="AF417" s="533" t="s">
        <v>3487</v>
      </c>
      <c r="AG417" s="2" t="str">
        <f t="shared" si="54"/>
        <v>SI</v>
      </c>
      <c r="AH417" s="284"/>
      <c r="AI417" s="533"/>
      <c r="AJ417" s="2" t="str">
        <f t="shared" si="55"/>
        <v>NV</v>
      </c>
      <c r="AK417" s="303"/>
    </row>
    <row r="418" spans="1:37" x14ac:dyDescent="0.25">
      <c r="A418" s="499" t="s">
        <v>1335</v>
      </c>
      <c r="B418" s="317" t="s">
        <v>4277</v>
      </c>
      <c r="C418" s="95">
        <v>0</v>
      </c>
      <c r="D418" s="95">
        <v>172</v>
      </c>
      <c r="E418" s="95"/>
      <c r="F418" s="95"/>
      <c r="G418" s="95">
        <v>6185</v>
      </c>
      <c r="H418" s="138">
        <v>39200</v>
      </c>
      <c r="I418" s="138"/>
      <c r="J418" s="126">
        <f t="shared" si="48"/>
        <v>39200</v>
      </c>
      <c r="K418" s="318">
        <v>43799</v>
      </c>
      <c r="L418" s="95">
        <v>0</v>
      </c>
      <c r="M418" s="313">
        <f t="shared" si="49"/>
        <v>43799</v>
      </c>
      <c r="N418" s="2" t="str">
        <f t="shared" si="50"/>
        <v>Pagado</v>
      </c>
      <c r="O418" s="318">
        <v>43799</v>
      </c>
      <c r="P418" s="138">
        <v>39200</v>
      </c>
      <c r="Q418" s="2" t="s">
        <v>1070</v>
      </c>
      <c r="R418" s="2" t="s">
        <v>2243</v>
      </c>
      <c r="S418" s="95">
        <v>172</v>
      </c>
      <c r="T418" s="313"/>
      <c r="U418" s="393"/>
      <c r="V418" s="95"/>
      <c r="W418" s="129"/>
      <c r="X418" s="318"/>
      <c r="Y418" s="95"/>
      <c r="Z418" s="131"/>
      <c r="AA418" s="108" t="str">
        <f t="shared" si="51"/>
        <v/>
      </c>
      <c r="AB418" s="2"/>
      <c r="AC418" s="131">
        <f t="shared" si="52"/>
        <v>32941.176470588238</v>
      </c>
      <c r="AD418" s="108">
        <f t="shared" si="53"/>
        <v>6258.8235294117621</v>
      </c>
      <c r="AE418" s="95" t="s">
        <v>1501</v>
      </c>
      <c r="AF418" s="498" t="s">
        <v>3489</v>
      </c>
      <c r="AG418" s="2" t="str">
        <f t="shared" si="54"/>
        <v>SI</v>
      </c>
      <c r="AH418" s="284"/>
      <c r="AI418" s="498"/>
      <c r="AJ418" s="2" t="str">
        <f t="shared" si="55"/>
        <v>NV</v>
      </c>
      <c r="AK418" s="303"/>
    </row>
    <row r="419" spans="1:37" x14ac:dyDescent="0.25">
      <c r="A419" s="499" t="s">
        <v>3683</v>
      </c>
      <c r="B419" s="317" t="s">
        <v>3684</v>
      </c>
      <c r="C419" s="95">
        <v>0</v>
      </c>
      <c r="D419" s="95">
        <v>171</v>
      </c>
      <c r="E419" s="95"/>
      <c r="F419" s="95"/>
      <c r="G419" s="95">
        <v>7207</v>
      </c>
      <c r="H419" s="138">
        <v>33500</v>
      </c>
      <c r="I419" s="138"/>
      <c r="J419" s="126">
        <f t="shared" si="48"/>
        <v>33500</v>
      </c>
      <c r="K419" s="318">
        <v>43799</v>
      </c>
      <c r="L419" s="95">
        <v>0</v>
      </c>
      <c r="M419" s="313">
        <f t="shared" si="49"/>
        <v>43799</v>
      </c>
      <c r="N419" s="2" t="str">
        <f t="shared" si="50"/>
        <v>Pagado</v>
      </c>
      <c r="O419" s="318">
        <v>43799</v>
      </c>
      <c r="P419" s="138">
        <v>33500</v>
      </c>
      <c r="Q419" s="2" t="s">
        <v>1070</v>
      </c>
      <c r="R419" s="2" t="s">
        <v>2243</v>
      </c>
      <c r="S419" s="95">
        <v>171</v>
      </c>
      <c r="T419" s="313"/>
      <c r="U419" s="393"/>
      <c r="V419" s="95"/>
      <c r="W419" s="129"/>
      <c r="X419" s="318"/>
      <c r="Y419" s="95"/>
      <c r="Z419" s="131"/>
      <c r="AA419" s="108" t="str">
        <f t="shared" si="51"/>
        <v/>
      </c>
      <c r="AB419" s="2"/>
      <c r="AC419" s="131">
        <f t="shared" si="52"/>
        <v>28151.26050420168</v>
      </c>
      <c r="AD419" s="108">
        <f t="shared" si="53"/>
        <v>5348.7394957983197</v>
      </c>
      <c r="AE419" s="95" t="s">
        <v>1501</v>
      </c>
      <c r="AF419" s="498" t="s">
        <v>3487</v>
      </c>
      <c r="AG419" s="2" t="str">
        <f t="shared" si="54"/>
        <v>SI</v>
      </c>
      <c r="AH419" s="284"/>
      <c r="AI419" s="498"/>
      <c r="AJ419" s="2" t="str">
        <f t="shared" si="55"/>
        <v>NV</v>
      </c>
      <c r="AK419" s="303"/>
    </row>
    <row r="420" spans="1:37" x14ac:dyDescent="0.25">
      <c r="A420" s="542" t="s">
        <v>1218</v>
      </c>
      <c r="B420" s="317" t="s">
        <v>1075</v>
      </c>
      <c r="C420" s="95">
        <v>0</v>
      </c>
      <c r="D420" s="95">
        <v>0</v>
      </c>
      <c r="E420" s="95"/>
      <c r="F420" s="95"/>
      <c r="G420" s="95">
        <v>6205</v>
      </c>
      <c r="H420" s="138">
        <v>18000</v>
      </c>
      <c r="I420" s="138"/>
      <c r="J420" s="126">
        <f t="shared" si="48"/>
        <v>18000</v>
      </c>
      <c r="K420" s="318">
        <v>43799</v>
      </c>
      <c r="L420" s="95">
        <v>0</v>
      </c>
      <c r="M420" s="313">
        <f t="shared" si="49"/>
        <v>43799</v>
      </c>
      <c r="N420" s="2" t="str">
        <f t="shared" si="50"/>
        <v>Pagado</v>
      </c>
      <c r="O420" s="318">
        <v>43830</v>
      </c>
      <c r="P420" s="138">
        <v>18000</v>
      </c>
      <c r="Q420" s="2" t="s">
        <v>1484</v>
      </c>
      <c r="R420" s="2"/>
      <c r="S420" s="95"/>
      <c r="T420" s="313" t="s">
        <v>1462</v>
      </c>
      <c r="U420" s="393"/>
      <c r="V420" s="95"/>
      <c r="W420" s="129"/>
      <c r="X420" s="318"/>
      <c r="Y420" s="95"/>
      <c r="Z420" s="131"/>
      <c r="AA420" s="108" t="str">
        <f t="shared" si="51"/>
        <v/>
      </c>
      <c r="AB420" s="2"/>
      <c r="AC420" s="131">
        <f t="shared" si="52"/>
        <v>15126.050420168069</v>
      </c>
      <c r="AD420" s="108">
        <f t="shared" si="53"/>
        <v>2873.9495798319313</v>
      </c>
      <c r="AE420" s="95" t="s">
        <v>1501</v>
      </c>
      <c r="AF420" s="541" t="s">
        <v>3489</v>
      </c>
      <c r="AG420" s="2" t="str">
        <f t="shared" si="54"/>
        <v>SI</v>
      </c>
      <c r="AH420" s="284"/>
      <c r="AI420" s="541"/>
      <c r="AJ420" s="2" t="str">
        <f t="shared" si="55"/>
        <v>NV</v>
      </c>
      <c r="AK420" s="303"/>
    </row>
    <row r="421" spans="1:37" x14ac:dyDescent="0.25">
      <c r="A421" s="534" t="s">
        <v>5154</v>
      </c>
      <c r="B421" s="317" t="s">
        <v>5155</v>
      </c>
      <c r="C421" s="95">
        <v>0</v>
      </c>
      <c r="D421" s="95">
        <v>2749</v>
      </c>
      <c r="E421" s="95"/>
      <c r="F421" s="95"/>
      <c r="G421" s="95">
        <v>6203</v>
      </c>
      <c r="H421" s="138">
        <v>20900</v>
      </c>
      <c r="I421" s="138"/>
      <c r="J421" s="126">
        <f t="shared" si="48"/>
        <v>20900</v>
      </c>
      <c r="K421" s="318">
        <v>43799</v>
      </c>
      <c r="L421" s="95">
        <v>0</v>
      </c>
      <c r="M421" s="313">
        <f t="shared" si="49"/>
        <v>43799</v>
      </c>
      <c r="N421" s="2" t="str">
        <f t="shared" si="50"/>
        <v>Pagado</v>
      </c>
      <c r="O421" s="318">
        <v>43799</v>
      </c>
      <c r="P421" s="138">
        <v>20900</v>
      </c>
      <c r="Q421" s="2" t="s">
        <v>1481</v>
      </c>
      <c r="R421" s="2"/>
      <c r="S421" s="95"/>
      <c r="T421" s="313"/>
      <c r="U421" s="393"/>
      <c r="V421" s="95">
        <v>4955436</v>
      </c>
      <c r="W421" s="129">
        <v>20900</v>
      </c>
      <c r="X421" s="318">
        <v>43805</v>
      </c>
      <c r="Y421" s="95" t="s">
        <v>1488</v>
      </c>
      <c r="Z421" s="131"/>
      <c r="AA421" s="108" t="str">
        <f t="shared" si="51"/>
        <v/>
      </c>
      <c r="AB421" s="2"/>
      <c r="AC421" s="131">
        <f t="shared" si="52"/>
        <v>17563.025210084033</v>
      </c>
      <c r="AD421" s="108">
        <f t="shared" si="53"/>
        <v>3336.9747899159665</v>
      </c>
      <c r="AE421" s="95" t="s">
        <v>1501</v>
      </c>
      <c r="AF421" s="533" t="s">
        <v>3487</v>
      </c>
      <c r="AG421" s="2" t="str">
        <f t="shared" si="54"/>
        <v>SI</v>
      </c>
      <c r="AH421" s="284"/>
      <c r="AI421" s="533"/>
      <c r="AJ421" s="2" t="str">
        <f t="shared" si="55"/>
        <v>NV</v>
      </c>
      <c r="AK421" s="303"/>
    </row>
    <row r="422" spans="1:37" x14ac:dyDescent="0.25">
      <c r="A422" s="542" t="s">
        <v>1192</v>
      </c>
      <c r="B422" s="317" t="s">
        <v>1061</v>
      </c>
      <c r="C422" s="95" t="s">
        <v>4559</v>
      </c>
      <c r="D422" s="95">
        <v>0</v>
      </c>
      <c r="E422" s="95"/>
      <c r="F422" s="95"/>
      <c r="G422" s="95" t="s">
        <v>4786</v>
      </c>
      <c r="H422" s="138">
        <v>87412</v>
      </c>
      <c r="I422" s="138"/>
      <c r="J422" s="126">
        <f t="shared" si="48"/>
        <v>87412</v>
      </c>
      <c r="K422" s="318">
        <v>43800</v>
      </c>
      <c r="L422" s="95">
        <v>0</v>
      </c>
      <c r="M422" s="313">
        <f t="shared" si="49"/>
        <v>43800</v>
      </c>
      <c r="N422" s="2" t="str">
        <f t="shared" si="50"/>
        <v>Pagado</v>
      </c>
      <c r="O422" s="318">
        <v>43810</v>
      </c>
      <c r="P422" s="138">
        <v>87412</v>
      </c>
      <c r="Q422" s="2" t="s">
        <v>1484</v>
      </c>
      <c r="R422" s="2"/>
      <c r="S422" s="95"/>
      <c r="T422" s="313" t="s">
        <v>1488</v>
      </c>
      <c r="U422" s="393"/>
      <c r="V422" s="95"/>
      <c r="W422" s="129"/>
      <c r="X422" s="318"/>
      <c r="Y422" s="95"/>
      <c r="Z422" s="310">
        <v>43771</v>
      </c>
      <c r="AA422" s="108" t="str">
        <f t="shared" si="51"/>
        <v/>
      </c>
      <c r="AB422" s="2"/>
      <c r="AC422" s="131">
        <f t="shared" si="52"/>
        <v>73455.462184873948</v>
      </c>
      <c r="AD422" s="108">
        <f t="shared" si="53"/>
        <v>13956.537815126052</v>
      </c>
      <c r="AE422" s="95" t="s">
        <v>1501</v>
      </c>
      <c r="AF422" s="541" t="s">
        <v>3490</v>
      </c>
      <c r="AG422" s="2" t="str">
        <f t="shared" si="54"/>
        <v>SI</v>
      </c>
      <c r="AH422" s="284"/>
      <c r="AI422" s="541"/>
      <c r="AJ422" s="2" t="str">
        <f t="shared" si="55"/>
        <v>Factura</v>
      </c>
      <c r="AK422" s="303"/>
    </row>
    <row r="423" spans="1:37" x14ac:dyDescent="0.25">
      <c r="A423" s="542" t="s">
        <v>1192</v>
      </c>
      <c r="B423" s="317" t="s">
        <v>1061</v>
      </c>
      <c r="C423" s="95" t="s">
        <v>4559</v>
      </c>
      <c r="D423" s="95">
        <v>0</v>
      </c>
      <c r="E423" s="95"/>
      <c r="F423" s="95"/>
      <c r="G423" s="95" t="s">
        <v>4844</v>
      </c>
      <c r="H423" s="138">
        <v>56907</v>
      </c>
      <c r="I423" s="138"/>
      <c r="J423" s="126">
        <f t="shared" si="48"/>
        <v>56907</v>
      </c>
      <c r="K423" s="318">
        <v>43800</v>
      </c>
      <c r="L423" s="95">
        <v>0</v>
      </c>
      <c r="M423" s="313">
        <f t="shared" si="49"/>
        <v>43800</v>
      </c>
      <c r="N423" s="2" t="str">
        <f t="shared" si="50"/>
        <v>Pagado</v>
      </c>
      <c r="O423" s="318">
        <v>43810</v>
      </c>
      <c r="P423" s="138">
        <v>56907</v>
      </c>
      <c r="Q423" s="2" t="s">
        <v>1484</v>
      </c>
      <c r="R423" s="2"/>
      <c r="S423" s="95"/>
      <c r="T423" s="313" t="s">
        <v>1488</v>
      </c>
      <c r="U423" s="393"/>
      <c r="V423" s="95"/>
      <c r="W423" s="129"/>
      <c r="X423" s="318"/>
      <c r="Y423" s="95"/>
      <c r="Z423" s="310">
        <v>43778</v>
      </c>
      <c r="AA423" s="108" t="str">
        <f t="shared" si="51"/>
        <v/>
      </c>
      <c r="AB423" s="2"/>
      <c r="AC423" s="131">
        <f t="shared" si="52"/>
        <v>47821.008403361346</v>
      </c>
      <c r="AD423" s="108">
        <f t="shared" si="53"/>
        <v>9085.9915966386543</v>
      </c>
      <c r="AE423" s="95" t="s">
        <v>1501</v>
      </c>
      <c r="AF423" s="541" t="s">
        <v>3490</v>
      </c>
      <c r="AG423" s="2" t="str">
        <f t="shared" si="54"/>
        <v>SI</v>
      </c>
      <c r="AH423" s="284"/>
      <c r="AI423" s="541"/>
      <c r="AJ423" s="2" t="str">
        <f t="shared" si="55"/>
        <v>Factura</v>
      </c>
      <c r="AK423" s="303"/>
    </row>
    <row r="424" spans="1:37" x14ac:dyDescent="0.25">
      <c r="A424" s="542" t="s">
        <v>1192</v>
      </c>
      <c r="B424" s="317" t="s">
        <v>1061</v>
      </c>
      <c r="C424" s="95" t="s">
        <v>4559</v>
      </c>
      <c r="D424" s="95">
        <v>0</v>
      </c>
      <c r="E424" s="95"/>
      <c r="F424" s="95"/>
      <c r="G424" s="95" t="s">
        <v>4845</v>
      </c>
      <c r="H424" s="138">
        <v>92655</v>
      </c>
      <c r="I424" s="138"/>
      <c r="J424" s="126">
        <f t="shared" si="48"/>
        <v>92655</v>
      </c>
      <c r="K424" s="318">
        <v>43800</v>
      </c>
      <c r="L424" s="95">
        <v>0</v>
      </c>
      <c r="M424" s="313">
        <f t="shared" si="49"/>
        <v>43800</v>
      </c>
      <c r="N424" s="2" t="str">
        <f t="shared" si="50"/>
        <v>Pagado</v>
      </c>
      <c r="O424" s="318">
        <v>43810</v>
      </c>
      <c r="P424" s="138">
        <v>92655</v>
      </c>
      <c r="Q424" s="2" t="s">
        <v>1484</v>
      </c>
      <c r="R424" s="2"/>
      <c r="S424" s="95"/>
      <c r="T424" s="313" t="s">
        <v>1488</v>
      </c>
      <c r="U424" s="393"/>
      <c r="V424" s="95"/>
      <c r="W424" s="129"/>
      <c r="X424" s="318"/>
      <c r="Y424" s="95"/>
      <c r="Z424" s="310">
        <v>43788</v>
      </c>
      <c r="AA424" s="108" t="str">
        <f t="shared" si="51"/>
        <v/>
      </c>
      <c r="AB424" s="2"/>
      <c r="AC424" s="131">
        <f t="shared" si="52"/>
        <v>77861.344537815123</v>
      </c>
      <c r="AD424" s="108">
        <f t="shared" si="53"/>
        <v>14793.655462184877</v>
      </c>
      <c r="AE424" s="95" t="s">
        <v>1501</v>
      </c>
      <c r="AF424" s="541" t="s">
        <v>3490</v>
      </c>
      <c r="AG424" s="2" t="str">
        <f t="shared" si="54"/>
        <v>SI</v>
      </c>
      <c r="AH424" s="284"/>
      <c r="AI424" s="541"/>
      <c r="AJ424" s="2" t="str">
        <f t="shared" si="55"/>
        <v>Factura</v>
      </c>
      <c r="AK424" s="303"/>
    </row>
    <row r="425" spans="1:37" x14ac:dyDescent="0.25">
      <c r="A425" s="542" t="s">
        <v>1192</v>
      </c>
      <c r="B425" s="317" t="s">
        <v>1061</v>
      </c>
      <c r="C425" s="95" t="s">
        <v>4559</v>
      </c>
      <c r="D425" s="95">
        <v>0</v>
      </c>
      <c r="E425" s="95"/>
      <c r="F425" s="95"/>
      <c r="G425" s="95" t="s">
        <v>4429</v>
      </c>
      <c r="H425" s="138">
        <v>43944</v>
      </c>
      <c r="I425" s="138"/>
      <c r="J425" s="126">
        <f t="shared" si="48"/>
        <v>43944</v>
      </c>
      <c r="K425" s="318">
        <v>43800</v>
      </c>
      <c r="L425" s="95">
        <v>0</v>
      </c>
      <c r="M425" s="313">
        <f t="shared" si="49"/>
        <v>43800</v>
      </c>
      <c r="N425" s="2" t="str">
        <f t="shared" si="50"/>
        <v>Pagado</v>
      </c>
      <c r="O425" s="318">
        <v>43810</v>
      </c>
      <c r="P425" s="138">
        <v>43944</v>
      </c>
      <c r="Q425" s="2" t="s">
        <v>1484</v>
      </c>
      <c r="R425" s="2"/>
      <c r="S425" s="95"/>
      <c r="T425" s="313" t="s">
        <v>1488</v>
      </c>
      <c r="U425" s="393"/>
      <c r="V425" s="95"/>
      <c r="W425" s="129"/>
      <c r="X425" s="318"/>
      <c r="Y425" s="95"/>
      <c r="Z425" s="310">
        <v>43788</v>
      </c>
      <c r="AA425" s="108" t="str">
        <f t="shared" si="51"/>
        <v/>
      </c>
      <c r="AB425" s="2"/>
      <c r="AC425" s="131">
        <f t="shared" si="52"/>
        <v>36927.731092436974</v>
      </c>
      <c r="AD425" s="108">
        <f t="shared" si="53"/>
        <v>7016.268907563026</v>
      </c>
      <c r="AE425" s="95" t="s">
        <v>1501</v>
      </c>
      <c r="AF425" s="541" t="s">
        <v>3490</v>
      </c>
      <c r="AG425" s="2" t="str">
        <f t="shared" si="54"/>
        <v>SI</v>
      </c>
      <c r="AH425" s="284"/>
      <c r="AI425" s="541"/>
      <c r="AJ425" s="2" t="str">
        <f t="shared" si="55"/>
        <v>Factura</v>
      </c>
      <c r="AK425" s="303"/>
    </row>
    <row r="426" spans="1:37" x14ac:dyDescent="0.25">
      <c r="A426" s="542" t="s">
        <v>1192</v>
      </c>
      <c r="B426" s="317" t="s">
        <v>1061</v>
      </c>
      <c r="C426" s="95" t="s">
        <v>4559</v>
      </c>
      <c r="D426" s="95">
        <v>0</v>
      </c>
      <c r="E426" s="95"/>
      <c r="F426" s="95"/>
      <c r="G426" s="95" t="s">
        <v>4759</v>
      </c>
      <c r="H426" s="138">
        <v>64475</v>
      </c>
      <c r="I426" s="138"/>
      <c r="J426" s="126">
        <f t="shared" si="48"/>
        <v>64475</v>
      </c>
      <c r="K426" s="318">
        <v>43800</v>
      </c>
      <c r="L426" s="95">
        <v>0</v>
      </c>
      <c r="M426" s="313">
        <f t="shared" si="49"/>
        <v>43800</v>
      </c>
      <c r="N426" s="2" t="str">
        <f t="shared" si="50"/>
        <v>Pagado</v>
      </c>
      <c r="O426" s="318">
        <v>43810</v>
      </c>
      <c r="P426" s="138">
        <v>64475</v>
      </c>
      <c r="Q426" s="2" t="s">
        <v>1484</v>
      </c>
      <c r="R426" s="2"/>
      <c r="S426" s="95"/>
      <c r="T426" s="313" t="s">
        <v>1488</v>
      </c>
      <c r="U426" s="393"/>
      <c r="V426" s="95"/>
      <c r="W426" s="129"/>
      <c r="X426" s="318"/>
      <c r="Y426" s="95"/>
      <c r="Z426" s="310">
        <v>43797</v>
      </c>
      <c r="AA426" s="108" t="str">
        <f t="shared" si="51"/>
        <v/>
      </c>
      <c r="AB426" s="2"/>
      <c r="AC426" s="131">
        <f t="shared" si="52"/>
        <v>54180.672268907569</v>
      </c>
      <c r="AD426" s="108">
        <f t="shared" si="53"/>
        <v>10294.327731092431</v>
      </c>
      <c r="AE426" s="95" t="s">
        <v>1501</v>
      </c>
      <c r="AF426" s="541" t="s">
        <v>3490</v>
      </c>
      <c r="AG426" s="2" t="str">
        <f t="shared" si="54"/>
        <v>SI</v>
      </c>
      <c r="AH426" s="284"/>
      <c r="AI426" s="541"/>
      <c r="AJ426" s="2" t="str">
        <f t="shared" si="55"/>
        <v>Factura</v>
      </c>
      <c r="AK426" s="303"/>
    </row>
    <row r="427" spans="1:37" x14ac:dyDescent="0.25">
      <c r="A427" s="542" t="s">
        <v>4947</v>
      </c>
      <c r="B427" s="317" t="s">
        <v>4948</v>
      </c>
      <c r="C427" s="95">
        <v>0</v>
      </c>
      <c r="D427" s="95">
        <v>2750</v>
      </c>
      <c r="E427" s="95"/>
      <c r="F427" s="95"/>
      <c r="G427" s="95">
        <v>6208</v>
      </c>
      <c r="H427" s="138">
        <v>26300</v>
      </c>
      <c r="I427" s="138"/>
      <c r="J427" s="126">
        <f t="shared" si="48"/>
        <v>26300</v>
      </c>
      <c r="K427" s="318">
        <v>43801</v>
      </c>
      <c r="L427" s="95">
        <v>0</v>
      </c>
      <c r="M427" s="313">
        <f t="shared" si="49"/>
        <v>43801</v>
      </c>
      <c r="N427" s="2" t="str">
        <f t="shared" si="50"/>
        <v>Pagado</v>
      </c>
      <c r="O427" s="318">
        <v>43801</v>
      </c>
      <c r="P427" s="138">
        <v>26300</v>
      </c>
      <c r="Q427" s="2" t="s">
        <v>1484</v>
      </c>
      <c r="R427" s="2"/>
      <c r="S427" s="95"/>
      <c r="T427" s="313" t="s">
        <v>1488</v>
      </c>
      <c r="U427" s="393"/>
      <c r="V427" s="95"/>
      <c r="W427" s="129"/>
      <c r="X427" s="318"/>
      <c r="Y427" s="95"/>
      <c r="Z427" s="131"/>
      <c r="AA427" s="108" t="str">
        <f t="shared" si="51"/>
        <v/>
      </c>
      <c r="AB427" s="2"/>
      <c r="AC427" s="131">
        <f t="shared" si="52"/>
        <v>22100.840336134454</v>
      </c>
      <c r="AD427" s="108">
        <f t="shared" si="53"/>
        <v>4199.1596638655465</v>
      </c>
      <c r="AE427" s="95" t="s">
        <v>1501</v>
      </c>
      <c r="AF427" s="541" t="s">
        <v>3487</v>
      </c>
      <c r="AG427" s="2" t="str">
        <f t="shared" si="54"/>
        <v>SI</v>
      </c>
      <c r="AH427" s="284"/>
      <c r="AI427" s="541"/>
      <c r="AJ427" s="2" t="str">
        <f t="shared" si="55"/>
        <v>NV</v>
      </c>
      <c r="AK427" s="303"/>
    </row>
    <row r="428" spans="1:37" x14ac:dyDescent="0.25">
      <c r="A428" s="499" t="s">
        <v>1237</v>
      </c>
      <c r="B428" s="317" t="s">
        <v>2147</v>
      </c>
      <c r="C428" s="95">
        <v>0</v>
      </c>
      <c r="D428" s="95">
        <v>2754</v>
      </c>
      <c r="E428" s="95"/>
      <c r="F428" s="95"/>
      <c r="G428" s="95">
        <v>6213</v>
      </c>
      <c r="H428" s="138">
        <v>19700</v>
      </c>
      <c r="I428" s="138"/>
      <c r="J428" s="126">
        <f t="shared" si="48"/>
        <v>19700</v>
      </c>
      <c r="K428" s="318">
        <v>43801</v>
      </c>
      <c r="L428" s="95">
        <v>0</v>
      </c>
      <c r="M428" s="313">
        <f t="shared" si="49"/>
        <v>43801</v>
      </c>
      <c r="N428" s="2" t="str">
        <f t="shared" si="50"/>
        <v>Pagado</v>
      </c>
      <c r="O428" s="318">
        <v>43801</v>
      </c>
      <c r="P428" s="138">
        <v>19700</v>
      </c>
      <c r="Q428" s="2" t="s">
        <v>1484</v>
      </c>
      <c r="R428" s="2"/>
      <c r="S428" s="95"/>
      <c r="T428" s="313" t="s">
        <v>1496</v>
      </c>
      <c r="U428" s="393"/>
      <c r="V428" s="95"/>
      <c r="W428" s="129"/>
      <c r="X428" s="318"/>
      <c r="Y428" s="95"/>
      <c r="Z428" s="131"/>
      <c r="AA428" s="108" t="str">
        <f t="shared" si="51"/>
        <v/>
      </c>
      <c r="AB428" s="2"/>
      <c r="AC428" s="131">
        <f t="shared" si="52"/>
        <v>16554.621848739498</v>
      </c>
      <c r="AD428" s="108">
        <f t="shared" si="53"/>
        <v>3145.3781512605019</v>
      </c>
      <c r="AE428" s="95" t="s">
        <v>1501</v>
      </c>
      <c r="AF428" s="498" t="s">
        <v>3489</v>
      </c>
      <c r="AG428" s="2" t="str">
        <f t="shared" si="54"/>
        <v>SI</v>
      </c>
      <c r="AH428" s="284"/>
      <c r="AI428" s="498"/>
      <c r="AJ428" s="2" t="str">
        <f t="shared" si="55"/>
        <v>NV</v>
      </c>
      <c r="AK428" s="303"/>
    </row>
    <row r="429" spans="1:37" x14ac:dyDescent="0.25">
      <c r="A429" s="458" t="s">
        <v>1250</v>
      </c>
      <c r="B429" s="317" t="s">
        <v>3398</v>
      </c>
      <c r="C429" s="95">
        <v>0</v>
      </c>
      <c r="D429" s="95">
        <v>2753</v>
      </c>
      <c r="E429" s="95"/>
      <c r="F429" s="95"/>
      <c r="G429" s="95">
        <v>6211</v>
      </c>
      <c r="H429" s="138">
        <v>20200</v>
      </c>
      <c r="I429" s="138"/>
      <c r="J429" s="126">
        <f t="shared" si="48"/>
        <v>20200</v>
      </c>
      <c r="K429" s="318">
        <v>43801</v>
      </c>
      <c r="L429" s="95">
        <v>0</v>
      </c>
      <c r="M429" s="313">
        <f t="shared" si="49"/>
        <v>43801</v>
      </c>
      <c r="N429" s="2" t="str">
        <f t="shared" si="50"/>
        <v>Pagado</v>
      </c>
      <c r="O429" s="318">
        <v>43801</v>
      </c>
      <c r="P429" s="138">
        <v>20200</v>
      </c>
      <c r="Q429" s="2" t="s">
        <v>1481</v>
      </c>
      <c r="R429" s="2"/>
      <c r="S429" s="95"/>
      <c r="T429" s="313"/>
      <c r="U429" s="393"/>
      <c r="V429" s="95">
        <v>4955436</v>
      </c>
      <c r="W429" s="129">
        <v>20200</v>
      </c>
      <c r="X429" s="318">
        <v>43805</v>
      </c>
      <c r="Y429" s="95" t="s">
        <v>1488</v>
      </c>
      <c r="Z429" s="131"/>
      <c r="AA429" s="108" t="str">
        <f t="shared" si="51"/>
        <v/>
      </c>
      <c r="AB429" s="2"/>
      <c r="AC429" s="131">
        <f t="shared" si="52"/>
        <v>16974.789915966387</v>
      </c>
      <c r="AD429" s="108">
        <f t="shared" si="53"/>
        <v>3225.2100840336134</v>
      </c>
      <c r="AE429" s="95" t="s">
        <v>1501</v>
      </c>
      <c r="AF429" s="457" t="s">
        <v>3489</v>
      </c>
      <c r="AG429" s="2" t="str">
        <f t="shared" si="54"/>
        <v>SI</v>
      </c>
      <c r="AH429" s="284"/>
      <c r="AI429" s="457"/>
      <c r="AJ429" s="2" t="str">
        <f t="shared" si="55"/>
        <v>NV</v>
      </c>
      <c r="AK429" s="303"/>
    </row>
    <row r="430" spans="1:37" x14ac:dyDescent="0.25">
      <c r="A430" s="458" t="s">
        <v>1320</v>
      </c>
      <c r="B430" s="317" t="s">
        <v>3394</v>
      </c>
      <c r="C430" s="95">
        <v>0</v>
      </c>
      <c r="D430" s="95">
        <v>173</v>
      </c>
      <c r="E430" s="95"/>
      <c r="F430" s="95"/>
      <c r="G430" s="95">
        <v>6212</v>
      </c>
      <c r="H430" s="138">
        <v>44100</v>
      </c>
      <c r="I430" s="138"/>
      <c r="J430" s="126">
        <f t="shared" si="48"/>
        <v>44100</v>
      </c>
      <c r="K430" s="318">
        <v>43801</v>
      </c>
      <c r="L430" s="95">
        <v>0</v>
      </c>
      <c r="M430" s="313">
        <f t="shared" si="49"/>
        <v>43801</v>
      </c>
      <c r="N430" s="2" t="str">
        <f t="shared" si="50"/>
        <v>Pagado</v>
      </c>
      <c r="O430" s="318">
        <v>43801</v>
      </c>
      <c r="P430" s="138">
        <v>44100</v>
      </c>
      <c r="Q430" s="2" t="s">
        <v>1070</v>
      </c>
      <c r="R430" s="2" t="s">
        <v>2243</v>
      </c>
      <c r="S430" s="95">
        <v>173</v>
      </c>
      <c r="T430" s="313"/>
      <c r="U430" s="393"/>
      <c r="V430" s="95"/>
      <c r="W430" s="129"/>
      <c r="X430" s="318"/>
      <c r="Y430" s="95"/>
      <c r="Z430" s="131"/>
      <c r="AA430" s="108" t="str">
        <f t="shared" si="51"/>
        <v/>
      </c>
      <c r="AB430" s="2"/>
      <c r="AC430" s="131">
        <f t="shared" si="52"/>
        <v>37058.823529411769</v>
      </c>
      <c r="AD430" s="108">
        <f t="shared" si="53"/>
        <v>7041.1764705882306</v>
      </c>
      <c r="AE430" s="95" t="s">
        <v>1501</v>
      </c>
      <c r="AF430" s="457" t="s">
        <v>3489</v>
      </c>
      <c r="AG430" s="2" t="str">
        <f t="shared" si="54"/>
        <v>SI</v>
      </c>
      <c r="AH430" s="284"/>
      <c r="AI430" s="457"/>
      <c r="AJ430" s="2" t="str">
        <f t="shared" si="55"/>
        <v>NV</v>
      </c>
      <c r="AK430" s="303"/>
    </row>
    <row r="431" spans="1:37" x14ac:dyDescent="0.25">
      <c r="A431" s="534" t="s">
        <v>1986</v>
      </c>
      <c r="B431" s="317" t="s">
        <v>1984</v>
      </c>
      <c r="C431" s="95">
        <v>0</v>
      </c>
      <c r="D431" s="95">
        <v>2751</v>
      </c>
      <c r="E431" s="95"/>
      <c r="F431" s="95"/>
      <c r="G431" s="95">
        <v>6209</v>
      </c>
      <c r="H431" s="138">
        <v>22800</v>
      </c>
      <c r="I431" s="138"/>
      <c r="J431" s="126">
        <f t="shared" si="48"/>
        <v>22800</v>
      </c>
      <c r="K431" s="318">
        <v>43801</v>
      </c>
      <c r="L431" s="95">
        <v>0</v>
      </c>
      <c r="M431" s="313">
        <f t="shared" si="49"/>
        <v>43801</v>
      </c>
      <c r="N431" s="2" t="str">
        <f t="shared" si="50"/>
        <v>Pagado</v>
      </c>
      <c r="O431" s="318">
        <v>43802</v>
      </c>
      <c r="P431" s="138">
        <v>22800</v>
      </c>
      <c r="Q431" s="2" t="s">
        <v>1484</v>
      </c>
      <c r="R431" s="2"/>
      <c r="S431" s="95"/>
      <c r="T431" s="313" t="s">
        <v>1496</v>
      </c>
      <c r="U431" s="393"/>
      <c r="V431" s="95"/>
      <c r="W431" s="129"/>
      <c r="X431" s="318"/>
      <c r="Y431" s="95"/>
      <c r="Z431" s="131"/>
      <c r="AA431" s="108" t="str">
        <f t="shared" si="51"/>
        <v/>
      </c>
      <c r="AB431" s="2"/>
      <c r="AC431" s="131">
        <f t="shared" si="52"/>
        <v>19159.663865546219</v>
      </c>
      <c r="AD431" s="108">
        <f t="shared" si="53"/>
        <v>3640.3361344537807</v>
      </c>
      <c r="AE431" s="95" t="s">
        <v>1501</v>
      </c>
      <c r="AF431" s="533" t="s">
        <v>3489</v>
      </c>
      <c r="AG431" s="2" t="str">
        <f t="shared" si="54"/>
        <v>SI</v>
      </c>
      <c r="AH431" s="284"/>
      <c r="AI431" s="533"/>
      <c r="AJ431" s="2" t="str">
        <f t="shared" si="55"/>
        <v>NV</v>
      </c>
      <c r="AK431" s="303"/>
    </row>
    <row r="432" spans="1:37" x14ac:dyDescent="0.25">
      <c r="A432" s="534" t="s">
        <v>4791</v>
      </c>
      <c r="B432" s="317" t="s">
        <v>4792</v>
      </c>
      <c r="C432" s="95">
        <v>0</v>
      </c>
      <c r="D432" s="95">
        <v>174</v>
      </c>
      <c r="E432" s="95"/>
      <c r="F432" s="95"/>
      <c r="G432" s="95">
        <v>6214</v>
      </c>
      <c r="H432" s="138">
        <v>71000</v>
      </c>
      <c r="I432" s="138"/>
      <c r="J432" s="126">
        <f t="shared" si="48"/>
        <v>71000</v>
      </c>
      <c r="K432" s="318">
        <v>43801</v>
      </c>
      <c r="L432" s="95">
        <v>0</v>
      </c>
      <c r="M432" s="313">
        <f t="shared" si="49"/>
        <v>43801</v>
      </c>
      <c r="N432" s="2" t="str">
        <f t="shared" si="50"/>
        <v>Pagado</v>
      </c>
      <c r="O432" s="318">
        <v>43802</v>
      </c>
      <c r="P432" s="138">
        <v>71000</v>
      </c>
      <c r="Q432" s="2" t="s">
        <v>1070</v>
      </c>
      <c r="R432" s="2" t="s">
        <v>2243</v>
      </c>
      <c r="S432" s="95">
        <v>174</v>
      </c>
      <c r="T432" s="313"/>
      <c r="U432" s="393"/>
      <c r="V432" s="95"/>
      <c r="W432" s="129"/>
      <c r="X432" s="318"/>
      <c r="Y432" s="95"/>
      <c r="Z432" s="131"/>
      <c r="AA432" s="108" t="str">
        <f t="shared" si="51"/>
        <v/>
      </c>
      <c r="AB432" s="2"/>
      <c r="AC432" s="131">
        <f t="shared" si="52"/>
        <v>59663.865546218491</v>
      </c>
      <c r="AD432" s="108">
        <f t="shared" si="53"/>
        <v>11336.134453781509</v>
      </c>
      <c r="AE432" s="95" t="s">
        <v>1501</v>
      </c>
      <c r="AF432" s="533" t="s">
        <v>3487</v>
      </c>
      <c r="AG432" s="2" t="str">
        <f t="shared" si="54"/>
        <v>SI</v>
      </c>
      <c r="AH432" s="284"/>
      <c r="AI432" s="533"/>
      <c r="AJ432" s="2" t="str">
        <f t="shared" si="55"/>
        <v>NV</v>
      </c>
      <c r="AK432" s="303"/>
    </row>
    <row r="433" spans="1:37" x14ac:dyDescent="0.25">
      <c r="A433" s="534" t="s">
        <v>1244</v>
      </c>
      <c r="B433" s="317" t="s">
        <v>971</v>
      </c>
      <c r="C433" s="95">
        <v>0</v>
      </c>
      <c r="D433" s="95">
        <v>2752</v>
      </c>
      <c r="E433" s="95"/>
      <c r="F433" s="95"/>
      <c r="G433" s="95">
        <v>6210</v>
      </c>
      <c r="H433" s="138">
        <v>19700</v>
      </c>
      <c r="I433" s="138"/>
      <c r="J433" s="126">
        <f t="shared" si="48"/>
        <v>19700</v>
      </c>
      <c r="K433" s="318">
        <v>43801</v>
      </c>
      <c r="L433" s="95">
        <v>0</v>
      </c>
      <c r="M433" s="313">
        <f t="shared" si="49"/>
        <v>43801</v>
      </c>
      <c r="N433" s="2" t="str">
        <f t="shared" si="50"/>
        <v>Pagado</v>
      </c>
      <c r="O433" s="318">
        <v>43808</v>
      </c>
      <c r="P433" s="138">
        <v>19700</v>
      </c>
      <c r="Q433" s="2" t="s">
        <v>1481</v>
      </c>
      <c r="R433" s="2"/>
      <c r="S433" s="95"/>
      <c r="T433" s="313"/>
      <c r="U433" s="393"/>
      <c r="V433" s="95">
        <v>2270731</v>
      </c>
      <c r="W433" s="129">
        <v>19700</v>
      </c>
      <c r="X433" s="318">
        <v>43810</v>
      </c>
      <c r="Y433" s="95" t="s">
        <v>1488</v>
      </c>
      <c r="Z433" s="131"/>
      <c r="AA433" s="108" t="str">
        <f t="shared" si="51"/>
        <v/>
      </c>
      <c r="AB433" s="2"/>
      <c r="AC433" s="131">
        <f t="shared" si="52"/>
        <v>16554.621848739498</v>
      </c>
      <c r="AD433" s="108">
        <f t="shared" si="53"/>
        <v>3145.3781512605019</v>
      </c>
      <c r="AE433" s="95" t="s">
        <v>1501</v>
      </c>
      <c r="AF433" s="533" t="s">
        <v>3489</v>
      </c>
      <c r="AG433" s="2" t="str">
        <f t="shared" si="54"/>
        <v>SI</v>
      </c>
      <c r="AH433" s="284"/>
      <c r="AI433" s="533"/>
      <c r="AJ433" s="2" t="str">
        <f t="shared" si="55"/>
        <v>NV</v>
      </c>
      <c r="AK433" s="303"/>
    </row>
    <row r="434" spans="1:37" x14ac:dyDescent="0.25">
      <c r="A434" s="542" t="s">
        <v>1253</v>
      </c>
      <c r="B434" s="317" t="s">
        <v>990</v>
      </c>
      <c r="C434" s="95">
        <v>0</v>
      </c>
      <c r="D434" s="95">
        <v>2755</v>
      </c>
      <c r="E434" s="95"/>
      <c r="F434" s="95"/>
      <c r="G434" s="95">
        <v>6217</v>
      </c>
      <c r="H434" s="138">
        <v>9600</v>
      </c>
      <c r="I434" s="138"/>
      <c r="J434" s="126">
        <f t="shared" si="48"/>
        <v>9600</v>
      </c>
      <c r="K434" s="318">
        <v>43802</v>
      </c>
      <c r="L434" s="95">
        <v>0</v>
      </c>
      <c r="M434" s="313">
        <f t="shared" si="49"/>
        <v>43802</v>
      </c>
      <c r="N434" s="2" t="str">
        <f t="shared" si="50"/>
        <v>Pagado</v>
      </c>
      <c r="O434" s="318">
        <v>43802</v>
      </c>
      <c r="P434" s="138">
        <v>9600</v>
      </c>
      <c r="Q434" s="2" t="s">
        <v>1481</v>
      </c>
      <c r="R434" s="2"/>
      <c r="S434" s="95"/>
      <c r="T434" s="313"/>
      <c r="U434" s="393"/>
      <c r="V434" s="95">
        <v>4955436</v>
      </c>
      <c r="W434" s="129">
        <v>9600</v>
      </c>
      <c r="X434" s="318">
        <v>43805</v>
      </c>
      <c r="Y434" s="95" t="s">
        <v>1488</v>
      </c>
      <c r="Z434" s="131"/>
      <c r="AA434" s="108" t="str">
        <f t="shared" si="51"/>
        <v/>
      </c>
      <c r="AB434" s="2"/>
      <c r="AC434" s="131">
        <f t="shared" si="52"/>
        <v>8067.226890756303</v>
      </c>
      <c r="AD434" s="108">
        <f t="shared" si="53"/>
        <v>1532.773109243697</v>
      </c>
      <c r="AE434" s="95" t="s">
        <v>1501</v>
      </c>
      <c r="AF434" s="541" t="s">
        <v>3489</v>
      </c>
      <c r="AG434" s="2" t="str">
        <f t="shared" si="54"/>
        <v>SI</v>
      </c>
      <c r="AH434" s="284"/>
      <c r="AI434" s="541"/>
      <c r="AJ434" s="2" t="str">
        <f t="shared" si="55"/>
        <v>NV</v>
      </c>
      <c r="AK434" s="303"/>
    </row>
    <row r="435" spans="1:37" x14ac:dyDescent="0.25">
      <c r="A435" s="542" t="s">
        <v>1381</v>
      </c>
      <c r="B435" s="317" t="s">
        <v>1993</v>
      </c>
      <c r="C435" s="95">
        <v>0</v>
      </c>
      <c r="D435" s="95">
        <v>0</v>
      </c>
      <c r="E435" s="95"/>
      <c r="F435" s="95"/>
      <c r="G435" s="95">
        <v>6221</v>
      </c>
      <c r="H435" s="138">
        <v>10200</v>
      </c>
      <c r="I435" s="138"/>
      <c r="J435" s="126">
        <f t="shared" si="48"/>
        <v>10200</v>
      </c>
      <c r="K435" s="318">
        <v>43802</v>
      </c>
      <c r="L435" s="95">
        <v>0</v>
      </c>
      <c r="M435" s="313">
        <f t="shared" si="49"/>
        <v>43802</v>
      </c>
      <c r="N435" s="2" t="str">
        <f t="shared" ca="1" si="50"/>
        <v>Vencido</v>
      </c>
      <c r="O435" s="318"/>
      <c r="P435" s="138"/>
      <c r="Q435" s="2"/>
      <c r="R435" s="2"/>
      <c r="S435" s="95"/>
      <c r="T435" s="313"/>
      <c r="U435" s="393"/>
      <c r="V435" s="95"/>
      <c r="W435" s="129"/>
      <c r="X435" s="318"/>
      <c r="Y435" s="95"/>
      <c r="Z435" s="131"/>
      <c r="AA435" s="108" t="str">
        <f t="shared" si="51"/>
        <v/>
      </c>
      <c r="AB435" s="2"/>
      <c r="AC435" s="131">
        <f t="shared" si="52"/>
        <v>8571.4285714285725</v>
      </c>
      <c r="AD435" s="108">
        <f t="shared" si="53"/>
        <v>1628.5714285714275</v>
      </c>
      <c r="AE435" s="95" t="s">
        <v>1849</v>
      </c>
      <c r="AF435" s="541" t="s">
        <v>3489</v>
      </c>
      <c r="AG435" s="2" t="str">
        <f t="shared" ca="1" si="54"/>
        <v>NO</v>
      </c>
      <c r="AH435" s="284"/>
      <c r="AI435" s="541"/>
      <c r="AJ435" s="2" t="str">
        <f t="shared" si="55"/>
        <v>NV</v>
      </c>
      <c r="AK435" s="303"/>
    </row>
    <row r="436" spans="1:37" x14ac:dyDescent="0.25">
      <c r="A436" s="542" t="s">
        <v>1236</v>
      </c>
      <c r="B436" s="317" t="s">
        <v>1920</v>
      </c>
      <c r="C436" s="95">
        <v>0</v>
      </c>
      <c r="D436" s="95">
        <v>0</v>
      </c>
      <c r="E436" s="95"/>
      <c r="F436" s="95"/>
      <c r="G436" s="95">
        <v>6216</v>
      </c>
      <c r="H436" s="138">
        <v>13300</v>
      </c>
      <c r="I436" s="138"/>
      <c r="J436" s="126">
        <f t="shared" si="48"/>
        <v>13300</v>
      </c>
      <c r="K436" s="318">
        <v>43802</v>
      </c>
      <c r="L436" s="95">
        <v>0</v>
      </c>
      <c r="M436" s="313">
        <f t="shared" si="49"/>
        <v>43802</v>
      </c>
      <c r="N436" s="2" t="str">
        <f t="shared" si="50"/>
        <v>Pagado</v>
      </c>
      <c r="O436" s="318">
        <v>43836</v>
      </c>
      <c r="P436" s="138">
        <v>13300</v>
      </c>
      <c r="Q436" s="2" t="s">
        <v>2131</v>
      </c>
      <c r="R436" s="2"/>
      <c r="S436" s="95">
        <v>2827043</v>
      </c>
      <c r="T436" s="313" t="s">
        <v>1491</v>
      </c>
      <c r="U436" s="393"/>
      <c r="V436" s="95">
        <v>2719733</v>
      </c>
      <c r="W436" s="129">
        <v>13300</v>
      </c>
      <c r="X436" s="318">
        <v>43836</v>
      </c>
      <c r="Y436" s="95" t="s">
        <v>1488</v>
      </c>
      <c r="Z436" s="131"/>
      <c r="AA436" s="108" t="str">
        <f t="shared" si="51"/>
        <v>Otros</v>
      </c>
      <c r="AB436" s="2"/>
      <c r="AC436" s="131">
        <f t="shared" si="52"/>
        <v>11176.470588235296</v>
      </c>
      <c r="AD436" s="108">
        <f t="shared" si="53"/>
        <v>2123.5294117647045</v>
      </c>
      <c r="AE436" s="95" t="s">
        <v>1501</v>
      </c>
      <c r="AF436" s="541" t="s">
        <v>3489</v>
      </c>
      <c r="AG436" s="2" t="str">
        <f t="shared" si="54"/>
        <v>SI</v>
      </c>
      <c r="AH436" s="284"/>
      <c r="AI436" s="541"/>
      <c r="AJ436" s="2" t="str">
        <f t="shared" si="55"/>
        <v>NV</v>
      </c>
      <c r="AK436" s="303"/>
    </row>
    <row r="437" spans="1:37" x14ac:dyDescent="0.25">
      <c r="A437" s="373" t="s">
        <v>2729</v>
      </c>
      <c r="B437" s="317" t="s">
        <v>2730</v>
      </c>
      <c r="C437" s="95">
        <v>3090</v>
      </c>
      <c r="D437" s="95">
        <v>0</v>
      </c>
      <c r="E437" s="95"/>
      <c r="F437" s="95"/>
      <c r="G437" s="95">
        <v>6218</v>
      </c>
      <c r="H437" s="138">
        <v>34500</v>
      </c>
      <c r="I437" s="138"/>
      <c r="J437" s="126">
        <f t="shared" si="48"/>
        <v>34500</v>
      </c>
      <c r="K437" s="318">
        <v>43802</v>
      </c>
      <c r="L437" s="95">
        <v>0</v>
      </c>
      <c r="M437" s="313">
        <f t="shared" si="49"/>
        <v>43802</v>
      </c>
      <c r="N437" s="2" t="str">
        <f t="shared" si="50"/>
        <v>Pagado</v>
      </c>
      <c r="O437" s="318">
        <v>43802</v>
      </c>
      <c r="P437" s="138">
        <v>34500</v>
      </c>
      <c r="Q437" s="2" t="s">
        <v>1484</v>
      </c>
      <c r="R437" s="2"/>
      <c r="S437" s="95"/>
      <c r="T437" s="313" t="s">
        <v>1462</v>
      </c>
      <c r="U437" s="393"/>
      <c r="V437" s="95"/>
      <c r="W437" s="129"/>
      <c r="X437" s="318"/>
      <c r="Y437" s="95"/>
      <c r="Z437" s="131"/>
      <c r="AA437" s="108" t="str">
        <f t="shared" si="51"/>
        <v/>
      </c>
      <c r="AB437" s="2"/>
      <c r="AC437" s="131">
        <f t="shared" si="52"/>
        <v>28991.596638655465</v>
      </c>
      <c r="AD437" s="108">
        <f t="shared" si="53"/>
        <v>5508.4033613445354</v>
      </c>
      <c r="AE437" s="95" t="s">
        <v>1501</v>
      </c>
      <c r="AF437" s="372" t="s">
        <v>3489</v>
      </c>
      <c r="AG437" s="2" t="str">
        <f t="shared" si="54"/>
        <v>SI</v>
      </c>
      <c r="AH437" s="284"/>
      <c r="AI437" s="372"/>
      <c r="AJ437" s="2" t="str">
        <f t="shared" si="55"/>
        <v>Factura</v>
      </c>
      <c r="AK437" s="303"/>
    </row>
    <row r="438" spans="1:37" x14ac:dyDescent="0.25">
      <c r="A438" s="534" t="s">
        <v>4953</v>
      </c>
      <c r="B438" s="317" t="s">
        <v>4954</v>
      </c>
      <c r="C438" s="95">
        <v>0</v>
      </c>
      <c r="D438" s="95">
        <v>2756</v>
      </c>
      <c r="E438" s="95"/>
      <c r="F438" s="95"/>
      <c r="G438" s="95">
        <v>6219</v>
      </c>
      <c r="H438" s="138">
        <v>19700</v>
      </c>
      <c r="I438" s="138"/>
      <c r="J438" s="126">
        <f t="shared" si="48"/>
        <v>19700</v>
      </c>
      <c r="K438" s="318">
        <v>43802</v>
      </c>
      <c r="L438" s="95">
        <v>0</v>
      </c>
      <c r="M438" s="313">
        <f t="shared" si="49"/>
        <v>43802</v>
      </c>
      <c r="N438" s="2" t="str">
        <f t="shared" si="50"/>
        <v>Pagado</v>
      </c>
      <c r="O438" s="318">
        <v>43802</v>
      </c>
      <c r="P438" s="138">
        <v>19700</v>
      </c>
      <c r="Q438" s="2" t="s">
        <v>1481</v>
      </c>
      <c r="R438" s="2"/>
      <c r="S438" s="95"/>
      <c r="T438" s="313"/>
      <c r="U438" s="393"/>
      <c r="V438" s="95">
        <v>4955436</v>
      </c>
      <c r="W438" s="129">
        <v>19700</v>
      </c>
      <c r="X438" s="318">
        <v>43805</v>
      </c>
      <c r="Y438" s="95" t="s">
        <v>1488</v>
      </c>
      <c r="Z438" s="131"/>
      <c r="AA438" s="108" t="str">
        <f t="shared" si="51"/>
        <v/>
      </c>
      <c r="AB438" s="2"/>
      <c r="AC438" s="131">
        <f t="shared" si="52"/>
        <v>16554.621848739498</v>
      </c>
      <c r="AD438" s="108">
        <f t="shared" si="53"/>
        <v>3145.3781512605019</v>
      </c>
      <c r="AE438" s="95" t="s">
        <v>1501</v>
      </c>
      <c r="AF438" s="533" t="s">
        <v>3487</v>
      </c>
      <c r="AG438" s="2" t="str">
        <f t="shared" si="54"/>
        <v>SI</v>
      </c>
      <c r="AH438" s="284"/>
      <c r="AI438" s="533"/>
      <c r="AJ438" s="2" t="str">
        <f t="shared" si="55"/>
        <v>NV</v>
      </c>
      <c r="AK438" s="303"/>
    </row>
    <row r="439" spans="1:37" x14ac:dyDescent="0.25">
      <c r="A439" s="499" t="s">
        <v>3306</v>
      </c>
      <c r="B439" s="317" t="s">
        <v>3307</v>
      </c>
      <c r="C439" s="95">
        <v>0</v>
      </c>
      <c r="D439" s="95">
        <v>175</v>
      </c>
      <c r="E439" s="95"/>
      <c r="F439" s="95"/>
      <c r="G439" s="95">
        <v>6220</v>
      </c>
      <c r="H439" s="138">
        <v>60300</v>
      </c>
      <c r="I439" s="138"/>
      <c r="J439" s="126">
        <f t="shared" si="48"/>
        <v>60300</v>
      </c>
      <c r="K439" s="318">
        <v>43802</v>
      </c>
      <c r="L439" s="95">
        <v>0</v>
      </c>
      <c r="M439" s="313">
        <f t="shared" si="49"/>
        <v>43802</v>
      </c>
      <c r="N439" s="2" t="str">
        <f t="shared" si="50"/>
        <v>Pagado</v>
      </c>
      <c r="O439" s="318">
        <v>43802</v>
      </c>
      <c r="P439" s="138">
        <v>60300</v>
      </c>
      <c r="Q439" s="2" t="s">
        <v>1070</v>
      </c>
      <c r="R439" s="2" t="s">
        <v>2243</v>
      </c>
      <c r="S439" s="95">
        <v>175</v>
      </c>
      <c r="T439" s="313"/>
      <c r="U439" s="393"/>
      <c r="V439" s="95"/>
      <c r="W439" s="129"/>
      <c r="X439" s="318"/>
      <c r="Y439" s="95"/>
      <c r="Z439" s="131"/>
      <c r="AA439" s="108" t="str">
        <f t="shared" si="51"/>
        <v/>
      </c>
      <c r="AB439" s="2"/>
      <c r="AC439" s="131">
        <f t="shared" si="52"/>
        <v>50672.268907563026</v>
      </c>
      <c r="AD439" s="108">
        <f t="shared" si="53"/>
        <v>9627.731092436974</v>
      </c>
      <c r="AE439" s="95" t="s">
        <v>1501</v>
      </c>
      <c r="AF439" s="498" t="s">
        <v>3489</v>
      </c>
      <c r="AG439" s="2" t="str">
        <f t="shared" si="54"/>
        <v>SI</v>
      </c>
      <c r="AH439" s="284"/>
      <c r="AI439" s="498"/>
      <c r="AJ439" s="2" t="str">
        <f t="shared" si="55"/>
        <v>NV</v>
      </c>
      <c r="AK439" s="303"/>
    </row>
    <row r="440" spans="1:37" x14ac:dyDescent="0.25">
      <c r="A440" s="542" t="s">
        <v>1178</v>
      </c>
      <c r="B440" s="317" t="s">
        <v>950</v>
      </c>
      <c r="C440" s="95">
        <v>3017</v>
      </c>
      <c r="D440" s="95">
        <v>0</v>
      </c>
      <c r="E440" s="95"/>
      <c r="F440" s="95"/>
      <c r="G440" s="95" t="s">
        <v>2528</v>
      </c>
      <c r="H440" s="138">
        <v>64460</v>
      </c>
      <c r="I440" s="138"/>
      <c r="J440" s="126">
        <f t="shared" si="48"/>
        <v>64460</v>
      </c>
      <c r="K440" s="318">
        <v>43803</v>
      </c>
      <c r="L440" s="95">
        <v>7</v>
      </c>
      <c r="M440" s="313">
        <f t="shared" si="49"/>
        <v>43810</v>
      </c>
      <c r="N440" s="2" t="str">
        <f t="shared" si="50"/>
        <v>Pagado</v>
      </c>
      <c r="O440" s="318">
        <v>43811</v>
      </c>
      <c r="P440" s="138">
        <v>64460</v>
      </c>
      <c r="Q440" s="2" t="s">
        <v>2131</v>
      </c>
      <c r="R440" s="2"/>
      <c r="S440" s="95">
        <v>1116075</v>
      </c>
      <c r="T440" s="313" t="s">
        <v>1496</v>
      </c>
      <c r="U440" s="393">
        <v>43815</v>
      </c>
      <c r="V440" s="95"/>
      <c r="W440" s="129"/>
      <c r="X440" s="318"/>
      <c r="Y440" s="95"/>
      <c r="Z440" s="131"/>
      <c r="AA440" s="108" t="str">
        <f t="shared" si="51"/>
        <v>Otros</v>
      </c>
      <c r="AB440" s="2"/>
      <c r="AC440" s="131">
        <f t="shared" si="52"/>
        <v>54168.067226890758</v>
      </c>
      <c r="AD440" s="108">
        <f t="shared" si="53"/>
        <v>10291.932773109242</v>
      </c>
      <c r="AE440" s="95" t="s">
        <v>2050</v>
      </c>
      <c r="AF440" s="541" t="s">
        <v>3490</v>
      </c>
      <c r="AG440" s="2" t="str">
        <f t="shared" si="54"/>
        <v>SI</v>
      </c>
      <c r="AH440" s="284"/>
      <c r="AI440" s="541"/>
      <c r="AJ440" s="2" t="str">
        <f t="shared" si="55"/>
        <v>Factura</v>
      </c>
      <c r="AK440" s="303"/>
    </row>
    <row r="441" spans="1:37" x14ac:dyDescent="0.25">
      <c r="A441" s="534" t="s">
        <v>1177</v>
      </c>
      <c r="B441" s="317" t="s">
        <v>1060</v>
      </c>
      <c r="C441" s="95">
        <v>3016</v>
      </c>
      <c r="D441" s="95">
        <v>0</v>
      </c>
      <c r="E441" s="95"/>
      <c r="F441" s="95"/>
      <c r="G441" s="95" t="s">
        <v>2528</v>
      </c>
      <c r="H441" s="138">
        <v>184188</v>
      </c>
      <c r="I441" s="138"/>
      <c r="J441" s="126">
        <f t="shared" si="48"/>
        <v>184188</v>
      </c>
      <c r="K441" s="318">
        <v>43803</v>
      </c>
      <c r="L441" s="95">
        <v>30</v>
      </c>
      <c r="M441" s="313">
        <f t="shared" si="49"/>
        <v>43833</v>
      </c>
      <c r="N441" s="2" t="str">
        <f t="shared" si="50"/>
        <v>Pagado</v>
      </c>
      <c r="O441" s="318">
        <v>43803</v>
      </c>
      <c r="P441" s="138">
        <v>184188</v>
      </c>
      <c r="Q441" s="2" t="s">
        <v>2131</v>
      </c>
      <c r="R441" s="2"/>
      <c r="S441" s="95">
        <v>7309257</v>
      </c>
      <c r="T441" s="313" t="s">
        <v>1462</v>
      </c>
      <c r="U441" s="393">
        <v>43469</v>
      </c>
      <c r="V441" s="95"/>
      <c r="W441" s="129"/>
      <c r="X441" s="318"/>
      <c r="Y441" s="95"/>
      <c r="Z441" s="131"/>
      <c r="AA441" s="108" t="str">
        <f t="shared" si="51"/>
        <v>Otros</v>
      </c>
      <c r="AB441" s="2"/>
      <c r="AC441" s="131">
        <f t="shared" si="52"/>
        <v>154779.83193277312</v>
      </c>
      <c r="AD441" s="108">
        <f t="shared" si="53"/>
        <v>29408.168067226885</v>
      </c>
      <c r="AE441" s="95" t="s">
        <v>2050</v>
      </c>
      <c r="AF441" s="533" t="s">
        <v>3490</v>
      </c>
      <c r="AG441" s="2" t="str">
        <f t="shared" si="54"/>
        <v>SI</v>
      </c>
      <c r="AH441" s="284"/>
      <c r="AI441" s="533"/>
      <c r="AJ441" s="2" t="str">
        <f t="shared" si="55"/>
        <v>Factura</v>
      </c>
      <c r="AK441" s="303"/>
    </row>
    <row r="442" spans="1:37" x14ac:dyDescent="0.25">
      <c r="A442" s="534" t="s">
        <v>1214</v>
      </c>
      <c r="B442" s="317" t="s">
        <v>2143</v>
      </c>
      <c r="C442" s="95">
        <v>0</v>
      </c>
      <c r="D442" s="95">
        <v>2758</v>
      </c>
      <c r="E442" s="95"/>
      <c r="F442" s="95"/>
      <c r="G442" s="95">
        <v>6222</v>
      </c>
      <c r="H442" s="138">
        <v>20900</v>
      </c>
      <c r="I442" s="138"/>
      <c r="J442" s="126">
        <f t="shared" si="48"/>
        <v>20900</v>
      </c>
      <c r="K442" s="318">
        <v>43803</v>
      </c>
      <c r="L442" s="95">
        <v>0</v>
      </c>
      <c r="M442" s="313">
        <f t="shared" si="49"/>
        <v>43803</v>
      </c>
      <c r="N442" s="2" t="str">
        <f t="shared" si="50"/>
        <v>Pagado</v>
      </c>
      <c r="O442" s="318">
        <v>43804</v>
      </c>
      <c r="P442" s="138">
        <v>22900</v>
      </c>
      <c r="Q442" s="2" t="s">
        <v>1484</v>
      </c>
      <c r="R442" s="2"/>
      <c r="S442" s="95"/>
      <c r="T442" s="313" t="s">
        <v>1494</v>
      </c>
      <c r="U442" s="393"/>
      <c r="V442" s="95"/>
      <c r="W442" s="129"/>
      <c r="X442" s="318"/>
      <c r="Y442" s="95"/>
      <c r="Z442" s="131"/>
      <c r="AA442" s="108" t="str">
        <f t="shared" si="51"/>
        <v/>
      </c>
      <c r="AB442" s="2"/>
      <c r="AC442" s="131">
        <f t="shared" si="52"/>
        <v>17563.025210084033</v>
      </c>
      <c r="AD442" s="108">
        <f t="shared" si="53"/>
        <v>3336.9747899159665</v>
      </c>
      <c r="AE442" s="95" t="s">
        <v>1501</v>
      </c>
      <c r="AF442" s="533" t="s">
        <v>3487</v>
      </c>
      <c r="AG442" s="2" t="str">
        <f t="shared" si="54"/>
        <v>SI</v>
      </c>
      <c r="AH442" s="284"/>
      <c r="AI442" s="533"/>
      <c r="AJ442" s="2" t="str">
        <f t="shared" si="55"/>
        <v>NV</v>
      </c>
      <c r="AK442" s="303"/>
    </row>
    <row r="443" spans="1:37" x14ac:dyDescent="0.25">
      <c r="A443" s="329" t="s">
        <v>1209</v>
      </c>
      <c r="B443" s="317" t="s">
        <v>974</v>
      </c>
      <c r="C443" s="95">
        <v>0</v>
      </c>
      <c r="D443" s="95">
        <v>2757</v>
      </c>
      <c r="E443" s="95"/>
      <c r="F443" s="95"/>
      <c r="G443" s="95" t="s">
        <v>2528</v>
      </c>
      <c r="H443" s="138">
        <v>44700</v>
      </c>
      <c r="I443" s="138"/>
      <c r="J443" s="126">
        <f t="shared" si="48"/>
        <v>44700</v>
      </c>
      <c r="K443" s="318">
        <v>43803</v>
      </c>
      <c r="L443" s="95">
        <v>0</v>
      </c>
      <c r="M443" s="313">
        <f t="shared" si="49"/>
        <v>43803</v>
      </c>
      <c r="N443" s="2" t="str">
        <f t="shared" si="50"/>
        <v>Pagado</v>
      </c>
      <c r="O443" s="318">
        <v>43812</v>
      </c>
      <c r="P443" s="138">
        <v>44700</v>
      </c>
      <c r="Q443" s="2" t="s">
        <v>1484</v>
      </c>
      <c r="R443" s="2"/>
      <c r="S443" s="95"/>
      <c r="T443" s="313" t="s">
        <v>1490</v>
      </c>
      <c r="U443" s="393"/>
      <c r="V443" s="95"/>
      <c r="W443" s="129"/>
      <c r="X443" s="318"/>
      <c r="Y443" s="95"/>
      <c r="Z443" s="131"/>
      <c r="AA443" s="108" t="str">
        <f t="shared" si="51"/>
        <v/>
      </c>
      <c r="AB443" s="2"/>
      <c r="AC443" s="131">
        <f t="shared" si="52"/>
        <v>37563.025210084037</v>
      </c>
      <c r="AD443" s="108">
        <f t="shared" si="53"/>
        <v>7136.9747899159629</v>
      </c>
      <c r="AE443" s="95" t="s">
        <v>2050</v>
      </c>
      <c r="AF443" s="328" t="s">
        <v>3487</v>
      </c>
      <c r="AG443" s="2" t="str">
        <f t="shared" si="54"/>
        <v>SI</v>
      </c>
      <c r="AH443" s="284"/>
      <c r="AI443" s="328"/>
      <c r="AJ443" s="2" t="str">
        <f t="shared" si="55"/>
        <v>NV</v>
      </c>
      <c r="AK443" s="303"/>
    </row>
    <row r="444" spans="1:37" x14ac:dyDescent="0.25">
      <c r="A444" s="542" t="s">
        <v>1243</v>
      </c>
      <c r="B444" s="317" t="s">
        <v>986</v>
      </c>
      <c r="C444" s="95">
        <v>0</v>
      </c>
      <c r="D444" s="95">
        <v>180</v>
      </c>
      <c r="E444" s="95"/>
      <c r="F444" s="95"/>
      <c r="G444" s="95">
        <v>6224</v>
      </c>
      <c r="H444" s="138">
        <v>20900</v>
      </c>
      <c r="I444" s="138"/>
      <c r="J444" s="126">
        <f t="shared" si="48"/>
        <v>20900</v>
      </c>
      <c r="K444" s="318">
        <v>43804</v>
      </c>
      <c r="L444" s="95">
        <v>0</v>
      </c>
      <c r="M444" s="313">
        <f t="shared" si="49"/>
        <v>43804</v>
      </c>
      <c r="N444" s="2" t="str">
        <f t="shared" si="50"/>
        <v>Pagado</v>
      </c>
      <c r="O444" s="318">
        <v>43804</v>
      </c>
      <c r="P444" s="138">
        <v>20900</v>
      </c>
      <c r="Q444" s="2" t="s">
        <v>1070</v>
      </c>
      <c r="R444" s="2" t="s">
        <v>2243</v>
      </c>
      <c r="S444" s="95">
        <v>180</v>
      </c>
      <c r="T444" s="313"/>
      <c r="U444" s="393"/>
      <c r="V444" s="95"/>
      <c r="W444" s="129"/>
      <c r="X444" s="318"/>
      <c r="Y444" s="95"/>
      <c r="Z444" s="131"/>
      <c r="AA444" s="108" t="str">
        <f t="shared" si="51"/>
        <v/>
      </c>
      <c r="AB444" s="2"/>
      <c r="AC444" s="131">
        <f t="shared" si="52"/>
        <v>17563.025210084033</v>
      </c>
      <c r="AD444" s="108">
        <f t="shared" si="53"/>
        <v>3336.9747899159665</v>
      </c>
      <c r="AE444" s="95" t="s">
        <v>1501</v>
      </c>
      <c r="AF444" s="541" t="s">
        <v>3489</v>
      </c>
      <c r="AG444" s="2" t="str">
        <f t="shared" si="54"/>
        <v>SI</v>
      </c>
      <c r="AH444" s="284"/>
      <c r="AI444" s="541"/>
      <c r="AJ444" s="2" t="str">
        <f t="shared" si="55"/>
        <v>NV</v>
      </c>
      <c r="AK444" s="303"/>
    </row>
    <row r="445" spans="1:37" x14ac:dyDescent="0.25">
      <c r="A445" s="542" t="s">
        <v>4480</v>
      </c>
      <c r="B445" s="317" t="s">
        <v>4481</v>
      </c>
      <c r="C445" s="95">
        <v>0</v>
      </c>
      <c r="D445" s="95">
        <v>2759</v>
      </c>
      <c r="E445" s="95"/>
      <c r="F445" s="95"/>
      <c r="G445" s="95">
        <v>6223</v>
      </c>
      <c r="H445" s="138">
        <v>22700</v>
      </c>
      <c r="I445" s="138"/>
      <c r="J445" s="126">
        <f t="shared" si="48"/>
        <v>22700</v>
      </c>
      <c r="K445" s="318">
        <v>43804</v>
      </c>
      <c r="L445" s="95">
        <v>0</v>
      </c>
      <c r="M445" s="313">
        <f t="shared" si="49"/>
        <v>43804</v>
      </c>
      <c r="N445" s="2" t="str">
        <f t="shared" si="50"/>
        <v>Pagado</v>
      </c>
      <c r="O445" s="318">
        <v>43804</v>
      </c>
      <c r="P445" s="138">
        <v>22700</v>
      </c>
      <c r="Q445" s="2" t="s">
        <v>1481</v>
      </c>
      <c r="R445" s="2"/>
      <c r="S445" s="95"/>
      <c r="T445" s="313"/>
      <c r="U445" s="393"/>
      <c r="V445" s="95">
        <v>2270729</v>
      </c>
      <c r="W445" s="129">
        <v>22700</v>
      </c>
      <c r="X445" s="318">
        <v>43808</v>
      </c>
      <c r="Y445" s="95" t="s">
        <v>1488</v>
      </c>
      <c r="Z445" s="131"/>
      <c r="AA445" s="108" t="str">
        <f t="shared" si="51"/>
        <v/>
      </c>
      <c r="AB445" s="2"/>
      <c r="AC445" s="131">
        <f t="shared" si="52"/>
        <v>19075.63025210084</v>
      </c>
      <c r="AD445" s="108">
        <f t="shared" si="53"/>
        <v>3624.3697478991598</v>
      </c>
      <c r="AE445" s="95" t="s">
        <v>1501</v>
      </c>
      <c r="AF445" s="541" t="s">
        <v>3487</v>
      </c>
      <c r="AG445" s="2" t="str">
        <f t="shared" si="54"/>
        <v>SI</v>
      </c>
      <c r="AH445" s="284"/>
      <c r="AI445" s="541"/>
      <c r="AJ445" s="2" t="str">
        <f t="shared" si="55"/>
        <v>NV</v>
      </c>
      <c r="AK445" s="303"/>
    </row>
    <row r="446" spans="1:37" x14ac:dyDescent="0.25">
      <c r="A446" s="542" t="s">
        <v>5335</v>
      </c>
      <c r="B446" s="317" t="s">
        <v>5336</v>
      </c>
      <c r="C446" s="95">
        <v>0</v>
      </c>
      <c r="D446" s="95">
        <v>2761</v>
      </c>
      <c r="E446" s="95"/>
      <c r="F446" s="95"/>
      <c r="G446" s="95">
        <v>6228</v>
      </c>
      <c r="H446" s="138">
        <v>19700</v>
      </c>
      <c r="I446" s="138"/>
      <c r="J446" s="126">
        <f t="shared" si="48"/>
        <v>19700</v>
      </c>
      <c r="K446" s="318">
        <v>43804</v>
      </c>
      <c r="L446" s="95">
        <v>0</v>
      </c>
      <c r="M446" s="313">
        <f t="shared" si="49"/>
        <v>43804</v>
      </c>
      <c r="N446" s="2" t="str">
        <f t="shared" si="50"/>
        <v>Pagado</v>
      </c>
      <c r="O446" s="318">
        <v>43804</v>
      </c>
      <c r="P446" s="138">
        <v>19700</v>
      </c>
      <c r="Q446" s="2" t="s">
        <v>1484</v>
      </c>
      <c r="R446" s="2"/>
      <c r="S446" s="95"/>
      <c r="T446" s="313" t="s">
        <v>1494</v>
      </c>
      <c r="U446" s="393"/>
      <c r="V446" s="95"/>
      <c r="W446" s="129"/>
      <c r="X446" s="318"/>
      <c r="Y446" s="95"/>
      <c r="Z446" s="131"/>
      <c r="AA446" s="108" t="str">
        <f t="shared" si="51"/>
        <v/>
      </c>
      <c r="AB446" s="2"/>
      <c r="AC446" s="131">
        <f t="shared" si="52"/>
        <v>16554.621848739498</v>
      </c>
      <c r="AD446" s="108">
        <f t="shared" si="53"/>
        <v>3145.3781512605019</v>
      </c>
      <c r="AE446" s="95" t="s">
        <v>1501</v>
      </c>
      <c r="AF446" s="541" t="s">
        <v>3487</v>
      </c>
      <c r="AG446" s="2" t="str">
        <f t="shared" si="54"/>
        <v>SI</v>
      </c>
      <c r="AH446" s="284"/>
      <c r="AI446" s="541"/>
      <c r="AJ446" s="2" t="str">
        <f t="shared" si="55"/>
        <v>NV</v>
      </c>
      <c r="AK446" s="303"/>
    </row>
    <row r="447" spans="1:37" x14ac:dyDescent="0.25">
      <c r="A447" s="501" t="s">
        <v>5359</v>
      </c>
      <c r="B447" s="317" t="s">
        <v>5360</v>
      </c>
      <c r="C447" s="95">
        <v>0</v>
      </c>
      <c r="D447" s="95">
        <v>176</v>
      </c>
      <c r="E447" s="95"/>
      <c r="F447" s="95"/>
      <c r="G447" s="95">
        <v>6229</v>
      </c>
      <c r="H447" s="138">
        <v>34900</v>
      </c>
      <c r="I447" s="138"/>
      <c r="J447" s="126">
        <f t="shared" si="48"/>
        <v>34900</v>
      </c>
      <c r="K447" s="318">
        <v>43804</v>
      </c>
      <c r="L447" s="95">
        <v>0</v>
      </c>
      <c r="M447" s="313">
        <f t="shared" si="49"/>
        <v>43804</v>
      </c>
      <c r="N447" s="2" t="str">
        <f t="shared" si="50"/>
        <v>Pagado</v>
      </c>
      <c r="O447" s="318">
        <v>43804</v>
      </c>
      <c r="P447" s="138">
        <v>34900</v>
      </c>
      <c r="Q447" s="2" t="s">
        <v>1070</v>
      </c>
      <c r="R447" s="2" t="s">
        <v>2243</v>
      </c>
      <c r="S447" s="95">
        <v>176</v>
      </c>
      <c r="T447" s="313"/>
      <c r="U447" s="393"/>
      <c r="V447" s="95"/>
      <c r="W447" s="129"/>
      <c r="X447" s="318"/>
      <c r="Y447" s="95"/>
      <c r="Z447" s="131"/>
      <c r="AA447" s="108" t="str">
        <f t="shared" si="51"/>
        <v/>
      </c>
      <c r="AB447" s="2"/>
      <c r="AC447" s="131">
        <f t="shared" si="52"/>
        <v>29327.731092436978</v>
      </c>
      <c r="AD447" s="108">
        <f t="shared" si="53"/>
        <v>5572.2689075630224</v>
      </c>
      <c r="AE447" s="95" t="s">
        <v>1501</v>
      </c>
      <c r="AF447" s="500" t="s">
        <v>3487</v>
      </c>
      <c r="AG447" s="2" t="str">
        <f t="shared" si="54"/>
        <v>SI</v>
      </c>
      <c r="AH447" s="284"/>
      <c r="AI447" s="500"/>
      <c r="AJ447" s="2" t="str">
        <f t="shared" si="55"/>
        <v>NV</v>
      </c>
      <c r="AK447" s="303"/>
    </row>
    <row r="448" spans="1:37" x14ac:dyDescent="0.25">
      <c r="A448" s="373" t="s">
        <v>1247</v>
      </c>
      <c r="B448" s="317" t="s">
        <v>1943</v>
      </c>
      <c r="C448" s="95">
        <v>0</v>
      </c>
      <c r="D448" s="95">
        <v>2764</v>
      </c>
      <c r="E448" s="95"/>
      <c r="F448" s="95"/>
      <c r="G448" s="95">
        <v>6232</v>
      </c>
      <c r="H448" s="138">
        <v>27000</v>
      </c>
      <c r="I448" s="138"/>
      <c r="J448" s="126">
        <f t="shared" si="48"/>
        <v>27000</v>
      </c>
      <c r="K448" s="318">
        <v>43804</v>
      </c>
      <c r="L448" s="95">
        <v>0</v>
      </c>
      <c r="M448" s="313">
        <f t="shared" si="49"/>
        <v>43804</v>
      </c>
      <c r="N448" s="2" t="str">
        <f t="shared" si="50"/>
        <v>Pagado</v>
      </c>
      <c r="O448" s="318">
        <v>43807</v>
      </c>
      <c r="P448" s="138">
        <v>27000</v>
      </c>
      <c r="Q448" s="2" t="s">
        <v>1484</v>
      </c>
      <c r="R448" s="2"/>
      <c r="S448" s="95"/>
      <c r="T448" s="313" t="s">
        <v>1488</v>
      </c>
      <c r="U448" s="393"/>
      <c r="V448" s="95"/>
      <c r="W448" s="129"/>
      <c r="X448" s="318"/>
      <c r="Y448" s="95"/>
      <c r="Z448" s="131"/>
      <c r="AA448" s="108" t="str">
        <f t="shared" si="51"/>
        <v/>
      </c>
      <c r="AB448" s="2"/>
      <c r="AC448" s="131">
        <f t="shared" si="52"/>
        <v>22689.0756302521</v>
      </c>
      <c r="AD448" s="108">
        <f t="shared" si="53"/>
        <v>4310.9243697478996</v>
      </c>
      <c r="AE448" s="95" t="s">
        <v>1445</v>
      </c>
      <c r="AF448" s="372" t="s">
        <v>3489</v>
      </c>
      <c r="AG448" s="2" t="str">
        <f t="shared" si="54"/>
        <v>SI</v>
      </c>
      <c r="AH448" s="284"/>
      <c r="AI448" s="372"/>
      <c r="AJ448" s="2" t="str">
        <f t="shared" si="55"/>
        <v>NV</v>
      </c>
      <c r="AK448" s="303"/>
    </row>
    <row r="449" spans="1:37" x14ac:dyDescent="0.25">
      <c r="A449" s="373" t="s">
        <v>5402</v>
      </c>
      <c r="B449" s="317" t="s">
        <v>5403</v>
      </c>
      <c r="C449" s="95">
        <v>0</v>
      </c>
      <c r="D449" s="95">
        <v>2760</v>
      </c>
      <c r="E449" s="95"/>
      <c r="F449" s="95"/>
      <c r="G449" s="95">
        <v>6226</v>
      </c>
      <c r="H449" s="138">
        <v>19700</v>
      </c>
      <c r="I449" s="138"/>
      <c r="J449" s="126">
        <f t="shared" si="48"/>
        <v>19700</v>
      </c>
      <c r="K449" s="318">
        <v>43804</v>
      </c>
      <c r="L449" s="95">
        <v>0</v>
      </c>
      <c r="M449" s="313">
        <f t="shared" si="49"/>
        <v>43804</v>
      </c>
      <c r="N449" s="2" t="str">
        <f t="shared" si="50"/>
        <v>Pagado</v>
      </c>
      <c r="O449" s="318">
        <v>43804</v>
      </c>
      <c r="P449" s="138">
        <v>19700</v>
      </c>
      <c r="Q449" s="2" t="s">
        <v>1481</v>
      </c>
      <c r="R449" s="2"/>
      <c r="S449" s="95"/>
      <c r="T449" s="313"/>
      <c r="U449" s="393"/>
      <c r="V449" s="95">
        <v>4955436</v>
      </c>
      <c r="W449" s="129">
        <v>19700</v>
      </c>
      <c r="X449" s="318">
        <v>43805</v>
      </c>
      <c r="Y449" s="95" t="s">
        <v>1488</v>
      </c>
      <c r="Z449" s="131"/>
      <c r="AA449" s="108" t="str">
        <f t="shared" si="51"/>
        <v/>
      </c>
      <c r="AB449" s="2"/>
      <c r="AC449" s="131">
        <f t="shared" si="52"/>
        <v>16554.621848739498</v>
      </c>
      <c r="AD449" s="108">
        <f t="shared" si="53"/>
        <v>3145.3781512605019</v>
      </c>
      <c r="AE449" s="95" t="s">
        <v>1501</v>
      </c>
      <c r="AF449" s="372" t="s">
        <v>3489</v>
      </c>
      <c r="AG449" s="2" t="str">
        <f t="shared" si="54"/>
        <v>SI</v>
      </c>
      <c r="AH449" s="284"/>
      <c r="AI449" s="372"/>
      <c r="AJ449" s="2" t="str">
        <f t="shared" si="55"/>
        <v>NV</v>
      </c>
      <c r="AK449" s="303"/>
    </row>
    <row r="450" spans="1:37" x14ac:dyDescent="0.25">
      <c r="A450" s="368" t="s">
        <v>1177</v>
      </c>
      <c r="B450" s="317" t="s">
        <v>1060</v>
      </c>
      <c r="C450" s="95">
        <v>3020</v>
      </c>
      <c r="D450" s="95">
        <v>0</v>
      </c>
      <c r="E450" s="95">
        <v>277</v>
      </c>
      <c r="F450" s="95"/>
      <c r="G450" s="95" t="s">
        <v>2528</v>
      </c>
      <c r="H450" s="138">
        <v>159299</v>
      </c>
      <c r="I450" s="138">
        <v>-159299</v>
      </c>
      <c r="J450" s="126">
        <f t="shared" si="48"/>
        <v>0</v>
      </c>
      <c r="K450" s="318">
        <v>43804</v>
      </c>
      <c r="L450" s="95">
        <v>30</v>
      </c>
      <c r="M450" s="313">
        <f t="shared" si="49"/>
        <v>43834</v>
      </c>
      <c r="N450" s="2" t="str">
        <f t="shared" si="50"/>
        <v>Nulo</v>
      </c>
      <c r="O450" s="318"/>
      <c r="P450" s="138"/>
      <c r="Q450" s="2"/>
      <c r="R450" s="2"/>
      <c r="S450" s="95"/>
      <c r="T450" s="313"/>
      <c r="U450" s="393"/>
      <c r="V450" s="95"/>
      <c r="W450" s="129"/>
      <c r="X450" s="318"/>
      <c r="Y450" s="95"/>
      <c r="Z450" s="131"/>
      <c r="AA450" s="108" t="str">
        <f t="shared" si="51"/>
        <v/>
      </c>
      <c r="AB450" s="2"/>
      <c r="AC450" s="131">
        <f t="shared" si="52"/>
        <v>133864.70588235295</v>
      </c>
      <c r="AD450" s="108">
        <f t="shared" si="53"/>
        <v>25434.294117647049</v>
      </c>
      <c r="AE450" s="95" t="s">
        <v>2050</v>
      </c>
      <c r="AF450" s="367" t="s">
        <v>3490</v>
      </c>
      <c r="AG450" s="2" t="str">
        <f t="shared" si="54"/>
        <v>SI</v>
      </c>
      <c r="AH450" s="284"/>
      <c r="AI450" s="367"/>
      <c r="AJ450" s="2" t="str">
        <f t="shared" si="55"/>
        <v>Factura</v>
      </c>
      <c r="AK450" s="303"/>
    </row>
    <row r="451" spans="1:37" x14ac:dyDescent="0.25">
      <c r="A451" s="458" t="s">
        <v>1197</v>
      </c>
      <c r="B451" s="317" t="s">
        <v>2236</v>
      </c>
      <c r="C451" s="95">
        <v>3019</v>
      </c>
      <c r="D451" s="95">
        <v>0</v>
      </c>
      <c r="E451" s="95"/>
      <c r="F451" s="95"/>
      <c r="G451" s="95" t="s">
        <v>2528</v>
      </c>
      <c r="H451" s="138">
        <v>169798</v>
      </c>
      <c r="I451" s="138"/>
      <c r="J451" s="332">
        <f t="shared" ref="J451:J514" si="56">+H451+I451</f>
        <v>169798</v>
      </c>
      <c r="K451" s="318">
        <v>43804</v>
      </c>
      <c r="L451" s="95">
        <v>30</v>
      </c>
      <c r="M451" s="313">
        <f t="shared" ref="M451:M514" si="57">+L451+K451</f>
        <v>43834</v>
      </c>
      <c r="N451" s="2" t="str">
        <f t="shared" ref="N451:N514" ca="1" si="58">+IF(J451=0,"Nulo",IF(P451&gt;=J451,"Pagado",IF(P451&gt;0,"Abonado",IF(M451&lt;$M$1,"Vencido",IF(J451&gt;P451,"Pendiente","Vencido")))))</f>
        <v>Vencido</v>
      </c>
      <c r="O451" s="318"/>
      <c r="P451" s="138"/>
      <c r="Q451" s="2"/>
      <c r="R451" s="2"/>
      <c r="S451" s="95"/>
      <c r="T451" s="313"/>
      <c r="U451" s="393"/>
      <c r="V451" s="95"/>
      <c r="W451" s="129"/>
      <c r="X451" s="318"/>
      <c r="Y451" s="95"/>
      <c r="Z451" s="131"/>
      <c r="AA451" s="108" t="str">
        <f t="shared" ref="AA451:AA514" si="59">+IF(LEFT(Q451,6)="Cheque",IF(T451="Chile","Chile","Otros"),"")</f>
        <v/>
      </c>
      <c r="AB451" s="2"/>
      <c r="AC451" s="131">
        <f t="shared" ref="AC451:AC514" si="60">+IF(C451="","",H451/1.19)</f>
        <v>142687.3949579832</v>
      </c>
      <c r="AD451" s="108">
        <f t="shared" ref="AD451:AD514" si="61">+IF(C451="","",H451-AC451)</f>
        <v>27110.605042016803</v>
      </c>
      <c r="AE451" s="95" t="s">
        <v>1501</v>
      </c>
      <c r="AF451" s="457" t="s">
        <v>3490</v>
      </c>
      <c r="AG451" s="2" t="str">
        <f t="shared" ref="AG451:AG514" ca="1" si="62">+IF(N451="Pagado","SI",IF(N451="NULO","SI","NO"))</f>
        <v>NO</v>
      </c>
      <c r="AH451" s="284"/>
      <c r="AI451" s="457"/>
      <c r="AJ451" s="2" t="str">
        <f t="shared" ref="AJ451:AJ514" si="63">+IF(C451=0,"NV","Factura")</f>
        <v>Factura</v>
      </c>
      <c r="AK451" s="303"/>
    </row>
    <row r="452" spans="1:37" x14ac:dyDescent="0.25">
      <c r="A452" s="534" t="s">
        <v>1197</v>
      </c>
      <c r="B452" s="317" t="s">
        <v>2236</v>
      </c>
      <c r="C452" s="95">
        <v>3021</v>
      </c>
      <c r="D452" s="95">
        <v>0</v>
      </c>
      <c r="E452" s="95">
        <v>287</v>
      </c>
      <c r="F452" s="95"/>
      <c r="G452" s="95" t="s">
        <v>2528</v>
      </c>
      <c r="H452" s="138">
        <v>159299</v>
      </c>
      <c r="I452" s="138">
        <v>-41950</v>
      </c>
      <c r="J452" s="332">
        <f t="shared" si="56"/>
        <v>117349</v>
      </c>
      <c r="K452" s="318">
        <v>43804</v>
      </c>
      <c r="L452" s="95">
        <v>30</v>
      </c>
      <c r="M452" s="313">
        <f t="shared" si="57"/>
        <v>43834</v>
      </c>
      <c r="N452" s="2" t="str">
        <f t="shared" ca="1" si="58"/>
        <v>Vencido</v>
      </c>
      <c r="O452" s="318"/>
      <c r="P452" s="138"/>
      <c r="Q452" s="2"/>
      <c r="R452" s="2"/>
      <c r="S452" s="95"/>
      <c r="T452" s="313"/>
      <c r="U452" s="393"/>
      <c r="V452" s="95"/>
      <c r="W452" s="129"/>
      <c r="X452" s="318"/>
      <c r="Y452" s="95"/>
      <c r="Z452" s="131"/>
      <c r="AA452" s="108" t="str">
        <f t="shared" si="59"/>
        <v/>
      </c>
      <c r="AB452" s="2"/>
      <c r="AC452" s="131">
        <f t="shared" si="60"/>
        <v>133864.70588235295</v>
      </c>
      <c r="AD452" s="108">
        <f t="shared" si="61"/>
        <v>25434.294117647049</v>
      </c>
      <c r="AE452" s="95" t="s">
        <v>1501</v>
      </c>
      <c r="AF452" s="533" t="s">
        <v>3490</v>
      </c>
      <c r="AG452" s="2" t="str">
        <f t="shared" ca="1" si="62"/>
        <v>NO</v>
      </c>
      <c r="AH452" s="284"/>
      <c r="AI452" s="533"/>
      <c r="AJ452" s="2" t="str">
        <f t="shared" si="63"/>
        <v>Factura</v>
      </c>
      <c r="AK452" s="303"/>
    </row>
    <row r="453" spans="1:37" x14ac:dyDescent="0.25">
      <c r="A453" s="534" t="s">
        <v>1280</v>
      </c>
      <c r="B453" s="317" t="s">
        <v>1056</v>
      </c>
      <c r="C453" s="95">
        <v>0</v>
      </c>
      <c r="D453" s="95">
        <v>2767</v>
      </c>
      <c r="E453" s="95"/>
      <c r="F453" s="95"/>
      <c r="G453" s="95">
        <v>6225</v>
      </c>
      <c r="H453" s="138">
        <v>175000</v>
      </c>
      <c r="I453" s="138"/>
      <c r="J453" s="126">
        <f t="shared" si="56"/>
        <v>175000</v>
      </c>
      <c r="K453" s="318">
        <v>43804</v>
      </c>
      <c r="L453" s="95">
        <v>0</v>
      </c>
      <c r="M453" s="313">
        <f t="shared" si="57"/>
        <v>43804</v>
      </c>
      <c r="N453" s="2" t="str">
        <f t="shared" si="58"/>
        <v>Pagado</v>
      </c>
      <c r="O453" s="318">
        <v>43804</v>
      </c>
      <c r="P453" s="138">
        <v>175000</v>
      </c>
      <c r="Q453" s="2" t="s">
        <v>1481</v>
      </c>
      <c r="R453" s="2"/>
      <c r="S453" s="95"/>
      <c r="T453" s="313"/>
      <c r="U453" s="393"/>
      <c r="V453" s="95">
        <v>2270729</v>
      </c>
      <c r="W453" s="129">
        <v>175000</v>
      </c>
      <c r="X453" s="318">
        <v>43808</v>
      </c>
      <c r="Y453" s="95" t="s">
        <v>1488</v>
      </c>
      <c r="Z453" s="131"/>
      <c r="AA453" s="108" t="str">
        <f t="shared" si="59"/>
        <v/>
      </c>
      <c r="AB453" s="2"/>
      <c r="AC453" s="131">
        <f t="shared" si="60"/>
        <v>147058.82352941178</v>
      </c>
      <c r="AD453" s="108">
        <f t="shared" si="61"/>
        <v>27941.176470588223</v>
      </c>
      <c r="AE453" s="95" t="s">
        <v>1501</v>
      </c>
      <c r="AF453" s="533" t="s">
        <v>3487</v>
      </c>
      <c r="AG453" s="2" t="str">
        <f t="shared" si="62"/>
        <v>SI</v>
      </c>
      <c r="AH453" s="284"/>
      <c r="AI453" s="533"/>
      <c r="AJ453" s="2" t="str">
        <f t="shared" si="63"/>
        <v>NV</v>
      </c>
      <c r="AK453" s="303"/>
    </row>
    <row r="454" spans="1:37" x14ac:dyDescent="0.25">
      <c r="A454" s="331" t="s">
        <v>1204</v>
      </c>
      <c r="B454" s="317" t="s">
        <v>1052</v>
      </c>
      <c r="C454" s="95">
        <v>0</v>
      </c>
      <c r="D454" s="95">
        <v>0</v>
      </c>
      <c r="E454" s="95"/>
      <c r="F454" s="95"/>
      <c r="G454" s="95">
        <v>6227</v>
      </c>
      <c r="H454" s="138">
        <v>4900</v>
      </c>
      <c r="I454" s="138"/>
      <c r="J454" s="126">
        <f t="shared" si="56"/>
        <v>4900</v>
      </c>
      <c r="K454" s="318">
        <v>43804</v>
      </c>
      <c r="L454" s="95">
        <v>0</v>
      </c>
      <c r="M454" s="313">
        <f t="shared" si="57"/>
        <v>43804</v>
      </c>
      <c r="N454" s="2" t="str">
        <f t="shared" si="58"/>
        <v>Pagado</v>
      </c>
      <c r="O454" s="318">
        <v>43859</v>
      </c>
      <c r="P454" s="138">
        <v>4900</v>
      </c>
      <c r="Q454" s="2" t="s">
        <v>1484</v>
      </c>
      <c r="R454" s="2"/>
      <c r="S454" s="95"/>
      <c r="T454" s="313" t="s">
        <v>1492</v>
      </c>
      <c r="U454" s="393"/>
      <c r="V454" s="95"/>
      <c r="W454" s="129"/>
      <c r="X454" s="318"/>
      <c r="Y454" s="95"/>
      <c r="Z454" s="131"/>
      <c r="AA454" s="108" t="str">
        <f t="shared" si="59"/>
        <v/>
      </c>
      <c r="AB454" s="2"/>
      <c r="AC454" s="131">
        <f t="shared" si="60"/>
        <v>4117.6470588235297</v>
      </c>
      <c r="AD454" s="108">
        <f t="shared" si="61"/>
        <v>782.35294117647027</v>
      </c>
      <c r="AE454" s="95" t="s">
        <v>1501</v>
      </c>
      <c r="AF454" s="330" t="s">
        <v>3489</v>
      </c>
      <c r="AG454" s="2" t="str">
        <f t="shared" si="62"/>
        <v>SI</v>
      </c>
      <c r="AH454" s="284"/>
      <c r="AI454" s="330"/>
      <c r="AJ454" s="2" t="str">
        <f t="shared" si="63"/>
        <v>NV</v>
      </c>
      <c r="AK454" s="303"/>
    </row>
    <row r="455" spans="1:37" x14ac:dyDescent="0.25">
      <c r="A455" s="542" t="s">
        <v>4403</v>
      </c>
      <c r="B455" s="317" t="s">
        <v>4405</v>
      </c>
      <c r="C455" s="95">
        <v>0</v>
      </c>
      <c r="D455" s="95">
        <v>2762</v>
      </c>
      <c r="E455" s="95"/>
      <c r="F455" s="95"/>
      <c r="G455" s="95">
        <v>6234</v>
      </c>
      <c r="H455" s="138">
        <v>22800</v>
      </c>
      <c r="I455" s="138"/>
      <c r="J455" s="126">
        <f t="shared" si="56"/>
        <v>22800</v>
      </c>
      <c r="K455" s="318">
        <v>43805</v>
      </c>
      <c r="L455" s="95">
        <v>0</v>
      </c>
      <c r="M455" s="313">
        <f t="shared" si="57"/>
        <v>43805</v>
      </c>
      <c r="N455" s="2" t="str">
        <f t="shared" si="58"/>
        <v>Pagado</v>
      </c>
      <c r="O455" s="318">
        <v>43807</v>
      </c>
      <c r="P455" s="138">
        <v>22800</v>
      </c>
      <c r="Q455" s="2" t="s">
        <v>1484</v>
      </c>
      <c r="R455" s="2"/>
      <c r="S455" s="95"/>
      <c r="T455" s="313" t="s">
        <v>1488</v>
      </c>
      <c r="U455" s="393"/>
      <c r="V455" s="95"/>
      <c r="W455" s="129"/>
      <c r="X455" s="318"/>
      <c r="Y455" s="95"/>
      <c r="Z455" s="131"/>
      <c r="AA455" s="108" t="str">
        <f t="shared" si="59"/>
        <v/>
      </c>
      <c r="AB455" s="2"/>
      <c r="AC455" s="131">
        <f t="shared" si="60"/>
        <v>19159.663865546219</v>
      </c>
      <c r="AD455" s="108">
        <f t="shared" si="61"/>
        <v>3640.3361344537807</v>
      </c>
      <c r="AE455" s="95" t="s">
        <v>1501</v>
      </c>
      <c r="AF455" s="541" t="s">
        <v>3487</v>
      </c>
      <c r="AG455" s="2" t="str">
        <f t="shared" si="62"/>
        <v>SI</v>
      </c>
      <c r="AH455" s="284"/>
      <c r="AI455" s="541"/>
      <c r="AJ455" s="2" t="str">
        <f t="shared" si="63"/>
        <v>NV</v>
      </c>
      <c r="AK455" s="303"/>
    </row>
    <row r="456" spans="1:37" x14ac:dyDescent="0.25">
      <c r="A456" s="542" t="s">
        <v>1182</v>
      </c>
      <c r="B456" s="317" t="s">
        <v>1044</v>
      </c>
      <c r="C456" s="95">
        <v>2977</v>
      </c>
      <c r="D456" s="95">
        <v>0</v>
      </c>
      <c r="E456" s="95">
        <v>278</v>
      </c>
      <c r="F456" s="95"/>
      <c r="G456" s="95" t="s">
        <v>2528</v>
      </c>
      <c r="H456" s="138">
        <v>81663</v>
      </c>
      <c r="I456" s="138">
        <v>-1475</v>
      </c>
      <c r="J456" s="126">
        <f t="shared" si="56"/>
        <v>80188</v>
      </c>
      <c r="K456" s="318">
        <v>43805</v>
      </c>
      <c r="L456" s="95">
        <v>7</v>
      </c>
      <c r="M456" s="313">
        <f t="shared" si="57"/>
        <v>43812</v>
      </c>
      <c r="N456" s="2" t="str">
        <f t="shared" si="58"/>
        <v>Pagado</v>
      </c>
      <c r="O456" s="318">
        <v>43805</v>
      </c>
      <c r="P456" s="138">
        <v>80188</v>
      </c>
      <c r="Q456" s="2" t="s">
        <v>2131</v>
      </c>
      <c r="R456" s="2"/>
      <c r="S456" s="95" t="s">
        <v>5476</v>
      </c>
      <c r="T456" s="313" t="s">
        <v>1493</v>
      </c>
      <c r="U456" s="393">
        <v>43817</v>
      </c>
      <c r="V456" s="95">
        <v>2270741</v>
      </c>
      <c r="W456" s="129">
        <v>80188</v>
      </c>
      <c r="X456" s="318">
        <v>43817</v>
      </c>
      <c r="Y456" s="95" t="s">
        <v>1488</v>
      </c>
      <c r="Z456" s="131"/>
      <c r="AA456" s="108" t="str">
        <f t="shared" si="59"/>
        <v>Otros</v>
      </c>
      <c r="AB456" s="2"/>
      <c r="AC456" s="131">
        <f t="shared" si="60"/>
        <v>68624.369747899167</v>
      </c>
      <c r="AD456" s="108">
        <f t="shared" si="61"/>
        <v>13038.630252100833</v>
      </c>
      <c r="AE456" s="95" t="s">
        <v>1445</v>
      </c>
      <c r="AF456" s="541" t="s">
        <v>3490</v>
      </c>
      <c r="AG456" s="2" t="str">
        <f t="shared" si="62"/>
        <v>SI</v>
      </c>
      <c r="AH456" s="284"/>
      <c r="AI456" s="541"/>
      <c r="AJ456" s="2" t="str">
        <f t="shared" si="63"/>
        <v>Factura</v>
      </c>
      <c r="AK456" s="303"/>
    </row>
    <row r="457" spans="1:37" x14ac:dyDescent="0.25">
      <c r="A457" s="542" t="s">
        <v>1182</v>
      </c>
      <c r="B457" s="317" t="s">
        <v>1044</v>
      </c>
      <c r="C457" s="95">
        <v>3022</v>
      </c>
      <c r="D457" s="95">
        <v>0</v>
      </c>
      <c r="E457" s="95">
        <v>278</v>
      </c>
      <c r="F457" s="95"/>
      <c r="G457" s="95" t="s">
        <v>2528</v>
      </c>
      <c r="H457" s="138">
        <v>81663</v>
      </c>
      <c r="I457" s="138">
        <v>-1474</v>
      </c>
      <c r="J457" s="126">
        <f t="shared" si="56"/>
        <v>80189</v>
      </c>
      <c r="K457" s="318">
        <v>43805</v>
      </c>
      <c r="L457" s="95">
        <v>7</v>
      </c>
      <c r="M457" s="313">
        <f t="shared" si="57"/>
        <v>43812</v>
      </c>
      <c r="N457" s="2" t="str">
        <f t="shared" ca="1" si="58"/>
        <v>Vencido</v>
      </c>
      <c r="O457" s="318"/>
      <c r="P457" s="138"/>
      <c r="Q457" s="2"/>
      <c r="R457" s="2"/>
      <c r="S457" s="95"/>
      <c r="T457" s="313"/>
      <c r="U457" s="393"/>
      <c r="V457" s="95"/>
      <c r="W457" s="129"/>
      <c r="X457" s="318"/>
      <c r="Y457" s="95"/>
      <c r="Z457" s="131"/>
      <c r="AA457" s="108" t="str">
        <f t="shared" si="59"/>
        <v/>
      </c>
      <c r="AB457" s="2"/>
      <c r="AC457" s="131">
        <f t="shared" si="60"/>
        <v>68624.369747899167</v>
      </c>
      <c r="AD457" s="108">
        <f t="shared" si="61"/>
        <v>13038.630252100833</v>
      </c>
      <c r="AE457" s="95" t="s">
        <v>1445</v>
      </c>
      <c r="AF457" s="541" t="s">
        <v>3490</v>
      </c>
      <c r="AG457" s="2" t="str">
        <f t="shared" ca="1" si="62"/>
        <v>NO</v>
      </c>
      <c r="AH457" s="284"/>
      <c r="AI457" s="541"/>
      <c r="AJ457" s="2" t="str">
        <f t="shared" si="63"/>
        <v>Factura</v>
      </c>
      <c r="AK457" s="303"/>
    </row>
    <row r="458" spans="1:37" x14ac:dyDescent="0.25">
      <c r="A458" s="542" t="s">
        <v>4545</v>
      </c>
      <c r="B458" s="317" t="s">
        <v>4546</v>
      </c>
      <c r="C458" s="95">
        <v>0</v>
      </c>
      <c r="D458" s="95">
        <v>0</v>
      </c>
      <c r="E458" s="95"/>
      <c r="F458" s="95"/>
      <c r="G458" s="95">
        <v>6236</v>
      </c>
      <c r="H458" s="138">
        <v>66800</v>
      </c>
      <c r="I458" s="138"/>
      <c r="J458" s="126">
        <f t="shared" si="56"/>
        <v>66800</v>
      </c>
      <c r="K458" s="318">
        <v>43805</v>
      </c>
      <c r="L458" s="95">
        <v>0</v>
      </c>
      <c r="M458" s="313">
        <f t="shared" si="57"/>
        <v>43805</v>
      </c>
      <c r="N458" s="2" t="str">
        <f t="shared" si="58"/>
        <v>Pagado</v>
      </c>
      <c r="O458" s="318">
        <v>43806</v>
      </c>
      <c r="P458" s="138">
        <v>66800</v>
      </c>
      <c r="Q458" s="2" t="s">
        <v>1484</v>
      </c>
      <c r="R458" s="2"/>
      <c r="S458" s="95"/>
      <c r="T458" s="313" t="s">
        <v>1488</v>
      </c>
      <c r="U458" s="393"/>
      <c r="V458" s="95"/>
      <c r="W458" s="129"/>
      <c r="X458" s="318"/>
      <c r="Y458" s="95"/>
      <c r="Z458" s="131"/>
      <c r="AA458" s="108" t="str">
        <f t="shared" si="59"/>
        <v/>
      </c>
      <c r="AB458" s="2"/>
      <c r="AC458" s="131">
        <f t="shared" si="60"/>
        <v>56134.45378151261</v>
      </c>
      <c r="AD458" s="108">
        <f t="shared" si="61"/>
        <v>10665.54621848739</v>
      </c>
      <c r="AE458" s="95" t="s">
        <v>1501</v>
      </c>
      <c r="AF458" s="541" t="s">
        <v>3487</v>
      </c>
      <c r="AG458" s="2" t="str">
        <f t="shared" si="62"/>
        <v>SI</v>
      </c>
      <c r="AH458" s="284"/>
      <c r="AI458" s="541"/>
      <c r="AJ458" s="2" t="str">
        <f t="shared" si="63"/>
        <v>NV</v>
      </c>
      <c r="AK458" s="303"/>
    </row>
    <row r="459" spans="1:37" x14ac:dyDescent="0.25">
      <c r="A459" s="542" t="s">
        <v>2273</v>
      </c>
      <c r="B459" s="317" t="s">
        <v>2274</v>
      </c>
      <c r="C459" s="95">
        <v>0</v>
      </c>
      <c r="D459" s="95">
        <v>2763</v>
      </c>
      <c r="E459" s="95"/>
      <c r="F459" s="95"/>
      <c r="G459" s="95">
        <v>6233</v>
      </c>
      <c r="H459" s="138">
        <v>19000</v>
      </c>
      <c r="I459" s="138"/>
      <c r="J459" s="126">
        <f t="shared" si="56"/>
        <v>19000</v>
      </c>
      <c r="K459" s="318">
        <v>43805</v>
      </c>
      <c r="L459" s="95">
        <v>0</v>
      </c>
      <c r="M459" s="313">
        <f t="shared" si="57"/>
        <v>43805</v>
      </c>
      <c r="N459" s="2" t="str">
        <f t="shared" si="58"/>
        <v>Pagado</v>
      </c>
      <c r="O459" s="318">
        <v>43808</v>
      </c>
      <c r="P459" s="138">
        <v>19000</v>
      </c>
      <c r="Q459" s="2" t="s">
        <v>1481</v>
      </c>
      <c r="R459" s="2"/>
      <c r="S459" s="95"/>
      <c r="T459" s="313"/>
      <c r="U459" s="393"/>
      <c r="V459" s="95">
        <v>2270731</v>
      </c>
      <c r="W459" s="129">
        <v>19000</v>
      </c>
      <c r="X459" s="318">
        <v>43810</v>
      </c>
      <c r="Y459" s="95" t="s">
        <v>1488</v>
      </c>
      <c r="Z459" s="131"/>
      <c r="AA459" s="108" t="str">
        <f t="shared" si="59"/>
        <v/>
      </c>
      <c r="AB459" s="2"/>
      <c r="AC459" s="131">
        <f t="shared" si="60"/>
        <v>15966.386554621849</v>
      </c>
      <c r="AD459" s="108">
        <f t="shared" si="61"/>
        <v>3033.6134453781506</v>
      </c>
      <c r="AE459" s="95" t="s">
        <v>1501</v>
      </c>
      <c r="AF459" s="541" t="s">
        <v>3489</v>
      </c>
      <c r="AG459" s="2" t="str">
        <f t="shared" si="62"/>
        <v>SI</v>
      </c>
      <c r="AH459" s="284"/>
      <c r="AI459" s="541"/>
      <c r="AJ459" s="2" t="str">
        <f t="shared" si="63"/>
        <v>NV</v>
      </c>
      <c r="AK459" s="303"/>
    </row>
    <row r="460" spans="1:37" x14ac:dyDescent="0.25">
      <c r="A460" s="534" t="s">
        <v>1247</v>
      </c>
      <c r="B460" s="317" t="s">
        <v>1943</v>
      </c>
      <c r="C460" s="95" t="s">
        <v>2528</v>
      </c>
      <c r="D460" s="95">
        <v>0</v>
      </c>
      <c r="E460" s="95"/>
      <c r="F460" s="95"/>
      <c r="G460" s="95">
        <v>6238</v>
      </c>
      <c r="H460" s="138">
        <v>8600</v>
      </c>
      <c r="I460" s="138"/>
      <c r="J460" s="126">
        <f t="shared" si="56"/>
        <v>8600</v>
      </c>
      <c r="K460" s="318">
        <v>43805</v>
      </c>
      <c r="L460" s="95">
        <v>0</v>
      </c>
      <c r="M460" s="313">
        <f t="shared" si="57"/>
        <v>43805</v>
      </c>
      <c r="N460" s="2" t="str">
        <f t="shared" si="58"/>
        <v>Pagado</v>
      </c>
      <c r="O460" s="318">
        <v>43807</v>
      </c>
      <c r="P460" s="138">
        <v>8600</v>
      </c>
      <c r="Q460" s="2" t="s">
        <v>1484</v>
      </c>
      <c r="R460" s="2"/>
      <c r="S460" s="95"/>
      <c r="T460" s="313" t="s">
        <v>1488</v>
      </c>
      <c r="U460" s="393"/>
      <c r="V460" s="95"/>
      <c r="W460" s="129"/>
      <c r="X460" s="318"/>
      <c r="Y460" s="95"/>
      <c r="Z460" s="131"/>
      <c r="AA460" s="108" t="str">
        <f t="shared" si="59"/>
        <v/>
      </c>
      <c r="AB460" s="2"/>
      <c r="AC460" s="131">
        <f t="shared" si="60"/>
        <v>7226.8907563025214</v>
      </c>
      <c r="AD460" s="108">
        <f t="shared" si="61"/>
        <v>1373.1092436974786</v>
      </c>
      <c r="AE460" s="95" t="s">
        <v>1445</v>
      </c>
      <c r="AF460" s="533" t="s">
        <v>3489</v>
      </c>
      <c r="AG460" s="2" t="str">
        <f t="shared" si="62"/>
        <v>SI</v>
      </c>
      <c r="AH460" s="284"/>
      <c r="AI460" s="533"/>
      <c r="AJ460" s="2" t="str">
        <f t="shared" si="63"/>
        <v>Factura</v>
      </c>
      <c r="AK460" s="303"/>
    </row>
    <row r="461" spans="1:37" x14ac:dyDescent="0.25">
      <c r="A461" s="368" t="s">
        <v>1198</v>
      </c>
      <c r="B461" s="317" t="s">
        <v>2158</v>
      </c>
      <c r="C461" s="95">
        <v>0</v>
      </c>
      <c r="D461" s="95">
        <v>2766</v>
      </c>
      <c r="E461" s="95"/>
      <c r="F461" s="95"/>
      <c r="G461" s="95">
        <v>6230</v>
      </c>
      <c r="H461" s="138">
        <v>79500</v>
      </c>
      <c r="I461" s="138"/>
      <c r="J461" s="126">
        <f t="shared" si="56"/>
        <v>79500</v>
      </c>
      <c r="K461" s="318">
        <v>43805</v>
      </c>
      <c r="L461" s="95">
        <v>0</v>
      </c>
      <c r="M461" s="313">
        <f t="shared" si="57"/>
        <v>43805</v>
      </c>
      <c r="N461" s="2" t="str">
        <f t="shared" si="58"/>
        <v>Pagado</v>
      </c>
      <c r="O461" s="318">
        <v>43808</v>
      </c>
      <c r="P461" s="138">
        <v>79500</v>
      </c>
      <c r="Q461" s="2" t="s">
        <v>1484</v>
      </c>
      <c r="R461" s="2"/>
      <c r="S461" s="95"/>
      <c r="T461" s="313" t="s">
        <v>1493</v>
      </c>
      <c r="U461" s="393"/>
      <c r="V461" s="95"/>
      <c r="W461" s="129"/>
      <c r="X461" s="318"/>
      <c r="Y461" s="95"/>
      <c r="Z461" s="131"/>
      <c r="AA461" s="108" t="str">
        <f t="shared" si="59"/>
        <v/>
      </c>
      <c r="AB461" s="2"/>
      <c r="AC461" s="131">
        <f t="shared" si="60"/>
        <v>66806.722689075628</v>
      </c>
      <c r="AD461" s="108">
        <f t="shared" si="61"/>
        <v>12693.277310924372</v>
      </c>
      <c r="AE461" s="95" t="s">
        <v>1501</v>
      </c>
      <c r="AF461" s="367" t="s">
        <v>3489</v>
      </c>
      <c r="AG461" s="2" t="str">
        <f t="shared" si="62"/>
        <v>SI</v>
      </c>
      <c r="AH461" s="284"/>
      <c r="AI461" s="367"/>
      <c r="AJ461" s="2" t="str">
        <f t="shared" si="63"/>
        <v>NV</v>
      </c>
      <c r="AK461" s="303"/>
    </row>
    <row r="462" spans="1:37" x14ac:dyDescent="0.25">
      <c r="A462" s="331" t="s">
        <v>4577</v>
      </c>
      <c r="B462" s="317" t="s">
        <v>4578</v>
      </c>
      <c r="C462" s="95">
        <v>0</v>
      </c>
      <c r="D462" s="95">
        <v>177</v>
      </c>
      <c r="E462" s="95"/>
      <c r="F462" s="95"/>
      <c r="G462" s="95">
        <v>6235</v>
      </c>
      <c r="H462" s="138">
        <v>46000</v>
      </c>
      <c r="I462" s="138"/>
      <c r="J462" s="126">
        <f t="shared" si="56"/>
        <v>46000</v>
      </c>
      <c r="K462" s="318">
        <v>43805</v>
      </c>
      <c r="L462" s="95">
        <v>0</v>
      </c>
      <c r="M462" s="313">
        <f t="shared" si="57"/>
        <v>43805</v>
      </c>
      <c r="N462" s="2" t="str">
        <f t="shared" si="58"/>
        <v>Pagado</v>
      </c>
      <c r="O462" s="318">
        <v>43805</v>
      </c>
      <c r="P462" s="138">
        <v>46000</v>
      </c>
      <c r="Q462" s="2" t="s">
        <v>1070</v>
      </c>
      <c r="R462" s="2" t="s">
        <v>2243</v>
      </c>
      <c r="S462" s="95">
        <v>177</v>
      </c>
      <c r="T462" s="313"/>
      <c r="U462" s="393"/>
      <c r="V462" s="95"/>
      <c r="W462" s="129"/>
      <c r="X462" s="318"/>
      <c r="Y462" s="95"/>
      <c r="Z462" s="131"/>
      <c r="AA462" s="108" t="str">
        <f t="shared" si="59"/>
        <v/>
      </c>
      <c r="AB462" s="2"/>
      <c r="AC462" s="131">
        <f t="shared" si="60"/>
        <v>38655.462184873948</v>
      </c>
      <c r="AD462" s="108">
        <f t="shared" si="61"/>
        <v>7344.537815126052</v>
      </c>
      <c r="AE462" s="95" t="s">
        <v>1501</v>
      </c>
      <c r="AF462" s="330" t="s">
        <v>3487</v>
      </c>
      <c r="AG462" s="2" t="str">
        <f t="shared" si="62"/>
        <v>SI</v>
      </c>
      <c r="AH462" s="284"/>
      <c r="AI462" s="330"/>
      <c r="AJ462" s="2" t="str">
        <f t="shared" si="63"/>
        <v>NV</v>
      </c>
      <c r="AK462" s="303"/>
    </row>
    <row r="463" spans="1:37" x14ac:dyDescent="0.25">
      <c r="A463" s="534" t="s">
        <v>1419</v>
      </c>
      <c r="B463" s="317" t="s">
        <v>1119</v>
      </c>
      <c r="C463" s="95">
        <v>0</v>
      </c>
      <c r="D463" s="95">
        <v>2765</v>
      </c>
      <c r="E463" s="95"/>
      <c r="F463" s="95"/>
      <c r="G463" s="95">
        <v>6231</v>
      </c>
      <c r="H463" s="138">
        <v>31200</v>
      </c>
      <c r="I463" s="138"/>
      <c r="J463" s="126">
        <f t="shared" si="56"/>
        <v>31200</v>
      </c>
      <c r="K463" s="318">
        <v>43805</v>
      </c>
      <c r="L463" s="95">
        <v>0</v>
      </c>
      <c r="M463" s="313">
        <f t="shared" si="57"/>
        <v>43805</v>
      </c>
      <c r="N463" s="2" t="str">
        <f t="shared" si="58"/>
        <v>Pagado</v>
      </c>
      <c r="O463" s="318">
        <v>43805</v>
      </c>
      <c r="P463" s="138">
        <v>31200</v>
      </c>
      <c r="Q463" s="2" t="s">
        <v>1481</v>
      </c>
      <c r="R463" s="2"/>
      <c r="S463" s="95"/>
      <c r="T463" s="313"/>
      <c r="U463" s="393"/>
      <c r="V463" s="95">
        <v>2270731</v>
      </c>
      <c r="W463" s="129">
        <v>31200</v>
      </c>
      <c r="X463" s="318">
        <v>43810</v>
      </c>
      <c r="Y463" s="95" t="s">
        <v>1488</v>
      </c>
      <c r="Z463" s="131"/>
      <c r="AA463" s="108" t="str">
        <f t="shared" si="59"/>
        <v/>
      </c>
      <c r="AB463" s="2"/>
      <c r="AC463" s="131">
        <f t="shared" si="60"/>
        <v>26218.487394957985</v>
      </c>
      <c r="AD463" s="108">
        <f t="shared" si="61"/>
        <v>4981.5126050420149</v>
      </c>
      <c r="AE463" s="95" t="s">
        <v>1501</v>
      </c>
      <c r="AF463" s="533" t="s">
        <v>3489</v>
      </c>
      <c r="AG463" s="2" t="str">
        <f t="shared" si="62"/>
        <v>SI</v>
      </c>
      <c r="AH463" s="284"/>
      <c r="AI463" s="533"/>
      <c r="AJ463" s="2" t="str">
        <f t="shared" si="63"/>
        <v>NV</v>
      </c>
      <c r="AK463" s="303"/>
    </row>
    <row r="464" spans="1:37" x14ac:dyDescent="0.25">
      <c r="A464" s="458" t="s">
        <v>4031</v>
      </c>
      <c r="B464" s="317" t="s">
        <v>4032</v>
      </c>
      <c r="C464" s="95">
        <v>0</v>
      </c>
      <c r="D464" s="95">
        <v>2768</v>
      </c>
      <c r="E464" s="95"/>
      <c r="F464" s="95"/>
      <c r="G464" s="95">
        <v>6237</v>
      </c>
      <c r="H464" s="138">
        <v>25000</v>
      </c>
      <c r="I464" s="138"/>
      <c r="J464" s="126">
        <f t="shared" si="56"/>
        <v>25000</v>
      </c>
      <c r="K464" s="318">
        <v>43806</v>
      </c>
      <c r="L464" s="95">
        <v>0</v>
      </c>
      <c r="M464" s="313">
        <f t="shared" si="57"/>
        <v>43806</v>
      </c>
      <c r="N464" s="2" t="str">
        <f t="shared" si="58"/>
        <v>Pagado</v>
      </c>
      <c r="O464" s="318">
        <v>43808</v>
      </c>
      <c r="P464" s="138">
        <v>25000</v>
      </c>
      <c r="Q464" s="2" t="s">
        <v>1484</v>
      </c>
      <c r="R464" s="2"/>
      <c r="S464" s="95"/>
      <c r="T464" s="313" t="s">
        <v>1462</v>
      </c>
      <c r="U464" s="393"/>
      <c r="V464" s="95"/>
      <c r="W464" s="129"/>
      <c r="X464" s="318"/>
      <c r="Y464" s="95"/>
      <c r="Z464" s="131"/>
      <c r="AA464" s="108" t="str">
        <f t="shared" si="59"/>
        <v/>
      </c>
      <c r="AB464" s="2"/>
      <c r="AC464" s="131">
        <f t="shared" si="60"/>
        <v>21008.403361344539</v>
      </c>
      <c r="AD464" s="108">
        <f t="shared" si="61"/>
        <v>3991.596638655461</v>
      </c>
      <c r="AE464" s="95" t="s">
        <v>1501</v>
      </c>
      <c r="AF464" s="457" t="s">
        <v>3487</v>
      </c>
      <c r="AG464" s="2" t="str">
        <f t="shared" si="62"/>
        <v>SI</v>
      </c>
      <c r="AH464" s="284"/>
      <c r="AI464" s="457"/>
      <c r="AJ464" s="2" t="str">
        <f t="shared" si="63"/>
        <v>NV</v>
      </c>
      <c r="AK464" s="303"/>
    </row>
    <row r="465" spans="1:37" x14ac:dyDescent="0.25">
      <c r="A465" s="501" t="s">
        <v>2598</v>
      </c>
      <c r="B465" s="317" t="s">
        <v>2599</v>
      </c>
      <c r="C465" s="95">
        <v>0</v>
      </c>
      <c r="D465" s="95">
        <v>2769</v>
      </c>
      <c r="E465" s="95"/>
      <c r="F465" s="95"/>
      <c r="G465" s="95">
        <v>6241</v>
      </c>
      <c r="H465" s="138">
        <v>14800</v>
      </c>
      <c r="I465" s="138"/>
      <c r="J465" s="126">
        <f t="shared" si="56"/>
        <v>14800</v>
      </c>
      <c r="K465" s="318">
        <v>43808</v>
      </c>
      <c r="L465" s="95">
        <v>0</v>
      </c>
      <c r="M465" s="313">
        <f t="shared" si="57"/>
        <v>43808</v>
      </c>
      <c r="N465" s="2" t="str">
        <f t="shared" si="58"/>
        <v>Pagado</v>
      </c>
      <c r="O465" s="318">
        <v>43808</v>
      </c>
      <c r="P465" s="138">
        <v>14800</v>
      </c>
      <c r="Q465" s="2" t="s">
        <v>1481</v>
      </c>
      <c r="R465" s="2"/>
      <c r="S465" s="95"/>
      <c r="T465" s="313"/>
      <c r="U465" s="393"/>
      <c r="V465" s="95">
        <v>2270731</v>
      </c>
      <c r="W465" s="129">
        <v>14800</v>
      </c>
      <c r="X465" s="318">
        <v>43810</v>
      </c>
      <c r="Y465" s="95" t="s">
        <v>1488</v>
      </c>
      <c r="Z465" s="131"/>
      <c r="AA465" s="108" t="str">
        <f t="shared" si="59"/>
        <v/>
      </c>
      <c r="AB465" s="2"/>
      <c r="AC465" s="131">
        <f t="shared" si="60"/>
        <v>12436.974789915967</v>
      </c>
      <c r="AD465" s="108">
        <f t="shared" si="61"/>
        <v>2363.0252100840335</v>
      </c>
      <c r="AE465" s="95" t="s">
        <v>1501</v>
      </c>
      <c r="AF465" s="500" t="s">
        <v>3489</v>
      </c>
      <c r="AG465" s="2" t="str">
        <f t="shared" si="62"/>
        <v>SI</v>
      </c>
      <c r="AH465" s="284"/>
      <c r="AI465" s="500"/>
      <c r="AJ465" s="2" t="str">
        <f t="shared" si="63"/>
        <v>NV</v>
      </c>
      <c r="AK465" s="303"/>
    </row>
    <row r="466" spans="1:37" x14ac:dyDescent="0.25">
      <c r="A466" s="476" t="s">
        <v>5277</v>
      </c>
      <c r="B466" s="317" t="s">
        <v>5278</v>
      </c>
      <c r="C466" s="95">
        <v>0</v>
      </c>
      <c r="D466" s="95">
        <v>179</v>
      </c>
      <c r="E466" s="95"/>
      <c r="F466" s="95"/>
      <c r="G466" s="95">
        <v>6240</v>
      </c>
      <c r="H466" s="138">
        <v>32600</v>
      </c>
      <c r="I466" s="138"/>
      <c r="J466" s="126">
        <f t="shared" si="56"/>
        <v>32600</v>
      </c>
      <c r="K466" s="318">
        <v>43808</v>
      </c>
      <c r="L466" s="95">
        <v>0</v>
      </c>
      <c r="M466" s="313">
        <f t="shared" si="57"/>
        <v>43808</v>
      </c>
      <c r="N466" s="2" t="str">
        <f t="shared" si="58"/>
        <v>Pagado</v>
      </c>
      <c r="O466" s="318">
        <v>43808</v>
      </c>
      <c r="P466" s="138">
        <v>32600</v>
      </c>
      <c r="Q466" s="2" t="s">
        <v>1070</v>
      </c>
      <c r="R466" s="2" t="s">
        <v>2243</v>
      </c>
      <c r="S466" s="95">
        <v>179</v>
      </c>
      <c r="T466" s="313"/>
      <c r="U466" s="393"/>
      <c r="V466" s="95"/>
      <c r="W466" s="129"/>
      <c r="X466" s="318"/>
      <c r="Y466" s="95"/>
      <c r="Z466" s="131"/>
      <c r="AA466" s="108" t="str">
        <f t="shared" si="59"/>
        <v/>
      </c>
      <c r="AB466" s="2"/>
      <c r="AC466" s="131">
        <f t="shared" si="60"/>
        <v>27394.957983193279</v>
      </c>
      <c r="AD466" s="108">
        <f t="shared" si="61"/>
        <v>5205.0420168067212</v>
      </c>
      <c r="AE466" s="95" t="s">
        <v>1501</v>
      </c>
      <c r="AF466" s="475" t="s">
        <v>3487</v>
      </c>
      <c r="AG466" s="2" t="str">
        <f t="shared" si="62"/>
        <v>SI</v>
      </c>
      <c r="AH466" s="284"/>
      <c r="AI466" s="475"/>
      <c r="AJ466" s="2" t="str">
        <f t="shared" si="63"/>
        <v>NV</v>
      </c>
      <c r="AK466" s="303"/>
    </row>
    <row r="467" spans="1:37" x14ac:dyDescent="0.25">
      <c r="A467" s="476" t="s">
        <v>5273</v>
      </c>
      <c r="B467" s="317" t="s">
        <v>5274</v>
      </c>
      <c r="C467" s="95">
        <v>0</v>
      </c>
      <c r="D467" s="95">
        <v>2770</v>
      </c>
      <c r="E467" s="95"/>
      <c r="F467" s="95"/>
      <c r="G467" s="95">
        <v>6243</v>
      </c>
      <c r="H467" s="138">
        <v>19700</v>
      </c>
      <c r="I467" s="138"/>
      <c r="J467" s="126">
        <f t="shared" si="56"/>
        <v>19700</v>
      </c>
      <c r="K467" s="318">
        <v>43808</v>
      </c>
      <c r="L467" s="95">
        <v>0</v>
      </c>
      <c r="M467" s="313">
        <f t="shared" si="57"/>
        <v>43808</v>
      </c>
      <c r="N467" s="2" t="str">
        <f t="shared" si="58"/>
        <v>Pagado</v>
      </c>
      <c r="O467" s="318">
        <v>43808</v>
      </c>
      <c r="P467" s="138">
        <v>19700</v>
      </c>
      <c r="Q467" s="2" t="s">
        <v>1484</v>
      </c>
      <c r="R467" s="2"/>
      <c r="S467" s="95"/>
      <c r="T467" s="313" t="s">
        <v>1462</v>
      </c>
      <c r="U467" s="393"/>
      <c r="V467" s="95"/>
      <c r="W467" s="129"/>
      <c r="X467" s="318"/>
      <c r="Y467" s="95"/>
      <c r="Z467" s="131"/>
      <c r="AA467" s="108" t="str">
        <f t="shared" si="59"/>
        <v/>
      </c>
      <c r="AB467" s="2"/>
      <c r="AC467" s="131">
        <f t="shared" si="60"/>
        <v>16554.621848739498</v>
      </c>
      <c r="AD467" s="108">
        <f t="shared" si="61"/>
        <v>3145.3781512605019</v>
      </c>
      <c r="AE467" s="95" t="s">
        <v>1501</v>
      </c>
      <c r="AF467" s="475" t="s">
        <v>3487</v>
      </c>
      <c r="AG467" s="2" t="str">
        <f t="shared" si="62"/>
        <v>SI</v>
      </c>
      <c r="AH467" s="284"/>
      <c r="AI467" s="475"/>
      <c r="AJ467" s="2" t="str">
        <f t="shared" si="63"/>
        <v>NV</v>
      </c>
      <c r="AK467" s="303"/>
    </row>
    <row r="468" spans="1:37" x14ac:dyDescent="0.25">
      <c r="A468" s="476" t="s">
        <v>4040</v>
      </c>
      <c r="B468" s="317" t="s">
        <v>4038</v>
      </c>
      <c r="C468" s="95">
        <v>0</v>
      </c>
      <c r="D468" s="95">
        <v>181</v>
      </c>
      <c r="E468" s="95"/>
      <c r="F468" s="95"/>
      <c r="G468" s="95">
        <v>6245</v>
      </c>
      <c r="H468" s="138">
        <v>15200</v>
      </c>
      <c r="I468" s="138"/>
      <c r="J468" s="126">
        <f t="shared" si="56"/>
        <v>15200</v>
      </c>
      <c r="K468" s="318">
        <v>43808</v>
      </c>
      <c r="L468" s="95">
        <v>0</v>
      </c>
      <c r="M468" s="313">
        <f t="shared" si="57"/>
        <v>43808</v>
      </c>
      <c r="N468" s="2" t="str">
        <f t="shared" si="58"/>
        <v>Pagado</v>
      </c>
      <c r="O468" s="318">
        <v>43808</v>
      </c>
      <c r="P468" s="138">
        <v>15200</v>
      </c>
      <c r="Q468" s="2" t="s">
        <v>1070</v>
      </c>
      <c r="R468" s="2" t="s">
        <v>1478</v>
      </c>
      <c r="S468" s="95">
        <v>181</v>
      </c>
      <c r="T468" s="313"/>
      <c r="U468" s="393"/>
      <c r="V468" s="95"/>
      <c r="W468" s="129"/>
      <c r="X468" s="318"/>
      <c r="Y468" s="95"/>
      <c r="Z468" s="131"/>
      <c r="AA468" s="108" t="str">
        <f t="shared" si="59"/>
        <v/>
      </c>
      <c r="AB468" s="2"/>
      <c r="AC468" s="131">
        <f t="shared" si="60"/>
        <v>12773.10924369748</v>
      </c>
      <c r="AD468" s="108">
        <f t="shared" si="61"/>
        <v>2426.8907563025205</v>
      </c>
      <c r="AE468" s="95" t="s">
        <v>1501</v>
      </c>
      <c r="AF468" s="475" t="s">
        <v>3489</v>
      </c>
      <c r="AG468" s="2" t="str">
        <f t="shared" si="62"/>
        <v>SI</v>
      </c>
      <c r="AH468" s="284"/>
      <c r="AI468" s="475"/>
      <c r="AJ468" s="2" t="str">
        <f t="shared" si="63"/>
        <v>NV</v>
      </c>
      <c r="AK468" s="303"/>
    </row>
    <row r="469" spans="1:37" x14ac:dyDescent="0.25">
      <c r="A469" s="534" t="s">
        <v>4853</v>
      </c>
      <c r="B469" s="317" t="s">
        <v>4854</v>
      </c>
      <c r="C469" s="95">
        <v>0</v>
      </c>
      <c r="D469" s="95">
        <v>178</v>
      </c>
      <c r="E469" s="95"/>
      <c r="F469" s="95"/>
      <c r="G469" s="95">
        <v>6239</v>
      </c>
      <c r="H469" s="138">
        <v>23000</v>
      </c>
      <c r="I469" s="138"/>
      <c r="J469" s="126">
        <f t="shared" si="56"/>
        <v>23000</v>
      </c>
      <c r="K469" s="318">
        <v>43808</v>
      </c>
      <c r="L469" s="95">
        <v>0</v>
      </c>
      <c r="M469" s="313">
        <f t="shared" si="57"/>
        <v>43808</v>
      </c>
      <c r="N469" s="2" t="str">
        <f t="shared" si="58"/>
        <v>Pagado</v>
      </c>
      <c r="O469" s="318">
        <v>43808</v>
      </c>
      <c r="P469" s="138">
        <v>23000</v>
      </c>
      <c r="Q469" s="2" t="s">
        <v>1070</v>
      </c>
      <c r="R469" s="2" t="s">
        <v>2243</v>
      </c>
      <c r="S469" s="95">
        <v>178</v>
      </c>
      <c r="T469" s="313"/>
      <c r="U469" s="393"/>
      <c r="V469" s="95"/>
      <c r="W469" s="129"/>
      <c r="X469" s="318"/>
      <c r="Y469" s="95"/>
      <c r="Z469" s="131"/>
      <c r="AA469" s="108" t="str">
        <f t="shared" si="59"/>
        <v/>
      </c>
      <c r="AB469" s="2"/>
      <c r="AC469" s="131">
        <f t="shared" si="60"/>
        <v>19327.731092436974</v>
      </c>
      <c r="AD469" s="108">
        <f t="shared" si="61"/>
        <v>3672.268907563026</v>
      </c>
      <c r="AE469" s="95" t="s">
        <v>1501</v>
      </c>
      <c r="AF469" s="533" t="s">
        <v>3487</v>
      </c>
      <c r="AG469" s="2" t="str">
        <f t="shared" si="62"/>
        <v>SI</v>
      </c>
      <c r="AH469" s="284"/>
      <c r="AI469" s="533"/>
      <c r="AJ469" s="2" t="str">
        <f t="shared" si="63"/>
        <v>NV</v>
      </c>
      <c r="AK469" s="303"/>
    </row>
    <row r="470" spans="1:37" x14ac:dyDescent="0.25">
      <c r="A470" s="542" t="s">
        <v>1285</v>
      </c>
      <c r="B470" s="317" t="s">
        <v>1071</v>
      </c>
      <c r="C470" s="95">
        <v>0</v>
      </c>
      <c r="D470" s="95">
        <v>183</v>
      </c>
      <c r="E470" s="95"/>
      <c r="F470" s="95"/>
      <c r="G470" s="95">
        <v>6244</v>
      </c>
      <c r="H470" s="138">
        <v>14800</v>
      </c>
      <c r="I470" s="138"/>
      <c r="J470" s="126">
        <f t="shared" si="56"/>
        <v>14800</v>
      </c>
      <c r="K470" s="318">
        <v>43808</v>
      </c>
      <c r="L470" s="95">
        <v>0</v>
      </c>
      <c r="M470" s="313">
        <f t="shared" si="57"/>
        <v>43808</v>
      </c>
      <c r="N470" s="2" t="str">
        <f t="shared" si="58"/>
        <v>Pagado</v>
      </c>
      <c r="O470" s="318">
        <v>43808</v>
      </c>
      <c r="P470" s="138">
        <v>14800</v>
      </c>
      <c r="Q470" s="2" t="s">
        <v>1070</v>
      </c>
      <c r="R470" s="2" t="s">
        <v>2243</v>
      </c>
      <c r="S470" s="95">
        <v>183</v>
      </c>
      <c r="T470" s="313"/>
      <c r="U470" s="393"/>
      <c r="V470" s="95"/>
      <c r="W470" s="129"/>
      <c r="X470" s="318"/>
      <c r="Y470" s="95"/>
      <c r="Z470" s="131"/>
      <c r="AA470" s="108" t="str">
        <f t="shared" si="59"/>
        <v/>
      </c>
      <c r="AB470" s="2"/>
      <c r="AC470" s="131">
        <f t="shared" si="60"/>
        <v>12436.974789915967</v>
      </c>
      <c r="AD470" s="108">
        <f t="shared" si="61"/>
        <v>2363.0252100840335</v>
      </c>
      <c r="AE470" s="95" t="s">
        <v>1501</v>
      </c>
      <c r="AF470" s="541" t="s">
        <v>3487</v>
      </c>
      <c r="AG470" s="2" t="str">
        <f t="shared" si="62"/>
        <v>SI</v>
      </c>
      <c r="AH470" s="284"/>
      <c r="AI470" s="541"/>
      <c r="AJ470" s="2" t="str">
        <f t="shared" si="63"/>
        <v>NV</v>
      </c>
      <c r="AK470" s="303"/>
    </row>
    <row r="471" spans="1:37" x14ac:dyDescent="0.25">
      <c r="A471" s="368" t="s">
        <v>5228</v>
      </c>
      <c r="B471" s="317" t="s">
        <v>5229</v>
      </c>
      <c r="C471" s="95">
        <v>0</v>
      </c>
      <c r="D471" s="95">
        <v>0</v>
      </c>
      <c r="E471" s="95"/>
      <c r="F471" s="95"/>
      <c r="G471" s="95">
        <v>6246</v>
      </c>
      <c r="H471" s="138">
        <v>34500</v>
      </c>
      <c r="I471" s="138"/>
      <c r="J471" s="126">
        <f t="shared" si="56"/>
        <v>34500</v>
      </c>
      <c r="K471" s="318">
        <v>43808</v>
      </c>
      <c r="L471" s="95">
        <v>0</v>
      </c>
      <c r="M471" s="313">
        <f t="shared" si="57"/>
        <v>43808</v>
      </c>
      <c r="N471" s="2" t="str">
        <f t="shared" si="58"/>
        <v>Pagado</v>
      </c>
      <c r="O471" s="318">
        <v>43808</v>
      </c>
      <c r="P471" s="138">
        <v>34500</v>
      </c>
      <c r="Q471" s="2" t="s">
        <v>2132</v>
      </c>
      <c r="R471" s="2"/>
      <c r="S471" s="95"/>
      <c r="T471" s="313" t="s">
        <v>1489</v>
      </c>
      <c r="U471" s="393"/>
      <c r="V471" s="95">
        <v>2270727</v>
      </c>
      <c r="W471" s="129">
        <v>40000</v>
      </c>
      <c r="X471" s="318">
        <v>43810</v>
      </c>
      <c r="Y471" s="95" t="s">
        <v>1488</v>
      </c>
      <c r="Z471" s="131"/>
      <c r="AA471" s="108" t="str">
        <f t="shared" si="59"/>
        <v>Otros</v>
      </c>
      <c r="AB471" s="2"/>
      <c r="AC471" s="131">
        <f t="shared" si="60"/>
        <v>28991.596638655465</v>
      </c>
      <c r="AD471" s="108">
        <f t="shared" si="61"/>
        <v>5508.4033613445354</v>
      </c>
      <c r="AE471" s="95" t="s">
        <v>1501</v>
      </c>
      <c r="AF471" s="475" t="s">
        <v>3487</v>
      </c>
      <c r="AG471" s="2" t="str">
        <f t="shared" si="62"/>
        <v>SI</v>
      </c>
      <c r="AH471" s="284"/>
      <c r="AI471" s="475"/>
      <c r="AJ471" s="2" t="str">
        <f t="shared" si="63"/>
        <v>NV</v>
      </c>
      <c r="AK471" s="303"/>
    </row>
    <row r="472" spans="1:37" x14ac:dyDescent="0.25">
      <c r="A472" s="501" t="s">
        <v>1176</v>
      </c>
      <c r="B472" s="317" t="s">
        <v>949</v>
      </c>
      <c r="C472" s="2">
        <v>3023</v>
      </c>
      <c r="D472" s="2">
        <v>0</v>
      </c>
      <c r="E472" s="2"/>
      <c r="F472" s="2"/>
      <c r="G472" s="2" t="s">
        <v>2528</v>
      </c>
      <c r="H472" s="293">
        <v>262662</v>
      </c>
      <c r="I472" s="293"/>
      <c r="J472" s="126">
        <f t="shared" si="56"/>
        <v>262662</v>
      </c>
      <c r="K472" s="310">
        <v>43809</v>
      </c>
      <c r="L472" s="2">
        <v>30</v>
      </c>
      <c r="M472" s="313">
        <f t="shared" si="57"/>
        <v>43839</v>
      </c>
      <c r="N472" s="2" t="str">
        <f t="shared" si="58"/>
        <v>Pagado</v>
      </c>
      <c r="O472" s="310">
        <v>43812</v>
      </c>
      <c r="P472" s="293">
        <v>262662</v>
      </c>
      <c r="Q472" s="2" t="s">
        <v>2131</v>
      </c>
      <c r="R472" s="2"/>
      <c r="S472" s="2">
        <v>6281098</v>
      </c>
      <c r="T472" s="313" t="s">
        <v>1488</v>
      </c>
      <c r="U472" s="392"/>
      <c r="V472" s="2"/>
      <c r="W472" s="108"/>
      <c r="X472" s="310"/>
      <c r="Y472" s="2"/>
      <c r="Z472" s="131"/>
      <c r="AA472" s="108" t="str">
        <f t="shared" si="59"/>
        <v>Chile</v>
      </c>
      <c r="AB472" s="2"/>
      <c r="AC472" s="131">
        <f t="shared" si="60"/>
        <v>220724.36974789918</v>
      </c>
      <c r="AD472" s="108">
        <f t="shared" si="61"/>
        <v>41937.630252100818</v>
      </c>
      <c r="AE472" s="2" t="s">
        <v>1501</v>
      </c>
      <c r="AF472" s="23" t="s">
        <v>3490</v>
      </c>
      <c r="AG472" s="2" t="str">
        <f t="shared" si="62"/>
        <v>SI</v>
      </c>
      <c r="AH472" s="14"/>
      <c r="AI472" s="23"/>
      <c r="AJ472" s="2" t="str">
        <f t="shared" si="63"/>
        <v>Factura</v>
      </c>
      <c r="AK472" s="294"/>
    </row>
    <row r="473" spans="1:37" x14ac:dyDescent="0.25">
      <c r="A473" s="542" t="s">
        <v>2656</v>
      </c>
      <c r="B473" s="317" t="s">
        <v>3362</v>
      </c>
      <c r="C473" s="95">
        <v>0</v>
      </c>
      <c r="D473" s="95">
        <v>2772</v>
      </c>
      <c r="E473" s="95"/>
      <c r="F473" s="95"/>
      <c r="G473" s="95">
        <v>6247</v>
      </c>
      <c r="H473" s="138">
        <v>22500</v>
      </c>
      <c r="I473" s="138"/>
      <c r="J473" s="126">
        <f t="shared" si="56"/>
        <v>22500</v>
      </c>
      <c r="K473" s="318">
        <v>43809</v>
      </c>
      <c r="L473" s="95">
        <v>0</v>
      </c>
      <c r="M473" s="313">
        <f t="shared" si="57"/>
        <v>43809</v>
      </c>
      <c r="N473" s="2" t="str">
        <f t="shared" si="58"/>
        <v>Pagado</v>
      </c>
      <c r="O473" s="318">
        <v>43809</v>
      </c>
      <c r="P473" s="138">
        <v>22500</v>
      </c>
      <c r="Q473" s="2" t="s">
        <v>1484</v>
      </c>
      <c r="R473" s="2"/>
      <c r="S473" s="95"/>
      <c r="T473" s="313" t="s">
        <v>1462</v>
      </c>
      <c r="U473" s="393"/>
      <c r="V473" s="95"/>
      <c r="W473" s="129"/>
      <c r="X473" s="318"/>
      <c r="Y473" s="95"/>
      <c r="Z473" s="131"/>
      <c r="AA473" s="108" t="str">
        <f t="shared" si="59"/>
        <v/>
      </c>
      <c r="AB473" s="2"/>
      <c r="AC473" s="131">
        <f t="shared" si="60"/>
        <v>18907.563025210085</v>
      </c>
      <c r="AD473" s="108">
        <f t="shared" si="61"/>
        <v>3592.4369747899145</v>
      </c>
      <c r="AE473" s="95" t="s">
        <v>1501</v>
      </c>
      <c r="AF473" s="541" t="s">
        <v>3489</v>
      </c>
      <c r="AG473" s="2" t="str">
        <f t="shared" si="62"/>
        <v>SI</v>
      </c>
      <c r="AH473" s="284"/>
      <c r="AI473" s="541"/>
      <c r="AJ473" s="2" t="str">
        <f t="shared" si="63"/>
        <v>NV</v>
      </c>
      <c r="AK473" s="303"/>
    </row>
    <row r="474" spans="1:37" x14ac:dyDescent="0.25">
      <c r="A474" s="542" t="s">
        <v>1243</v>
      </c>
      <c r="B474" s="317" t="s">
        <v>986</v>
      </c>
      <c r="C474" s="95">
        <v>0</v>
      </c>
      <c r="D474" s="95">
        <v>0</v>
      </c>
      <c r="E474" s="95"/>
      <c r="F474" s="95"/>
      <c r="G474" s="95">
        <v>6254</v>
      </c>
      <c r="H474" s="138">
        <v>46292</v>
      </c>
      <c r="I474" s="138"/>
      <c r="J474" s="126">
        <f t="shared" si="56"/>
        <v>46292</v>
      </c>
      <c r="K474" s="318">
        <v>43810</v>
      </c>
      <c r="L474" s="95">
        <v>0</v>
      </c>
      <c r="M474" s="313">
        <f t="shared" si="57"/>
        <v>43810</v>
      </c>
      <c r="N474" s="2" t="str">
        <f t="shared" si="58"/>
        <v>Pagado</v>
      </c>
      <c r="O474" s="318">
        <v>43872</v>
      </c>
      <c r="P474" s="138">
        <v>50000</v>
      </c>
      <c r="Q474" s="2" t="s">
        <v>1484</v>
      </c>
      <c r="R474" s="2"/>
      <c r="S474" s="95"/>
      <c r="T474" s="313" t="s">
        <v>1496</v>
      </c>
      <c r="U474" s="393"/>
      <c r="V474" s="95"/>
      <c r="W474" s="129"/>
      <c r="X474" s="318"/>
      <c r="Y474" s="95"/>
      <c r="Z474" s="131"/>
      <c r="AA474" s="108" t="str">
        <f t="shared" si="59"/>
        <v/>
      </c>
      <c r="AB474" s="2"/>
      <c r="AC474" s="131">
        <f t="shared" si="60"/>
        <v>38900.840336134454</v>
      </c>
      <c r="AD474" s="108">
        <f t="shared" si="61"/>
        <v>7391.1596638655465</v>
      </c>
      <c r="AE474" s="95" t="s">
        <v>1501</v>
      </c>
      <c r="AF474" s="541" t="s">
        <v>3489</v>
      </c>
      <c r="AG474" s="2" t="str">
        <f t="shared" si="62"/>
        <v>SI</v>
      </c>
      <c r="AH474" s="284"/>
      <c r="AI474" s="541"/>
      <c r="AJ474" s="2" t="str">
        <f t="shared" si="63"/>
        <v>NV</v>
      </c>
      <c r="AK474" s="303"/>
    </row>
    <row r="475" spans="1:37" x14ac:dyDescent="0.25">
      <c r="A475" s="534" t="s">
        <v>4028</v>
      </c>
      <c r="B475" s="317" t="s">
        <v>4029</v>
      </c>
      <c r="C475" s="95">
        <v>0</v>
      </c>
      <c r="D475" s="95">
        <v>0</v>
      </c>
      <c r="E475" s="95"/>
      <c r="F475" s="95"/>
      <c r="G475" s="95">
        <v>6250</v>
      </c>
      <c r="H475" s="138">
        <v>14800</v>
      </c>
      <c r="I475" s="138"/>
      <c r="J475" s="126">
        <f t="shared" si="56"/>
        <v>14800</v>
      </c>
      <c r="K475" s="318">
        <v>43810</v>
      </c>
      <c r="L475" s="95">
        <v>0</v>
      </c>
      <c r="M475" s="313">
        <f t="shared" si="57"/>
        <v>43810</v>
      </c>
      <c r="N475" s="2" t="str">
        <f t="shared" si="58"/>
        <v>Pagado</v>
      </c>
      <c r="O475" s="318">
        <v>43810</v>
      </c>
      <c r="P475" s="138">
        <v>14800</v>
      </c>
      <c r="Q475" s="2" t="s">
        <v>1484</v>
      </c>
      <c r="R475" s="2"/>
      <c r="S475" s="95"/>
      <c r="T475" s="313" t="s">
        <v>1492</v>
      </c>
      <c r="U475" s="393"/>
      <c r="V475" s="95"/>
      <c r="W475" s="129"/>
      <c r="X475" s="318"/>
      <c r="Y475" s="95"/>
      <c r="Z475" s="131"/>
      <c r="AA475" s="108" t="str">
        <f t="shared" si="59"/>
        <v/>
      </c>
      <c r="AB475" s="2"/>
      <c r="AC475" s="131">
        <f t="shared" si="60"/>
        <v>12436.974789915967</v>
      </c>
      <c r="AD475" s="108">
        <f t="shared" si="61"/>
        <v>2363.0252100840335</v>
      </c>
      <c r="AE475" s="95" t="s">
        <v>1501</v>
      </c>
      <c r="AF475" s="533" t="s">
        <v>3489</v>
      </c>
      <c r="AG475" s="2" t="str">
        <f t="shared" si="62"/>
        <v>SI</v>
      </c>
      <c r="AH475" s="284"/>
      <c r="AI475" s="533"/>
      <c r="AJ475" s="2" t="str">
        <f t="shared" si="63"/>
        <v>NV</v>
      </c>
      <c r="AK475" s="303"/>
    </row>
    <row r="476" spans="1:37" x14ac:dyDescent="0.25">
      <c r="A476" s="534" t="s">
        <v>3562</v>
      </c>
      <c r="B476" s="317" t="s">
        <v>3563</v>
      </c>
      <c r="C476" s="95">
        <v>0</v>
      </c>
      <c r="D476" s="95">
        <v>2771</v>
      </c>
      <c r="E476" s="95"/>
      <c r="F476" s="95"/>
      <c r="G476" s="95">
        <v>6248</v>
      </c>
      <c r="H476" s="138">
        <v>29000</v>
      </c>
      <c r="I476" s="138"/>
      <c r="J476" s="126">
        <f t="shared" si="56"/>
        <v>29000</v>
      </c>
      <c r="K476" s="318">
        <v>43810</v>
      </c>
      <c r="L476" s="95">
        <v>0</v>
      </c>
      <c r="M476" s="313">
        <f t="shared" si="57"/>
        <v>43810</v>
      </c>
      <c r="N476" s="2" t="str">
        <f t="shared" si="58"/>
        <v>Pagado</v>
      </c>
      <c r="O476" s="318">
        <v>43810</v>
      </c>
      <c r="P476" s="138">
        <v>29000</v>
      </c>
      <c r="Q476" s="2" t="s">
        <v>1481</v>
      </c>
      <c r="R476" s="2"/>
      <c r="S476" s="95"/>
      <c r="T476" s="313"/>
      <c r="U476" s="393"/>
      <c r="V476" s="95"/>
      <c r="W476" s="129"/>
      <c r="X476" s="318"/>
      <c r="Y476" s="95"/>
      <c r="Z476" s="131"/>
      <c r="AA476" s="108" t="str">
        <f t="shared" si="59"/>
        <v/>
      </c>
      <c r="AB476" s="2"/>
      <c r="AC476" s="131">
        <f t="shared" si="60"/>
        <v>24369.747899159665</v>
      </c>
      <c r="AD476" s="108">
        <f t="shared" si="61"/>
        <v>4630.2521008403346</v>
      </c>
      <c r="AE476" s="95" t="s">
        <v>1501</v>
      </c>
      <c r="AF476" s="533" t="s">
        <v>3489</v>
      </c>
      <c r="AG476" s="2" t="str">
        <f t="shared" si="62"/>
        <v>SI</v>
      </c>
      <c r="AH476" s="284"/>
      <c r="AI476" s="533"/>
      <c r="AJ476" s="2" t="str">
        <f t="shared" si="63"/>
        <v>NV</v>
      </c>
      <c r="AK476" s="303"/>
    </row>
    <row r="477" spans="1:37" x14ac:dyDescent="0.25">
      <c r="A477" s="534" t="s">
        <v>2226</v>
      </c>
      <c r="B477" s="317" t="s">
        <v>2227</v>
      </c>
      <c r="C477" s="95">
        <v>0</v>
      </c>
      <c r="D477" s="95">
        <v>180</v>
      </c>
      <c r="E477" s="95"/>
      <c r="F477" s="95"/>
      <c r="G477" s="95">
        <v>6255</v>
      </c>
      <c r="H477" s="138">
        <v>54000</v>
      </c>
      <c r="I477" s="138"/>
      <c r="J477" s="126">
        <f t="shared" si="56"/>
        <v>54000</v>
      </c>
      <c r="K477" s="318">
        <v>43810</v>
      </c>
      <c r="L477" s="95">
        <v>0</v>
      </c>
      <c r="M477" s="313">
        <f t="shared" si="57"/>
        <v>43810</v>
      </c>
      <c r="N477" s="2" t="str">
        <f t="shared" si="58"/>
        <v>Pagado</v>
      </c>
      <c r="O477" s="318">
        <v>43810</v>
      </c>
      <c r="P477" s="138">
        <v>54000</v>
      </c>
      <c r="Q477" s="2" t="s">
        <v>1070</v>
      </c>
      <c r="R477" s="2" t="s">
        <v>2243</v>
      </c>
      <c r="S477" s="95">
        <v>180</v>
      </c>
      <c r="T477" s="313"/>
      <c r="U477" s="393"/>
      <c r="V477" s="95"/>
      <c r="W477" s="129"/>
      <c r="X477" s="318"/>
      <c r="Y477" s="95"/>
      <c r="Z477" s="131"/>
      <c r="AA477" s="108" t="str">
        <f t="shared" si="59"/>
        <v/>
      </c>
      <c r="AB477" s="2"/>
      <c r="AC477" s="131">
        <f t="shared" si="60"/>
        <v>45378.151260504201</v>
      </c>
      <c r="AD477" s="108">
        <f t="shared" si="61"/>
        <v>8621.8487394957992</v>
      </c>
      <c r="AE477" s="95" t="s">
        <v>1501</v>
      </c>
      <c r="AF477" s="533" t="s">
        <v>3487</v>
      </c>
      <c r="AG477" s="2" t="str">
        <f t="shared" si="62"/>
        <v>SI</v>
      </c>
      <c r="AH477" s="284"/>
      <c r="AI477" s="533"/>
      <c r="AJ477" s="2" t="str">
        <f t="shared" si="63"/>
        <v>NV</v>
      </c>
      <c r="AK477" s="303"/>
    </row>
    <row r="478" spans="1:37" x14ac:dyDescent="0.25">
      <c r="A478" s="542" t="s">
        <v>1178</v>
      </c>
      <c r="B478" s="317" t="s">
        <v>950</v>
      </c>
      <c r="C478" s="95">
        <v>3025</v>
      </c>
      <c r="D478" s="95">
        <v>0</v>
      </c>
      <c r="E478" s="95"/>
      <c r="F478" s="95"/>
      <c r="G478" s="95" t="s">
        <v>2528</v>
      </c>
      <c r="H478" s="138">
        <v>143344</v>
      </c>
      <c r="I478" s="138"/>
      <c r="J478" s="126">
        <f t="shared" si="56"/>
        <v>143344</v>
      </c>
      <c r="K478" s="318">
        <v>43811</v>
      </c>
      <c r="L478" s="95">
        <v>7</v>
      </c>
      <c r="M478" s="313">
        <f t="shared" si="57"/>
        <v>43818</v>
      </c>
      <c r="N478" s="2" t="str">
        <f t="shared" si="58"/>
        <v>Pagado</v>
      </c>
      <c r="O478" s="318">
        <v>43818</v>
      </c>
      <c r="P478" s="138">
        <v>143344</v>
      </c>
      <c r="Q478" s="2" t="s">
        <v>2131</v>
      </c>
      <c r="R478" s="2"/>
      <c r="S478" s="95">
        <v>1116114</v>
      </c>
      <c r="T478" s="313" t="s">
        <v>1496</v>
      </c>
      <c r="U478" s="393">
        <v>43818</v>
      </c>
      <c r="V478" s="95"/>
      <c r="W478" s="129"/>
      <c r="X478" s="318"/>
      <c r="Y478" s="95"/>
      <c r="Z478" s="131"/>
      <c r="AA478" s="108" t="str">
        <f t="shared" si="59"/>
        <v>Otros</v>
      </c>
      <c r="AB478" s="2"/>
      <c r="AC478" s="131">
        <f t="shared" si="60"/>
        <v>120457.14285714287</v>
      </c>
      <c r="AD478" s="108">
        <f t="shared" si="61"/>
        <v>22886.85714285713</v>
      </c>
      <c r="AE478" s="95" t="s">
        <v>2050</v>
      </c>
      <c r="AF478" s="541" t="s">
        <v>3490</v>
      </c>
      <c r="AG478" s="2" t="str">
        <f t="shared" si="62"/>
        <v>SI</v>
      </c>
      <c r="AH478" s="284"/>
      <c r="AI478" s="541"/>
      <c r="AJ478" s="2" t="str">
        <f t="shared" si="63"/>
        <v>Factura</v>
      </c>
      <c r="AK478" s="303"/>
    </row>
    <row r="479" spans="1:37" x14ac:dyDescent="0.25">
      <c r="A479" s="501" t="s">
        <v>2619</v>
      </c>
      <c r="B479" s="317" t="s">
        <v>3361</v>
      </c>
      <c r="C479" s="95">
        <v>0</v>
      </c>
      <c r="D479" s="95">
        <v>2773</v>
      </c>
      <c r="E479" s="95"/>
      <c r="F479" s="95"/>
      <c r="G479" s="95">
        <v>6257</v>
      </c>
      <c r="H479" s="138">
        <v>31100</v>
      </c>
      <c r="I479" s="138"/>
      <c r="J479" s="126">
        <f t="shared" si="56"/>
        <v>31100</v>
      </c>
      <c r="K479" s="318">
        <v>43811</v>
      </c>
      <c r="L479" s="95">
        <v>0</v>
      </c>
      <c r="M479" s="313">
        <f t="shared" si="57"/>
        <v>43811</v>
      </c>
      <c r="N479" s="2" t="str">
        <f t="shared" si="58"/>
        <v>Pagado</v>
      </c>
      <c r="O479" s="318">
        <v>43811</v>
      </c>
      <c r="P479" s="138">
        <v>31100</v>
      </c>
      <c r="Q479" s="2" t="s">
        <v>1484</v>
      </c>
      <c r="R479" s="2"/>
      <c r="S479" s="95"/>
      <c r="T479" s="313" t="s">
        <v>1496</v>
      </c>
      <c r="U479" s="393"/>
      <c r="V479" s="95"/>
      <c r="W479" s="129"/>
      <c r="X479" s="318"/>
      <c r="Y479" s="95"/>
      <c r="Z479" s="131"/>
      <c r="AA479" s="108" t="str">
        <f t="shared" si="59"/>
        <v/>
      </c>
      <c r="AB479" s="2"/>
      <c r="AC479" s="131">
        <f t="shared" si="60"/>
        <v>26134.453781512606</v>
      </c>
      <c r="AD479" s="108">
        <f t="shared" si="61"/>
        <v>4965.5462184873941</v>
      </c>
      <c r="AE479" s="95" t="s">
        <v>1501</v>
      </c>
      <c r="AF479" s="500" t="s">
        <v>3489</v>
      </c>
      <c r="AG479" s="2" t="str">
        <f t="shared" si="62"/>
        <v>SI</v>
      </c>
      <c r="AH479" s="284"/>
      <c r="AI479" s="500"/>
      <c r="AJ479" s="2" t="str">
        <f t="shared" si="63"/>
        <v>NV</v>
      </c>
      <c r="AK479" s="303"/>
    </row>
    <row r="480" spans="1:37" x14ac:dyDescent="0.25">
      <c r="A480" s="501" t="s">
        <v>5521</v>
      </c>
      <c r="B480" s="317" t="s">
        <v>5522</v>
      </c>
      <c r="C480" s="95">
        <v>0</v>
      </c>
      <c r="D480" s="95">
        <v>0</v>
      </c>
      <c r="E480" s="95"/>
      <c r="F480" s="95"/>
      <c r="G480" s="95">
        <v>6260</v>
      </c>
      <c r="H480" s="138">
        <v>3140</v>
      </c>
      <c r="I480" s="138"/>
      <c r="J480" s="126">
        <f t="shared" si="56"/>
        <v>3140</v>
      </c>
      <c r="K480" s="318">
        <v>43811</v>
      </c>
      <c r="L480" s="95">
        <v>0</v>
      </c>
      <c r="M480" s="313">
        <f t="shared" si="57"/>
        <v>43811</v>
      </c>
      <c r="N480" s="2" t="str">
        <f t="shared" ca="1" si="58"/>
        <v>Vencido</v>
      </c>
      <c r="O480" s="318"/>
      <c r="P480" s="138"/>
      <c r="Q480" s="2"/>
      <c r="R480" s="2"/>
      <c r="S480" s="95"/>
      <c r="T480" s="313"/>
      <c r="U480" s="393"/>
      <c r="V480" s="95"/>
      <c r="W480" s="129"/>
      <c r="X480" s="318"/>
      <c r="Y480" s="95"/>
      <c r="Z480" s="131"/>
      <c r="AA480" s="108" t="str">
        <f t="shared" si="59"/>
        <v/>
      </c>
      <c r="AB480" s="2"/>
      <c r="AC480" s="131">
        <f t="shared" si="60"/>
        <v>2638.6554621848741</v>
      </c>
      <c r="AD480" s="108">
        <f t="shared" si="61"/>
        <v>501.34453781512593</v>
      </c>
      <c r="AE480" s="95" t="s">
        <v>1501</v>
      </c>
      <c r="AF480" s="500" t="s">
        <v>3489</v>
      </c>
      <c r="AG480" s="2" t="str">
        <f t="shared" ca="1" si="62"/>
        <v>NO</v>
      </c>
      <c r="AH480" s="284"/>
      <c r="AI480" s="500"/>
      <c r="AJ480" s="2" t="str">
        <f t="shared" si="63"/>
        <v>NV</v>
      </c>
      <c r="AK480" s="303"/>
    </row>
    <row r="481" spans="1:37" x14ac:dyDescent="0.25">
      <c r="A481" s="501" t="s">
        <v>4807</v>
      </c>
      <c r="B481" s="317" t="s">
        <v>4808</v>
      </c>
      <c r="C481" s="95">
        <v>0</v>
      </c>
      <c r="D481" s="95">
        <v>185</v>
      </c>
      <c r="E481" s="95"/>
      <c r="F481" s="95"/>
      <c r="G481" s="95">
        <v>6259</v>
      </c>
      <c r="H481" s="138">
        <v>46000</v>
      </c>
      <c r="I481" s="138"/>
      <c r="J481" s="126">
        <f t="shared" si="56"/>
        <v>46000</v>
      </c>
      <c r="K481" s="318">
        <v>43811</v>
      </c>
      <c r="L481" s="95">
        <v>0</v>
      </c>
      <c r="M481" s="313">
        <f t="shared" si="57"/>
        <v>43811</v>
      </c>
      <c r="N481" s="2" t="str">
        <f t="shared" si="58"/>
        <v>Pagado</v>
      </c>
      <c r="O481" s="318">
        <v>43811</v>
      </c>
      <c r="P481" s="138">
        <v>46000</v>
      </c>
      <c r="Q481" s="2" t="s">
        <v>1070</v>
      </c>
      <c r="R481" s="2" t="s">
        <v>2243</v>
      </c>
      <c r="S481" s="95">
        <v>185</v>
      </c>
      <c r="T481" s="313"/>
      <c r="U481" s="393"/>
      <c r="V481" s="95"/>
      <c r="W481" s="129"/>
      <c r="X481" s="318"/>
      <c r="Y481" s="95"/>
      <c r="Z481" s="131"/>
      <c r="AA481" s="108" t="str">
        <f t="shared" si="59"/>
        <v/>
      </c>
      <c r="AB481" s="2"/>
      <c r="AC481" s="131">
        <f t="shared" si="60"/>
        <v>38655.462184873948</v>
      </c>
      <c r="AD481" s="108">
        <f t="shared" si="61"/>
        <v>7344.537815126052</v>
      </c>
      <c r="AE481" s="95" t="s">
        <v>1501</v>
      </c>
      <c r="AF481" s="500" t="s">
        <v>3487</v>
      </c>
      <c r="AG481" s="2" t="str">
        <f t="shared" si="62"/>
        <v>SI</v>
      </c>
      <c r="AH481" s="284"/>
      <c r="AI481" s="500"/>
      <c r="AJ481" s="2" t="str">
        <f t="shared" si="63"/>
        <v>NV</v>
      </c>
      <c r="AK481" s="303"/>
    </row>
    <row r="482" spans="1:37" x14ac:dyDescent="0.25">
      <c r="A482" s="501" t="s">
        <v>1179</v>
      </c>
      <c r="B482" s="317" t="s">
        <v>952</v>
      </c>
      <c r="C482" s="95">
        <v>3024</v>
      </c>
      <c r="D482" s="95">
        <v>0</v>
      </c>
      <c r="E482" s="95"/>
      <c r="F482" s="95"/>
      <c r="G482" s="95" t="s">
        <v>2528</v>
      </c>
      <c r="H482" s="138">
        <v>100000</v>
      </c>
      <c r="I482" s="138"/>
      <c r="J482" s="126">
        <f t="shared" si="56"/>
        <v>100000</v>
      </c>
      <c r="K482" s="318">
        <v>43811</v>
      </c>
      <c r="L482" s="95">
        <v>7</v>
      </c>
      <c r="M482" s="313">
        <f t="shared" si="57"/>
        <v>43818</v>
      </c>
      <c r="N482" s="2" t="str">
        <f t="shared" si="58"/>
        <v>Pagado</v>
      </c>
      <c r="O482" s="318">
        <v>43818</v>
      </c>
      <c r="P482" s="138">
        <v>100000</v>
      </c>
      <c r="Q482" s="2" t="s">
        <v>1481</v>
      </c>
      <c r="R482" s="2"/>
      <c r="S482" s="95">
        <v>4443607</v>
      </c>
      <c r="T482" s="313" t="s">
        <v>1488</v>
      </c>
      <c r="U482" s="393">
        <v>43816</v>
      </c>
      <c r="V482" s="95"/>
      <c r="W482" s="129"/>
      <c r="X482" s="318"/>
      <c r="Y482" s="95"/>
      <c r="Z482" s="131"/>
      <c r="AA482" s="108" t="str">
        <f t="shared" si="59"/>
        <v/>
      </c>
      <c r="AB482" s="2"/>
      <c r="AC482" s="131">
        <f t="shared" si="60"/>
        <v>84033.613445378156</v>
      </c>
      <c r="AD482" s="108">
        <f t="shared" si="61"/>
        <v>15966.386554621844</v>
      </c>
      <c r="AE482" s="95" t="s">
        <v>2050</v>
      </c>
      <c r="AF482" s="500" t="s">
        <v>3490</v>
      </c>
      <c r="AG482" s="2" t="str">
        <f t="shared" si="62"/>
        <v>SI</v>
      </c>
      <c r="AH482" s="284"/>
      <c r="AI482" s="500"/>
      <c r="AJ482" s="2" t="str">
        <f t="shared" si="63"/>
        <v>Factura</v>
      </c>
      <c r="AK482" s="303"/>
    </row>
    <row r="483" spans="1:37" x14ac:dyDescent="0.25">
      <c r="A483" s="501" t="s">
        <v>1180</v>
      </c>
      <c r="B483" s="317" t="s">
        <v>952</v>
      </c>
      <c r="C483" s="95">
        <v>3024</v>
      </c>
      <c r="D483" s="95">
        <v>0</v>
      </c>
      <c r="E483" s="95"/>
      <c r="F483" s="95"/>
      <c r="G483" s="95" t="s">
        <v>2528</v>
      </c>
      <c r="H483" s="138">
        <v>60896</v>
      </c>
      <c r="I483" s="138"/>
      <c r="J483" s="126">
        <f t="shared" si="56"/>
        <v>60896</v>
      </c>
      <c r="K483" s="318">
        <v>43811</v>
      </c>
      <c r="L483" s="95">
        <v>7</v>
      </c>
      <c r="M483" s="313">
        <f t="shared" si="57"/>
        <v>43818</v>
      </c>
      <c r="N483" s="2" t="str">
        <f t="shared" si="58"/>
        <v>Pagado</v>
      </c>
      <c r="O483" s="318">
        <v>43823</v>
      </c>
      <c r="P483" s="138">
        <v>70000</v>
      </c>
      <c r="Q483" s="2" t="s">
        <v>1481</v>
      </c>
      <c r="R483" s="2"/>
      <c r="S483" s="95"/>
      <c r="T483" s="326"/>
      <c r="U483" s="393"/>
      <c r="V483" s="95"/>
      <c r="W483" s="129"/>
      <c r="X483" s="318"/>
      <c r="Y483" s="95"/>
      <c r="Z483" s="131"/>
      <c r="AA483" s="108" t="str">
        <f t="shared" si="59"/>
        <v/>
      </c>
      <c r="AB483" s="2"/>
      <c r="AC483" s="131">
        <f t="shared" si="60"/>
        <v>51173.10924369748</v>
      </c>
      <c r="AD483" s="108">
        <f t="shared" si="61"/>
        <v>9722.8907563025205</v>
      </c>
      <c r="AE483" s="95"/>
      <c r="AF483" s="500"/>
      <c r="AG483" s="2" t="str">
        <f t="shared" si="62"/>
        <v>SI</v>
      </c>
      <c r="AH483" s="284"/>
      <c r="AI483" s="500"/>
      <c r="AJ483" s="2" t="str">
        <f t="shared" si="63"/>
        <v>Factura</v>
      </c>
      <c r="AK483" s="303"/>
    </row>
    <row r="484" spans="1:37" x14ac:dyDescent="0.25">
      <c r="A484" s="501" t="s">
        <v>2011</v>
      </c>
      <c r="B484" s="317" t="s">
        <v>2162</v>
      </c>
      <c r="C484" s="95">
        <v>0</v>
      </c>
      <c r="D484" s="95">
        <v>2774</v>
      </c>
      <c r="E484" s="95"/>
      <c r="F484" s="95"/>
      <c r="G484" s="95">
        <v>6256</v>
      </c>
      <c r="H484" s="138">
        <v>27500</v>
      </c>
      <c r="I484" s="138"/>
      <c r="J484" s="126">
        <f t="shared" si="56"/>
        <v>27500</v>
      </c>
      <c r="K484" s="318">
        <v>43811</v>
      </c>
      <c r="L484" s="95">
        <v>0</v>
      </c>
      <c r="M484" s="313">
        <f t="shared" si="57"/>
        <v>43811</v>
      </c>
      <c r="N484" s="2" t="str">
        <f t="shared" si="58"/>
        <v>Pagado</v>
      </c>
      <c r="O484" s="318">
        <v>43811</v>
      </c>
      <c r="P484" s="138">
        <v>27500</v>
      </c>
      <c r="Q484" s="2" t="s">
        <v>1484</v>
      </c>
      <c r="R484" s="2"/>
      <c r="S484" s="95"/>
      <c r="T484" s="313" t="s">
        <v>1496</v>
      </c>
      <c r="U484" s="393"/>
      <c r="V484" s="95"/>
      <c r="W484" s="129"/>
      <c r="X484" s="318"/>
      <c r="Y484" s="95"/>
      <c r="Z484" s="131"/>
      <c r="AA484" s="108" t="str">
        <f t="shared" si="59"/>
        <v/>
      </c>
      <c r="AB484" s="2"/>
      <c r="AC484" s="131">
        <f t="shared" si="60"/>
        <v>23109.243697478993</v>
      </c>
      <c r="AD484" s="108">
        <f t="shared" si="61"/>
        <v>4390.7563025210075</v>
      </c>
      <c r="AE484" s="95" t="s">
        <v>1501</v>
      </c>
      <c r="AF484" s="500" t="s">
        <v>3487</v>
      </c>
      <c r="AG484" s="2" t="str">
        <f t="shared" si="62"/>
        <v>SI</v>
      </c>
      <c r="AH484" s="284"/>
      <c r="AI484" s="500"/>
      <c r="AJ484" s="2" t="str">
        <f t="shared" si="63"/>
        <v>NV</v>
      </c>
      <c r="AK484" s="303"/>
    </row>
    <row r="485" spans="1:37" x14ac:dyDescent="0.25">
      <c r="A485" s="501" t="s">
        <v>4580</v>
      </c>
      <c r="B485" s="317" t="s">
        <v>4581</v>
      </c>
      <c r="C485" s="95">
        <v>0</v>
      </c>
      <c r="D485" s="95">
        <v>2778</v>
      </c>
      <c r="E485" s="95"/>
      <c r="F485" s="95"/>
      <c r="G485" s="95">
        <v>6249</v>
      </c>
      <c r="H485" s="138">
        <v>35500</v>
      </c>
      <c r="I485" s="138"/>
      <c r="J485" s="126">
        <f t="shared" si="56"/>
        <v>35500</v>
      </c>
      <c r="K485" s="318">
        <v>43811</v>
      </c>
      <c r="L485" s="95">
        <v>0</v>
      </c>
      <c r="M485" s="313">
        <f t="shared" si="57"/>
        <v>43811</v>
      </c>
      <c r="N485" s="2" t="str">
        <f t="shared" si="58"/>
        <v>Pagado</v>
      </c>
      <c r="O485" s="318">
        <v>43813</v>
      </c>
      <c r="P485" s="138">
        <v>35500</v>
      </c>
      <c r="Q485" s="2" t="s">
        <v>1484</v>
      </c>
      <c r="R485" s="2"/>
      <c r="S485" s="95"/>
      <c r="T485" s="313" t="s">
        <v>1462</v>
      </c>
      <c r="U485" s="393"/>
      <c r="V485" s="95"/>
      <c r="W485" s="129"/>
      <c r="X485" s="318"/>
      <c r="Y485" s="95"/>
      <c r="Z485" s="131"/>
      <c r="AA485" s="108" t="str">
        <f t="shared" si="59"/>
        <v/>
      </c>
      <c r="AB485" s="2"/>
      <c r="AC485" s="131">
        <f t="shared" si="60"/>
        <v>29831.932773109245</v>
      </c>
      <c r="AD485" s="108">
        <f t="shared" si="61"/>
        <v>5668.0672268907547</v>
      </c>
      <c r="AE485" s="95" t="s">
        <v>1501</v>
      </c>
      <c r="AF485" s="500" t="s">
        <v>3487</v>
      </c>
      <c r="AG485" s="2" t="str">
        <f t="shared" si="62"/>
        <v>SI</v>
      </c>
      <c r="AH485" s="284"/>
      <c r="AI485" s="500"/>
      <c r="AJ485" s="2" t="str">
        <f t="shared" si="63"/>
        <v>NV</v>
      </c>
      <c r="AK485" s="303"/>
    </row>
    <row r="486" spans="1:37" x14ac:dyDescent="0.25">
      <c r="A486" s="458" t="s">
        <v>5510</v>
      </c>
      <c r="B486" s="317" t="s">
        <v>5511</v>
      </c>
      <c r="C486" s="95">
        <v>0</v>
      </c>
      <c r="D486" s="95">
        <v>0</v>
      </c>
      <c r="E486" s="95"/>
      <c r="F486" s="95"/>
      <c r="G486" s="95">
        <v>6252</v>
      </c>
      <c r="H486" s="138">
        <v>130468</v>
      </c>
      <c r="I486" s="138"/>
      <c r="J486" s="126">
        <f t="shared" si="56"/>
        <v>130468</v>
      </c>
      <c r="K486" s="318">
        <v>43811</v>
      </c>
      <c r="L486" s="95">
        <v>0</v>
      </c>
      <c r="M486" s="313">
        <f t="shared" si="57"/>
        <v>43811</v>
      </c>
      <c r="N486" s="2" t="str">
        <f t="shared" si="58"/>
        <v>Pagado</v>
      </c>
      <c r="O486" s="318">
        <v>43811</v>
      </c>
      <c r="P486" s="138">
        <v>130468</v>
      </c>
      <c r="Q486" s="2" t="s">
        <v>1484</v>
      </c>
      <c r="R486" s="2"/>
      <c r="S486" s="95"/>
      <c r="T486" s="313" t="s">
        <v>1492</v>
      </c>
      <c r="U486" s="393"/>
      <c r="V486" s="95"/>
      <c r="W486" s="129"/>
      <c r="X486" s="318"/>
      <c r="Y486" s="95"/>
      <c r="Z486" s="131"/>
      <c r="AA486" s="108" t="str">
        <f t="shared" si="59"/>
        <v/>
      </c>
      <c r="AB486" s="2"/>
      <c r="AC486" s="131">
        <f t="shared" si="60"/>
        <v>109636.97478991597</v>
      </c>
      <c r="AD486" s="108">
        <f t="shared" si="61"/>
        <v>20831.02521008403</v>
      </c>
      <c r="AE486" s="95" t="s">
        <v>1501</v>
      </c>
      <c r="AF486" s="457" t="s">
        <v>3489</v>
      </c>
      <c r="AG486" s="2" t="str">
        <f t="shared" si="62"/>
        <v>SI</v>
      </c>
      <c r="AH486" s="284"/>
      <c r="AI486" s="457"/>
      <c r="AJ486" s="2" t="str">
        <f t="shared" si="63"/>
        <v>NV</v>
      </c>
      <c r="AK486" s="303"/>
    </row>
    <row r="487" spans="1:37" x14ac:dyDescent="0.25">
      <c r="A487" s="373" t="s">
        <v>4713</v>
      </c>
      <c r="B487" s="317" t="s">
        <v>4714</v>
      </c>
      <c r="C487" s="95">
        <v>3028</v>
      </c>
      <c r="D487" s="95">
        <v>0</v>
      </c>
      <c r="E487" s="95"/>
      <c r="F487" s="95"/>
      <c r="G487" s="95" t="s">
        <v>2528</v>
      </c>
      <c r="H487" s="138">
        <v>192427</v>
      </c>
      <c r="I487" s="138"/>
      <c r="J487" s="126">
        <f t="shared" si="56"/>
        <v>192427</v>
      </c>
      <c r="K487" s="318">
        <v>43811</v>
      </c>
      <c r="L487" s="95">
        <v>30</v>
      </c>
      <c r="M487" s="313">
        <f t="shared" si="57"/>
        <v>43841</v>
      </c>
      <c r="N487" s="2" t="str">
        <f t="shared" si="58"/>
        <v>Pagado</v>
      </c>
      <c r="O487" s="318">
        <v>43811</v>
      </c>
      <c r="P487" s="138">
        <v>192427</v>
      </c>
      <c r="Q487" s="2" t="s">
        <v>2132</v>
      </c>
      <c r="R487" s="2"/>
      <c r="S487" s="95">
        <v>4569787</v>
      </c>
      <c r="T487" s="313" t="s">
        <v>1492</v>
      </c>
      <c r="U487" s="393">
        <v>43811</v>
      </c>
      <c r="V487" s="95"/>
      <c r="W487" s="129"/>
      <c r="X487" s="318"/>
      <c r="Y487" s="95"/>
      <c r="Z487" s="131"/>
      <c r="AA487" s="108" t="str">
        <f t="shared" si="59"/>
        <v>Otros</v>
      </c>
      <c r="AB487" s="2"/>
      <c r="AC487" s="131">
        <f t="shared" si="60"/>
        <v>161703.36134453781</v>
      </c>
      <c r="AD487" s="108">
        <f t="shared" si="61"/>
        <v>30723.638655462186</v>
      </c>
      <c r="AE487" s="95" t="s">
        <v>2050</v>
      </c>
      <c r="AF487" s="372" t="s">
        <v>3490</v>
      </c>
      <c r="AG487" s="2" t="str">
        <f t="shared" si="62"/>
        <v>SI</v>
      </c>
      <c r="AH487" s="284"/>
      <c r="AI487" s="372"/>
      <c r="AJ487" s="2" t="str">
        <f t="shared" si="63"/>
        <v>Factura</v>
      </c>
      <c r="AK487" s="303"/>
    </row>
    <row r="488" spans="1:37" x14ac:dyDescent="0.25">
      <c r="A488" s="542" t="s">
        <v>1175</v>
      </c>
      <c r="B488" s="317" t="s">
        <v>1144</v>
      </c>
      <c r="C488" s="95">
        <v>3026</v>
      </c>
      <c r="D488" s="95">
        <v>0</v>
      </c>
      <c r="E488" s="95"/>
      <c r="F488" s="95"/>
      <c r="G488" s="95">
        <v>1037922</v>
      </c>
      <c r="H488" s="138">
        <v>168797</v>
      </c>
      <c r="I488" s="138"/>
      <c r="J488" s="126">
        <f t="shared" si="56"/>
        <v>168797</v>
      </c>
      <c r="K488" s="318">
        <v>43811</v>
      </c>
      <c r="L488" s="95">
        <v>30</v>
      </c>
      <c r="M488" s="313">
        <f t="shared" si="57"/>
        <v>43841</v>
      </c>
      <c r="N488" s="2" t="str">
        <f t="shared" si="58"/>
        <v>Pagado</v>
      </c>
      <c r="O488" s="318">
        <v>43846</v>
      </c>
      <c r="P488" s="138">
        <v>168797</v>
      </c>
      <c r="Q488" s="2" t="s">
        <v>1484</v>
      </c>
      <c r="R488" s="2"/>
      <c r="S488" s="95"/>
      <c r="T488" s="313" t="s">
        <v>1496</v>
      </c>
      <c r="U488" s="393"/>
      <c r="V488" s="95"/>
      <c r="W488" s="129"/>
      <c r="X488" s="318"/>
      <c r="Y488" s="95"/>
      <c r="Z488" s="131"/>
      <c r="AA488" s="108" t="str">
        <f t="shared" si="59"/>
        <v/>
      </c>
      <c r="AB488" s="2"/>
      <c r="AC488" s="131">
        <f t="shared" si="60"/>
        <v>141846.21848739497</v>
      </c>
      <c r="AD488" s="108">
        <f t="shared" si="61"/>
        <v>26950.781512605026</v>
      </c>
      <c r="AE488" s="95" t="s">
        <v>2050</v>
      </c>
      <c r="AF488" s="541" t="s">
        <v>3490</v>
      </c>
      <c r="AG488" s="2" t="str">
        <f t="shared" si="62"/>
        <v>SI</v>
      </c>
      <c r="AH488" s="284"/>
      <c r="AI488" s="541"/>
      <c r="AJ488" s="2" t="str">
        <f t="shared" si="63"/>
        <v>Factura</v>
      </c>
      <c r="AK488" s="303"/>
    </row>
    <row r="489" spans="1:37" x14ac:dyDescent="0.25">
      <c r="A489" s="542" t="s">
        <v>1175</v>
      </c>
      <c r="B489" s="317" t="s">
        <v>1144</v>
      </c>
      <c r="C489" s="95">
        <v>3027</v>
      </c>
      <c r="D489" s="95">
        <v>0</v>
      </c>
      <c r="E489" s="95"/>
      <c r="F489" s="95"/>
      <c r="G489" s="95">
        <v>1037938</v>
      </c>
      <c r="H489" s="138">
        <v>150197</v>
      </c>
      <c r="I489" s="138"/>
      <c r="J489" s="126">
        <f t="shared" si="56"/>
        <v>150197</v>
      </c>
      <c r="K489" s="318">
        <v>43811</v>
      </c>
      <c r="L489" s="95">
        <v>30</v>
      </c>
      <c r="M489" s="313">
        <f t="shared" si="57"/>
        <v>43841</v>
      </c>
      <c r="N489" s="2" t="str">
        <f t="shared" si="58"/>
        <v>Pagado</v>
      </c>
      <c r="O489" s="318">
        <v>43846</v>
      </c>
      <c r="P489" s="138">
        <v>150197</v>
      </c>
      <c r="Q489" s="2" t="s">
        <v>1484</v>
      </c>
      <c r="R489" s="2"/>
      <c r="S489" s="95"/>
      <c r="T489" s="313" t="s">
        <v>1496</v>
      </c>
      <c r="U489" s="393"/>
      <c r="V489" s="95"/>
      <c r="W489" s="129"/>
      <c r="X489" s="318"/>
      <c r="Y489" s="95"/>
      <c r="Z489" s="131"/>
      <c r="AA489" s="108" t="str">
        <f t="shared" si="59"/>
        <v/>
      </c>
      <c r="AB489" s="2"/>
      <c r="AC489" s="131">
        <f t="shared" si="60"/>
        <v>126215.96638655463</v>
      </c>
      <c r="AD489" s="108">
        <f t="shared" si="61"/>
        <v>23981.033613445368</v>
      </c>
      <c r="AE489" s="95" t="s">
        <v>2050</v>
      </c>
      <c r="AF489" s="541" t="s">
        <v>3490</v>
      </c>
      <c r="AG489" s="2" t="str">
        <f t="shared" si="62"/>
        <v>SI</v>
      </c>
      <c r="AH489" s="284"/>
      <c r="AI489" s="541"/>
      <c r="AJ489" s="2" t="str">
        <f t="shared" si="63"/>
        <v>Factura</v>
      </c>
      <c r="AK489" s="303"/>
    </row>
    <row r="490" spans="1:37" x14ac:dyDescent="0.25">
      <c r="A490" s="458" t="s">
        <v>1234</v>
      </c>
      <c r="B490" s="317" t="s">
        <v>970</v>
      </c>
      <c r="C490" s="95">
        <v>0</v>
      </c>
      <c r="D490" s="95">
        <v>184</v>
      </c>
      <c r="E490" s="95"/>
      <c r="F490" s="95"/>
      <c r="G490" s="95">
        <v>6258</v>
      </c>
      <c r="H490" s="138">
        <v>53980</v>
      </c>
      <c r="I490" s="138"/>
      <c r="J490" s="126">
        <f t="shared" si="56"/>
        <v>53980</v>
      </c>
      <c r="K490" s="318">
        <v>43811</v>
      </c>
      <c r="L490" s="95">
        <v>0</v>
      </c>
      <c r="M490" s="313">
        <f t="shared" si="57"/>
        <v>43811</v>
      </c>
      <c r="N490" s="2" t="str">
        <f t="shared" si="58"/>
        <v>Pagado</v>
      </c>
      <c r="O490" s="318">
        <v>43811</v>
      </c>
      <c r="P490" s="138">
        <v>53980</v>
      </c>
      <c r="Q490" s="2" t="s">
        <v>1070</v>
      </c>
      <c r="R490" s="2" t="s">
        <v>2243</v>
      </c>
      <c r="S490" s="95">
        <v>184</v>
      </c>
      <c r="T490" s="313"/>
      <c r="U490" s="393"/>
      <c r="V490" s="95"/>
      <c r="W490" s="129"/>
      <c r="X490" s="318"/>
      <c r="Y490" s="95"/>
      <c r="Z490" s="131"/>
      <c r="AA490" s="108" t="str">
        <f t="shared" si="59"/>
        <v/>
      </c>
      <c r="AB490" s="2"/>
      <c r="AC490" s="131">
        <f t="shared" si="60"/>
        <v>45361.34453781513</v>
      </c>
      <c r="AD490" s="108">
        <f t="shared" si="61"/>
        <v>8618.65546218487</v>
      </c>
      <c r="AE490" s="95" t="s">
        <v>1501</v>
      </c>
      <c r="AF490" s="457" t="s">
        <v>3489</v>
      </c>
      <c r="AG490" s="2" t="str">
        <f t="shared" si="62"/>
        <v>SI</v>
      </c>
      <c r="AH490" s="284"/>
      <c r="AI490" s="457"/>
      <c r="AJ490" s="2" t="str">
        <f t="shared" si="63"/>
        <v>NV</v>
      </c>
      <c r="AK490" s="303"/>
    </row>
    <row r="491" spans="1:37" x14ac:dyDescent="0.25">
      <c r="A491" s="542" t="s">
        <v>1182</v>
      </c>
      <c r="B491" s="317" t="s">
        <v>1044</v>
      </c>
      <c r="C491" s="95">
        <v>3029</v>
      </c>
      <c r="D491" s="95">
        <v>0</v>
      </c>
      <c r="E491" s="95"/>
      <c r="F491" s="95"/>
      <c r="G491" s="95" t="s">
        <v>2528</v>
      </c>
      <c r="H491" s="138">
        <v>58001</v>
      </c>
      <c r="I491" s="138"/>
      <c r="J491" s="126">
        <f t="shared" si="56"/>
        <v>58001</v>
      </c>
      <c r="K491" s="318">
        <v>43812</v>
      </c>
      <c r="L491" s="95">
        <v>7</v>
      </c>
      <c r="M491" s="313">
        <f t="shared" si="57"/>
        <v>43819</v>
      </c>
      <c r="N491" s="2" t="str">
        <f t="shared" si="58"/>
        <v>Abonado</v>
      </c>
      <c r="O491" s="318">
        <v>43812</v>
      </c>
      <c r="P491" s="138">
        <v>58000</v>
      </c>
      <c r="Q491" s="2" t="s">
        <v>1481</v>
      </c>
      <c r="R491" s="2"/>
      <c r="S491" s="95"/>
      <c r="T491" s="313"/>
      <c r="U491" s="393"/>
      <c r="V491" s="95"/>
      <c r="W491" s="129"/>
      <c r="X491" s="318"/>
      <c r="Y491" s="95"/>
      <c r="Z491" s="131"/>
      <c r="AA491" s="108" t="str">
        <f t="shared" si="59"/>
        <v/>
      </c>
      <c r="AB491" s="2"/>
      <c r="AC491" s="131">
        <f t="shared" si="60"/>
        <v>48740.336134453784</v>
      </c>
      <c r="AD491" s="108">
        <f t="shared" si="61"/>
        <v>9260.6638655462157</v>
      </c>
      <c r="AE491" s="95" t="s">
        <v>1445</v>
      </c>
      <c r="AF491" s="541" t="s">
        <v>3490</v>
      </c>
      <c r="AG491" s="2" t="str">
        <f t="shared" si="62"/>
        <v>NO</v>
      </c>
      <c r="AH491" s="284"/>
      <c r="AI491" s="541"/>
      <c r="AJ491" s="2" t="str">
        <f t="shared" si="63"/>
        <v>Factura</v>
      </c>
      <c r="AK491" s="303"/>
    </row>
    <row r="492" spans="1:37" x14ac:dyDescent="0.25">
      <c r="A492" s="542" t="s">
        <v>1275</v>
      </c>
      <c r="B492" s="317" t="s">
        <v>2218</v>
      </c>
      <c r="C492" s="95">
        <v>3031</v>
      </c>
      <c r="D492" s="95">
        <v>0</v>
      </c>
      <c r="E492" s="95"/>
      <c r="F492" s="95"/>
      <c r="G492" s="95" t="s">
        <v>2528</v>
      </c>
      <c r="H492" s="138">
        <v>29000</v>
      </c>
      <c r="I492" s="138"/>
      <c r="J492" s="126">
        <f t="shared" si="56"/>
        <v>29000</v>
      </c>
      <c r="K492" s="318">
        <v>43812</v>
      </c>
      <c r="L492" s="95">
        <v>0</v>
      </c>
      <c r="M492" s="313">
        <f t="shared" si="57"/>
        <v>43812</v>
      </c>
      <c r="N492" s="2" t="str">
        <f t="shared" si="58"/>
        <v>Pagado</v>
      </c>
      <c r="O492" s="318">
        <v>43812</v>
      </c>
      <c r="P492" s="138">
        <v>29000</v>
      </c>
      <c r="Q492" s="2" t="s">
        <v>1481</v>
      </c>
      <c r="R492" s="2"/>
      <c r="S492" s="95"/>
      <c r="T492" s="313"/>
      <c r="U492" s="393"/>
      <c r="V492" s="95"/>
      <c r="W492" s="129"/>
      <c r="X492" s="318"/>
      <c r="Y492" s="95"/>
      <c r="Z492" s="131"/>
      <c r="AA492" s="108" t="str">
        <f t="shared" si="59"/>
        <v/>
      </c>
      <c r="AB492" s="2"/>
      <c r="AC492" s="131">
        <f t="shared" si="60"/>
        <v>24369.747899159665</v>
      </c>
      <c r="AD492" s="108">
        <f t="shared" si="61"/>
        <v>4630.2521008403346</v>
      </c>
      <c r="AE492" s="95" t="s">
        <v>1445</v>
      </c>
      <c r="AF492" s="541" t="s">
        <v>3490</v>
      </c>
      <c r="AG492" s="2" t="str">
        <f t="shared" si="62"/>
        <v>SI</v>
      </c>
      <c r="AH492" s="284"/>
      <c r="AI492" s="541"/>
      <c r="AJ492" s="2" t="str">
        <f t="shared" si="63"/>
        <v>Factura</v>
      </c>
      <c r="AK492" s="303"/>
    </row>
    <row r="493" spans="1:37" x14ac:dyDescent="0.25">
      <c r="A493" s="534" t="s">
        <v>5332</v>
      </c>
      <c r="B493" s="317" t="s">
        <v>5333</v>
      </c>
      <c r="C493" s="95">
        <v>0</v>
      </c>
      <c r="D493" s="95">
        <v>186</v>
      </c>
      <c r="E493" s="95"/>
      <c r="F493" s="95"/>
      <c r="G493" s="95">
        <v>6253</v>
      </c>
      <c r="H493" s="138">
        <v>23000</v>
      </c>
      <c r="I493" s="138"/>
      <c r="J493" s="126">
        <f t="shared" si="56"/>
        <v>23000</v>
      </c>
      <c r="K493" s="318">
        <v>43812</v>
      </c>
      <c r="L493" s="95">
        <v>0</v>
      </c>
      <c r="M493" s="313">
        <f t="shared" si="57"/>
        <v>43812</v>
      </c>
      <c r="N493" s="2" t="str">
        <f t="shared" si="58"/>
        <v>Pagado</v>
      </c>
      <c r="O493" s="318">
        <v>43812</v>
      </c>
      <c r="P493" s="138">
        <v>23000</v>
      </c>
      <c r="Q493" s="2" t="s">
        <v>1070</v>
      </c>
      <c r="R493" s="2" t="s">
        <v>1478</v>
      </c>
      <c r="S493" s="95">
        <v>186</v>
      </c>
      <c r="T493" s="313"/>
      <c r="U493" s="393"/>
      <c r="V493" s="95"/>
      <c r="W493" s="129"/>
      <c r="X493" s="318"/>
      <c r="Y493" s="95"/>
      <c r="Z493" s="131"/>
      <c r="AA493" s="108" t="str">
        <f t="shared" si="59"/>
        <v/>
      </c>
      <c r="AB493" s="2"/>
      <c r="AC493" s="131">
        <f t="shared" si="60"/>
        <v>19327.731092436974</v>
      </c>
      <c r="AD493" s="108">
        <f t="shared" si="61"/>
        <v>3672.268907563026</v>
      </c>
      <c r="AE493" s="95" t="s">
        <v>1501</v>
      </c>
      <c r="AF493" s="533" t="s">
        <v>3487</v>
      </c>
      <c r="AG493" s="2" t="str">
        <f t="shared" si="62"/>
        <v>SI</v>
      </c>
      <c r="AH493" s="284"/>
      <c r="AI493" s="533"/>
      <c r="AJ493" s="2" t="str">
        <f t="shared" si="63"/>
        <v>NV</v>
      </c>
      <c r="AK493" s="303"/>
    </row>
    <row r="494" spans="1:37" x14ac:dyDescent="0.25">
      <c r="A494" s="534" t="s">
        <v>1189</v>
      </c>
      <c r="B494" s="317" t="s">
        <v>940</v>
      </c>
      <c r="C494" s="95">
        <v>3033</v>
      </c>
      <c r="D494" s="95">
        <v>0</v>
      </c>
      <c r="E494" s="95"/>
      <c r="F494" s="95"/>
      <c r="G494" s="95" t="s">
        <v>2528</v>
      </c>
      <c r="H494" s="138">
        <v>55371</v>
      </c>
      <c r="I494" s="138"/>
      <c r="J494" s="126">
        <f t="shared" si="56"/>
        <v>55371</v>
      </c>
      <c r="K494" s="318">
        <v>43812</v>
      </c>
      <c r="L494" s="95">
        <v>0</v>
      </c>
      <c r="M494" s="313">
        <f t="shared" si="57"/>
        <v>43812</v>
      </c>
      <c r="N494" s="2" t="str">
        <f t="shared" ca="1" si="58"/>
        <v>Vencido</v>
      </c>
      <c r="O494" s="318"/>
      <c r="P494" s="138"/>
      <c r="Q494" s="2"/>
      <c r="R494" s="2"/>
      <c r="S494" s="95"/>
      <c r="T494" s="313"/>
      <c r="U494" s="393"/>
      <c r="V494" s="95"/>
      <c r="W494" s="129"/>
      <c r="X494" s="318"/>
      <c r="Y494" s="95"/>
      <c r="Z494" s="131"/>
      <c r="AA494" s="108" t="str">
        <f t="shared" si="59"/>
        <v/>
      </c>
      <c r="AB494" s="2"/>
      <c r="AC494" s="131">
        <f t="shared" si="60"/>
        <v>46530.252100840335</v>
      </c>
      <c r="AD494" s="108">
        <f t="shared" si="61"/>
        <v>8840.7478991596654</v>
      </c>
      <c r="AE494" s="95" t="s">
        <v>1445</v>
      </c>
      <c r="AF494" s="533" t="s">
        <v>3490</v>
      </c>
      <c r="AG494" s="2" t="str">
        <f t="shared" ca="1" si="62"/>
        <v>NO</v>
      </c>
      <c r="AH494" s="284"/>
      <c r="AI494" s="533"/>
      <c r="AJ494" s="2" t="str">
        <f t="shared" si="63"/>
        <v>Factura</v>
      </c>
      <c r="AK494" s="303"/>
    </row>
    <row r="495" spans="1:37" x14ac:dyDescent="0.25">
      <c r="A495" s="534" t="s">
        <v>5507</v>
      </c>
      <c r="B495" s="317" t="s">
        <v>5508</v>
      </c>
      <c r="C495" s="95">
        <v>0</v>
      </c>
      <c r="D495" s="95" t="s">
        <v>2528</v>
      </c>
      <c r="E495" s="95"/>
      <c r="F495" s="95"/>
      <c r="G495" s="95">
        <v>6251</v>
      </c>
      <c r="H495" s="138">
        <v>17270</v>
      </c>
      <c r="I495" s="138"/>
      <c r="J495" s="126">
        <f t="shared" si="56"/>
        <v>17270</v>
      </c>
      <c r="K495" s="318">
        <v>43812</v>
      </c>
      <c r="L495" s="95">
        <v>0</v>
      </c>
      <c r="M495" s="313">
        <f t="shared" si="57"/>
        <v>43812</v>
      </c>
      <c r="N495" s="2" t="str">
        <f t="shared" ca="1" si="58"/>
        <v>Vencido</v>
      </c>
      <c r="O495" s="318"/>
      <c r="P495" s="138"/>
      <c r="Q495" s="2"/>
      <c r="R495" s="2"/>
      <c r="S495" s="95"/>
      <c r="T495" s="313"/>
      <c r="U495" s="393"/>
      <c r="V495" s="95"/>
      <c r="W495" s="129"/>
      <c r="X495" s="318"/>
      <c r="Y495" s="95"/>
      <c r="Z495" s="131"/>
      <c r="AA495" s="108" t="str">
        <f t="shared" si="59"/>
        <v/>
      </c>
      <c r="AB495" s="2"/>
      <c r="AC495" s="131">
        <f t="shared" si="60"/>
        <v>14512.605042016807</v>
      </c>
      <c r="AD495" s="108">
        <f t="shared" si="61"/>
        <v>2757.3949579831933</v>
      </c>
      <c r="AE495" s="95" t="s">
        <v>1501</v>
      </c>
      <c r="AF495" s="533" t="s">
        <v>3489</v>
      </c>
      <c r="AG495" s="2" t="str">
        <f t="shared" ca="1" si="62"/>
        <v>NO</v>
      </c>
      <c r="AH495" s="284"/>
      <c r="AI495" s="533"/>
      <c r="AJ495" s="2" t="str">
        <f t="shared" si="63"/>
        <v>NV</v>
      </c>
      <c r="AK495" s="303"/>
    </row>
    <row r="496" spans="1:37" x14ac:dyDescent="0.25">
      <c r="A496" s="534" t="s">
        <v>4901</v>
      </c>
      <c r="B496" s="317" t="s">
        <v>5227</v>
      </c>
      <c r="C496" s="95">
        <v>0</v>
      </c>
      <c r="D496" s="95" t="s">
        <v>2528</v>
      </c>
      <c r="E496" s="95"/>
      <c r="F496" s="95"/>
      <c r="G496" s="95">
        <v>6264</v>
      </c>
      <c r="H496" s="138">
        <v>7500</v>
      </c>
      <c r="I496" s="138"/>
      <c r="J496" s="126">
        <f t="shared" si="56"/>
        <v>7500</v>
      </c>
      <c r="K496" s="318">
        <v>43812</v>
      </c>
      <c r="L496" s="95">
        <v>0</v>
      </c>
      <c r="M496" s="313">
        <f t="shared" si="57"/>
        <v>43812</v>
      </c>
      <c r="N496" s="2" t="str">
        <f t="shared" si="58"/>
        <v>Abonado</v>
      </c>
      <c r="O496" s="318">
        <v>43812</v>
      </c>
      <c r="P496" s="138">
        <v>1000</v>
      </c>
      <c r="Q496" s="2" t="s">
        <v>1481</v>
      </c>
      <c r="R496" s="2"/>
      <c r="S496" s="95"/>
      <c r="T496" s="313"/>
      <c r="U496" s="393"/>
      <c r="V496" s="95"/>
      <c r="W496" s="129"/>
      <c r="X496" s="318"/>
      <c r="Y496" s="95"/>
      <c r="Z496" s="131"/>
      <c r="AA496" s="108" t="str">
        <f t="shared" si="59"/>
        <v/>
      </c>
      <c r="AB496" s="2"/>
      <c r="AC496" s="131">
        <f t="shared" si="60"/>
        <v>6302.5210084033615</v>
      </c>
      <c r="AD496" s="108">
        <f t="shared" si="61"/>
        <v>1197.4789915966385</v>
      </c>
      <c r="AE496" s="95" t="s">
        <v>1501</v>
      </c>
      <c r="AF496" s="533" t="s">
        <v>3489</v>
      </c>
      <c r="AG496" s="2" t="str">
        <f t="shared" si="62"/>
        <v>NO</v>
      </c>
      <c r="AH496" s="284"/>
      <c r="AI496" s="533"/>
      <c r="AJ496" s="2" t="str">
        <f t="shared" si="63"/>
        <v>NV</v>
      </c>
      <c r="AK496" s="303"/>
    </row>
    <row r="497" spans="1:37" x14ac:dyDescent="0.25">
      <c r="A497" s="373" t="s">
        <v>1200</v>
      </c>
      <c r="B497" s="317" t="s">
        <v>2316</v>
      </c>
      <c r="C497" s="95">
        <v>0</v>
      </c>
      <c r="D497" s="95" t="s">
        <v>2528</v>
      </c>
      <c r="E497" s="95"/>
      <c r="F497" s="95"/>
      <c r="G497" s="95">
        <v>6261</v>
      </c>
      <c r="H497" s="138">
        <v>28200</v>
      </c>
      <c r="I497" s="138"/>
      <c r="J497" s="126">
        <f t="shared" si="56"/>
        <v>28200</v>
      </c>
      <c r="K497" s="318">
        <v>43812</v>
      </c>
      <c r="L497" s="95">
        <v>0</v>
      </c>
      <c r="M497" s="313">
        <f t="shared" si="57"/>
        <v>43812</v>
      </c>
      <c r="N497" s="2" t="str">
        <f t="shared" si="58"/>
        <v>Pagado</v>
      </c>
      <c r="O497" s="318">
        <v>43862</v>
      </c>
      <c r="P497" s="138">
        <v>28200</v>
      </c>
      <c r="Q497" s="2" t="s">
        <v>1484</v>
      </c>
      <c r="R497" s="2"/>
      <c r="S497" s="95"/>
      <c r="T497" s="313" t="s">
        <v>1493</v>
      </c>
      <c r="U497" s="393"/>
      <c r="V497" s="95"/>
      <c r="W497" s="129"/>
      <c r="X497" s="318"/>
      <c r="Y497" s="95"/>
      <c r="Z497" s="131"/>
      <c r="AA497" s="108" t="str">
        <f t="shared" si="59"/>
        <v/>
      </c>
      <c r="AB497" s="2"/>
      <c r="AC497" s="131">
        <f t="shared" si="60"/>
        <v>23697.478991596639</v>
      </c>
      <c r="AD497" s="108">
        <f t="shared" si="61"/>
        <v>4502.5210084033606</v>
      </c>
      <c r="AE497" s="95" t="s">
        <v>1445</v>
      </c>
      <c r="AF497" s="372" t="s">
        <v>3489</v>
      </c>
      <c r="AG497" s="2" t="str">
        <f t="shared" si="62"/>
        <v>SI</v>
      </c>
      <c r="AH497" s="284"/>
      <c r="AI497" s="372"/>
      <c r="AJ497" s="2" t="str">
        <f t="shared" si="63"/>
        <v>NV</v>
      </c>
      <c r="AK497" s="303"/>
    </row>
    <row r="498" spans="1:37" x14ac:dyDescent="0.25">
      <c r="A498" s="373" t="s">
        <v>1399</v>
      </c>
      <c r="B498" s="317" t="s">
        <v>1004</v>
      </c>
      <c r="C498" s="95">
        <v>0</v>
      </c>
      <c r="D498" s="95">
        <v>2776</v>
      </c>
      <c r="E498" s="95"/>
      <c r="F498" s="95"/>
      <c r="G498" s="95">
        <v>6265</v>
      </c>
      <c r="H498" s="138">
        <v>25000</v>
      </c>
      <c r="I498" s="138"/>
      <c r="J498" s="126">
        <f t="shared" si="56"/>
        <v>25000</v>
      </c>
      <c r="K498" s="318">
        <v>43812</v>
      </c>
      <c r="L498" s="95">
        <v>0</v>
      </c>
      <c r="M498" s="313">
        <f t="shared" si="57"/>
        <v>43812</v>
      </c>
      <c r="N498" s="2" t="str">
        <f t="shared" si="58"/>
        <v>Pagado</v>
      </c>
      <c r="O498" s="318">
        <v>43813</v>
      </c>
      <c r="P498" s="138">
        <v>25000</v>
      </c>
      <c r="Q498" s="2" t="s">
        <v>1484</v>
      </c>
      <c r="R498" s="2"/>
      <c r="S498" s="95"/>
      <c r="T498" s="313" t="s">
        <v>1488</v>
      </c>
      <c r="U498" s="393"/>
      <c r="V498" s="95"/>
      <c r="W498" s="129"/>
      <c r="X498" s="318"/>
      <c r="Y498" s="95"/>
      <c r="Z498" s="131"/>
      <c r="AA498" s="108" t="str">
        <f t="shared" si="59"/>
        <v/>
      </c>
      <c r="AB498" s="2"/>
      <c r="AC498" s="131">
        <f t="shared" si="60"/>
        <v>21008.403361344539</v>
      </c>
      <c r="AD498" s="108">
        <f t="shared" si="61"/>
        <v>3991.596638655461</v>
      </c>
      <c r="AE498" s="95" t="s">
        <v>1501</v>
      </c>
      <c r="AF498" s="372" t="s">
        <v>3487</v>
      </c>
      <c r="AG498" s="2" t="str">
        <f t="shared" si="62"/>
        <v>SI</v>
      </c>
      <c r="AH498" s="284"/>
      <c r="AI498" s="372"/>
      <c r="AJ498" s="2" t="str">
        <f t="shared" si="63"/>
        <v>NV</v>
      </c>
      <c r="AK498" s="303"/>
    </row>
    <row r="499" spans="1:37" x14ac:dyDescent="0.25">
      <c r="A499" s="373" t="s">
        <v>1207</v>
      </c>
      <c r="B499" s="317" t="s">
        <v>963</v>
      </c>
      <c r="C499" s="95">
        <v>3030</v>
      </c>
      <c r="D499" s="95">
        <v>0</v>
      </c>
      <c r="E499" s="95"/>
      <c r="F499" s="95"/>
      <c r="G499" s="95" t="s">
        <v>2528</v>
      </c>
      <c r="H499" s="138">
        <v>98148</v>
      </c>
      <c r="I499" s="138"/>
      <c r="J499" s="126">
        <f t="shared" si="56"/>
        <v>98148</v>
      </c>
      <c r="K499" s="318">
        <v>43812</v>
      </c>
      <c r="L499" s="95">
        <v>0</v>
      </c>
      <c r="M499" s="313">
        <f t="shared" si="57"/>
        <v>43812</v>
      </c>
      <c r="N499" s="2" t="str">
        <f t="shared" ca="1" si="58"/>
        <v>Vencido</v>
      </c>
      <c r="O499" s="318"/>
      <c r="P499" s="138"/>
      <c r="Q499" s="2"/>
      <c r="R499" s="2"/>
      <c r="S499" s="95"/>
      <c r="T499" s="313"/>
      <c r="U499" s="393"/>
      <c r="V499" s="95"/>
      <c r="W499" s="129"/>
      <c r="X499" s="318"/>
      <c r="Y499" s="95"/>
      <c r="Z499" s="131"/>
      <c r="AA499" s="108" t="str">
        <f t="shared" si="59"/>
        <v/>
      </c>
      <c r="AB499" s="2"/>
      <c r="AC499" s="131">
        <f t="shared" si="60"/>
        <v>82477.310924369755</v>
      </c>
      <c r="AD499" s="108">
        <f t="shared" si="61"/>
        <v>15670.689075630245</v>
      </c>
      <c r="AE499" s="95" t="s">
        <v>1445</v>
      </c>
      <c r="AF499" s="424" t="s">
        <v>3490</v>
      </c>
      <c r="AG499" s="2" t="str">
        <f t="shared" ca="1" si="62"/>
        <v>NO</v>
      </c>
      <c r="AH499" s="284"/>
      <c r="AI499" s="424"/>
      <c r="AJ499" s="2" t="str">
        <f t="shared" si="63"/>
        <v>Factura</v>
      </c>
      <c r="AK499" s="303"/>
    </row>
    <row r="500" spans="1:37" x14ac:dyDescent="0.25">
      <c r="A500" s="373" t="s">
        <v>5525</v>
      </c>
      <c r="B500" s="317" t="s">
        <v>5526</v>
      </c>
      <c r="C500" s="95">
        <v>0</v>
      </c>
      <c r="D500" s="95">
        <v>188</v>
      </c>
      <c r="E500" s="95"/>
      <c r="F500" s="95"/>
      <c r="G500" s="95">
        <v>6268</v>
      </c>
      <c r="H500" s="138">
        <v>17000</v>
      </c>
      <c r="I500" s="138"/>
      <c r="J500" s="126">
        <f t="shared" si="56"/>
        <v>17000</v>
      </c>
      <c r="K500" s="318">
        <v>43812</v>
      </c>
      <c r="L500" s="95">
        <v>0</v>
      </c>
      <c r="M500" s="313">
        <f t="shared" si="57"/>
        <v>43812</v>
      </c>
      <c r="N500" s="2" t="str">
        <f t="shared" si="58"/>
        <v>Pagado</v>
      </c>
      <c r="O500" s="318">
        <v>43812</v>
      </c>
      <c r="P500" s="138">
        <v>17000</v>
      </c>
      <c r="Q500" s="2" t="s">
        <v>1070</v>
      </c>
      <c r="R500" s="2" t="s">
        <v>2243</v>
      </c>
      <c r="S500" s="95">
        <v>187</v>
      </c>
      <c r="T500" s="313"/>
      <c r="U500" s="393"/>
      <c r="V500" s="95"/>
      <c r="W500" s="129"/>
      <c r="X500" s="318"/>
      <c r="Y500" s="95"/>
      <c r="Z500" s="131"/>
      <c r="AA500" s="108" t="str">
        <f t="shared" si="59"/>
        <v/>
      </c>
      <c r="AB500" s="2"/>
      <c r="AC500" s="131">
        <f t="shared" si="60"/>
        <v>14285.714285714286</v>
      </c>
      <c r="AD500" s="108">
        <f t="shared" si="61"/>
        <v>2714.2857142857138</v>
      </c>
      <c r="AE500" s="95" t="s">
        <v>1501</v>
      </c>
      <c r="AF500" s="372" t="s">
        <v>5528</v>
      </c>
      <c r="AG500" s="2" t="str">
        <f t="shared" si="62"/>
        <v>SI</v>
      </c>
      <c r="AH500" s="284"/>
      <c r="AI500" s="372"/>
      <c r="AJ500" s="2" t="str">
        <f t="shared" si="63"/>
        <v>NV</v>
      </c>
      <c r="AK500" s="303"/>
    </row>
    <row r="501" spans="1:37" x14ac:dyDescent="0.25">
      <c r="A501" s="534" t="s">
        <v>5382</v>
      </c>
      <c r="B501" s="317" t="s">
        <v>5383</v>
      </c>
      <c r="C501" s="95">
        <v>0</v>
      </c>
      <c r="D501" s="95">
        <v>2777</v>
      </c>
      <c r="E501" s="95"/>
      <c r="F501" s="95"/>
      <c r="G501" s="95">
        <v>6262</v>
      </c>
      <c r="H501" s="138">
        <v>11500</v>
      </c>
      <c r="I501" s="138"/>
      <c r="J501" s="126">
        <f t="shared" si="56"/>
        <v>11500</v>
      </c>
      <c r="K501" s="318">
        <v>43812</v>
      </c>
      <c r="L501" s="95">
        <v>0</v>
      </c>
      <c r="M501" s="313">
        <f t="shared" si="57"/>
        <v>43812</v>
      </c>
      <c r="N501" s="2" t="str">
        <f t="shared" ca="1" si="58"/>
        <v>Vencido</v>
      </c>
      <c r="O501" s="318"/>
      <c r="P501" s="138"/>
      <c r="Q501" s="2"/>
      <c r="R501" s="2"/>
      <c r="S501" s="95"/>
      <c r="T501" s="313"/>
      <c r="U501" s="393"/>
      <c r="V501" s="95"/>
      <c r="W501" s="129"/>
      <c r="X501" s="318"/>
      <c r="Y501" s="95"/>
      <c r="Z501" s="131"/>
      <c r="AA501" s="108" t="str">
        <f t="shared" si="59"/>
        <v/>
      </c>
      <c r="AB501" s="2"/>
      <c r="AC501" s="131">
        <f t="shared" si="60"/>
        <v>9663.865546218487</v>
      </c>
      <c r="AD501" s="108">
        <f t="shared" si="61"/>
        <v>1836.134453781513</v>
      </c>
      <c r="AE501" s="95" t="s">
        <v>1501</v>
      </c>
      <c r="AF501" s="533" t="s">
        <v>3489</v>
      </c>
      <c r="AG501" s="2" t="str">
        <f t="shared" ca="1" si="62"/>
        <v>NO</v>
      </c>
      <c r="AH501" s="284"/>
      <c r="AI501" s="533"/>
      <c r="AJ501" s="2" t="str">
        <f t="shared" si="63"/>
        <v>NV</v>
      </c>
      <c r="AK501" s="303"/>
    </row>
    <row r="502" spans="1:37" x14ac:dyDescent="0.25">
      <c r="A502" s="534" t="s">
        <v>1244</v>
      </c>
      <c r="B502" s="317" t="s">
        <v>971</v>
      </c>
      <c r="C502" s="95">
        <v>0</v>
      </c>
      <c r="D502" s="95">
        <v>187</v>
      </c>
      <c r="E502" s="95"/>
      <c r="F502" s="95"/>
      <c r="G502" s="95">
        <v>6253</v>
      </c>
      <c r="H502" s="138">
        <v>14200</v>
      </c>
      <c r="I502" s="138"/>
      <c r="J502" s="126">
        <f t="shared" si="56"/>
        <v>14200</v>
      </c>
      <c r="K502" s="318">
        <v>43812</v>
      </c>
      <c r="L502" s="95">
        <v>0</v>
      </c>
      <c r="M502" s="313">
        <f t="shared" si="57"/>
        <v>43812</v>
      </c>
      <c r="N502" s="2" t="str">
        <f t="shared" si="58"/>
        <v>Pagado</v>
      </c>
      <c r="O502" s="318">
        <v>43812</v>
      </c>
      <c r="P502" s="138">
        <v>14200</v>
      </c>
      <c r="Q502" s="2" t="s">
        <v>1481</v>
      </c>
      <c r="R502" s="2"/>
      <c r="S502" s="95"/>
      <c r="T502" s="313"/>
      <c r="U502" s="393"/>
      <c r="V502" s="95">
        <v>2270739</v>
      </c>
      <c r="W502" s="129">
        <v>25700</v>
      </c>
      <c r="X502" s="318">
        <v>43815</v>
      </c>
      <c r="Y502" s="95" t="s">
        <v>1488</v>
      </c>
      <c r="Z502" s="131"/>
      <c r="AA502" s="108" t="str">
        <f t="shared" si="59"/>
        <v/>
      </c>
      <c r="AB502" s="2"/>
      <c r="AC502" s="131">
        <f t="shared" si="60"/>
        <v>11932.773109243699</v>
      </c>
      <c r="AD502" s="108">
        <f t="shared" si="61"/>
        <v>2267.2268907563011</v>
      </c>
      <c r="AE502" s="95" t="s">
        <v>1501</v>
      </c>
      <c r="AF502" s="533" t="s">
        <v>3489</v>
      </c>
      <c r="AG502" s="2" t="str">
        <f t="shared" si="62"/>
        <v>SI</v>
      </c>
      <c r="AH502" s="284"/>
      <c r="AI502" s="533"/>
      <c r="AJ502" s="2" t="str">
        <f t="shared" si="63"/>
        <v>NV</v>
      </c>
      <c r="AK502" s="303"/>
    </row>
    <row r="503" spans="1:37" x14ac:dyDescent="0.25">
      <c r="A503" s="534" t="s">
        <v>1205</v>
      </c>
      <c r="B503" s="317" t="s">
        <v>2171</v>
      </c>
      <c r="C503" s="95">
        <v>0</v>
      </c>
      <c r="D503" s="95">
        <v>2775</v>
      </c>
      <c r="E503" s="95"/>
      <c r="F503" s="95"/>
      <c r="G503" s="95">
        <v>6266</v>
      </c>
      <c r="H503" s="138">
        <v>8000</v>
      </c>
      <c r="I503" s="138"/>
      <c r="J503" s="126">
        <f t="shared" si="56"/>
        <v>8000</v>
      </c>
      <c r="K503" s="318">
        <v>43812</v>
      </c>
      <c r="L503" s="95">
        <v>0</v>
      </c>
      <c r="M503" s="313">
        <f t="shared" si="57"/>
        <v>43812</v>
      </c>
      <c r="N503" s="2" t="str">
        <f t="shared" si="58"/>
        <v>Pagado</v>
      </c>
      <c r="O503" s="318">
        <v>43868</v>
      </c>
      <c r="P503" s="138">
        <v>8000</v>
      </c>
      <c r="Q503" s="2" t="s">
        <v>1484</v>
      </c>
      <c r="R503" s="2" t="s">
        <v>2243</v>
      </c>
      <c r="S503" s="95">
        <v>188</v>
      </c>
      <c r="T503" s="313" t="s">
        <v>1490</v>
      </c>
      <c r="U503" s="393"/>
      <c r="V503" s="95"/>
      <c r="W503" s="129"/>
      <c r="X503" s="318"/>
      <c r="Y503" s="95"/>
      <c r="Z503" s="131"/>
      <c r="AA503" s="108" t="str">
        <f t="shared" si="59"/>
        <v/>
      </c>
      <c r="AB503" s="2"/>
      <c r="AC503" s="131">
        <f t="shared" si="60"/>
        <v>6722.6890756302528</v>
      </c>
      <c r="AD503" s="108">
        <f t="shared" si="61"/>
        <v>1277.3109243697472</v>
      </c>
      <c r="AE503" s="95" t="s">
        <v>1445</v>
      </c>
      <c r="AF503" s="533" t="s">
        <v>3489</v>
      </c>
      <c r="AG503" s="2" t="str">
        <f t="shared" si="62"/>
        <v>SI</v>
      </c>
      <c r="AH503" s="284"/>
      <c r="AI503" s="533"/>
      <c r="AJ503" s="2" t="str">
        <f t="shared" si="63"/>
        <v>NV</v>
      </c>
      <c r="AK503" s="303"/>
    </row>
    <row r="504" spans="1:37" x14ac:dyDescent="0.25">
      <c r="A504" s="534" t="s">
        <v>1180</v>
      </c>
      <c r="B504" s="317" t="s">
        <v>1048</v>
      </c>
      <c r="C504" s="95">
        <v>3032</v>
      </c>
      <c r="D504" s="95">
        <v>0</v>
      </c>
      <c r="E504" s="95"/>
      <c r="F504" s="95"/>
      <c r="G504" s="95" t="s">
        <v>2528</v>
      </c>
      <c r="H504" s="138">
        <v>69873</v>
      </c>
      <c r="I504" s="138"/>
      <c r="J504" s="126">
        <f t="shared" si="56"/>
        <v>69873</v>
      </c>
      <c r="K504" s="318">
        <v>43812</v>
      </c>
      <c r="L504" s="95">
        <v>30</v>
      </c>
      <c r="M504" s="313">
        <f t="shared" si="57"/>
        <v>43842</v>
      </c>
      <c r="N504" s="2" t="str">
        <f t="shared" ca="1" si="58"/>
        <v>Vencido</v>
      </c>
      <c r="O504" s="318"/>
      <c r="P504" s="138"/>
      <c r="Q504" s="2"/>
      <c r="R504" s="2"/>
      <c r="S504" s="95"/>
      <c r="T504" s="313"/>
      <c r="U504" s="393"/>
      <c r="V504" s="95"/>
      <c r="W504" s="129"/>
      <c r="X504" s="318"/>
      <c r="Y504" s="95"/>
      <c r="Z504" s="131"/>
      <c r="AA504" s="108" t="str">
        <f t="shared" si="59"/>
        <v/>
      </c>
      <c r="AB504" s="2"/>
      <c r="AC504" s="131">
        <f t="shared" si="60"/>
        <v>58716.806722689078</v>
      </c>
      <c r="AD504" s="108">
        <f t="shared" si="61"/>
        <v>11156.193277310922</v>
      </c>
      <c r="AE504" s="95" t="s">
        <v>1445</v>
      </c>
      <c r="AF504" s="533" t="s">
        <v>3490</v>
      </c>
      <c r="AG504" s="2" t="str">
        <f t="shared" ca="1" si="62"/>
        <v>NO</v>
      </c>
      <c r="AH504" s="284"/>
      <c r="AI504" s="533"/>
      <c r="AJ504" s="2" t="str">
        <f t="shared" si="63"/>
        <v>Factura</v>
      </c>
      <c r="AK504" s="303"/>
    </row>
    <row r="505" spans="1:37" x14ac:dyDescent="0.25">
      <c r="A505" s="542" t="s">
        <v>1213</v>
      </c>
      <c r="B505" s="317" t="s">
        <v>985</v>
      </c>
      <c r="C505" s="95">
        <v>0</v>
      </c>
      <c r="D505" s="95">
        <v>0</v>
      </c>
      <c r="E505" s="95"/>
      <c r="F505" s="95"/>
      <c r="G505" s="95">
        <v>6275</v>
      </c>
      <c r="H505" s="138">
        <v>53200</v>
      </c>
      <c r="I505" s="138"/>
      <c r="J505" s="126">
        <f t="shared" si="56"/>
        <v>53200</v>
      </c>
      <c r="K505" s="318">
        <v>43815</v>
      </c>
      <c r="L505" s="95">
        <v>0</v>
      </c>
      <c r="M505" s="313">
        <f t="shared" si="57"/>
        <v>43815</v>
      </c>
      <c r="N505" s="2" t="str">
        <f t="shared" si="58"/>
        <v>Pagado</v>
      </c>
      <c r="O505" s="318">
        <v>43835</v>
      </c>
      <c r="P505" s="138">
        <v>53200</v>
      </c>
      <c r="Q505" s="2" t="s">
        <v>1481</v>
      </c>
      <c r="R505" s="2"/>
      <c r="S505" s="95"/>
      <c r="T505" s="313"/>
      <c r="U505" s="393"/>
      <c r="V505" s="95"/>
      <c r="W505" s="129"/>
      <c r="X505" s="318"/>
      <c r="Y505" s="95"/>
      <c r="Z505" s="131"/>
      <c r="AA505" s="108" t="str">
        <f t="shared" si="59"/>
        <v/>
      </c>
      <c r="AB505" s="2"/>
      <c r="AC505" s="131">
        <f t="shared" si="60"/>
        <v>44705.882352941182</v>
      </c>
      <c r="AD505" s="108">
        <f t="shared" si="61"/>
        <v>8494.117647058818</v>
      </c>
      <c r="AE505" s="95" t="s">
        <v>1501</v>
      </c>
      <c r="AF505" s="541" t="s">
        <v>3489</v>
      </c>
      <c r="AG505" s="2" t="str">
        <f t="shared" si="62"/>
        <v>SI</v>
      </c>
      <c r="AH505" s="284"/>
      <c r="AI505" s="541"/>
      <c r="AJ505" s="2" t="str">
        <f t="shared" si="63"/>
        <v>NV</v>
      </c>
      <c r="AK505" s="303"/>
    </row>
    <row r="506" spans="1:37" x14ac:dyDescent="0.25">
      <c r="A506" s="542" t="s">
        <v>1243</v>
      </c>
      <c r="B506" s="317" t="s">
        <v>986</v>
      </c>
      <c r="C506" s="95">
        <v>0</v>
      </c>
      <c r="D506" s="95">
        <v>0</v>
      </c>
      <c r="E506" s="95"/>
      <c r="F506" s="95"/>
      <c r="G506" s="95">
        <v>6270</v>
      </c>
      <c r="H506" s="138">
        <v>70480</v>
      </c>
      <c r="I506" s="138"/>
      <c r="J506" s="126">
        <f t="shared" si="56"/>
        <v>70480</v>
      </c>
      <c r="K506" s="318">
        <v>43815</v>
      </c>
      <c r="L506" s="95">
        <v>0</v>
      </c>
      <c r="M506" s="313">
        <f t="shared" si="57"/>
        <v>43815</v>
      </c>
      <c r="N506" s="2" t="str">
        <f t="shared" ca="1" si="58"/>
        <v>Vencido</v>
      </c>
      <c r="O506" s="318"/>
      <c r="P506" s="138"/>
      <c r="Q506" s="2"/>
      <c r="R506" s="2"/>
      <c r="S506" s="95"/>
      <c r="T506" s="313"/>
      <c r="U506" s="393"/>
      <c r="V506" s="95"/>
      <c r="W506" s="129"/>
      <c r="X506" s="318"/>
      <c r="Y506" s="95"/>
      <c r="Z506" s="131"/>
      <c r="AA506" s="108" t="str">
        <f t="shared" si="59"/>
        <v/>
      </c>
      <c r="AB506" s="2"/>
      <c r="AC506" s="131">
        <f t="shared" si="60"/>
        <v>59226.89075630252</v>
      </c>
      <c r="AD506" s="108">
        <f t="shared" si="61"/>
        <v>11253.10924369748</v>
      </c>
      <c r="AE506" s="95" t="s">
        <v>1501</v>
      </c>
      <c r="AF506" s="541" t="s">
        <v>3489</v>
      </c>
      <c r="AG506" s="2" t="str">
        <f t="shared" ca="1" si="62"/>
        <v>NO</v>
      </c>
      <c r="AH506" s="284"/>
      <c r="AI506" s="541"/>
      <c r="AJ506" s="2" t="str">
        <f t="shared" si="63"/>
        <v>NV</v>
      </c>
      <c r="AK506" s="303"/>
    </row>
    <row r="507" spans="1:37" x14ac:dyDescent="0.25">
      <c r="A507" s="501" t="s">
        <v>1374</v>
      </c>
      <c r="B507" s="317" t="s">
        <v>1015</v>
      </c>
      <c r="C507" s="95">
        <v>0</v>
      </c>
      <c r="D507" s="95">
        <v>0</v>
      </c>
      <c r="E507" s="95"/>
      <c r="F507" s="95"/>
      <c r="G507" s="95">
        <v>6271</v>
      </c>
      <c r="H507" s="138">
        <v>11600</v>
      </c>
      <c r="I507" s="138"/>
      <c r="J507" s="126">
        <f t="shared" si="56"/>
        <v>11600</v>
      </c>
      <c r="K507" s="318">
        <v>43815</v>
      </c>
      <c r="L507" s="95">
        <v>0</v>
      </c>
      <c r="M507" s="313">
        <f t="shared" si="57"/>
        <v>43815</v>
      </c>
      <c r="N507" s="2" t="str">
        <f t="shared" ca="1" si="58"/>
        <v>Vencido</v>
      </c>
      <c r="O507" s="318"/>
      <c r="P507" s="138"/>
      <c r="Q507" s="2"/>
      <c r="R507" s="2"/>
      <c r="S507" s="95"/>
      <c r="T507" s="313"/>
      <c r="U507" s="393"/>
      <c r="V507" s="95"/>
      <c r="W507" s="129"/>
      <c r="X507" s="318"/>
      <c r="Y507" s="95"/>
      <c r="Z507" s="131"/>
      <c r="AA507" s="108" t="str">
        <f t="shared" si="59"/>
        <v/>
      </c>
      <c r="AB507" s="2"/>
      <c r="AC507" s="131">
        <f t="shared" si="60"/>
        <v>9747.8991596638662</v>
      </c>
      <c r="AD507" s="108">
        <f t="shared" si="61"/>
        <v>1852.1008403361338</v>
      </c>
      <c r="AE507" s="95" t="s">
        <v>1501</v>
      </c>
      <c r="AF507" s="500" t="s">
        <v>3489</v>
      </c>
      <c r="AG507" s="2" t="str">
        <f t="shared" ca="1" si="62"/>
        <v>NO</v>
      </c>
      <c r="AH507" s="284"/>
      <c r="AI507" s="500"/>
      <c r="AJ507" s="2" t="str">
        <f t="shared" si="63"/>
        <v>NV</v>
      </c>
      <c r="AK507" s="303"/>
    </row>
    <row r="508" spans="1:37" x14ac:dyDescent="0.25">
      <c r="A508" s="501" t="s">
        <v>1235</v>
      </c>
      <c r="B508" s="317" t="s">
        <v>989</v>
      </c>
      <c r="C508" s="95">
        <v>0</v>
      </c>
      <c r="D508" s="95">
        <v>2781</v>
      </c>
      <c r="E508" s="95"/>
      <c r="F508" s="95"/>
      <c r="G508" s="95">
        <v>6272</v>
      </c>
      <c r="H508" s="138">
        <v>45400</v>
      </c>
      <c r="I508" s="138"/>
      <c r="J508" s="126">
        <f t="shared" si="56"/>
        <v>45400</v>
      </c>
      <c r="K508" s="318">
        <v>43815</v>
      </c>
      <c r="L508" s="95">
        <v>0</v>
      </c>
      <c r="M508" s="313">
        <f t="shared" si="57"/>
        <v>43815</v>
      </c>
      <c r="N508" s="2" t="str">
        <f t="shared" si="58"/>
        <v>Pagado</v>
      </c>
      <c r="O508" s="318">
        <v>43815</v>
      </c>
      <c r="P508" s="138">
        <v>45400</v>
      </c>
      <c r="Q508" s="2" t="s">
        <v>1484</v>
      </c>
      <c r="R508" s="2"/>
      <c r="S508" s="95"/>
      <c r="T508" s="313" t="s">
        <v>1490</v>
      </c>
      <c r="U508" s="393"/>
      <c r="V508" s="95"/>
      <c r="W508" s="129"/>
      <c r="X508" s="318"/>
      <c r="Y508" s="95"/>
      <c r="Z508" s="131"/>
      <c r="AA508" s="108" t="str">
        <f t="shared" si="59"/>
        <v/>
      </c>
      <c r="AB508" s="2"/>
      <c r="AC508" s="131">
        <f t="shared" si="60"/>
        <v>38151.26050420168</v>
      </c>
      <c r="AD508" s="108">
        <f t="shared" si="61"/>
        <v>7248.7394957983197</v>
      </c>
      <c r="AE508" s="95" t="s">
        <v>1501</v>
      </c>
      <c r="AF508" s="500" t="s">
        <v>3487</v>
      </c>
      <c r="AG508" s="2" t="str">
        <f t="shared" si="62"/>
        <v>SI</v>
      </c>
      <c r="AH508" s="284"/>
      <c r="AI508" s="500"/>
      <c r="AJ508" s="2" t="str">
        <f t="shared" si="63"/>
        <v>NV</v>
      </c>
      <c r="AK508" s="303"/>
    </row>
    <row r="509" spans="1:37" x14ac:dyDescent="0.25">
      <c r="A509" s="501" t="s">
        <v>5529</v>
      </c>
      <c r="B509" s="317" t="s">
        <v>5530</v>
      </c>
      <c r="C509" s="95">
        <v>0</v>
      </c>
      <c r="D509" s="95">
        <v>2782</v>
      </c>
      <c r="E509" s="95"/>
      <c r="F509" s="95"/>
      <c r="G509" s="95">
        <v>6276</v>
      </c>
      <c r="H509" s="138">
        <v>33800</v>
      </c>
      <c r="I509" s="138"/>
      <c r="J509" s="126">
        <f t="shared" si="56"/>
        <v>33800</v>
      </c>
      <c r="K509" s="318">
        <v>43815</v>
      </c>
      <c r="L509" s="95">
        <v>0</v>
      </c>
      <c r="M509" s="313">
        <f t="shared" si="57"/>
        <v>43815</v>
      </c>
      <c r="N509" s="2" t="str">
        <f t="shared" ca="1" si="58"/>
        <v>Vencido</v>
      </c>
      <c r="O509" s="318"/>
      <c r="P509" s="138"/>
      <c r="Q509" s="2"/>
      <c r="R509" s="2"/>
      <c r="S509" s="95"/>
      <c r="T509" s="313"/>
      <c r="U509" s="393"/>
      <c r="V509" s="95"/>
      <c r="W509" s="129"/>
      <c r="X509" s="318"/>
      <c r="Y509" s="95"/>
      <c r="Z509" s="131"/>
      <c r="AA509" s="108" t="str">
        <f t="shared" si="59"/>
        <v/>
      </c>
      <c r="AB509" s="2"/>
      <c r="AC509" s="131">
        <f t="shared" si="60"/>
        <v>28403.361344537818</v>
      </c>
      <c r="AD509" s="108">
        <f t="shared" si="61"/>
        <v>5396.6386554621822</v>
      </c>
      <c r="AE509" s="95" t="s">
        <v>1501</v>
      </c>
      <c r="AF509" s="500" t="s">
        <v>3489</v>
      </c>
      <c r="AG509" s="2" t="str">
        <f t="shared" ca="1" si="62"/>
        <v>NO</v>
      </c>
      <c r="AH509" s="284"/>
      <c r="AI509" s="500"/>
      <c r="AJ509" s="2" t="str">
        <f t="shared" si="63"/>
        <v>NV</v>
      </c>
      <c r="AK509" s="303"/>
    </row>
    <row r="510" spans="1:37" x14ac:dyDescent="0.25">
      <c r="A510" s="534" t="s">
        <v>1242</v>
      </c>
      <c r="B510" s="317" t="s">
        <v>958</v>
      </c>
      <c r="C510" s="95">
        <v>0</v>
      </c>
      <c r="D510" s="95">
        <v>2780</v>
      </c>
      <c r="E510" s="95"/>
      <c r="F510" s="95"/>
      <c r="G510" s="95">
        <v>6274</v>
      </c>
      <c r="H510" s="138">
        <v>15200</v>
      </c>
      <c r="I510" s="138"/>
      <c r="J510" s="126">
        <f t="shared" si="56"/>
        <v>15200</v>
      </c>
      <c r="K510" s="318">
        <v>43815</v>
      </c>
      <c r="L510" s="95">
        <v>0</v>
      </c>
      <c r="M510" s="313">
        <f t="shared" si="57"/>
        <v>43815</v>
      </c>
      <c r="N510" s="2" t="str">
        <f t="shared" si="58"/>
        <v>Pagado</v>
      </c>
      <c r="O510" s="318">
        <v>43816</v>
      </c>
      <c r="P510" s="138">
        <v>15200</v>
      </c>
      <c r="Q510" s="2" t="s">
        <v>1483</v>
      </c>
      <c r="R510" s="2"/>
      <c r="S510" s="95"/>
      <c r="T510" s="313" t="s">
        <v>1488</v>
      </c>
      <c r="U510" s="393"/>
      <c r="V510" s="95"/>
      <c r="W510" s="129"/>
      <c r="X510" s="318"/>
      <c r="Y510" s="95"/>
      <c r="Z510" s="131"/>
      <c r="AA510" s="108" t="str">
        <f t="shared" si="59"/>
        <v/>
      </c>
      <c r="AB510" s="2"/>
      <c r="AC510" s="131">
        <f t="shared" si="60"/>
        <v>12773.10924369748</v>
      </c>
      <c r="AD510" s="108">
        <f t="shared" si="61"/>
        <v>2426.8907563025205</v>
      </c>
      <c r="AE510" s="95" t="s">
        <v>1501</v>
      </c>
      <c r="AF510" s="533" t="s">
        <v>3489</v>
      </c>
      <c r="AG510" s="2" t="str">
        <f t="shared" si="62"/>
        <v>SI</v>
      </c>
      <c r="AH510" s="284"/>
      <c r="AI510" s="533"/>
      <c r="AJ510" s="2" t="str">
        <f t="shared" si="63"/>
        <v>NV</v>
      </c>
      <c r="AK510" s="303"/>
    </row>
    <row r="511" spans="1:37" x14ac:dyDescent="0.25">
      <c r="A511" s="534" t="s">
        <v>3236</v>
      </c>
      <c r="B511" s="317" t="s">
        <v>3237</v>
      </c>
      <c r="C511" s="95">
        <v>0</v>
      </c>
      <c r="D511" s="95">
        <v>0</v>
      </c>
      <c r="E511" s="95"/>
      <c r="F511" s="95"/>
      <c r="G511" s="95">
        <v>6277</v>
      </c>
      <c r="H511" s="138">
        <v>14800</v>
      </c>
      <c r="I511" s="138"/>
      <c r="J511" s="126">
        <f t="shared" si="56"/>
        <v>14800</v>
      </c>
      <c r="K511" s="318">
        <v>43815</v>
      </c>
      <c r="L511" s="95">
        <v>0</v>
      </c>
      <c r="M511" s="313">
        <f t="shared" si="57"/>
        <v>43815</v>
      </c>
      <c r="N511" s="2" t="str">
        <f t="shared" ca="1" si="58"/>
        <v>Vencido</v>
      </c>
      <c r="O511" s="318"/>
      <c r="P511" s="138"/>
      <c r="Q511" s="2"/>
      <c r="R511" s="2"/>
      <c r="S511" s="95"/>
      <c r="T511" s="313"/>
      <c r="U511" s="393"/>
      <c r="V511" s="95"/>
      <c r="W511" s="129"/>
      <c r="X511" s="318"/>
      <c r="Y511" s="95"/>
      <c r="Z511" s="131"/>
      <c r="AA511" s="108" t="str">
        <f t="shared" si="59"/>
        <v/>
      </c>
      <c r="AB511" s="2"/>
      <c r="AC511" s="131">
        <f t="shared" si="60"/>
        <v>12436.974789915967</v>
      </c>
      <c r="AD511" s="108">
        <f t="shared" si="61"/>
        <v>2363.0252100840335</v>
      </c>
      <c r="AE511" s="95" t="s">
        <v>1501</v>
      </c>
      <c r="AF511" s="533" t="s">
        <v>3489</v>
      </c>
      <c r="AG511" s="2" t="str">
        <f t="shared" ca="1" si="62"/>
        <v>NO</v>
      </c>
      <c r="AH511" s="284"/>
      <c r="AI511" s="533"/>
      <c r="AJ511" s="2" t="str">
        <f t="shared" si="63"/>
        <v>NV</v>
      </c>
      <c r="AK511" s="303"/>
    </row>
    <row r="512" spans="1:37" x14ac:dyDescent="0.25">
      <c r="A512" s="373" t="s">
        <v>4953</v>
      </c>
      <c r="B512" s="317" t="s">
        <v>4954</v>
      </c>
      <c r="C512" s="95">
        <v>0</v>
      </c>
      <c r="D512" s="95">
        <v>2788</v>
      </c>
      <c r="E512" s="95"/>
      <c r="F512" s="95"/>
      <c r="G512" s="95">
        <v>6273</v>
      </c>
      <c r="H512" s="138">
        <v>19700</v>
      </c>
      <c r="I512" s="138"/>
      <c r="J512" s="126">
        <f t="shared" si="56"/>
        <v>19700</v>
      </c>
      <c r="K512" s="318">
        <v>43815</v>
      </c>
      <c r="L512" s="95">
        <v>0</v>
      </c>
      <c r="M512" s="313">
        <f t="shared" si="57"/>
        <v>43815</v>
      </c>
      <c r="N512" s="2" t="str">
        <f t="shared" ca="1" si="58"/>
        <v>Vencido</v>
      </c>
      <c r="O512" s="318"/>
      <c r="P512" s="138"/>
      <c r="Q512" s="2"/>
      <c r="R512" s="2"/>
      <c r="S512" s="95"/>
      <c r="T512" s="313"/>
      <c r="U512" s="393"/>
      <c r="V512" s="95"/>
      <c r="W512" s="129"/>
      <c r="X512" s="318"/>
      <c r="Y512" s="95"/>
      <c r="Z512" s="131"/>
      <c r="AA512" s="108" t="str">
        <f t="shared" si="59"/>
        <v/>
      </c>
      <c r="AB512" s="2"/>
      <c r="AC512" s="131">
        <f t="shared" si="60"/>
        <v>16554.621848739498</v>
      </c>
      <c r="AD512" s="108">
        <f t="shared" si="61"/>
        <v>3145.3781512605019</v>
      </c>
      <c r="AE512" s="95" t="s">
        <v>1501</v>
      </c>
      <c r="AF512" s="372" t="s">
        <v>3487</v>
      </c>
      <c r="AG512" s="2" t="str">
        <f t="shared" ca="1" si="62"/>
        <v>NO</v>
      </c>
      <c r="AH512" s="284"/>
      <c r="AI512" s="372"/>
      <c r="AJ512" s="2" t="str">
        <f t="shared" si="63"/>
        <v>NV</v>
      </c>
      <c r="AK512" s="303"/>
    </row>
    <row r="513" spans="1:37" x14ac:dyDescent="0.25">
      <c r="A513" s="368" t="s">
        <v>3990</v>
      </c>
      <c r="B513" s="317" t="s">
        <v>3993</v>
      </c>
      <c r="C513" s="95">
        <v>0</v>
      </c>
      <c r="D513" s="95">
        <v>2783</v>
      </c>
      <c r="E513" s="95"/>
      <c r="F513" s="95"/>
      <c r="G513" s="95">
        <v>6269</v>
      </c>
      <c r="H513" s="138">
        <v>14800</v>
      </c>
      <c r="I513" s="138"/>
      <c r="J513" s="126">
        <f t="shared" si="56"/>
        <v>14800</v>
      </c>
      <c r="K513" s="318">
        <v>43815</v>
      </c>
      <c r="L513" s="95">
        <v>0</v>
      </c>
      <c r="M513" s="313">
        <f t="shared" si="57"/>
        <v>43815</v>
      </c>
      <c r="N513" s="2" t="str">
        <f t="shared" ca="1" si="58"/>
        <v>Vencido</v>
      </c>
      <c r="O513" s="318"/>
      <c r="P513" s="138"/>
      <c r="Q513" s="2"/>
      <c r="R513" s="2"/>
      <c r="S513" s="95"/>
      <c r="T513" s="313"/>
      <c r="U513" s="393"/>
      <c r="V513" s="95"/>
      <c r="W513" s="129"/>
      <c r="X513" s="318"/>
      <c r="Y513" s="95"/>
      <c r="Z513" s="131"/>
      <c r="AA513" s="108" t="str">
        <f t="shared" si="59"/>
        <v/>
      </c>
      <c r="AB513" s="2"/>
      <c r="AC513" s="131">
        <f t="shared" si="60"/>
        <v>12436.974789915967</v>
      </c>
      <c r="AD513" s="108">
        <f t="shared" si="61"/>
        <v>2363.0252100840335</v>
      </c>
      <c r="AE513" s="95" t="s">
        <v>1501</v>
      </c>
      <c r="AF513" s="367" t="s">
        <v>3487</v>
      </c>
      <c r="AG513" s="2" t="str">
        <f t="shared" ca="1" si="62"/>
        <v>NO</v>
      </c>
      <c r="AH513" s="284"/>
      <c r="AI513" s="367"/>
      <c r="AJ513" s="2" t="str">
        <f t="shared" si="63"/>
        <v>NV</v>
      </c>
      <c r="AK513" s="303"/>
    </row>
    <row r="514" spans="1:37" x14ac:dyDescent="0.25">
      <c r="A514" s="499" t="s">
        <v>1204</v>
      </c>
      <c r="B514" s="317" t="s">
        <v>1052</v>
      </c>
      <c r="C514" s="95">
        <v>0</v>
      </c>
      <c r="D514" s="95">
        <v>0</v>
      </c>
      <c r="E514" s="95"/>
      <c r="F514" s="95"/>
      <c r="G514" s="95">
        <v>6267</v>
      </c>
      <c r="H514" s="138">
        <v>24500</v>
      </c>
      <c r="I514" s="138"/>
      <c r="J514" s="126">
        <f t="shared" si="56"/>
        <v>24500</v>
      </c>
      <c r="K514" s="318">
        <v>43815</v>
      </c>
      <c r="L514" s="95">
        <v>0</v>
      </c>
      <c r="M514" s="313">
        <f t="shared" si="57"/>
        <v>43815</v>
      </c>
      <c r="N514" s="2" t="str">
        <f t="shared" si="58"/>
        <v>Pagado</v>
      </c>
      <c r="O514" s="318">
        <v>43859</v>
      </c>
      <c r="P514" s="138">
        <v>24500</v>
      </c>
      <c r="Q514" s="2" t="s">
        <v>1484</v>
      </c>
      <c r="R514" s="2"/>
      <c r="S514" s="95"/>
      <c r="T514" s="313" t="s">
        <v>1492</v>
      </c>
      <c r="U514" s="393"/>
      <c r="V514" s="95"/>
      <c r="W514" s="129"/>
      <c r="X514" s="318"/>
      <c r="Y514" s="95"/>
      <c r="Z514" s="131"/>
      <c r="AA514" s="108" t="str">
        <f t="shared" si="59"/>
        <v/>
      </c>
      <c r="AB514" s="2"/>
      <c r="AC514" s="131">
        <f t="shared" si="60"/>
        <v>20588.235294117647</v>
      </c>
      <c r="AD514" s="108">
        <f t="shared" si="61"/>
        <v>3911.7647058823532</v>
      </c>
      <c r="AE514" s="95" t="s">
        <v>1501</v>
      </c>
      <c r="AF514" s="498" t="s">
        <v>3489</v>
      </c>
      <c r="AG514" s="2" t="str">
        <f t="shared" si="62"/>
        <v>SI</v>
      </c>
      <c r="AH514" s="284"/>
      <c r="AI514" s="498"/>
      <c r="AJ514" s="2" t="str">
        <f t="shared" si="63"/>
        <v>NV</v>
      </c>
      <c r="AK514" s="303"/>
    </row>
    <row r="515" spans="1:37" x14ac:dyDescent="0.25">
      <c r="A515" s="534" t="s">
        <v>1419</v>
      </c>
      <c r="B515" s="317" t="s">
        <v>1119</v>
      </c>
      <c r="C515" s="95">
        <v>0</v>
      </c>
      <c r="D515" s="95">
        <v>2785</v>
      </c>
      <c r="E515" s="95"/>
      <c r="F515" s="95"/>
      <c r="G515" s="95">
        <v>6278</v>
      </c>
      <c r="H515" s="138">
        <v>23500</v>
      </c>
      <c r="I515" s="138"/>
      <c r="J515" s="126">
        <f t="shared" ref="J515:J578" si="64">+H515+I515</f>
        <v>23500</v>
      </c>
      <c r="K515" s="318">
        <v>43816</v>
      </c>
      <c r="L515" s="95">
        <v>0</v>
      </c>
      <c r="M515" s="313">
        <f t="shared" ref="M515:M578" si="65">+L515+K515</f>
        <v>43816</v>
      </c>
      <c r="N515" s="2" t="str">
        <f t="shared" ref="N515:N578" ca="1" si="66">+IF(J515=0,"Nulo",IF(P515&gt;=J515,"Pagado",IF(P515&gt;0,"Abonado",IF(M515&lt;$M$1,"Vencido",IF(J515&gt;P515,"Pendiente","Vencido")))))</f>
        <v>Vencido</v>
      </c>
      <c r="O515" s="318"/>
      <c r="P515" s="138"/>
      <c r="Q515" s="2"/>
      <c r="R515" s="2"/>
      <c r="S515" s="95"/>
      <c r="T515" s="313"/>
      <c r="U515" s="393"/>
      <c r="V515" s="95"/>
      <c r="W515" s="129"/>
      <c r="X515" s="318"/>
      <c r="Y515" s="95"/>
      <c r="Z515" s="131"/>
      <c r="AA515" s="108" t="str">
        <f t="shared" ref="AA515:AA578" si="67">+IF(LEFT(Q515,6)="Cheque",IF(T515="Chile","Chile","Otros"),"")</f>
        <v/>
      </c>
      <c r="AB515" s="2"/>
      <c r="AC515" s="131">
        <f t="shared" ref="AC515:AC578" si="68">+IF(C515="","",H515/1.19)</f>
        <v>19747.899159663866</v>
      </c>
      <c r="AD515" s="108">
        <f t="shared" ref="AD515:AD578" si="69">+IF(C515="","",H515-AC515)</f>
        <v>3752.1008403361338</v>
      </c>
      <c r="AE515" s="95" t="s">
        <v>1501</v>
      </c>
      <c r="AF515" s="533" t="s">
        <v>3489</v>
      </c>
      <c r="AG515" s="2" t="str">
        <f t="shared" ref="AG515:AG578" ca="1" si="70">+IF(N515="Pagado","SI",IF(N515="NULO","SI","NO"))</f>
        <v>NO</v>
      </c>
      <c r="AH515" s="284"/>
      <c r="AI515" s="533"/>
      <c r="AJ515" s="2" t="str">
        <f t="shared" ref="AJ515:AJ578" si="71">+IF(C515=0,"NV","Factura")</f>
        <v>NV</v>
      </c>
      <c r="AK515" s="303"/>
    </row>
    <row r="516" spans="1:37" x14ac:dyDescent="0.25">
      <c r="A516" s="534" t="s">
        <v>5532</v>
      </c>
      <c r="B516" s="317" t="s">
        <v>5533</v>
      </c>
      <c r="C516" s="95">
        <v>0</v>
      </c>
      <c r="D516" s="95">
        <v>2789</v>
      </c>
      <c r="E516" s="95"/>
      <c r="F516" s="95"/>
      <c r="G516" s="95">
        <v>6282</v>
      </c>
      <c r="H516" s="138">
        <v>30800</v>
      </c>
      <c r="I516" s="138"/>
      <c r="J516" s="126">
        <f t="shared" si="64"/>
        <v>30800</v>
      </c>
      <c r="K516" s="318">
        <v>43816</v>
      </c>
      <c r="L516" s="95">
        <v>0</v>
      </c>
      <c r="M516" s="313">
        <f t="shared" si="65"/>
        <v>43816</v>
      </c>
      <c r="N516" s="2" t="str">
        <f t="shared" si="66"/>
        <v>Pagado</v>
      </c>
      <c r="O516" s="318">
        <v>43816</v>
      </c>
      <c r="P516" s="138">
        <v>30800</v>
      </c>
      <c r="Q516" s="2" t="s">
        <v>1484</v>
      </c>
      <c r="R516" s="2"/>
      <c r="S516" s="95"/>
      <c r="T516" s="313" t="s">
        <v>1492</v>
      </c>
      <c r="U516" s="393"/>
      <c r="V516" s="95"/>
      <c r="W516" s="129"/>
      <c r="X516" s="318"/>
      <c r="Y516" s="95"/>
      <c r="Z516" s="131"/>
      <c r="AA516" s="108" t="str">
        <f t="shared" si="67"/>
        <v/>
      </c>
      <c r="AB516" s="2"/>
      <c r="AC516" s="131">
        <f t="shared" si="68"/>
        <v>25882.352941176472</v>
      </c>
      <c r="AD516" s="108">
        <f t="shared" si="69"/>
        <v>4917.6470588235279</v>
      </c>
      <c r="AE516" s="95" t="s">
        <v>1501</v>
      </c>
      <c r="AF516" s="533" t="s">
        <v>3489</v>
      </c>
      <c r="AG516" s="2" t="str">
        <f t="shared" si="70"/>
        <v>SI</v>
      </c>
      <c r="AH516" s="284"/>
      <c r="AI516" s="533"/>
      <c r="AJ516" s="2" t="str">
        <f t="shared" si="71"/>
        <v>NV</v>
      </c>
      <c r="AK516" s="303"/>
    </row>
    <row r="517" spans="1:37" x14ac:dyDescent="0.25">
      <c r="A517" s="499" t="s">
        <v>4041</v>
      </c>
      <c r="B517" s="317" t="s">
        <v>4042</v>
      </c>
      <c r="C517" s="95">
        <v>0</v>
      </c>
      <c r="D517" s="95">
        <v>2787</v>
      </c>
      <c r="E517" s="95"/>
      <c r="F517" s="95"/>
      <c r="G517" s="95">
        <v>6280</v>
      </c>
      <c r="H517" s="138">
        <v>14800</v>
      </c>
      <c r="I517" s="138"/>
      <c r="J517" s="126">
        <f t="shared" si="64"/>
        <v>14800</v>
      </c>
      <c r="K517" s="318">
        <v>43816</v>
      </c>
      <c r="L517" s="95">
        <v>0</v>
      </c>
      <c r="M517" s="313">
        <f t="shared" si="65"/>
        <v>43816</v>
      </c>
      <c r="N517" s="2" t="str">
        <f t="shared" si="66"/>
        <v>Pagado</v>
      </c>
      <c r="O517" s="318">
        <v>43817</v>
      </c>
      <c r="P517" s="138">
        <v>14800</v>
      </c>
      <c r="Q517" s="2" t="s">
        <v>1484</v>
      </c>
      <c r="R517" s="2"/>
      <c r="S517" s="95"/>
      <c r="T517" s="313" t="s">
        <v>1462</v>
      </c>
      <c r="U517" s="393"/>
      <c r="V517" s="95"/>
      <c r="W517" s="129"/>
      <c r="X517" s="318"/>
      <c r="Y517" s="95"/>
      <c r="Z517" s="131"/>
      <c r="AA517" s="108" t="str">
        <f t="shared" si="67"/>
        <v/>
      </c>
      <c r="AB517" s="2"/>
      <c r="AC517" s="131">
        <f t="shared" si="68"/>
        <v>12436.974789915967</v>
      </c>
      <c r="AD517" s="108">
        <f t="shared" si="69"/>
        <v>2363.0252100840335</v>
      </c>
      <c r="AE517" s="95" t="s">
        <v>1501</v>
      </c>
      <c r="AF517" s="498" t="s">
        <v>3489</v>
      </c>
      <c r="AG517" s="2" t="str">
        <f t="shared" si="70"/>
        <v>SI</v>
      </c>
      <c r="AH517" s="284"/>
      <c r="AI517" s="498"/>
      <c r="AJ517" s="2" t="str">
        <f t="shared" si="71"/>
        <v>NV</v>
      </c>
      <c r="AK517" s="303"/>
    </row>
    <row r="518" spans="1:37" x14ac:dyDescent="0.25">
      <c r="A518" s="499" t="s">
        <v>4031</v>
      </c>
      <c r="B518" s="317" t="s">
        <v>4032</v>
      </c>
      <c r="C518" s="95">
        <v>0</v>
      </c>
      <c r="D518" s="95">
        <v>2786</v>
      </c>
      <c r="E518" s="95"/>
      <c r="F518" s="95"/>
      <c r="G518" s="95">
        <v>6181</v>
      </c>
      <c r="H518" s="138">
        <v>14800</v>
      </c>
      <c r="I518" s="138"/>
      <c r="J518" s="126">
        <f t="shared" si="64"/>
        <v>14800</v>
      </c>
      <c r="K518" s="318">
        <v>43816</v>
      </c>
      <c r="L518" s="95">
        <v>0</v>
      </c>
      <c r="M518" s="313">
        <f t="shared" si="65"/>
        <v>43816</v>
      </c>
      <c r="N518" s="2" t="str">
        <f t="shared" si="66"/>
        <v>Pagado</v>
      </c>
      <c r="O518" s="318">
        <v>43817</v>
      </c>
      <c r="P518" s="138">
        <v>14800</v>
      </c>
      <c r="Q518" s="2" t="s">
        <v>1484</v>
      </c>
      <c r="R518" s="2"/>
      <c r="S518" s="95"/>
      <c r="T518" s="313" t="s">
        <v>1462</v>
      </c>
      <c r="U518" s="393"/>
      <c r="V518" s="95"/>
      <c r="W518" s="129"/>
      <c r="X518" s="318"/>
      <c r="Y518" s="95"/>
      <c r="Z518" s="131"/>
      <c r="AA518" s="108" t="str">
        <f t="shared" si="67"/>
        <v/>
      </c>
      <c r="AB518" s="2"/>
      <c r="AC518" s="131">
        <f t="shared" si="68"/>
        <v>12436.974789915967</v>
      </c>
      <c r="AD518" s="108">
        <f t="shared" si="69"/>
        <v>2363.0252100840335</v>
      </c>
      <c r="AE518" s="95" t="s">
        <v>1501</v>
      </c>
      <c r="AF518" s="498" t="s">
        <v>3487</v>
      </c>
      <c r="AG518" s="2" t="str">
        <f t="shared" si="70"/>
        <v>SI</v>
      </c>
      <c r="AH518" s="284"/>
      <c r="AI518" s="498"/>
      <c r="AJ518" s="2" t="str">
        <f t="shared" si="71"/>
        <v>NV</v>
      </c>
      <c r="AK518" s="303"/>
    </row>
    <row r="519" spans="1:37" x14ac:dyDescent="0.25">
      <c r="A519" s="499" t="s">
        <v>5154</v>
      </c>
      <c r="B519" s="317" t="s">
        <v>5155</v>
      </c>
      <c r="C519" s="95">
        <v>0</v>
      </c>
      <c r="D519" s="95">
        <v>2784</v>
      </c>
      <c r="E519" s="95"/>
      <c r="F519" s="95"/>
      <c r="G519" s="95">
        <v>6279</v>
      </c>
      <c r="H519" s="138">
        <v>16500</v>
      </c>
      <c r="I519" s="138"/>
      <c r="J519" s="126">
        <f t="shared" si="64"/>
        <v>16500</v>
      </c>
      <c r="K519" s="318">
        <v>43816</v>
      </c>
      <c r="L519" s="95">
        <v>0</v>
      </c>
      <c r="M519" s="313">
        <f t="shared" si="65"/>
        <v>43816</v>
      </c>
      <c r="N519" s="2" t="str">
        <f t="shared" ca="1" si="66"/>
        <v>Vencido</v>
      </c>
      <c r="O519" s="318"/>
      <c r="P519" s="138"/>
      <c r="Q519" s="2"/>
      <c r="R519" s="2"/>
      <c r="S519" s="95"/>
      <c r="T519" s="313"/>
      <c r="U519" s="393"/>
      <c r="V519" s="95"/>
      <c r="W519" s="129"/>
      <c r="X519" s="318"/>
      <c r="Y519" s="95"/>
      <c r="Z519" s="131"/>
      <c r="AA519" s="108" t="str">
        <f t="shared" si="67"/>
        <v/>
      </c>
      <c r="AB519" s="2"/>
      <c r="AC519" s="131">
        <f t="shared" si="68"/>
        <v>13865.546218487396</v>
      </c>
      <c r="AD519" s="108">
        <f t="shared" si="69"/>
        <v>2634.4537815126041</v>
      </c>
      <c r="AE519" s="95" t="s">
        <v>1501</v>
      </c>
      <c r="AF519" s="498" t="s">
        <v>3487</v>
      </c>
      <c r="AG519" s="2" t="str">
        <f t="shared" ca="1" si="70"/>
        <v>NO</v>
      </c>
      <c r="AH519" s="284"/>
      <c r="AI519" s="498"/>
      <c r="AJ519" s="2" t="str">
        <f t="shared" si="71"/>
        <v>NV</v>
      </c>
      <c r="AK519" s="303"/>
    </row>
    <row r="520" spans="1:37" x14ac:dyDescent="0.25">
      <c r="A520" s="501" t="s">
        <v>3460</v>
      </c>
      <c r="B520" s="317" t="s">
        <v>3461</v>
      </c>
      <c r="C520" s="95">
        <v>3034</v>
      </c>
      <c r="D520" s="95">
        <v>0</v>
      </c>
      <c r="E520" s="95"/>
      <c r="F520" s="95"/>
      <c r="G520" s="95" t="s">
        <v>2528</v>
      </c>
      <c r="H520" s="138">
        <v>82674</v>
      </c>
      <c r="I520" s="138"/>
      <c r="J520" s="126">
        <f t="shared" si="64"/>
        <v>82674</v>
      </c>
      <c r="K520" s="318">
        <v>43817</v>
      </c>
      <c r="L520" s="95">
        <v>0</v>
      </c>
      <c r="M520" s="313">
        <f t="shared" si="65"/>
        <v>43817</v>
      </c>
      <c r="N520" s="2" t="str">
        <f t="shared" si="66"/>
        <v>Pagado</v>
      </c>
      <c r="O520" s="318">
        <v>43853</v>
      </c>
      <c r="P520" s="138">
        <v>82674</v>
      </c>
      <c r="Q520" s="2" t="s">
        <v>1484</v>
      </c>
      <c r="R520" s="2"/>
      <c r="S520" s="95"/>
      <c r="T520" s="313" t="s">
        <v>1496</v>
      </c>
      <c r="U520" s="393"/>
      <c r="V520" s="95"/>
      <c r="W520" s="129"/>
      <c r="X520" s="318"/>
      <c r="Y520" s="95"/>
      <c r="Z520" s="131"/>
      <c r="AA520" s="108" t="str">
        <f t="shared" si="67"/>
        <v/>
      </c>
      <c r="AB520" s="2"/>
      <c r="AC520" s="131">
        <f t="shared" si="68"/>
        <v>69473.94957983194</v>
      </c>
      <c r="AD520" s="108">
        <f t="shared" si="69"/>
        <v>13200.05042016806</v>
      </c>
      <c r="AE520" s="95" t="s">
        <v>1501</v>
      </c>
      <c r="AF520" s="500" t="s">
        <v>3490</v>
      </c>
      <c r="AG520" s="2" t="str">
        <f t="shared" si="70"/>
        <v>SI</v>
      </c>
      <c r="AH520" s="284"/>
      <c r="AI520" s="500"/>
      <c r="AJ520" s="2" t="str">
        <f t="shared" si="71"/>
        <v>Factura</v>
      </c>
      <c r="AK520" s="303"/>
    </row>
    <row r="521" spans="1:37" x14ac:dyDescent="0.25">
      <c r="A521" s="534" t="s">
        <v>3175</v>
      </c>
      <c r="B521" s="317" t="s">
        <v>3176</v>
      </c>
      <c r="C521" s="95">
        <v>0</v>
      </c>
      <c r="D521" s="95">
        <v>2791</v>
      </c>
      <c r="E521" s="95"/>
      <c r="F521" s="95"/>
      <c r="G521" s="95">
        <v>6287</v>
      </c>
      <c r="H521" s="138">
        <v>29000</v>
      </c>
      <c r="I521" s="138"/>
      <c r="J521" s="126">
        <f t="shared" si="64"/>
        <v>29000</v>
      </c>
      <c r="K521" s="318">
        <v>43817</v>
      </c>
      <c r="L521" s="95">
        <v>0</v>
      </c>
      <c r="M521" s="313">
        <f t="shared" si="65"/>
        <v>43817</v>
      </c>
      <c r="N521" s="2" t="str">
        <f t="shared" si="66"/>
        <v>Pagado</v>
      </c>
      <c r="O521" s="318">
        <v>43817</v>
      </c>
      <c r="P521" s="138">
        <v>29000</v>
      </c>
      <c r="Q521" s="2" t="s">
        <v>1484</v>
      </c>
      <c r="R521" s="2"/>
      <c r="S521" s="95"/>
      <c r="T521" s="313" t="s">
        <v>2353</v>
      </c>
      <c r="U521" s="393"/>
      <c r="V521" s="95"/>
      <c r="W521" s="129"/>
      <c r="X521" s="318"/>
      <c r="Y521" s="95"/>
      <c r="Z521" s="131"/>
      <c r="AA521" s="108" t="str">
        <f t="shared" si="67"/>
        <v/>
      </c>
      <c r="AB521" s="2"/>
      <c r="AC521" s="131">
        <f t="shared" si="68"/>
        <v>24369.747899159665</v>
      </c>
      <c r="AD521" s="108">
        <f t="shared" si="69"/>
        <v>4630.2521008403346</v>
      </c>
      <c r="AE521" s="95" t="s">
        <v>1501</v>
      </c>
      <c r="AF521" s="533" t="s">
        <v>3489</v>
      </c>
      <c r="AG521" s="2" t="str">
        <f t="shared" si="70"/>
        <v>SI</v>
      </c>
      <c r="AH521" s="284"/>
      <c r="AI521" s="533"/>
      <c r="AJ521" s="2" t="str">
        <f t="shared" si="71"/>
        <v>NV</v>
      </c>
      <c r="AK521" s="303"/>
    </row>
    <row r="522" spans="1:37" x14ac:dyDescent="0.25">
      <c r="A522" s="501" t="s">
        <v>1226</v>
      </c>
      <c r="B522" s="317" t="s">
        <v>1016</v>
      </c>
      <c r="C522" s="95">
        <v>0</v>
      </c>
      <c r="D522" s="95">
        <v>2792</v>
      </c>
      <c r="E522" s="95"/>
      <c r="F522" s="95"/>
      <c r="G522" s="95">
        <v>6285</v>
      </c>
      <c r="H522" s="138">
        <v>146000</v>
      </c>
      <c r="I522" s="138"/>
      <c r="J522" s="126">
        <f t="shared" si="64"/>
        <v>146000</v>
      </c>
      <c r="K522" s="318">
        <v>43817</v>
      </c>
      <c r="L522" s="95">
        <v>0</v>
      </c>
      <c r="M522" s="313">
        <f t="shared" si="65"/>
        <v>43817</v>
      </c>
      <c r="N522" s="2" t="str">
        <f t="shared" si="66"/>
        <v>Pagado</v>
      </c>
      <c r="O522" s="318">
        <v>43817</v>
      </c>
      <c r="P522" s="138">
        <v>146000</v>
      </c>
      <c r="Q522" s="2" t="s">
        <v>1484</v>
      </c>
      <c r="R522" s="2"/>
      <c r="S522" s="95"/>
      <c r="T522" s="313" t="s">
        <v>1492</v>
      </c>
      <c r="U522" s="393"/>
      <c r="V522" s="95"/>
      <c r="W522" s="129"/>
      <c r="X522" s="318"/>
      <c r="Y522" s="95"/>
      <c r="Z522" s="131"/>
      <c r="AA522" s="108" t="str">
        <f t="shared" si="67"/>
        <v/>
      </c>
      <c r="AB522" s="2"/>
      <c r="AC522" s="131">
        <f t="shared" si="68"/>
        <v>122689.0756302521</v>
      </c>
      <c r="AD522" s="108">
        <f t="shared" si="69"/>
        <v>23310.924369747896</v>
      </c>
      <c r="AE522" s="95" t="s">
        <v>1501</v>
      </c>
      <c r="AF522" s="500" t="s">
        <v>3487</v>
      </c>
      <c r="AG522" s="2" t="str">
        <f t="shared" si="70"/>
        <v>SI</v>
      </c>
      <c r="AH522" s="284"/>
      <c r="AI522" s="500"/>
      <c r="AJ522" s="2" t="str">
        <f t="shared" si="71"/>
        <v>NV</v>
      </c>
      <c r="AK522" s="303"/>
    </row>
    <row r="523" spans="1:37" x14ac:dyDescent="0.25">
      <c r="A523" s="499" t="s">
        <v>1409</v>
      </c>
      <c r="B523" s="317" t="s">
        <v>1126</v>
      </c>
      <c r="C523" s="95">
        <v>0</v>
      </c>
      <c r="D523" s="95">
        <v>2790</v>
      </c>
      <c r="E523" s="95"/>
      <c r="F523" s="95"/>
      <c r="G523" s="95">
        <v>6284</v>
      </c>
      <c r="H523" s="138">
        <v>15500</v>
      </c>
      <c r="I523" s="138"/>
      <c r="J523" s="126">
        <f t="shared" si="64"/>
        <v>15500</v>
      </c>
      <c r="K523" s="318">
        <v>43817</v>
      </c>
      <c r="L523" s="95">
        <v>0</v>
      </c>
      <c r="M523" s="313">
        <f t="shared" si="65"/>
        <v>43817</v>
      </c>
      <c r="N523" s="2" t="str">
        <f t="shared" ca="1" si="66"/>
        <v>Vencido</v>
      </c>
      <c r="O523" s="318"/>
      <c r="P523" s="138"/>
      <c r="Q523" s="2"/>
      <c r="R523" s="2"/>
      <c r="S523" s="95"/>
      <c r="T523" s="313"/>
      <c r="U523" s="393"/>
      <c r="V523" s="95"/>
      <c r="W523" s="129"/>
      <c r="X523" s="318"/>
      <c r="Y523" s="95"/>
      <c r="Z523" s="131"/>
      <c r="AA523" s="108" t="str">
        <f t="shared" si="67"/>
        <v/>
      </c>
      <c r="AB523" s="2"/>
      <c r="AC523" s="131">
        <f t="shared" si="68"/>
        <v>13025.210084033613</v>
      </c>
      <c r="AD523" s="108">
        <f t="shared" si="69"/>
        <v>2474.7899159663866</v>
      </c>
      <c r="AE523" s="95" t="s">
        <v>1501</v>
      </c>
      <c r="AF523" s="498" t="s">
        <v>3487</v>
      </c>
      <c r="AG523" s="2" t="str">
        <f t="shared" ca="1" si="70"/>
        <v>NO</v>
      </c>
      <c r="AH523" s="284"/>
      <c r="AI523" s="498"/>
      <c r="AJ523" s="2" t="str">
        <f t="shared" si="71"/>
        <v>NV</v>
      </c>
      <c r="AK523" s="303"/>
    </row>
    <row r="524" spans="1:37" x14ac:dyDescent="0.25">
      <c r="A524" s="499" t="s">
        <v>1322</v>
      </c>
      <c r="B524" s="317" t="s">
        <v>2317</v>
      </c>
      <c r="C524" s="95">
        <v>0</v>
      </c>
      <c r="D524" s="95">
        <v>2794</v>
      </c>
      <c r="E524" s="95"/>
      <c r="F524" s="95"/>
      <c r="G524" s="95">
        <v>6286</v>
      </c>
      <c r="H524" s="138">
        <v>19700</v>
      </c>
      <c r="I524" s="138"/>
      <c r="J524" s="126">
        <f t="shared" si="64"/>
        <v>19700</v>
      </c>
      <c r="K524" s="318">
        <v>43817</v>
      </c>
      <c r="L524" s="95">
        <v>0</v>
      </c>
      <c r="M524" s="313">
        <f t="shared" si="65"/>
        <v>43817</v>
      </c>
      <c r="N524" s="2" t="str">
        <f t="shared" si="66"/>
        <v>Pagado</v>
      </c>
      <c r="O524" s="318">
        <v>43838</v>
      </c>
      <c r="P524" s="138">
        <v>19700</v>
      </c>
      <c r="Q524" s="2" t="s">
        <v>1484</v>
      </c>
      <c r="R524" s="2"/>
      <c r="S524" s="95"/>
      <c r="T524" s="313" t="s">
        <v>1493</v>
      </c>
      <c r="U524" s="393"/>
      <c r="V524" s="95"/>
      <c r="W524" s="129"/>
      <c r="X524" s="318"/>
      <c r="Y524" s="95"/>
      <c r="Z524" s="131"/>
      <c r="AA524" s="108" t="str">
        <f t="shared" si="67"/>
        <v/>
      </c>
      <c r="AB524" s="2"/>
      <c r="AC524" s="131">
        <f t="shared" si="68"/>
        <v>16554.621848739498</v>
      </c>
      <c r="AD524" s="108">
        <f t="shared" si="69"/>
        <v>3145.3781512605019</v>
      </c>
      <c r="AE524" s="95" t="s">
        <v>1501</v>
      </c>
      <c r="AF524" s="498" t="s">
        <v>3489</v>
      </c>
      <c r="AG524" s="2" t="str">
        <f t="shared" si="70"/>
        <v>SI</v>
      </c>
      <c r="AH524" s="284"/>
      <c r="AI524" s="498"/>
      <c r="AJ524" s="2" t="str">
        <f t="shared" si="71"/>
        <v>NV</v>
      </c>
      <c r="AK524" s="303"/>
    </row>
    <row r="525" spans="1:37" x14ac:dyDescent="0.25">
      <c r="A525" s="499" t="s">
        <v>1204</v>
      </c>
      <c r="B525" s="317" t="s">
        <v>1052</v>
      </c>
      <c r="C525" s="95">
        <v>0</v>
      </c>
      <c r="D525" s="95">
        <v>0</v>
      </c>
      <c r="E525" s="95"/>
      <c r="F525" s="95"/>
      <c r="G525" s="95">
        <v>6283</v>
      </c>
      <c r="H525" s="138">
        <v>29700</v>
      </c>
      <c r="I525" s="138"/>
      <c r="J525" s="126">
        <f t="shared" si="64"/>
        <v>29700</v>
      </c>
      <c r="K525" s="318">
        <v>43817</v>
      </c>
      <c r="L525" s="95">
        <v>0</v>
      </c>
      <c r="M525" s="313">
        <f t="shared" si="65"/>
        <v>43817</v>
      </c>
      <c r="N525" s="2" t="str">
        <f t="shared" si="66"/>
        <v>Pagado</v>
      </c>
      <c r="O525" s="318">
        <v>43859</v>
      </c>
      <c r="P525" s="138">
        <v>29700</v>
      </c>
      <c r="Q525" s="2" t="s">
        <v>1484</v>
      </c>
      <c r="R525" s="2"/>
      <c r="S525" s="95"/>
      <c r="T525" s="313" t="s">
        <v>1492</v>
      </c>
      <c r="U525" s="393"/>
      <c r="V525" s="95"/>
      <c r="W525" s="129"/>
      <c r="X525" s="318"/>
      <c r="Y525" s="95"/>
      <c r="Z525" s="131"/>
      <c r="AA525" s="108" t="str">
        <f t="shared" si="67"/>
        <v/>
      </c>
      <c r="AB525" s="2"/>
      <c r="AC525" s="131">
        <f t="shared" si="68"/>
        <v>24957.983193277312</v>
      </c>
      <c r="AD525" s="108">
        <f t="shared" si="69"/>
        <v>4742.0168067226878</v>
      </c>
      <c r="AE525" s="95" t="s">
        <v>1501</v>
      </c>
      <c r="AF525" s="498" t="s">
        <v>3489</v>
      </c>
      <c r="AG525" s="2" t="str">
        <f t="shared" si="70"/>
        <v>SI</v>
      </c>
      <c r="AH525" s="284"/>
      <c r="AI525" s="498"/>
      <c r="AJ525" s="2" t="str">
        <f t="shared" si="71"/>
        <v>NV</v>
      </c>
      <c r="AK525" s="303"/>
    </row>
    <row r="526" spans="1:37" x14ac:dyDescent="0.25">
      <c r="A526" s="499" t="s">
        <v>5228</v>
      </c>
      <c r="B526" s="317" t="s">
        <v>5229</v>
      </c>
      <c r="C526" s="95">
        <v>0</v>
      </c>
      <c r="D526" s="95">
        <v>0</v>
      </c>
      <c r="E526" s="95"/>
      <c r="F526" s="95"/>
      <c r="G526" s="95">
        <v>6288</v>
      </c>
      <c r="H526" s="138">
        <v>34500</v>
      </c>
      <c r="I526" s="138"/>
      <c r="J526" s="126">
        <f t="shared" si="64"/>
        <v>34500</v>
      </c>
      <c r="K526" s="318">
        <v>43817</v>
      </c>
      <c r="L526" s="95">
        <v>0</v>
      </c>
      <c r="M526" s="313">
        <f t="shared" si="65"/>
        <v>43817</v>
      </c>
      <c r="N526" s="2" t="str">
        <f t="shared" ca="1" si="66"/>
        <v>Vencido</v>
      </c>
      <c r="O526" s="318">
        <v>43815</v>
      </c>
      <c r="P526" s="138">
        <v>0</v>
      </c>
      <c r="Q526" s="2"/>
      <c r="R526" s="2"/>
      <c r="S526" s="95"/>
      <c r="T526" s="313"/>
      <c r="U526" s="393"/>
      <c r="V526" s="95"/>
      <c r="W526" s="129"/>
      <c r="X526" s="318"/>
      <c r="Y526" s="95"/>
      <c r="Z526" s="131"/>
      <c r="AA526" s="108" t="str">
        <f t="shared" si="67"/>
        <v/>
      </c>
      <c r="AB526" s="2"/>
      <c r="AC526" s="131">
        <f t="shared" si="68"/>
        <v>28991.596638655465</v>
      </c>
      <c r="AD526" s="108">
        <f t="shared" si="69"/>
        <v>5508.4033613445354</v>
      </c>
      <c r="AE526" s="95" t="s">
        <v>1501</v>
      </c>
      <c r="AF526" s="498" t="s">
        <v>3487</v>
      </c>
      <c r="AG526" s="2" t="str">
        <f t="shared" ca="1" si="70"/>
        <v>NO</v>
      </c>
      <c r="AH526" s="284"/>
      <c r="AI526" s="498"/>
      <c r="AJ526" s="2" t="str">
        <f t="shared" si="71"/>
        <v>NV</v>
      </c>
      <c r="AK526" s="303"/>
    </row>
    <row r="527" spans="1:37" x14ac:dyDescent="0.25">
      <c r="A527" s="542" t="s">
        <v>1178</v>
      </c>
      <c r="B527" s="317" t="s">
        <v>950</v>
      </c>
      <c r="C527" s="95">
        <v>3036</v>
      </c>
      <c r="D527" s="95">
        <v>0</v>
      </c>
      <c r="E527" s="95"/>
      <c r="F527" s="95"/>
      <c r="G527" s="95" t="s">
        <v>2528</v>
      </c>
      <c r="H527" s="138">
        <v>56439</v>
      </c>
      <c r="I527" s="138"/>
      <c r="J527" s="126">
        <f t="shared" si="64"/>
        <v>56439</v>
      </c>
      <c r="K527" s="318">
        <v>43818</v>
      </c>
      <c r="L527" s="95">
        <v>7</v>
      </c>
      <c r="M527" s="313">
        <f t="shared" si="65"/>
        <v>43825</v>
      </c>
      <c r="N527" s="2" t="str">
        <f t="shared" si="66"/>
        <v>Pagado</v>
      </c>
      <c r="O527" s="318">
        <v>43823</v>
      </c>
      <c r="P527" s="138">
        <v>56439</v>
      </c>
      <c r="Q527" s="2" t="s">
        <v>2131</v>
      </c>
      <c r="R527" s="2"/>
      <c r="S527" s="95">
        <v>1116127</v>
      </c>
      <c r="T527" s="313" t="s">
        <v>1495</v>
      </c>
      <c r="U527" s="393">
        <v>43829</v>
      </c>
      <c r="V527" s="95"/>
      <c r="W527" s="129"/>
      <c r="X527" s="318"/>
      <c r="Y527" s="95"/>
      <c r="Z527" s="131"/>
      <c r="AA527" s="108" t="str">
        <f t="shared" si="67"/>
        <v>Otros</v>
      </c>
      <c r="AB527" s="2"/>
      <c r="AC527" s="131">
        <f t="shared" si="68"/>
        <v>47427.731092436974</v>
      </c>
      <c r="AD527" s="108">
        <f t="shared" si="69"/>
        <v>9011.268907563026</v>
      </c>
      <c r="AE527" s="95" t="s">
        <v>2050</v>
      </c>
      <c r="AF527" s="541" t="s">
        <v>3490</v>
      </c>
      <c r="AG527" s="2" t="str">
        <f t="shared" si="70"/>
        <v>SI</v>
      </c>
      <c r="AH527" s="284"/>
      <c r="AI527" s="541"/>
      <c r="AJ527" s="2" t="str">
        <f t="shared" si="71"/>
        <v>Factura</v>
      </c>
      <c r="AK527" s="303"/>
    </row>
    <row r="528" spans="1:37" x14ac:dyDescent="0.25">
      <c r="A528" s="501" t="s">
        <v>1177</v>
      </c>
      <c r="B528" s="317" t="s">
        <v>1060</v>
      </c>
      <c r="C528" s="95">
        <v>3035</v>
      </c>
      <c r="D528" s="95">
        <v>0</v>
      </c>
      <c r="E528" s="95">
        <v>279</v>
      </c>
      <c r="F528" s="95"/>
      <c r="G528" s="95" t="s">
        <v>2528</v>
      </c>
      <c r="H528" s="138">
        <v>223396</v>
      </c>
      <c r="I528" s="138">
        <v>-48677</v>
      </c>
      <c r="J528" s="126">
        <f t="shared" si="64"/>
        <v>174719</v>
      </c>
      <c r="K528" s="318">
        <v>43818</v>
      </c>
      <c r="L528" s="95">
        <v>30</v>
      </c>
      <c r="M528" s="313">
        <f t="shared" si="65"/>
        <v>43848</v>
      </c>
      <c r="N528" s="2" t="str">
        <f t="shared" si="66"/>
        <v>Pagado</v>
      </c>
      <c r="O528" s="318">
        <v>43818</v>
      </c>
      <c r="P528" s="138">
        <v>174720</v>
      </c>
      <c r="Q528" s="2" t="s">
        <v>2132</v>
      </c>
      <c r="R528" s="2"/>
      <c r="S528" s="95">
        <v>7309412</v>
      </c>
      <c r="T528" s="313" t="s">
        <v>1462</v>
      </c>
      <c r="U528" s="393" t="s">
        <v>5635</v>
      </c>
      <c r="V528" s="95"/>
      <c r="W528" s="129"/>
      <c r="X528" s="318"/>
      <c r="Y528" s="95"/>
      <c r="Z528" s="131"/>
      <c r="AA528" s="108" t="str">
        <f t="shared" si="67"/>
        <v>Otros</v>
      </c>
      <c r="AB528" s="2"/>
      <c r="AC528" s="131">
        <f t="shared" si="68"/>
        <v>187727.731092437</v>
      </c>
      <c r="AD528" s="108">
        <f t="shared" si="69"/>
        <v>35668.268907563004</v>
      </c>
      <c r="AE528" s="95" t="s">
        <v>2050</v>
      </c>
      <c r="AF528" s="500" t="s">
        <v>3490</v>
      </c>
      <c r="AG528" s="2" t="str">
        <f t="shared" si="70"/>
        <v>SI</v>
      </c>
      <c r="AH528" s="284"/>
      <c r="AI528" s="500"/>
      <c r="AJ528" s="2" t="str">
        <f t="shared" si="71"/>
        <v>Factura</v>
      </c>
      <c r="AK528" s="303"/>
    </row>
    <row r="529" spans="1:37" x14ac:dyDescent="0.25">
      <c r="A529" s="542" t="s">
        <v>1275</v>
      </c>
      <c r="B529" s="317" t="s">
        <v>2218</v>
      </c>
      <c r="C529" s="95">
        <v>3040</v>
      </c>
      <c r="D529" s="95">
        <v>0</v>
      </c>
      <c r="E529" s="95"/>
      <c r="F529" s="95"/>
      <c r="G529" s="95" t="s">
        <v>2528</v>
      </c>
      <c r="H529" s="138">
        <v>43500</v>
      </c>
      <c r="I529" s="138"/>
      <c r="J529" s="126">
        <f t="shared" si="64"/>
        <v>43500</v>
      </c>
      <c r="K529" s="318">
        <v>43819</v>
      </c>
      <c r="L529" s="95">
        <v>0</v>
      </c>
      <c r="M529" s="313">
        <f t="shared" si="65"/>
        <v>43819</v>
      </c>
      <c r="N529" s="2" t="str">
        <f t="shared" si="66"/>
        <v>Pagado</v>
      </c>
      <c r="O529" s="318">
        <v>43819</v>
      </c>
      <c r="P529" s="138">
        <v>43500</v>
      </c>
      <c r="Q529" s="2" t="s">
        <v>1481</v>
      </c>
      <c r="R529" s="2"/>
      <c r="S529" s="95"/>
      <c r="T529" s="313"/>
      <c r="U529" s="393"/>
      <c r="V529" s="95"/>
      <c r="W529" s="129"/>
      <c r="X529" s="318"/>
      <c r="Y529" s="95"/>
      <c r="Z529" s="131"/>
      <c r="AA529" s="108" t="str">
        <f t="shared" si="67"/>
        <v/>
      </c>
      <c r="AB529" s="2"/>
      <c r="AC529" s="131">
        <f t="shared" si="68"/>
        <v>36554.621848739494</v>
      </c>
      <c r="AD529" s="108">
        <f t="shared" si="69"/>
        <v>6945.3781512605055</v>
      </c>
      <c r="AE529" s="95" t="s">
        <v>1445</v>
      </c>
      <c r="AF529" s="541" t="s">
        <v>3490</v>
      </c>
      <c r="AG529" s="2" t="str">
        <f t="shared" si="70"/>
        <v>SI</v>
      </c>
      <c r="AH529" s="284"/>
      <c r="AI529" s="541"/>
      <c r="AJ529" s="2" t="str">
        <f t="shared" si="71"/>
        <v>Factura</v>
      </c>
      <c r="AK529" s="303"/>
    </row>
    <row r="530" spans="1:37" x14ac:dyDescent="0.25">
      <c r="A530" s="501" t="s">
        <v>4907</v>
      </c>
      <c r="B530" s="317" t="s">
        <v>4908</v>
      </c>
      <c r="C530" s="95">
        <v>3039</v>
      </c>
      <c r="D530" s="95">
        <v>0</v>
      </c>
      <c r="E530" s="95"/>
      <c r="F530" s="95"/>
      <c r="G530" s="95" t="s">
        <v>2528</v>
      </c>
      <c r="H530" s="138">
        <v>66640</v>
      </c>
      <c r="I530" s="138"/>
      <c r="J530" s="126">
        <f t="shared" si="64"/>
        <v>66640</v>
      </c>
      <c r="K530" s="318">
        <v>43819</v>
      </c>
      <c r="L530" s="95">
        <v>30</v>
      </c>
      <c r="M530" s="313">
        <f t="shared" si="65"/>
        <v>43849</v>
      </c>
      <c r="N530" s="2" t="str">
        <f t="shared" si="66"/>
        <v>Pagado</v>
      </c>
      <c r="O530" s="318">
        <v>43870</v>
      </c>
      <c r="P530" s="138">
        <v>66640</v>
      </c>
      <c r="Q530" s="2" t="s">
        <v>2131</v>
      </c>
      <c r="R530" s="2"/>
      <c r="S530" s="95">
        <v>997</v>
      </c>
      <c r="T530" s="313" t="s">
        <v>1494</v>
      </c>
      <c r="U530" s="393">
        <v>43849</v>
      </c>
      <c r="V530" s="95"/>
      <c r="W530" s="129"/>
      <c r="X530" s="318"/>
      <c r="Y530" s="95"/>
      <c r="Z530" s="131"/>
      <c r="AA530" s="108" t="str">
        <f t="shared" si="67"/>
        <v>Otros</v>
      </c>
      <c r="AB530" s="2"/>
      <c r="AC530" s="131">
        <f t="shared" si="68"/>
        <v>56000</v>
      </c>
      <c r="AD530" s="108">
        <f t="shared" si="69"/>
        <v>10640</v>
      </c>
      <c r="AE530" s="95" t="s">
        <v>1445</v>
      </c>
      <c r="AF530" s="500" t="s">
        <v>3490</v>
      </c>
      <c r="AG530" s="2" t="str">
        <f t="shared" si="70"/>
        <v>SI</v>
      </c>
      <c r="AH530" s="284"/>
      <c r="AI530" s="500"/>
      <c r="AJ530" s="2" t="str">
        <f t="shared" si="71"/>
        <v>Factura</v>
      </c>
      <c r="AK530" s="303"/>
    </row>
    <row r="531" spans="1:37" x14ac:dyDescent="0.25">
      <c r="A531" s="534" t="s">
        <v>2632</v>
      </c>
      <c r="B531" s="317" t="s">
        <v>2633</v>
      </c>
      <c r="C531" s="95">
        <v>0</v>
      </c>
      <c r="D531" s="95">
        <v>189</v>
      </c>
      <c r="E531" s="95"/>
      <c r="F531" s="95"/>
      <c r="G531" s="95">
        <v>6291</v>
      </c>
      <c r="H531" s="138">
        <v>45400</v>
      </c>
      <c r="I531" s="138"/>
      <c r="J531" s="126">
        <f t="shared" si="64"/>
        <v>45400</v>
      </c>
      <c r="K531" s="318">
        <v>43819</v>
      </c>
      <c r="L531" s="95">
        <v>0</v>
      </c>
      <c r="M531" s="313">
        <f t="shared" si="65"/>
        <v>43819</v>
      </c>
      <c r="N531" s="2" t="str">
        <f t="shared" si="66"/>
        <v>Pagado</v>
      </c>
      <c r="O531" s="318">
        <v>43819</v>
      </c>
      <c r="P531" s="138">
        <v>45400</v>
      </c>
      <c r="Q531" s="2" t="s">
        <v>1070</v>
      </c>
      <c r="R531" s="2" t="s">
        <v>1478</v>
      </c>
      <c r="S531" s="95">
        <v>189</v>
      </c>
      <c r="T531" s="313"/>
      <c r="U531" s="393"/>
      <c r="V531" s="95"/>
      <c r="W531" s="129"/>
      <c r="X531" s="318"/>
      <c r="Y531" s="95"/>
      <c r="Z531" s="131"/>
      <c r="AA531" s="108" t="str">
        <f t="shared" si="67"/>
        <v/>
      </c>
      <c r="AB531" s="2"/>
      <c r="AC531" s="131">
        <f t="shared" si="68"/>
        <v>38151.26050420168</v>
      </c>
      <c r="AD531" s="108">
        <f t="shared" si="69"/>
        <v>7248.7394957983197</v>
      </c>
      <c r="AE531" s="95" t="s">
        <v>1445</v>
      </c>
      <c r="AF531" s="533" t="s">
        <v>3487</v>
      </c>
      <c r="AG531" s="2" t="str">
        <f t="shared" si="70"/>
        <v>SI</v>
      </c>
      <c r="AH531" s="284"/>
      <c r="AI531" s="533"/>
      <c r="AJ531" s="2" t="str">
        <f t="shared" si="71"/>
        <v>NV</v>
      </c>
      <c r="AK531" s="303"/>
    </row>
    <row r="532" spans="1:37" x14ac:dyDescent="0.25">
      <c r="A532" s="501" t="s">
        <v>4203</v>
      </c>
      <c r="B532" s="317" t="s">
        <v>4204</v>
      </c>
      <c r="C532" s="95">
        <v>0</v>
      </c>
      <c r="D532" s="95">
        <v>2793</v>
      </c>
      <c r="E532" s="95"/>
      <c r="F532" s="95"/>
      <c r="G532" s="95">
        <v>6289</v>
      </c>
      <c r="H532" s="138">
        <v>23600</v>
      </c>
      <c r="I532" s="138"/>
      <c r="J532" s="126">
        <f t="shared" si="64"/>
        <v>23600</v>
      </c>
      <c r="K532" s="318">
        <v>43819</v>
      </c>
      <c r="L532" s="95">
        <v>0</v>
      </c>
      <c r="M532" s="313">
        <f t="shared" si="65"/>
        <v>43819</v>
      </c>
      <c r="N532" s="2" t="str">
        <f t="shared" ca="1" si="66"/>
        <v>Vencido</v>
      </c>
      <c r="O532" s="318"/>
      <c r="P532" s="138"/>
      <c r="Q532" s="2"/>
      <c r="R532" s="2"/>
      <c r="S532" s="95"/>
      <c r="T532" s="313"/>
      <c r="U532" s="393"/>
      <c r="V532" s="95"/>
      <c r="W532" s="129"/>
      <c r="X532" s="318"/>
      <c r="Y532" s="95"/>
      <c r="Z532" s="131"/>
      <c r="AA532" s="108" t="str">
        <f t="shared" si="67"/>
        <v/>
      </c>
      <c r="AB532" s="2"/>
      <c r="AC532" s="131">
        <f t="shared" si="68"/>
        <v>19831.932773109245</v>
      </c>
      <c r="AD532" s="108">
        <f t="shared" si="69"/>
        <v>3768.0672268907547</v>
      </c>
      <c r="AE532" s="95" t="s">
        <v>1445</v>
      </c>
      <c r="AF532" s="500" t="s">
        <v>3489</v>
      </c>
      <c r="AG532" s="2" t="str">
        <f t="shared" ca="1" si="70"/>
        <v>NO</v>
      </c>
      <c r="AH532" s="284"/>
      <c r="AI532" s="500"/>
      <c r="AJ532" s="2" t="str">
        <f t="shared" si="71"/>
        <v>NV</v>
      </c>
      <c r="AK532" s="303"/>
    </row>
    <row r="533" spans="1:37" x14ac:dyDescent="0.25">
      <c r="A533" s="501" t="s">
        <v>5402</v>
      </c>
      <c r="B533" s="317" t="s">
        <v>5403</v>
      </c>
      <c r="C533" s="95">
        <v>0</v>
      </c>
      <c r="D533" s="95">
        <v>2796</v>
      </c>
      <c r="E533" s="95"/>
      <c r="F533" s="95"/>
      <c r="G533" s="95">
        <v>6290</v>
      </c>
      <c r="H533" s="138">
        <v>19700</v>
      </c>
      <c r="I533" s="138"/>
      <c r="J533" s="126">
        <f t="shared" si="64"/>
        <v>19700</v>
      </c>
      <c r="K533" s="318">
        <v>43819</v>
      </c>
      <c r="L533" s="95">
        <v>0</v>
      </c>
      <c r="M533" s="313">
        <f t="shared" si="65"/>
        <v>43819</v>
      </c>
      <c r="N533" s="2" t="str">
        <f t="shared" si="66"/>
        <v>Pagado</v>
      </c>
      <c r="O533" s="318">
        <v>43819</v>
      </c>
      <c r="P533" s="138">
        <v>20000</v>
      </c>
      <c r="Q533" s="2" t="s">
        <v>1481</v>
      </c>
      <c r="R533" s="2"/>
      <c r="S533" s="95"/>
      <c r="T533" s="313"/>
      <c r="U533" s="393"/>
      <c r="V533" s="95"/>
      <c r="W533" s="129"/>
      <c r="X533" s="318"/>
      <c r="Y533" s="95"/>
      <c r="Z533" s="131"/>
      <c r="AA533" s="108" t="str">
        <f t="shared" si="67"/>
        <v/>
      </c>
      <c r="AB533" s="2"/>
      <c r="AC533" s="131">
        <f t="shared" si="68"/>
        <v>16554.621848739498</v>
      </c>
      <c r="AD533" s="108">
        <f t="shared" si="69"/>
        <v>3145.3781512605019</v>
      </c>
      <c r="AE533" s="95" t="s">
        <v>1501</v>
      </c>
      <c r="AF533" s="500" t="s">
        <v>3489</v>
      </c>
      <c r="AG533" s="2" t="str">
        <f t="shared" si="70"/>
        <v>SI</v>
      </c>
      <c r="AH533" s="284"/>
      <c r="AI533" s="500"/>
      <c r="AJ533" s="2" t="str">
        <f t="shared" si="71"/>
        <v>NV</v>
      </c>
      <c r="AK533" s="303"/>
    </row>
    <row r="534" spans="1:37" x14ac:dyDescent="0.25">
      <c r="A534" s="499" t="s">
        <v>1258</v>
      </c>
      <c r="B534" s="317" t="s">
        <v>1059</v>
      </c>
      <c r="C534" s="95">
        <v>0</v>
      </c>
      <c r="D534" s="95">
        <v>2795</v>
      </c>
      <c r="E534" s="95"/>
      <c r="F534" s="95"/>
      <c r="G534" s="95">
        <v>6293</v>
      </c>
      <c r="H534" s="138">
        <v>69000</v>
      </c>
      <c r="I534" s="138"/>
      <c r="J534" s="126">
        <f t="shared" si="64"/>
        <v>69000</v>
      </c>
      <c r="K534" s="318">
        <v>43819</v>
      </c>
      <c r="L534" s="95">
        <v>0</v>
      </c>
      <c r="M534" s="313">
        <f t="shared" si="65"/>
        <v>43819</v>
      </c>
      <c r="N534" s="2" t="str">
        <f t="shared" si="66"/>
        <v>Pagado</v>
      </c>
      <c r="O534" s="318">
        <v>43819</v>
      </c>
      <c r="P534" s="138">
        <v>69000</v>
      </c>
      <c r="Q534" s="2" t="s">
        <v>1484</v>
      </c>
      <c r="R534" s="2"/>
      <c r="S534" s="95"/>
      <c r="T534" s="313" t="s">
        <v>1491</v>
      </c>
      <c r="U534" s="393"/>
      <c r="V534" s="95"/>
      <c r="W534" s="129"/>
      <c r="X534" s="318"/>
      <c r="Y534" s="95"/>
      <c r="Z534" s="131"/>
      <c r="AA534" s="108" t="str">
        <f t="shared" si="67"/>
        <v/>
      </c>
      <c r="AB534" s="2"/>
      <c r="AC534" s="131">
        <f t="shared" si="68"/>
        <v>57983.193277310929</v>
      </c>
      <c r="AD534" s="108">
        <f t="shared" si="69"/>
        <v>11016.806722689071</v>
      </c>
      <c r="AE534" s="95" t="s">
        <v>1501</v>
      </c>
      <c r="AF534" s="498" t="s">
        <v>3487</v>
      </c>
      <c r="AG534" s="2" t="str">
        <f t="shared" si="70"/>
        <v>SI</v>
      </c>
      <c r="AH534" s="284"/>
      <c r="AI534" s="498"/>
      <c r="AJ534" s="2" t="str">
        <f t="shared" si="71"/>
        <v>NV</v>
      </c>
      <c r="AK534" s="303"/>
    </row>
    <row r="535" spans="1:37" x14ac:dyDescent="0.25">
      <c r="A535" s="499" t="s">
        <v>5273</v>
      </c>
      <c r="B535" s="317" t="s">
        <v>5274</v>
      </c>
      <c r="C535" s="95">
        <v>0</v>
      </c>
      <c r="D535" s="95">
        <v>0</v>
      </c>
      <c r="E535" s="95"/>
      <c r="F535" s="95"/>
      <c r="G535" s="95">
        <v>6292</v>
      </c>
      <c r="H535" s="138">
        <v>19700</v>
      </c>
      <c r="I535" s="138"/>
      <c r="J535" s="126">
        <f t="shared" si="64"/>
        <v>19700</v>
      </c>
      <c r="K535" s="318">
        <v>43819</v>
      </c>
      <c r="L535" s="95">
        <v>0</v>
      </c>
      <c r="M535" s="313">
        <f t="shared" si="65"/>
        <v>43819</v>
      </c>
      <c r="N535" s="2" t="str">
        <f t="shared" si="66"/>
        <v>Pagado</v>
      </c>
      <c r="O535" s="318">
        <v>43819</v>
      </c>
      <c r="P535" s="138">
        <v>19700</v>
      </c>
      <c r="Q535" s="2" t="s">
        <v>1484</v>
      </c>
      <c r="R535" s="2"/>
      <c r="S535" s="95"/>
      <c r="T535" s="313" t="s">
        <v>1462</v>
      </c>
      <c r="U535" s="393"/>
      <c r="V535" s="95"/>
      <c r="W535" s="129"/>
      <c r="X535" s="318"/>
      <c r="Y535" s="95"/>
      <c r="Z535" s="131"/>
      <c r="AA535" s="108" t="str">
        <f t="shared" si="67"/>
        <v/>
      </c>
      <c r="AB535" s="2"/>
      <c r="AC535" s="131">
        <f t="shared" si="68"/>
        <v>16554.621848739498</v>
      </c>
      <c r="AD535" s="108">
        <f t="shared" si="69"/>
        <v>3145.3781512605019</v>
      </c>
      <c r="AE535" s="95" t="s">
        <v>1501</v>
      </c>
      <c r="AF535" s="498" t="s">
        <v>3487</v>
      </c>
      <c r="AG535" s="2" t="str">
        <f t="shared" si="70"/>
        <v>SI</v>
      </c>
      <c r="AH535" s="284"/>
      <c r="AI535" s="498"/>
      <c r="AJ535" s="2" t="str">
        <f t="shared" si="71"/>
        <v>NV</v>
      </c>
      <c r="AK535" s="303"/>
    </row>
    <row r="536" spans="1:37" x14ac:dyDescent="0.25">
      <c r="A536" s="534" t="s">
        <v>1282</v>
      </c>
      <c r="B536" s="317" t="s">
        <v>2389</v>
      </c>
      <c r="C536" s="95">
        <v>3037</v>
      </c>
      <c r="D536" s="95">
        <v>0</v>
      </c>
      <c r="E536" s="95"/>
      <c r="F536" s="95"/>
      <c r="G536" s="95" t="s">
        <v>2528</v>
      </c>
      <c r="H536" s="138">
        <v>61543</v>
      </c>
      <c r="I536" s="138"/>
      <c r="J536" s="126">
        <f t="shared" si="64"/>
        <v>61543</v>
      </c>
      <c r="K536" s="318">
        <v>43819</v>
      </c>
      <c r="L536" s="95">
        <v>0</v>
      </c>
      <c r="M536" s="313">
        <f t="shared" si="65"/>
        <v>43819</v>
      </c>
      <c r="N536" s="2" t="str">
        <f t="shared" si="66"/>
        <v>Pagado</v>
      </c>
      <c r="O536" s="318">
        <v>43819</v>
      </c>
      <c r="P536" s="138">
        <v>61543</v>
      </c>
      <c r="Q536" s="2" t="s">
        <v>1481</v>
      </c>
      <c r="R536" s="2"/>
      <c r="S536" s="95"/>
      <c r="T536" s="313"/>
      <c r="U536" s="393"/>
      <c r="V536" s="95"/>
      <c r="W536" s="129"/>
      <c r="X536" s="318"/>
      <c r="Y536" s="95"/>
      <c r="Z536" s="131"/>
      <c r="AA536" s="108" t="str">
        <f t="shared" si="67"/>
        <v/>
      </c>
      <c r="AB536" s="2"/>
      <c r="AC536" s="131">
        <f t="shared" si="68"/>
        <v>51716.806722689078</v>
      </c>
      <c r="AD536" s="108">
        <f t="shared" si="69"/>
        <v>9826.193277310922</v>
      </c>
      <c r="AE536" s="95" t="s">
        <v>1445</v>
      </c>
      <c r="AF536" s="533" t="s">
        <v>3490</v>
      </c>
      <c r="AG536" s="2" t="str">
        <f t="shared" si="70"/>
        <v>SI</v>
      </c>
      <c r="AH536" s="284"/>
      <c r="AI536" s="533"/>
      <c r="AJ536" s="2" t="str">
        <f t="shared" si="71"/>
        <v>Factura</v>
      </c>
      <c r="AK536" s="303"/>
    </row>
    <row r="537" spans="1:37" x14ac:dyDescent="0.25">
      <c r="A537" s="534" t="s">
        <v>1282</v>
      </c>
      <c r="B537" s="317" t="s">
        <v>2389</v>
      </c>
      <c r="C537" s="95">
        <v>3038</v>
      </c>
      <c r="D537" s="95">
        <v>0</v>
      </c>
      <c r="E537" s="95"/>
      <c r="F537" s="95"/>
      <c r="G537" s="95" t="s">
        <v>2528</v>
      </c>
      <c r="H537" s="138">
        <v>335947</v>
      </c>
      <c r="I537" s="138"/>
      <c r="J537" s="126">
        <f t="shared" si="64"/>
        <v>335947</v>
      </c>
      <c r="K537" s="318">
        <v>43819</v>
      </c>
      <c r="L537" s="95">
        <v>0</v>
      </c>
      <c r="M537" s="313">
        <f t="shared" si="65"/>
        <v>43819</v>
      </c>
      <c r="N537" s="2" t="str">
        <f t="shared" si="66"/>
        <v>Pagado</v>
      </c>
      <c r="O537" s="318">
        <v>43819</v>
      </c>
      <c r="P537" s="138">
        <v>335947</v>
      </c>
      <c r="Q537" s="2" t="s">
        <v>1481</v>
      </c>
      <c r="R537" s="2"/>
      <c r="S537" s="95"/>
      <c r="T537" s="313"/>
      <c r="U537" s="393"/>
      <c r="V537" s="95"/>
      <c r="W537" s="129"/>
      <c r="X537" s="318"/>
      <c r="Y537" s="95"/>
      <c r="Z537" s="131"/>
      <c r="AA537" s="108" t="str">
        <f t="shared" si="67"/>
        <v/>
      </c>
      <c r="AB537" s="2"/>
      <c r="AC537" s="131">
        <f t="shared" si="68"/>
        <v>282308.40336134454</v>
      </c>
      <c r="AD537" s="108">
        <f t="shared" si="69"/>
        <v>53638.596638655465</v>
      </c>
      <c r="AE537" s="95" t="s">
        <v>1445</v>
      </c>
      <c r="AF537" s="533" t="s">
        <v>3490</v>
      </c>
      <c r="AG537" s="2" t="str">
        <f t="shared" si="70"/>
        <v>SI</v>
      </c>
      <c r="AH537" s="284"/>
      <c r="AI537" s="533"/>
      <c r="AJ537" s="2" t="str">
        <f t="shared" si="71"/>
        <v>Factura</v>
      </c>
      <c r="AK537" s="303"/>
    </row>
    <row r="538" spans="1:37" x14ac:dyDescent="0.25">
      <c r="A538" s="501" t="s">
        <v>5210</v>
      </c>
      <c r="B538" s="317" t="s">
        <v>5211</v>
      </c>
      <c r="C538" s="95">
        <v>0</v>
      </c>
      <c r="D538" s="95">
        <v>2797</v>
      </c>
      <c r="E538" s="95"/>
      <c r="F538" s="95"/>
      <c r="G538" s="95">
        <v>6295</v>
      </c>
      <c r="H538" s="138">
        <v>15200</v>
      </c>
      <c r="I538" s="138"/>
      <c r="J538" s="126">
        <f t="shared" si="64"/>
        <v>15200</v>
      </c>
      <c r="K538" s="318">
        <v>43820</v>
      </c>
      <c r="L538" s="95">
        <v>0</v>
      </c>
      <c r="M538" s="313">
        <f t="shared" si="65"/>
        <v>43820</v>
      </c>
      <c r="N538" s="2" t="str">
        <f t="shared" si="66"/>
        <v>Pagado</v>
      </c>
      <c r="O538" s="318">
        <v>43820</v>
      </c>
      <c r="P538" s="138">
        <v>15200</v>
      </c>
      <c r="Q538" s="2" t="s">
        <v>1484</v>
      </c>
      <c r="R538" s="2"/>
      <c r="S538" s="95"/>
      <c r="T538" s="313" t="s">
        <v>1488</v>
      </c>
      <c r="U538" s="393"/>
      <c r="V538" s="95"/>
      <c r="W538" s="129"/>
      <c r="X538" s="318"/>
      <c r="Y538" s="95"/>
      <c r="Z538" s="131"/>
      <c r="AA538" s="108" t="str">
        <f t="shared" si="67"/>
        <v/>
      </c>
      <c r="AB538" s="2"/>
      <c r="AC538" s="131">
        <f t="shared" si="68"/>
        <v>12773.10924369748</v>
      </c>
      <c r="AD538" s="108">
        <f t="shared" si="69"/>
        <v>2426.8907563025205</v>
      </c>
      <c r="AE538" s="95" t="s">
        <v>1501</v>
      </c>
      <c r="AF538" s="500" t="s">
        <v>3487</v>
      </c>
      <c r="AG538" s="2" t="str">
        <f t="shared" si="70"/>
        <v>SI</v>
      </c>
      <c r="AH538" s="284"/>
      <c r="AI538" s="500"/>
      <c r="AJ538" s="2" t="str">
        <f t="shared" si="71"/>
        <v>NV</v>
      </c>
      <c r="AK538" s="303"/>
    </row>
    <row r="539" spans="1:37" x14ac:dyDescent="0.25">
      <c r="A539" s="542" t="s">
        <v>1175</v>
      </c>
      <c r="B539" s="317" t="s">
        <v>1144</v>
      </c>
      <c r="C539" s="95">
        <v>3041</v>
      </c>
      <c r="D539" s="95">
        <v>0</v>
      </c>
      <c r="E539" s="95"/>
      <c r="F539" s="95"/>
      <c r="G539" s="95" t="s">
        <v>2528</v>
      </c>
      <c r="H539" s="138">
        <v>477000</v>
      </c>
      <c r="I539" s="138"/>
      <c r="J539" s="126">
        <f t="shared" si="64"/>
        <v>477000</v>
      </c>
      <c r="K539" s="318">
        <v>43820</v>
      </c>
      <c r="L539" s="95">
        <v>30</v>
      </c>
      <c r="M539" s="313">
        <f t="shared" si="65"/>
        <v>43850</v>
      </c>
      <c r="N539" s="2" t="str">
        <f t="shared" si="66"/>
        <v>Pagado</v>
      </c>
      <c r="O539" s="318">
        <v>43859</v>
      </c>
      <c r="P539" s="138">
        <v>477000</v>
      </c>
      <c r="Q539" s="2" t="s">
        <v>1484</v>
      </c>
      <c r="R539" s="2"/>
      <c r="S539" s="95"/>
      <c r="T539" s="313" t="s">
        <v>1496</v>
      </c>
      <c r="U539" s="393"/>
      <c r="V539" s="95"/>
      <c r="W539" s="129"/>
      <c r="X539" s="318"/>
      <c r="Y539" s="95"/>
      <c r="Z539" s="131"/>
      <c r="AA539" s="108" t="str">
        <f t="shared" si="67"/>
        <v/>
      </c>
      <c r="AB539" s="2"/>
      <c r="AC539" s="131">
        <f t="shared" si="68"/>
        <v>400840.33613445383</v>
      </c>
      <c r="AD539" s="108">
        <f t="shared" si="69"/>
        <v>76159.663865546172</v>
      </c>
      <c r="AE539" s="95" t="s">
        <v>2050</v>
      </c>
      <c r="AF539" s="541" t="s">
        <v>3490</v>
      </c>
      <c r="AG539" s="2" t="str">
        <f t="shared" si="70"/>
        <v>SI</v>
      </c>
      <c r="AH539" s="284"/>
      <c r="AI539" s="541"/>
      <c r="AJ539" s="2" t="str">
        <f t="shared" si="71"/>
        <v>Factura</v>
      </c>
      <c r="AK539" s="303"/>
    </row>
    <row r="540" spans="1:37" x14ac:dyDescent="0.25">
      <c r="A540" s="534" t="s">
        <v>2226</v>
      </c>
      <c r="B540" s="317" t="s">
        <v>2227</v>
      </c>
      <c r="C540" s="95">
        <v>0</v>
      </c>
      <c r="D540" s="95">
        <v>190</v>
      </c>
      <c r="E540" s="95"/>
      <c r="F540" s="95"/>
      <c r="G540" s="95">
        <v>6294</v>
      </c>
      <c r="H540" s="138">
        <v>34300</v>
      </c>
      <c r="I540" s="138"/>
      <c r="J540" s="126">
        <f t="shared" si="64"/>
        <v>34300</v>
      </c>
      <c r="K540" s="318">
        <v>43820</v>
      </c>
      <c r="L540" s="95">
        <v>0</v>
      </c>
      <c r="M540" s="313">
        <f t="shared" si="65"/>
        <v>43820</v>
      </c>
      <c r="N540" s="2" t="str">
        <f t="shared" si="66"/>
        <v>Pagado</v>
      </c>
      <c r="O540" s="318">
        <v>43820</v>
      </c>
      <c r="P540" s="138">
        <v>34500</v>
      </c>
      <c r="Q540" s="2" t="s">
        <v>1070</v>
      </c>
      <c r="R540" s="2" t="s">
        <v>2243</v>
      </c>
      <c r="S540" s="95">
        <v>190</v>
      </c>
      <c r="T540" s="313"/>
      <c r="U540" s="393"/>
      <c r="V540" s="95"/>
      <c r="W540" s="129"/>
      <c r="X540" s="318"/>
      <c r="Y540" s="95"/>
      <c r="Z540" s="131"/>
      <c r="AA540" s="108" t="str">
        <f t="shared" si="67"/>
        <v/>
      </c>
      <c r="AB540" s="2"/>
      <c r="AC540" s="131">
        <f t="shared" si="68"/>
        <v>28823.529411764706</v>
      </c>
      <c r="AD540" s="108">
        <f t="shared" si="69"/>
        <v>5476.4705882352937</v>
      </c>
      <c r="AE540" s="95" t="s">
        <v>1501</v>
      </c>
      <c r="AF540" s="533" t="s">
        <v>3487</v>
      </c>
      <c r="AG540" s="2" t="str">
        <f t="shared" si="70"/>
        <v>SI</v>
      </c>
      <c r="AH540" s="284"/>
      <c r="AI540" s="533"/>
      <c r="AJ540" s="2" t="str">
        <f t="shared" si="71"/>
        <v>NV</v>
      </c>
      <c r="AK540" s="303"/>
    </row>
    <row r="541" spans="1:37" x14ac:dyDescent="0.25">
      <c r="A541" s="542" t="s">
        <v>5538</v>
      </c>
      <c r="B541" s="317" t="s">
        <v>5539</v>
      </c>
      <c r="C541" s="95">
        <v>0</v>
      </c>
      <c r="D541" s="95">
        <v>2800</v>
      </c>
      <c r="E541" s="95"/>
      <c r="F541" s="95"/>
      <c r="G541" s="95">
        <v>6303</v>
      </c>
      <c r="H541" s="138">
        <v>16500</v>
      </c>
      <c r="I541" s="138"/>
      <c r="J541" s="126">
        <f t="shared" si="64"/>
        <v>16500</v>
      </c>
      <c r="K541" s="318">
        <v>43822</v>
      </c>
      <c r="L541" s="95">
        <v>0</v>
      </c>
      <c r="M541" s="313">
        <f t="shared" si="65"/>
        <v>43822</v>
      </c>
      <c r="N541" s="2" t="str">
        <f t="shared" si="66"/>
        <v>Pagado</v>
      </c>
      <c r="O541" s="318">
        <v>43822</v>
      </c>
      <c r="P541" s="138">
        <v>16500</v>
      </c>
      <c r="Q541" s="2" t="s">
        <v>1484</v>
      </c>
      <c r="R541" s="2"/>
      <c r="S541" s="95"/>
      <c r="T541" s="313" t="s">
        <v>1488</v>
      </c>
      <c r="U541" s="393"/>
      <c r="V541" s="95"/>
      <c r="W541" s="129"/>
      <c r="X541" s="318"/>
      <c r="Y541" s="95"/>
      <c r="Z541" s="131"/>
      <c r="AA541" s="108" t="str">
        <f t="shared" si="67"/>
        <v/>
      </c>
      <c r="AB541" s="2"/>
      <c r="AC541" s="131">
        <f t="shared" si="68"/>
        <v>13865.546218487396</v>
      </c>
      <c r="AD541" s="108">
        <f t="shared" si="69"/>
        <v>2634.4537815126041</v>
      </c>
      <c r="AE541" s="95" t="s">
        <v>1501</v>
      </c>
      <c r="AF541" s="541" t="s">
        <v>3487</v>
      </c>
      <c r="AG541" s="2" t="str">
        <f t="shared" si="70"/>
        <v>SI</v>
      </c>
      <c r="AH541" s="284"/>
      <c r="AI541" s="541"/>
      <c r="AJ541" s="2" t="str">
        <f t="shared" si="71"/>
        <v>NV</v>
      </c>
      <c r="AK541" s="303"/>
    </row>
    <row r="542" spans="1:37" x14ac:dyDescent="0.25">
      <c r="A542" s="542" t="s">
        <v>3673</v>
      </c>
      <c r="B542" s="317" t="s">
        <v>3674</v>
      </c>
      <c r="C542" s="95">
        <v>0</v>
      </c>
      <c r="D542" s="95">
        <v>2798</v>
      </c>
      <c r="E542" s="95"/>
      <c r="F542" s="95"/>
      <c r="G542" s="95">
        <v>6296</v>
      </c>
      <c r="H542" s="138">
        <v>19700</v>
      </c>
      <c r="I542" s="138"/>
      <c r="J542" s="126">
        <f t="shared" si="64"/>
        <v>19700</v>
      </c>
      <c r="K542" s="318">
        <v>43822</v>
      </c>
      <c r="L542" s="95">
        <v>0</v>
      </c>
      <c r="M542" s="313">
        <f t="shared" si="65"/>
        <v>43822</v>
      </c>
      <c r="N542" s="2" t="str">
        <f t="shared" ca="1" si="66"/>
        <v>Vencido</v>
      </c>
      <c r="O542" s="318"/>
      <c r="P542" s="138"/>
      <c r="Q542" s="2"/>
      <c r="R542" s="2"/>
      <c r="S542" s="95"/>
      <c r="T542" s="313"/>
      <c r="U542" s="393"/>
      <c r="V542" s="95"/>
      <c r="W542" s="129"/>
      <c r="X542" s="318"/>
      <c r="Y542" s="95"/>
      <c r="Z542" s="131"/>
      <c r="AA542" s="108" t="str">
        <f t="shared" si="67"/>
        <v/>
      </c>
      <c r="AB542" s="2"/>
      <c r="AC542" s="131">
        <f t="shared" si="68"/>
        <v>16554.621848739498</v>
      </c>
      <c r="AD542" s="108">
        <f t="shared" si="69"/>
        <v>3145.3781512605019</v>
      </c>
      <c r="AE542" s="95" t="s">
        <v>1501</v>
      </c>
      <c r="AF542" s="541" t="s">
        <v>3489</v>
      </c>
      <c r="AG542" s="2" t="str">
        <f t="shared" ca="1" si="70"/>
        <v>NO</v>
      </c>
      <c r="AH542" s="284"/>
      <c r="AI542" s="541"/>
      <c r="AJ542" s="2" t="str">
        <f t="shared" si="71"/>
        <v>NV</v>
      </c>
      <c r="AK542" s="303"/>
    </row>
    <row r="543" spans="1:37" x14ac:dyDescent="0.25">
      <c r="A543" s="542" t="s">
        <v>1236</v>
      </c>
      <c r="B543" s="317" t="s">
        <v>1920</v>
      </c>
      <c r="C543" s="95">
        <v>0</v>
      </c>
      <c r="D543" s="95">
        <v>2799</v>
      </c>
      <c r="E543" s="95"/>
      <c r="F543" s="95"/>
      <c r="G543" s="95">
        <v>6301</v>
      </c>
      <c r="H543" s="138">
        <v>27050</v>
      </c>
      <c r="I543" s="138"/>
      <c r="J543" s="126">
        <f t="shared" si="64"/>
        <v>27050</v>
      </c>
      <c r="K543" s="318">
        <v>43822</v>
      </c>
      <c r="L543" s="95">
        <v>0</v>
      </c>
      <c r="M543" s="313">
        <f t="shared" si="65"/>
        <v>43822</v>
      </c>
      <c r="N543" s="2" t="str">
        <f t="shared" si="66"/>
        <v>Pagado</v>
      </c>
      <c r="O543" s="318">
        <v>43836</v>
      </c>
      <c r="P543" s="138">
        <v>27050</v>
      </c>
      <c r="Q543" s="2" t="s">
        <v>2131</v>
      </c>
      <c r="R543" s="2"/>
      <c r="S543" s="95">
        <v>2827043</v>
      </c>
      <c r="T543" s="313" t="s">
        <v>1491</v>
      </c>
      <c r="U543" s="393"/>
      <c r="V543" s="95">
        <v>2719733</v>
      </c>
      <c r="W543" s="129">
        <v>27050</v>
      </c>
      <c r="X543" s="318">
        <v>43836</v>
      </c>
      <c r="Y543" s="95" t="s">
        <v>1488</v>
      </c>
      <c r="Z543" s="131"/>
      <c r="AA543" s="108" t="str">
        <f t="shared" si="67"/>
        <v>Otros</v>
      </c>
      <c r="AB543" s="2"/>
      <c r="AC543" s="131">
        <f t="shared" si="68"/>
        <v>22731.092436974792</v>
      </c>
      <c r="AD543" s="108">
        <f t="shared" si="69"/>
        <v>4318.9075630252082</v>
      </c>
      <c r="AE543" s="95" t="s">
        <v>1501</v>
      </c>
      <c r="AF543" s="541" t="s">
        <v>3489</v>
      </c>
      <c r="AG543" s="2" t="str">
        <f t="shared" si="70"/>
        <v>SI</v>
      </c>
      <c r="AH543" s="284"/>
      <c r="AI543" s="541"/>
      <c r="AJ543" s="2" t="str">
        <f t="shared" si="71"/>
        <v>NV</v>
      </c>
      <c r="AK543" s="303"/>
    </row>
    <row r="544" spans="1:37" x14ac:dyDescent="0.25">
      <c r="A544" s="499" t="s">
        <v>1200</v>
      </c>
      <c r="B544" s="317" t="s">
        <v>2316</v>
      </c>
      <c r="C544" s="95">
        <v>0</v>
      </c>
      <c r="D544" s="95">
        <v>0</v>
      </c>
      <c r="E544" s="95"/>
      <c r="F544" s="95"/>
      <c r="G544" s="95">
        <v>6305</v>
      </c>
      <c r="H544" s="138">
        <v>34300</v>
      </c>
      <c r="I544" s="138"/>
      <c r="J544" s="126">
        <f t="shared" si="64"/>
        <v>34300</v>
      </c>
      <c r="K544" s="318">
        <v>43822</v>
      </c>
      <c r="L544" s="95">
        <v>0</v>
      </c>
      <c r="M544" s="313">
        <f t="shared" si="65"/>
        <v>43822</v>
      </c>
      <c r="N544" s="2" t="str">
        <f t="shared" si="66"/>
        <v>Pagado</v>
      </c>
      <c r="O544" s="318">
        <v>43862</v>
      </c>
      <c r="P544" s="138">
        <v>34300</v>
      </c>
      <c r="Q544" s="2" t="s">
        <v>1484</v>
      </c>
      <c r="R544" s="2"/>
      <c r="S544" s="95"/>
      <c r="T544" s="313" t="s">
        <v>1493</v>
      </c>
      <c r="U544" s="393"/>
      <c r="V544" s="95"/>
      <c r="W544" s="129"/>
      <c r="X544" s="318"/>
      <c r="Y544" s="95"/>
      <c r="Z544" s="131"/>
      <c r="AA544" s="108" t="str">
        <f t="shared" si="67"/>
        <v/>
      </c>
      <c r="AB544" s="2"/>
      <c r="AC544" s="131">
        <f t="shared" si="68"/>
        <v>28823.529411764706</v>
      </c>
      <c r="AD544" s="108">
        <f t="shared" si="69"/>
        <v>5476.4705882352937</v>
      </c>
      <c r="AE544" s="95" t="s">
        <v>1445</v>
      </c>
      <c r="AF544" s="498" t="s">
        <v>3489</v>
      </c>
      <c r="AG544" s="2" t="str">
        <f t="shared" si="70"/>
        <v>SI</v>
      </c>
      <c r="AH544" s="284"/>
      <c r="AI544" s="498"/>
      <c r="AJ544" s="2" t="str">
        <f t="shared" si="71"/>
        <v>NV</v>
      </c>
      <c r="AK544" s="303"/>
    </row>
    <row r="545" spans="1:37" x14ac:dyDescent="0.25">
      <c r="A545" s="499" t="s">
        <v>1301</v>
      </c>
      <c r="B545" s="317" t="s">
        <v>968</v>
      </c>
      <c r="C545" s="95">
        <v>0</v>
      </c>
      <c r="D545" s="95">
        <v>2804</v>
      </c>
      <c r="E545" s="95"/>
      <c r="F545" s="95"/>
      <c r="G545" s="95">
        <v>6300</v>
      </c>
      <c r="H545" s="138">
        <v>29600</v>
      </c>
      <c r="I545" s="138"/>
      <c r="J545" s="126">
        <f t="shared" si="64"/>
        <v>29600</v>
      </c>
      <c r="K545" s="318">
        <v>43822</v>
      </c>
      <c r="L545" s="95">
        <v>0</v>
      </c>
      <c r="M545" s="313">
        <f t="shared" si="65"/>
        <v>43822</v>
      </c>
      <c r="N545" s="2" t="str">
        <f t="shared" si="66"/>
        <v>Pagado</v>
      </c>
      <c r="O545" s="318">
        <v>43847</v>
      </c>
      <c r="P545" s="138">
        <v>29600</v>
      </c>
      <c r="Q545" s="2" t="s">
        <v>1483</v>
      </c>
      <c r="R545" s="2"/>
      <c r="S545" s="95"/>
      <c r="T545" s="313" t="s">
        <v>1496</v>
      </c>
      <c r="U545" s="393"/>
      <c r="V545" s="95"/>
      <c r="W545" s="129"/>
      <c r="X545" s="318"/>
      <c r="Y545" s="95"/>
      <c r="Z545" s="131"/>
      <c r="AA545" s="108" t="str">
        <f t="shared" si="67"/>
        <v/>
      </c>
      <c r="AB545" s="2"/>
      <c r="AC545" s="131">
        <f t="shared" si="68"/>
        <v>24873.949579831933</v>
      </c>
      <c r="AD545" s="108">
        <f t="shared" si="69"/>
        <v>4726.0504201680669</v>
      </c>
      <c r="AE545" s="95" t="s">
        <v>1501</v>
      </c>
      <c r="AF545" s="498" t="s">
        <v>3489</v>
      </c>
      <c r="AG545" s="2" t="str">
        <f t="shared" si="70"/>
        <v>SI</v>
      </c>
      <c r="AH545" s="284"/>
      <c r="AI545" s="498"/>
      <c r="AJ545" s="2" t="str">
        <f t="shared" si="71"/>
        <v>NV</v>
      </c>
      <c r="AK545" s="303"/>
    </row>
    <row r="546" spans="1:37" x14ac:dyDescent="0.25">
      <c r="A546" s="534" t="s">
        <v>1250</v>
      </c>
      <c r="B546" s="317" t="s">
        <v>3398</v>
      </c>
      <c r="C546" s="95">
        <v>0</v>
      </c>
      <c r="D546" s="95">
        <v>2801</v>
      </c>
      <c r="E546" s="95"/>
      <c r="F546" s="95"/>
      <c r="G546" s="95">
        <v>6306</v>
      </c>
      <c r="H546" s="138">
        <v>19800</v>
      </c>
      <c r="I546" s="138"/>
      <c r="J546" s="126">
        <f t="shared" si="64"/>
        <v>19800</v>
      </c>
      <c r="K546" s="318">
        <v>43822</v>
      </c>
      <c r="L546" s="95">
        <v>0</v>
      </c>
      <c r="M546" s="313">
        <f t="shared" si="65"/>
        <v>43822</v>
      </c>
      <c r="N546" s="2" t="str">
        <f t="shared" si="66"/>
        <v>Pagado</v>
      </c>
      <c r="O546" s="318">
        <v>43822</v>
      </c>
      <c r="P546" s="138">
        <v>19800</v>
      </c>
      <c r="Q546" s="2" t="s">
        <v>1481</v>
      </c>
      <c r="R546" s="2"/>
      <c r="S546" s="95"/>
      <c r="T546" s="313"/>
      <c r="U546" s="393"/>
      <c r="V546" s="95"/>
      <c r="W546" s="129"/>
      <c r="X546" s="318"/>
      <c r="Y546" s="95"/>
      <c r="Z546" s="131"/>
      <c r="AA546" s="108" t="str">
        <f t="shared" si="67"/>
        <v/>
      </c>
      <c r="AB546" s="2"/>
      <c r="AC546" s="131">
        <f t="shared" si="68"/>
        <v>16638.655462184874</v>
      </c>
      <c r="AD546" s="108">
        <f t="shared" si="69"/>
        <v>3161.3445378151264</v>
      </c>
      <c r="AE546" s="95" t="s">
        <v>1501</v>
      </c>
      <c r="AF546" s="533" t="s">
        <v>3489</v>
      </c>
      <c r="AG546" s="2" t="str">
        <f t="shared" si="70"/>
        <v>SI</v>
      </c>
      <c r="AH546" s="284"/>
      <c r="AI546" s="533"/>
      <c r="AJ546" s="2" t="str">
        <f t="shared" si="71"/>
        <v>NV</v>
      </c>
      <c r="AK546" s="303"/>
    </row>
    <row r="547" spans="1:37" x14ac:dyDescent="0.25">
      <c r="A547" s="499" t="s">
        <v>4800</v>
      </c>
      <c r="B547" s="317" t="s">
        <v>4801</v>
      </c>
      <c r="C547" s="95">
        <v>0</v>
      </c>
      <c r="D547" s="95">
        <v>2802</v>
      </c>
      <c r="E547" s="95"/>
      <c r="F547" s="95"/>
      <c r="G547" s="95">
        <v>6298</v>
      </c>
      <c r="H547" s="138">
        <v>142000</v>
      </c>
      <c r="I547" s="138"/>
      <c r="J547" s="126">
        <f t="shared" si="64"/>
        <v>142000</v>
      </c>
      <c r="K547" s="318">
        <v>43822</v>
      </c>
      <c r="L547" s="95">
        <v>0</v>
      </c>
      <c r="M547" s="313">
        <f t="shared" si="65"/>
        <v>43822</v>
      </c>
      <c r="N547" s="2" t="str">
        <f t="shared" ca="1" si="66"/>
        <v>Vencido</v>
      </c>
      <c r="O547" s="318"/>
      <c r="P547" s="138"/>
      <c r="Q547" s="2"/>
      <c r="R547" s="2"/>
      <c r="S547" s="95"/>
      <c r="T547" s="313"/>
      <c r="U547" s="393"/>
      <c r="V547" s="95"/>
      <c r="W547" s="129"/>
      <c r="X547" s="318"/>
      <c r="Y547" s="95"/>
      <c r="Z547" s="131"/>
      <c r="AA547" s="108" t="str">
        <f t="shared" si="67"/>
        <v/>
      </c>
      <c r="AB547" s="2"/>
      <c r="AC547" s="131">
        <f t="shared" si="68"/>
        <v>119327.73109243698</v>
      </c>
      <c r="AD547" s="108">
        <f t="shared" si="69"/>
        <v>22672.268907563019</v>
      </c>
      <c r="AE547" s="95" t="s">
        <v>1501</v>
      </c>
      <c r="AF547" s="498" t="s">
        <v>4803</v>
      </c>
      <c r="AG547" s="2" t="str">
        <f t="shared" ca="1" si="70"/>
        <v>NO</v>
      </c>
      <c r="AH547" s="284"/>
      <c r="AI547" s="498"/>
      <c r="AJ547" s="2" t="str">
        <f t="shared" si="71"/>
        <v>NV</v>
      </c>
      <c r="AK547" s="303"/>
    </row>
    <row r="548" spans="1:37" x14ac:dyDescent="0.25">
      <c r="A548" s="534" t="s">
        <v>1320</v>
      </c>
      <c r="B548" s="317" t="s">
        <v>3394</v>
      </c>
      <c r="C548" s="95">
        <v>0</v>
      </c>
      <c r="D548" s="95">
        <v>181</v>
      </c>
      <c r="E548" s="95"/>
      <c r="F548" s="95"/>
      <c r="G548" s="95">
        <v>6299</v>
      </c>
      <c r="H548" s="138">
        <v>34500</v>
      </c>
      <c r="I548" s="138"/>
      <c r="J548" s="126">
        <f t="shared" si="64"/>
        <v>34500</v>
      </c>
      <c r="K548" s="318">
        <v>43822</v>
      </c>
      <c r="L548" s="95">
        <v>0</v>
      </c>
      <c r="M548" s="313">
        <f t="shared" si="65"/>
        <v>43822</v>
      </c>
      <c r="N548" s="2" t="str">
        <f t="shared" ca="1" si="66"/>
        <v>Vencido</v>
      </c>
      <c r="O548" s="318"/>
      <c r="P548" s="138"/>
      <c r="Q548" s="2"/>
      <c r="R548" s="2"/>
      <c r="S548" s="95"/>
      <c r="T548" s="313"/>
      <c r="U548" s="393"/>
      <c r="V548" s="95"/>
      <c r="W548" s="129"/>
      <c r="X548" s="318"/>
      <c r="Y548" s="95"/>
      <c r="Z548" s="131"/>
      <c r="AA548" s="108" t="str">
        <f t="shared" si="67"/>
        <v/>
      </c>
      <c r="AB548" s="2"/>
      <c r="AC548" s="131">
        <f t="shared" si="68"/>
        <v>28991.596638655465</v>
      </c>
      <c r="AD548" s="108">
        <f t="shared" si="69"/>
        <v>5508.4033613445354</v>
      </c>
      <c r="AE548" s="95" t="s">
        <v>1501</v>
      </c>
      <c r="AF548" s="533" t="s">
        <v>3489</v>
      </c>
      <c r="AG548" s="2" t="str">
        <f t="shared" ca="1" si="70"/>
        <v>NO</v>
      </c>
      <c r="AH548" s="284"/>
      <c r="AI548" s="533"/>
      <c r="AJ548" s="2" t="str">
        <f t="shared" si="71"/>
        <v>NV</v>
      </c>
      <c r="AK548" s="303"/>
    </row>
    <row r="549" spans="1:37" x14ac:dyDescent="0.25">
      <c r="A549" s="499" t="s">
        <v>5535</v>
      </c>
      <c r="B549" s="317" t="s">
        <v>5536</v>
      </c>
      <c r="C549" s="95">
        <v>0</v>
      </c>
      <c r="D549" s="95">
        <v>2803</v>
      </c>
      <c r="E549" s="95"/>
      <c r="F549" s="95"/>
      <c r="G549" s="95">
        <v>6297</v>
      </c>
      <c r="H549" s="138">
        <v>79600</v>
      </c>
      <c r="I549" s="138"/>
      <c r="J549" s="126">
        <f t="shared" si="64"/>
        <v>79600</v>
      </c>
      <c r="K549" s="318">
        <v>43822</v>
      </c>
      <c r="L549" s="95">
        <v>0</v>
      </c>
      <c r="M549" s="313">
        <f t="shared" si="65"/>
        <v>43822</v>
      </c>
      <c r="N549" s="2" t="str">
        <f t="shared" si="66"/>
        <v>Pagado</v>
      </c>
      <c r="O549" s="318">
        <v>43822</v>
      </c>
      <c r="P549" s="138">
        <v>79600</v>
      </c>
      <c r="Q549" s="2" t="s">
        <v>1484</v>
      </c>
      <c r="R549" s="2"/>
      <c r="S549" s="95"/>
      <c r="T549" s="313" t="s">
        <v>1496</v>
      </c>
      <c r="U549" s="393"/>
      <c r="V549" s="95"/>
      <c r="W549" s="129"/>
      <c r="X549" s="318"/>
      <c r="Y549" s="95"/>
      <c r="Z549" s="131"/>
      <c r="AA549" s="108" t="str">
        <f t="shared" si="67"/>
        <v/>
      </c>
      <c r="AB549" s="2"/>
      <c r="AC549" s="131">
        <f t="shared" si="68"/>
        <v>66890.756302521011</v>
      </c>
      <c r="AD549" s="108">
        <f t="shared" si="69"/>
        <v>12709.243697478989</v>
      </c>
      <c r="AE549" s="95" t="s">
        <v>1501</v>
      </c>
      <c r="AF549" s="498" t="s">
        <v>3489</v>
      </c>
      <c r="AG549" s="2" t="str">
        <f t="shared" si="70"/>
        <v>SI</v>
      </c>
      <c r="AH549" s="284"/>
      <c r="AI549" s="498"/>
      <c r="AJ549" s="2" t="str">
        <f t="shared" si="71"/>
        <v>NV</v>
      </c>
      <c r="AK549" s="303"/>
    </row>
    <row r="550" spans="1:37" x14ac:dyDescent="0.25">
      <c r="A550" s="534" t="s">
        <v>1210</v>
      </c>
      <c r="B550" s="317" t="s">
        <v>1045</v>
      </c>
      <c r="C550" s="95">
        <v>0</v>
      </c>
      <c r="D550" s="95">
        <v>0</v>
      </c>
      <c r="E550" s="95"/>
      <c r="F550" s="95"/>
      <c r="G550" s="95">
        <v>6302</v>
      </c>
      <c r="H550" s="138">
        <v>20200</v>
      </c>
      <c r="I550" s="138"/>
      <c r="J550" s="126">
        <f t="shared" si="64"/>
        <v>20200</v>
      </c>
      <c r="K550" s="318">
        <v>43822</v>
      </c>
      <c r="L550" s="95">
        <v>0</v>
      </c>
      <c r="M550" s="313">
        <f t="shared" si="65"/>
        <v>43822</v>
      </c>
      <c r="N550" s="2" t="str">
        <f t="shared" si="66"/>
        <v>Pagado</v>
      </c>
      <c r="O550" s="318">
        <v>43857</v>
      </c>
      <c r="P550" s="138">
        <v>20200</v>
      </c>
      <c r="Q550" s="2" t="s">
        <v>1484</v>
      </c>
      <c r="R550" s="2"/>
      <c r="S550" s="95"/>
      <c r="T550" s="313" t="s">
        <v>1488</v>
      </c>
      <c r="U550" s="393"/>
      <c r="V550" s="95"/>
      <c r="W550" s="129"/>
      <c r="X550" s="318"/>
      <c r="Y550" s="95"/>
      <c r="Z550" s="131"/>
      <c r="AA550" s="108" t="str">
        <f t="shared" si="67"/>
        <v/>
      </c>
      <c r="AB550" s="2"/>
      <c r="AC550" s="131">
        <f t="shared" si="68"/>
        <v>16974.789915966387</v>
      </c>
      <c r="AD550" s="108">
        <f t="shared" si="69"/>
        <v>3225.2100840336134</v>
      </c>
      <c r="AE550" s="95" t="s">
        <v>1501</v>
      </c>
      <c r="AF550" s="533" t="s">
        <v>3489</v>
      </c>
      <c r="AG550" s="2" t="str">
        <f t="shared" si="70"/>
        <v>SI</v>
      </c>
      <c r="AH550" s="284"/>
      <c r="AI550" s="533"/>
      <c r="AJ550" s="2" t="str">
        <f t="shared" si="71"/>
        <v>NV</v>
      </c>
      <c r="AK550" s="303"/>
    </row>
    <row r="551" spans="1:37" x14ac:dyDescent="0.25">
      <c r="A551" s="542" t="s">
        <v>1178</v>
      </c>
      <c r="B551" s="317" t="s">
        <v>950</v>
      </c>
      <c r="C551" s="95">
        <v>3043</v>
      </c>
      <c r="D551" s="95">
        <v>0</v>
      </c>
      <c r="E551" s="95">
        <v>281</v>
      </c>
      <c r="F551" s="95"/>
      <c r="G551" s="95" t="s">
        <v>2528</v>
      </c>
      <c r="H551" s="138">
        <v>296503</v>
      </c>
      <c r="I551" s="138">
        <v>-41769</v>
      </c>
      <c r="J551" s="126">
        <f t="shared" si="64"/>
        <v>254734</v>
      </c>
      <c r="K551" s="318">
        <v>43823</v>
      </c>
      <c r="L551" s="95">
        <v>7</v>
      </c>
      <c r="M551" s="313">
        <f t="shared" si="65"/>
        <v>43830</v>
      </c>
      <c r="N551" s="2" t="str">
        <f t="shared" si="66"/>
        <v>Pagado</v>
      </c>
      <c r="O551" s="318">
        <v>43832</v>
      </c>
      <c r="P551" s="138">
        <v>254734</v>
      </c>
      <c r="Q551" s="2" t="s">
        <v>2131</v>
      </c>
      <c r="R551" s="2"/>
      <c r="S551" s="95">
        <v>1116163</v>
      </c>
      <c r="T551" s="313" t="s">
        <v>1496</v>
      </c>
      <c r="U551" s="393">
        <v>43831</v>
      </c>
      <c r="V551" s="95">
        <v>2719731</v>
      </c>
      <c r="W551" s="129">
        <v>254730</v>
      </c>
      <c r="X551" s="318">
        <v>43836</v>
      </c>
      <c r="Y551" s="95" t="s">
        <v>1488</v>
      </c>
      <c r="Z551" s="131"/>
      <c r="AA551" s="108" t="str">
        <f t="shared" si="67"/>
        <v>Otros</v>
      </c>
      <c r="AB551" s="2"/>
      <c r="AC551" s="131">
        <f t="shared" si="68"/>
        <v>249162.18487394959</v>
      </c>
      <c r="AD551" s="108">
        <f t="shared" si="69"/>
        <v>47340.815126050409</v>
      </c>
      <c r="AE551" s="95" t="s">
        <v>2050</v>
      </c>
      <c r="AF551" s="541" t="s">
        <v>3490</v>
      </c>
      <c r="AG551" s="2" t="str">
        <f t="shared" si="70"/>
        <v>SI</v>
      </c>
      <c r="AH551" s="284"/>
      <c r="AI551" s="541"/>
      <c r="AJ551" s="2" t="str">
        <f t="shared" si="71"/>
        <v>Factura</v>
      </c>
      <c r="AK551" s="303"/>
    </row>
    <row r="552" spans="1:37" x14ac:dyDescent="0.25">
      <c r="A552" s="542" t="s">
        <v>1433</v>
      </c>
      <c r="B552" s="317" t="s">
        <v>1148</v>
      </c>
      <c r="C552" s="95">
        <v>0</v>
      </c>
      <c r="D552" s="95">
        <v>182</v>
      </c>
      <c r="E552" s="95"/>
      <c r="F552" s="95"/>
      <c r="G552" s="95">
        <v>6309</v>
      </c>
      <c r="H552" s="138">
        <v>23000</v>
      </c>
      <c r="I552" s="138"/>
      <c r="J552" s="126">
        <f t="shared" si="64"/>
        <v>23000</v>
      </c>
      <c r="K552" s="318">
        <v>43823</v>
      </c>
      <c r="L552" s="95">
        <v>0</v>
      </c>
      <c r="M552" s="313">
        <f t="shared" si="65"/>
        <v>43823</v>
      </c>
      <c r="N552" s="2" t="str">
        <f t="shared" ca="1" si="66"/>
        <v>Vencido</v>
      </c>
      <c r="O552" s="318"/>
      <c r="P552" s="138"/>
      <c r="Q552" s="2"/>
      <c r="R552" s="2"/>
      <c r="S552" s="95"/>
      <c r="T552" s="313"/>
      <c r="U552" s="393"/>
      <c r="V552" s="95"/>
      <c r="W552" s="129"/>
      <c r="X552" s="318"/>
      <c r="Y552" s="95"/>
      <c r="Z552" s="131"/>
      <c r="AA552" s="108" t="str">
        <f t="shared" si="67"/>
        <v/>
      </c>
      <c r="AB552" s="2"/>
      <c r="AC552" s="131">
        <f t="shared" si="68"/>
        <v>19327.731092436974</v>
      </c>
      <c r="AD552" s="108">
        <f t="shared" si="69"/>
        <v>3672.268907563026</v>
      </c>
      <c r="AE552" s="95" t="s">
        <v>1501</v>
      </c>
      <c r="AF552" s="541" t="s">
        <v>3487</v>
      </c>
      <c r="AG552" s="2" t="str">
        <f t="shared" ca="1" si="70"/>
        <v>NO</v>
      </c>
      <c r="AH552" s="284"/>
      <c r="AI552" s="541"/>
      <c r="AJ552" s="2" t="str">
        <f t="shared" si="71"/>
        <v>NV</v>
      </c>
      <c r="AK552" s="303"/>
    </row>
    <row r="553" spans="1:37" x14ac:dyDescent="0.25">
      <c r="A553" s="501" t="s">
        <v>1179</v>
      </c>
      <c r="B553" s="317" t="s">
        <v>952</v>
      </c>
      <c r="C553" s="95">
        <v>3044</v>
      </c>
      <c r="D553" s="95">
        <v>0</v>
      </c>
      <c r="E553" s="95"/>
      <c r="F553" s="95"/>
      <c r="G553" s="95" t="s">
        <v>2528</v>
      </c>
      <c r="H553" s="503">
        <v>22491</v>
      </c>
      <c r="I553" s="138"/>
      <c r="J553" s="421">
        <f t="shared" si="64"/>
        <v>22491</v>
      </c>
      <c r="K553" s="318">
        <v>43823</v>
      </c>
      <c r="L553" s="95">
        <v>7</v>
      </c>
      <c r="M553" s="313">
        <f t="shared" si="65"/>
        <v>43830</v>
      </c>
      <c r="N553" s="2" t="str">
        <f t="shared" ca="1" si="66"/>
        <v>Vencido</v>
      </c>
      <c r="O553" s="318"/>
      <c r="P553" s="138"/>
      <c r="Q553" s="2"/>
      <c r="R553" s="2"/>
      <c r="S553" s="95"/>
      <c r="T553" s="313"/>
      <c r="U553" s="393"/>
      <c r="V553" s="95"/>
      <c r="W553" s="129"/>
      <c r="X553" s="318"/>
      <c r="Y553" s="95"/>
      <c r="Z553" s="131"/>
      <c r="AA553" s="108" t="str">
        <f t="shared" si="67"/>
        <v/>
      </c>
      <c r="AB553" s="2"/>
      <c r="AC553" s="131">
        <f t="shared" si="68"/>
        <v>18900</v>
      </c>
      <c r="AD553" s="108">
        <f t="shared" si="69"/>
        <v>3591</v>
      </c>
      <c r="AE553" s="95" t="s">
        <v>2050</v>
      </c>
      <c r="AF553" s="500" t="s">
        <v>3490</v>
      </c>
      <c r="AG553" s="2" t="str">
        <f t="shared" ca="1" si="70"/>
        <v>NO</v>
      </c>
      <c r="AH553" s="284"/>
      <c r="AI553" s="500"/>
      <c r="AJ553" s="2" t="str">
        <f t="shared" si="71"/>
        <v>Factura</v>
      </c>
      <c r="AK553" s="303"/>
    </row>
    <row r="554" spans="1:37" x14ac:dyDescent="0.25">
      <c r="A554" s="501" t="s">
        <v>1177</v>
      </c>
      <c r="B554" s="317" t="s">
        <v>1060</v>
      </c>
      <c r="C554" s="95">
        <v>3042</v>
      </c>
      <c r="D554" s="95">
        <v>0</v>
      </c>
      <c r="E554" s="95"/>
      <c r="F554" s="95"/>
      <c r="G554" s="95" t="s">
        <v>2528</v>
      </c>
      <c r="H554" s="138">
        <v>35518</v>
      </c>
      <c r="I554" s="138"/>
      <c r="J554" s="126">
        <f t="shared" si="64"/>
        <v>35518</v>
      </c>
      <c r="K554" s="318">
        <v>43823</v>
      </c>
      <c r="L554" s="95">
        <v>30</v>
      </c>
      <c r="M554" s="313">
        <f t="shared" si="65"/>
        <v>43853</v>
      </c>
      <c r="N554" s="2" t="str">
        <f t="shared" si="66"/>
        <v>Pagado</v>
      </c>
      <c r="O554" s="318">
        <v>43845</v>
      </c>
      <c r="P554" s="138">
        <v>35518</v>
      </c>
      <c r="Q554" s="2" t="s">
        <v>2131</v>
      </c>
      <c r="R554" s="2"/>
      <c r="S554" s="95">
        <v>7636301</v>
      </c>
      <c r="T554" s="313" t="s">
        <v>1462</v>
      </c>
      <c r="U554" s="393">
        <v>43832</v>
      </c>
      <c r="V554" s="95"/>
      <c r="W554" s="129"/>
      <c r="X554" s="318"/>
      <c r="Y554" s="95"/>
      <c r="Z554" s="131"/>
      <c r="AA554" s="108" t="str">
        <f t="shared" si="67"/>
        <v>Otros</v>
      </c>
      <c r="AB554" s="2"/>
      <c r="AC554" s="131">
        <f t="shared" si="68"/>
        <v>29847.058823529413</v>
      </c>
      <c r="AD554" s="108">
        <f t="shared" si="69"/>
        <v>5670.9411764705874</v>
      </c>
      <c r="AE554" s="95" t="s">
        <v>2050</v>
      </c>
      <c r="AF554" s="500" t="s">
        <v>3490</v>
      </c>
      <c r="AG554" s="2" t="str">
        <f t="shared" si="70"/>
        <v>SI</v>
      </c>
      <c r="AH554" s="284"/>
      <c r="AI554" s="500"/>
      <c r="AJ554" s="2" t="str">
        <f t="shared" si="71"/>
        <v>Factura</v>
      </c>
      <c r="AK554" s="303"/>
    </row>
    <row r="555" spans="1:37" x14ac:dyDescent="0.25">
      <c r="A555" s="499" t="s">
        <v>1204</v>
      </c>
      <c r="B555" s="317" t="s">
        <v>1052</v>
      </c>
      <c r="C555" s="95">
        <v>0</v>
      </c>
      <c r="D555" s="95">
        <v>0</v>
      </c>
      <c r="E555" s="95"/>
      <c r="F555" s="95"/>
      <c r="G555" s="95">
        <v>6304</v>
      </c>
      <c r="H555" s="138">
        <v>9734</v>
      </c>
      <c r="I555" s="138"/>
      <c r="J555" s="126">
        <f t="shared" si="64"/>
        <v>9734</v>
      </c>
      <c r="K555" s="318">
        <v>43823</v>
      </c>
      <c r="L555" s="95">
        <v>0</v>
      </c>
      <c r="M555" s="313">
        <f t="shared" si="65"/>
        <v>43823</v>
      </c>
      <c r="N555" s="2" t="str">
        <f t="shared" si="66"/>
        <v>Pagado</v>
      </c>
      <c r="O555" s="318">
        <v>43859</v>
      </c>
      <c r="P555" s="138">
        <v>9734</v>
      </c>
      <c r="Q555" s="2" t="s">
        <v>1484</v>
      </c>
      <c r="R555" s="2"/>
      <c r="S555" s="95"/>
      <c r="T555" s="313" t="s">
        <v>1492</v>
      </c>
      <c r="U555" s="393"/>
      <c r="V555" s="95"/>
      <c r="W555" s="129"/>
      <c r="X555" s="318"/>
      <c r="Y555" s="95"/>
      <c r="Z555" s="131"/>
      <c r="AA555" s="108" t="str">
        <f t="shared" si="67"/>
        <v/>
      </c>
      <c r="AB555" s="2"/>
      <c r="AC555" s="131">
        <f t="shared" si="68"/>
        <v>8179.8319327731097</v>
      </c>
      <c r="AD555" s="108">
        <f t="shared" si="69"/>
        <v>1554.1680672268903</v>
      </c>
      <c r="AE555" s="95" t="s">
        <v>1501</v>
      </c>
      <c r="AF555" s="498" t="s">
        <v>3489</v>
      </c>
      <c r="AG555" s="2" t="str">
        <f t="shared" si="70"/>
        <v>SI</v>
      </c>
      <c r="AH555" s="284"/>
      <c r="AI555" s="498"/>
      <c r="AJ555" s="2" t="str">
        <f t="shared" si="71"/>
        <v>NV</v>
      </c>
      <c r="AK555" s="303"/>
    </row>
    <row r="556" spans="1:37" x14ac:dyDescent="0.25">
      <c r="A556" s="542" t="s">
        <v>1175</v>
      </c>
      <c r="B556" s="317" t="s">
        <v>1144</v>
      </c>
      <c r="C556" s="95">
        <v>3045</v>
      </c>
      <c r="D556" s="95">
        <v>0</v>
      </c>
      <c r="E556" s="95"/>
      <c r="F556" s="95"/>
      <c r="G556" s="95">
        <v>43823</v>
      </c>
      <c r="H556" s="138">
        <v>213413</v>
      </c>
      <c r="I556" s="138"/>
      <c r="J556" s="126">
        <f t="shared" si="64"/>
        <v>213413</v>
      </c>
      <c r="K556" s="318">
        <v>43823</v>
      </c>
      <c r="L556" s="95">
        <v>30</v>
      </c>
      <c r="M556" s="313">
        <f t="shared" si="65"/>
        <v>43853</v>
      </c>
      <c r="N556" s="2" t="str">
        <f t="shared" si="66"/>
        <v>Pagado</v>
      </c>
      <c r="O556" s="318">
        <v>43864</v>
      </c>
      <c r="P556" s="138">
        <v>213413</v>
      </c>
      <c r="Q556" s="2" t="s">
        <v>1484</v>
      </c>
      <c r="R556" s="2"/>
      <c r="S556" s="95"/>
      <c r="T556" s="313" t="s">
        <v>1496</v>
      </c>
      <c r="U556" s="393"/>
      <c r="V556" s="95"/>
      <c r="W556" s="129"/>
      <c r="X556" s="318"/>
      <c r="Y556" s="95"/>
      <c r="Z556" s="131"/>
      <c r="AA556" s="108" t="str">
        <f t="shared" si="67"/>
        <v/>
      </c>
      <c r="AB556" s="2"/>
      <c r="AC556" s="131">
        <f t="shared" si="68"/>
        <v>179338.65546218489</v>
      </c>
      <c r="AD556" s="108">
        <f t="shared" si="69"/>
        <v>34074.344537815108</v>
      </c>
      <c r="AE556" s="95" t="s">
        <v>2050</v>
      </c>
      <c r="AF556" s="541" t="s">
        <v>3490</v>
      </c>
      <c r="AG556" s="2" t="str">
        <f t="shared" si="70"/>
        <v>SI</v>
      </c>
      <c r="AH556" s="284"/>
      <c r="AI556" s="541"/>
      <c r="AJ556" s="2" t="str">
        <f t="shared" si="71"/>
        <v>Factura</v>
      </c>
      <c r="AK556" s="303"/>
    </row>
    <row r="557" spans="1:37" x14ac:dyDescent="0.25">
      <c r="A557" s="542" t="s">
        <v>1175</v>
      </c>
      <c r="B557" s="317" t="s">
        <v>1144</v>
      </c>
      <c r="C557" s="95">
        <v>3046</v>
      </c>
      <c r="D557" s="95">
        <v>0</v>
      </c>
      <c r="E557" s="95"/>
      <c r="F557" s="95"/>
      <c r="G557" s="95">
        <v>1038223</v>
      </c>
      <c r="H557" s="138">
        <v>133275</v>
      </c>
      <c r="I557" s="138"/>
      <c r="J557" s="126">
        <f t="shared" si="64"/>
        <v>133275</v>
      </c>
      <c r="K557" s="318">
        <v>43823</v>
      </c>
      <c r="L557" s="95">
        <v>30</v>
      </c>
      <c r="M557" s="313">
        <f t="shared" si="65"/>
        <v>43853</v>
      </c>
      <c r="N557" s="2" t="str">
        <f t="shared" si="66"/>
        <v>Pagado</v>
      </c>
      <c r="O557" s="318">
        <v>43864</v>
      </c>
      <c r="P557" s="138">
        <v>133275</v>
      </c>
      <c r="Q557" s="2" t="s">
        <v>1484</v>
      </c>
      <c r="R557" s="2"/>
      <c r="S557" s="95"/>
      <c r="T557" s="313" t="s">
        <v>1496</v>
      </c>
      <c r="U557" s="393"/>
      <c r="V557" s="95"/>
      <c r="W557" s="129"/>
      <c r="X557" s="318"/>
      <c r="Y557" s="95"/>
      <c r="Z557" s="131"/>
      <c r="AA557" s="108" t="str">
        <f t="shared" si="67"/>
        <v/>
      </c>
      <c r="AB557" s="2"/>
      <c r="AC557" s="131">
        <f t="shared" si="68"/>
        <v>111995.79831932773</v>
      </c>
      <c r="AD557" s="108">
        <f t="shared" si="69"/>
        <v>21279.201680672268</v>
      </c>
      <c r="AE557" s="95" t="s">
        <v>2050</v>
      </c>
      <c r="AF557" s="541" t="s">
        <v>3490</v>
      </c>
      <c r="AG557" s="2" t="str">
        <f t="shared" si="70"/>
        <v>SI</v>
      </c>
      <c r="AH557" s="284"/>
      <c r="AI557" s="541"/>
      <c r="AJ557" s="2" t="str">
        <f t="shared" si="71"/>
        <v>Factura</v>
      </c>
      <c r="AK557" s="303"/>
    </row>
    <row r="558" spans="1:37" x14ac:dyDescent="0.25">
      <c r="A558" s="542" t="s">
        <v>1175</v>
      </c>
      <c r="B558" s="317" t="s">
        <v>1144</v>
      </c>
      <c r="C558" s="95">
        <v>3047</v>
      </c>
      <c r="D558" s="95">
        <v>0</v>
      </c>
      <c r="E558" s="95">
        <v>280</v>
      </c>
      <c r="F558" s="95"/>
      <c r="G558" s="95">
        <v>1038222</v>
      </c>
      <c r="H558" s="138">
        <v>241184</v>
      </c>
      <c r="I558" s="138">
        <v>-10102</v>
      </c>
      <c r="J558" s="126">
        <f t="shared" si="64"/>
        <v>231082</v>
      </c>
      <c r="K558" s="318">
        <v>43823</v>
      </c>
      <c r="L558" s="95">
        <v>30</v>
      </c>
      <c r="M558" s="313">
        <f t="shared" si="65"/>
        <v>43853</v>
      </c>
      <c r="N558" s="2" t="str">
        <f t="shared" si="66"/>
        <v>Pagado</v>
      </c>
      <c r="O558" s="318">
        <v>43864</v>
      </c>
      <c r="P558" s="138">
        <v>231082</v>
      </c>
      <c r="Q558" s="2" t="s">
        <v>1484</v>
      </c>
      <c r="R558" s="2"/>
      <c r="S558" s="95"/>
      <c r="T558" s="313" t="s">
        <v>1496</v>
      </c>
      <c r="U558" s="393"/>
      <c r="V558" s="95"/>
      <c r="W558" s="129"/>
      <c r="X558" s="318"/>
      <c r="Y558" s="95"/>
      <c r="Z558" s="131"/>
      <c r="AA558" s="108" t="str">
        <f t="shared" si="67"/>
        <v/>
      </c>
      <c r="AB558" s="2"/>
      <c r="AC558" s="131">
        <f t="shared" si="68"/>
        <v>202675.63025210085</v>
      </c>
      <c r="AD558" s="108">
        <f t="shared" si="69"/>
        <v>38508.369747899153</v>
      </c>
      <c r="AE558" s="95" t="s">
        <v>2050</v>
      </c>
      <c r="AF558" s="541" t="s">
        <v>3490</v>
      </c>
      <c r="AG558" s="2" t="str">
        <f t="shared" si="70"/>
        <v>SI</v>
      </c>
      <c r="AH558" s="284"/>
      <c r="AI558" s="541"/>
      <c r="AJ558" s="2" t="str">
        <f t="shared" si="71"/>
        <v>Factura</v>
      </c>
      <c r="AK558" s="303"/>
    </row>
    <row r="559" spans="1:37" x14ac:dyDescent="0.25">
      <c r="A559" s="542" t="s">
        <v>1175</v>
      </c>
      <c r="B559" s="317" t="s">
        <v>1144</v>
      </c>
      <c r="C559" s="95">
        <v>3048</v>
      </c>
      <c r="D559" s="95">
        <v>0</v>
      </c>
      <c r="E559" s="95"/>
      <c r="F559" s="95"/>
      <c r="G559" s="95">
        <v>1038231</v>
      </c>
      <c r="H559" s="138">
        <v>98908</v>
      </c>
      <c r="I559" s="138"/>
      <c r="J559" s="126">
        <f t="shared" si="64"/>
        <v>98908</v>
      </c>
      <c r="K559" s="318">
        <v>43823</v>
      </c>
      <c r="L559" s="95">
        <v>30</v>
      </c>
      <c r="M559" s="313">
        <f t="shared" si="65"/>
        <v>43853</v>
      </c>
      <c r="N559" s="2" t="str">
        <f t="shared" si="66"/>
        <v>Pagado</v>
      </c>
      <c r="O559" s="318">
        <v>43864</v>
      </c>
      <c r="P559" s="138">
        <v>98908</v>
      </c>
      <c r="Q559" s="2" t="s">
        <v>1484</v>
      </c>
      <c r="R559" s="2"/>
      <c r="S559" s="95"/>
      <c r="T559" s="313" t="s">
        <v>1496</v>
      </c>
      <c r="U559" s="393"/>
      <c r="V559" s="95"/>
      <c r="W559" s="129"/>
      <c r="X559" s="318"/>
      <c r="Y559" s="95"/>
      <c r="Z559" s="131"/>
      <c r="AA559" s="108" t="str">
        <f t="shared" si="67"/>
        <v/>
      </c>
      <c r="AB559" s="2"/>
      <c r="AC559" s="131">
        <f t="shared" si="68"/>
        <v>83115.966386554632</v>
      </c>
      <c r="AD559" s="108">
        <f t="shared" si="69"/>
        <v>15792.033613445368</v>
      </c>
      <c r="AE559" s="95" t="s">
        <v>2050</v>
      </c>
      <c r="AF559" s="541" t="s">
        <v>3490</v>
      </c>
      <c r="AG559" s="2" t="str">
        <f t="shared" si="70"/>
        <v>SI</v>
      </c>
      <c r="AH559" s="284"/>
      <c r="AI559" s="541"/>
      <c r="AJ559" s="2" t="str">
        <f t="shared" si="71"/>
        <v>Factura</v>
      </c>
      <c r="AK559" s="303"/>
    </row>
    <row r="560" spans="1:37" x14ac:dyDescent="0.25">
      <c r="A560" s="542" t="s">
        <v>1175</v>
      </c>
      <c r="B560" s="317" t="s">
        <v>1144</v>
      </c>
      <c r="C560" s="95">
        <v>3049</v>
      </c>
      <c r="D560" s="95">
        <v>0</v>
      </c>
      <c r="E560" s="95"/>
      <c r="F560" s="95"/>
      <c r="G560" s="95">
        <v>1038220</v>
      </c>
      <c r="H560" s="138">
        <v>185083</v>
      </c>
      <c r="I560" s="138"/>
      <c r="J560" s="126">
        <f t="shared" si="64"/>
        <v>185083</v>
      </c>
      <c r="K560" s="318">
        <v>43823</v>
      </c>
      <c r="L560" s="95">
        <v>30</v>
      </c>
      <c r="M560" s="313">
        <f t="shared" si="65"/>
        <v>43853</v>
      </c>
      <c r="N560" s="2" t="str">
        <f t="shared" si="66"/>
        <v>Pagado</v>
      </c>
      <c r="O560" s="318">
        <v>43864</v>
      </c>
      <c r="P560" s="138">
        <v>185083</v>
      </c>
      <c r="Q560" s="2" t="s">
        <v>1484</v>
      </c>
      <c r="R560" s="2"/>
      <c r="S560" s="95"/>
      <c r="T560" s="313" t="s">
        <v>1496</v>
      </c>
      <c r="U560" s="393"/>
      <c r="V560" s="95"/>
      <c r="W560" s="129"/>
      <c r="X560" s="318"/>
      <c r="Y560" s="95"/>
      <c r="Z560" s="131"/>
      <c r="AA560" s="108" t="str">
        <f t="shared" si="67"/>
        <v/>
      </c>
      <c r="AB560" s="2"/>
      <c r="AC560" s="131">
        <f t="shared" si="68"/>
        <v>155531.93277310926</v>
      </c>
      <c r="AD560" s="108">
        <f t="shared" si="69"/>
        <v>29551.067226890736</v>
      </c>
      <c r="AE560" s="95" t="s">
        <v>2050</v>
      </c>
      <c r="AF560" s="541" t="s">
        <v>3490</v>
      </c>
      <c r="AG560" s="2" t="str">
        <f t="shared" si="70"/>
        <v>SI</v>
      </c>
      <c r="AH560" s="284"/>
      <c r="AI560" s="541"/>
      <c r="AJ560" s="2" t="str">
        <f t="shared" si="71"/>
        <v>Factura</v>
      </c>
      <c r="AK560" s="303"/>
    </row>
    <row r="561" spans="1:37" x14ac:dyDescent="0.25">
      <c r="A561" s="542" t="s">
        <v>1243</v>
      </c>
      <c r="B561" s="317" t="s">
        <v>986</v>
      </c>
      <c r="C561" s="95">
        <v>0</v>
      </c>
      <c r="D561" s="95">
        <v>0</v>
      </c>
      <c r="E561" s="95"/>
      <c r="F561" s="95"/>
      <c r="G561" s="95">
        <v>6310</v>
      </c>
      <c r="H561" s="138">
        <v>16500</v>
      </c>
      <c r="I561" s="138"/>
      <c r="J561" s="126">
        <f t="shared" si="64"/>
        <v>16500</v>
      </c>
      <c r="K561" s="318">
        <v>43825</v>
      </c>
      <c r="L561" s="95">
        <v>0</v>
      </c>
      <c r="M561" s="313">
        <f t="shared" si="65"/>
        <v>43825</v>
      </c>
      <c r="N561" s="2" t="str">
        <f t="shared" ca="1" si="66"/>
        <v>Vencido</v>
      </c>
      <c r="O561" s="318"/>
      <c r="P561" s="138"/>
      <c r="Q561" s="2"/>
      <c r="R561" s="2"/>
      <c r="S561" s="95"/>
      <c r="T561" s="313"/>
      <c r="U561" s="393"/>
      <c r="V561" s="95"/>
      <c r="W561" s="129"/>
      <c r="X561" s="318"/>
      <c r="Y561" s="95"/>
      <c r="Z561" s="131"/>
      <c r="AA561" s="108" t="str">
        <f t="shared" si="67"/>
        <v/>
      </c>
      <c r="AB561" s="2"/>
      <c r="AC561" s="131">
        <f t="shared" si="68"/>
        <v>13865.546218487396</v>
      </c>
      <c r="AD561" s="108">
        <f t="shared" si="69"/>
        <v>2634.4537815126041</v>
      </c>
      <c r="AE561" s="95" t="s">
        <v>1501</v>
      </c>
      <c r="AF561" s="541" t="s">
        <v>3489</v>
      </c>
      <c r="AG561" s="2" t="str">
        <f t="shared" ca="1" si="70"/>
        <v>NO</v>
      </c>
      <c r="AH561" s="284"/>
      <c r="AI561" s="541"/>
      <c r="AJ561" s="2" t="str">
        <f t="shared" si="71"/>
        <v>NV</v>
      </c>
      <c r="AK561" s="303"/>
    </row>
    <row r="562" spans="1:37" x14ac:dyDescent="0.25">
      <c r="A562" s="542" t="s">
        <v>4403</v>
      </c>
      <c r="B562" s="317" t="s">
        <v>4405</v>
      </c>
      <c r="C562" s="95">
        <v>2811</v>
      </c>
      <c r="D562" s="95">
        <v>0</v>
      </c>
      <c r="E562" s="95"/>
      <c r="F562" s="95"/>
      <c r="G562" s="95">
        <v>6318</v>
      </c>
      <c r="H562" s="138">
        <v>29600</v>
      </c>
      <c r="I562" s="138"/>
      <c r="J562" s="126">
        <f t="shared" si="64"/>
        <v>29600</v>
      </c>
      <c r="K562" s="318">
        <v>43825</v>
      </c>
      <c r="L562" s="95">
        <v>0</v>
      </c>
      <c r="M562" s="313">
        <f t="shared" si="65"/>
        <v>43825</v>
      </c>
      <c r="N562" s="2" t="str">
        <f t="shared" si="66"/>
        <v>Pagado</v>
      </c>
      <c r="O562" s="318">
        <v>43826</v>
      </c>
      <c r="P562" s="138">
        <v>29600</v>
      </c>
      <c r="Q562" s="2" t="s">
        <v>1484</v>
      </c>
      <c r="R562" s="2"/>
      <c r="S562" s="95"/>
      <c r="T562" s="313" t="s">
        <v>1488</v>
      </c>
      <c r="U562" s="393"/>
      <c r="V562" s="95"/>
      <c r="W562" s="129"/>
      <c r="X562" s="318"/>
      <c r="Y562" s="95"/>
      <c r="Z562" s="131"/>
      <c r="AA562" s="108" t="str">
        <f t="shared" si="67"/>
        <v/>
      </c>
      <c r="AB562" s="2"/>
      <c r="AC562" s="131">
        <f t="shared" si="68"/>
        <v>24873.949579831933</v>
      </c>
      <c r="AD562" s="108">
        <f t="shared" si="69"/>
        <v>4726.0504201680669</v>
      </c>
      <c r="AE562" s="95" t="s">
        <v>1501</v>
      </c>
      <c r="AF562" s="541" t="s">
        <v>3487</v>
      </c>
      <c r="AG562" s="2" t="str">
        <f t="shared" si="70"/>
        <v>SI</v>
      </c>
      <c r="AH562" s="284"/>
      <c r="AI562" s="541"/>
      <c r="AJ562" s="2" t="str">
        <f t="shared" si="71"/>
        <v>Factura</v>
      </c>
      <c r="AK562" s="303"/>
    </row>
    <row r="563" spans="1:37" x14ac:dyDescent="0.25">
      <c r="A563" s="542" t="s">
        <v>5265</v>
      </c>
      <c r="B563" s="317" t="s">
        <v>5266</v>
      </c>
      <c r="C563" s="95">
        <v>0</v>
      </c>
      <c r="D563" s="95">
        <v>0</v>
      </c>
      <c r="E563" s="95"/>
      <c r="F563" s="95"/>
      <c r="G563" s="95">
        <v>6311</v>
      </c>
      <c r="H563" s="138">
        <v>26800</v>
      </c>
      <c r="I563" s="138"/>
      <c r="J563" s="126">
        <f t="shared" si="64"/>
        <v>26800</v>
      </c>
      <c r="K563" s="318">
        <v>43825</v>
      </c>
      <c r="L563" s="95">
        <v>0</v>
      </c>
      <c r="M563" s="313">
        <f t="shared" si="65"/>
        <v>43825</v>
      </c>
      <c r="N563" s="2" t="str">
        <f t="shared" ca="1" si="66"/>
        <v>Vencido</v>
      </c>
      <c r="O563" s="318"/>
      <c r="P563" s="138"/>
      <c r="Q563" s="2"/>
      <c r="R563" s="2"/>
      <c r="S563" s="95"/>
      <c r="T563" s="313"/>
      <c r="U563" s="393"/>
      <c r="V563" s="95"/>
      <c r="W563" s="129"/>
      <c r="X563" s="318"/>
      <c r="Y563" s="95"/>
      <c r="Z563" s="131"/>
      <c r="AA563" s="108" t="str">
        <f t="shared" si="67"/>
        <v/>
      </c>
      <c r="AB563" s="2"/>
      <c r="AC563" s="131">
        <f t="shared" si="68"/>
        <v>22521.008403361346</v>
      </c>
      <c r="AD563" s="108">
        <f t="shared" si="69"/>
        <v>4278.9915966386543</v>
      </c>
      <c r="AE563" s="95" t="s">
        <v>1501</v>
      </c>
      <c r="AF563" s="541" t="s">
        <v>3487</v>
      </c>
      <c r="AG563" s="2" t="str">
        <f t="shared" ca="1" si="70"/>
        <v>NO</v>
      </c>
      <c r="AH563" s="284"/>
      <c r="AI563" s="541"/>
      <c r="AJ563" s="2" t="str">
        <f t="shared" si="71"/>
        <v>NV</v>
      </c>
      <c r="AK563" s="303"/>
    </row>
    <row r="564" spans="1:37" x14ac:dyDescent="0.25">
      <c r="A564" s="499" t="s">
        <v>4898</v>
      </c>
      <c r="B564" s="317" t="s">
        <v>4899</v>
      </c>
      <c r="C564" s="95">
        <v>0</v>
      </c>
      <c r="D564" s="95">
        <v>2808</v>
      </c>
      <c r="E564" s="95"/>
      <c r="F564" s="95"/>
      <c r="G564" s="95">
        <v>6314</v>
      </c>
      <c r="H564" s="138">
        <v>11500</v>
      </c>
      <c r="I564" s="138"/>
      <c r="J564" s="126">
        <f t="shared" si="64"/>
        <v>11500</v>
      </c>
      <c r="K564" s="318">
        <v>43825</v>
      </c>
      <c r="L564" s="95">
        <v>0</v>
      </c>
      <c r="M564" s="313">
        <f t="shared" si="65"/>
        <v>43825</v>
      </c>
      <c r="N564" s="2" t="str">
        <f t="shared" ca="1" si="66"/>
        <v>Vencido</v>
      </c>
      <c r="O564" s="318"/>
      <c r="P564" s="138"/>
      <c r="Q564" s="2"/>
      <c r="R564" s="2"/>
      <c r="S564" s="95"/>
      <c r="T564" s="313"/>
      <c r="U564" s="393"/>
      <c r="V564" s="95"/>
      <c r="W564" s="129"/>
      <c r="X564" s="318"/>
      <c r="Y564" s="95"/>
      <c r="Z564" s="131"/>
      <c r="AA564" s="108" t="str">
        <f t="shared" si="67"/>
        <v/>
      </c>
      <c r="AB564" s="2"/>
      <c r="AC564" s="131">
        <f t="shared" si="68"/>
        <v>9663.865546218487</v>
      </c>
      <c r="AD564" s="108">
        <f t="shared" si="69"/>
        <v>1836.134453781513</v>
      </c>
      <c r="AE564" s="95" t="s">
        <v>1501</v>
      </c>
      <c r="AF564" s="498" t="s">
        <v>3487</v>
      </c>
      <c r="AG564" s="2" t="str">
        <f t="shared" ca="1" si="70"/>
        <v>NO</v>
      </c>
      <c r="AH564" s="284"/>
      <c r="AI564" s="498"/>
      <c r="AJ564" s="2" t="str">
        <f t="shared" si="71"/>
        <v>NV</v>
      </c>
      <c r="AK564" s="303"/>
    </row>
    <row r="565" spans="1:37" x14ac:dyDescent="0.25">
      <c r="A565" s="499" t="s">
        <v>5399</v>
      </c>
      <c r="B565" s="317" t="s">
        <v>5400</v>
      </c>
      <c r="C565" s="95">
        <v>0</v>
      </c>
      <c r="D565" s="95">
        <v>2805</v>
      </c>
      <c r="E565" s="95"/>
      <c r="F565" s="95"/>
      <c r="G565" s="95">
        <v>6307</v>
      </c>
      <c r="H565" s="138">
        <v>33000</v>
      </c>
      <c r="I565" s="138"/>
      <c r="J565" s="126">
        <f t="shared" si="64"/>
        <v>33000</v>
      </c>
      <c r="K565" s="318">
        <v>43825</v>
      </c>
      <c r="L565" s="95">
        <v>0</v>
      </c>
      <c r="M565" s="313">
        <f t="shared" si="65"/>
        <v>43825</v>
      </c>
      <c r="N565" s="2" t="str">
        <f t="shared" si="66"/>
        <v>Pagado</v>
      </c>
      <c r="O565" s="318">
        <v>43825</v>
      </c>
      <c r="P565" s="138">
        <v>33000</v>
      </c>
      <c r="Q565" s="2" t="s">
        <v>1483</v>
      </c>
      <c r="R565" s="2"/>
      <c r="S565" s="95"/>
      <c r="T565" s="313" t="s">
        <v>1488</v>
      </c>
      <c r="U565" s="393"/>
      <c r="V565" s="95"/>
      <c r="W565" s="129"/>
      <c r="X565" s="318"/>
      <c r="Y565" s="95"/>
      <c r="Z565" s="131"/>
      <c r="AA565" s="108" t="str">
        <f t="shared" si="67"/>
        <v/>
      </c>
      <c r="AB565" s="2"/>
      <c r="AC565" s="131">
        <f t="shared" si="68"/>
        <v>27731.092436974792</v>
      </c>
      <c r="AD565" s="108">
        <f t="shared" si="69"/>
        <v>5268.9075630252082</v>
      </c>
      <c r="AE565" s="95" t="s">
        <v>1501</v>
      </c>
      <c r="AF565" s="498" t="s">
        <v>3487</v>
      </c>
      <c r="AG565" s="2" t="str">
        <f t="shared" si="70"/>
        <v>SI</v>
      </c>
      <c r="AH565" s="284"/>
      <c r="AI565" s="498"/>
      <c r="AJ565" s="2" t="str">
        <f t="shared" si="71"/>
        <v>NV</v>
      </c>
      <c r="AK565" s="303"/>
    </row>
    <row r="566" spans="1:37" x14ac:dyDescent="0.25">
      <c r="A566" s="499" t="s">
        <v>1419</v>
      </c>
      <c r="B566" s="317" t="s">
        <v>1119</v>
      </c>
      <c r="C566" s="95">
        <v>0</v>
      </c>
      <c r="D566" s="95">
        <v>2810</v>
      </c>
      <c r="E566" s="95"/>
      <c r="F566" s="95"/>
      <c r="G566" s="95">
        <v>6317</v>
      </c>
      <c r="H566" s="138">
        <v>23500</v>
      </c>
      <c r="I566" s="138"/>
      <c r="J566" s="126">
        <f t="shared" si="64"/>
        <v>23500</v>
      </c>
      <c r="K566" s="318">
        <v>43825</v>
      </c>
      <c r="L566" s="95">
        <v>0</v>
      </c>
      <c r="M566" s="313">
        <f t="shared" si="65"/>
        <v>43825</v>
      </c>
      <c r="N566" s="2" t="str">
        <f t="shared" ca="1" si="66"/>
        <v>Vencido</v>
      </c>
      <c r="O566" s="318"/>
      <c r="P566" s="138"/>
      <c r="Q566" s="2"/>
      <c r="R566" s="2"/>
      <c r="S566" s="95"/>
      <c r="T566" s="313"/>
      <c r="U566" s="393"/>
      <c r="V566" s="95"/>
      <c r="W566" s="129"/>
      <c r="X566" s="318"/>
      <c r="Y566" s="95"/>
      <c r="Z566" s="131"/>
      <c r="AA566" s="108" t="str">
        <f t="shared" si="67"/>
        <v/>
      </c>
      <c r="AB566" s="2"/>
      <c r="AC566" s="131">
        <f t="shared" si="68"/>
        <v>19747.899159663866</v>
      </c>
      <c r="AD566" s="108">
        <f t="shared" si="69"/>
        <v>3752.1008403361338</v>
      </c>
      <c r="AE566" s="95" t="s">
        <v>1501</v>
      </c>
      <c r="AF566" s="498" t="s">
        <v>3489</v>
      </c>
      <c r="AG566" s="2" t="str">
        <f t="shared" ca="1" si="70"/>
        <v>NO</v>
      </c>
      <c r="AH566" s="284"/>
      <c r="AI566" s="498"/>
      <c r="AJ566" s="2" t="str">
        <f t="shared" si="71"/>
        <v>NV</v>
      </c>
      <c r="AK566" s="303"/>
    </row>
    <row r="567" spans="1:37" x14ac:dyDescent="0.25">
      <c r="A567" s="499" t="s">
        <v>4462</v>
      </c>
      <c r="B567" s="317" t="s">
        <v>4463</v>
      </c>
      <c r="C567" s="95">
        <v>0</v>
      </c>
      <c r="D567" s="95">
        <v>2809</v>
      </c>
      <c r="E567" s="95"/>
      <c r="F567" s="95"/>
      <c r="G567" s="95">
        <v>6315</v>
      </c>
      <c r="H567" s="138">
        <v>16500</v>
      </c>
      <c r="I567" s="138"/>
      <c r="J567" s="126">
        <f t="shared" si="64"/>
        <v>16500</v>
      </c>
      <c r="K567" s="318">
        <v>43825</v>
      </c>
      <c r="L567" s="95">
        <v>0</v>
      </c>
      <c r="M567" s="313">
        <f t="shared" si="65"/>
        <v>43825</v>
      </c>
      <c r="N567" s="2" t="str">
        <f t="shared" si="66"/>
        <v>Pagado</v>
      </c>
      <c r="O567" s="318">
        <v>43825</v>
      </c>
      <c r="P567" s="138">
        <v>19500</v>
      </c>
      <c r="Q567" s="2" t="s">
        <v>1484</v>
      </c>
      <c r="R567" s="2"/>
      <c r="S567" s="95"/>
      <c r="T567" s="313" t="s">
        <v>1462</v>
      </c>
      <c r="U567" s="393"/>
      <c r="V567" s="95"/>
      <c r="W567" s="129"/>
      <c r="X567" s="318"/>
      <c r="Y567" s="95"/>
      <c r="Z567" s="131"/>
      <c r="AA567" s="108" t="str">
        <f t="shared" si="67"/>
        <v/>
      </c>
      <c r="AB567" s="2"/>
      <c r="AC567" s="131">
        <f t="shared" si="68"/>
        <v>13865.546218487396</v>
      </c>
      <c r="AD567" s="108">
        <f t="shared" si="69"/>
        <v>2634.4537815126041</v>
      </c>
      <c r="AE567" s="95" t="s">
        <v>1501</v>
      </c>
      <c r="AF567" s="498" t="s">
        <v>3487</v>
      </c>
      <c r="AG567" s="2" t="str">
        <f t="shared" si="70"/>
        <v>SI</v>
      </c>
      <c r="AH567" s="284"/>
      <c r="AI567" s="498"/>
      <c r="AJ567" s="2" t="str">
        <f t="shared" si="71"/>
        <v>NV</v>
      </c>
      <c r="AK567" s="303"/>
    </row>
    <row r="568" spans="1:37" x14ac:dyDescent="0.25">
      <c r="A568" s="499" t="s">
        <v>4853</v>
      </c>
      <c r="B568" s="317" t="s">
        <v>4854</v>
      </c>
      <c r="C568" s="95">
        <v>0</v>
      </c>
      <c r="D568" s="95">
        <v>183</v>
      </c>
      <c r="E568" s="95"/>
      <c r="F568" s="95"/>
      <c r="G568" s="95">
        <v>6311</v>
      </c>
      <c r="H568" s="138">
        <v>23000</v>
      </c>
      <c r="I568" s="138"/>
      <c r="J568" s="126">
        <f t="shared" si="64"/>
        <v>23000</v>
      </c>
      <c r="K568" s="318">
        <v>43825</v>
      </c>
      <c r="L568" s="95">
        <v>0</v>
      </c>
      <c r="M568" s="313">
        <f t="shared" si="65"/>
        <v>43825</v>
      </c>
      <c r="N568" s="2" t="str">
        <f t="shared" ca="1" si="66"/>
        <v>Vencido</v>
      </c>
      <c r="O568" s="318"/>
      <c r="P568" s="138"/>
      <c r="Q568" s="2"/>
      <c r="R568" s="2"/>
      <c r="S568" s="95"/>
      <c r="T568" s="313"/>
      <c r="U568" s="393"/>
      <c r="V568" s="95"/>
      <c r="W568" s="129"/>
      <c r="X568" s="318"/>
      <c r="Y568" s="95"/>
      <c r="Z568" s="131"/>
      <c r="AA568" s="108" t="str">
        <f t="shared" si="67"/>
        <v/>
      </c>
      <c r="AB568" s="2"/>
      <c r="AC568" s="131">
        <f t="shared" si="68"/>
        <v>19327.731092436974</v>
      </c>
      <c r="AD568" s="108">
        <f t="shared" si="69"/>
        <v>3672.268907563026</v>
      </c>
      <c r="AE568" s="95" t="s">
        <v>1501</v>
      </c>
      <c r="AF568" s="498" t="s">
        <v>3487</v>
      </c>
      <c r="AG568" s="2" t="str">
        <f t="shared" ca="1" si="70"/>
        <v>NO</v>
      </c>
      <c r="AH568" s="284"/>
      <c r="AI568" s="498"/>
      <c r="AJ568" s="2" t="str">
        <f t="shared" si="71"/>
        <v>NV</v>
      </c>
      <c r="AK568" s="303"/>
    </row>
    <row r="569" spans="1:37" x14ac:dyDescent="0.25">
      <c r="A569" s="499" t="s">
        <v>1209</v>
      </c>
      <c r="B569" s="317" t="s">
        <v>974</v>
      </c>
      <c r="C569" s="95">
        <v>0</v>
      </c>
      <c r="D569" s="95">
        <v>2807</v>
      </c>
      <c r="E569" s="95"/>
      <c r="F569" s="95"/>
      <c r="G569" s="95">
        <v>6312</v>
      </c>
      <c r="H569" s="138">
        <v>34500</v>
      </c>
      <c r="I569" s="138"/>
      <c r="J569" s="126">
        <f t="shared" si="64"/>
        <v>34500</v>
      </c>
      <c r="K569" s="318">
        <v>43825</v>
      </c>
      <c r="L569" s="95">
        <v>0</v>
      </c>
      <c r="M569" s="313">
        <f t="shared" si="65"/>
        <v>43825</v>
      </c>
      <c r="N569" s="2" t="str">
        <f t="shared" si="66"/>
        <v>Pagado</v>
      </c>
      <c r="O569" s="318">
        <v>43832</v>
      </c>
      <c r="P569" s="138">
        <v>34700</v>
      </c>
      <c r="Q569" s="2" t="s">
        <v>1484</v>
      </c>
      <c r="R569" s="2"/>
      <c r="S569" s="95"/>
      <c r="T569" s="313" t="s">
        <v>1490</v>
      </c>
      <c r="U569" s="393"/>
      <c r="V569" s="95"/>
      <c r="W569" s="129"/>
      <c r="X569" s="318"/>
      <c r="Y569" s="95"/>
      <c r="Z569" s="131"/>
      <c r="AA569" s="108" t="str">
        <f t="shared" si="67"/>
        <v/>
      </c>
      <c r="AB569" s="2"/>
      <c r="AC569" s="131">
        <f t="shared" si="68"/>
        <v>28991.596638655465</v>
      </c>
      <c r="AD569" s="108">
        <f t="shared" si="69"/>
        <v>5508.4033613445354</v>
      </c>
      <c r="AE569" s="95" t="s">
        <v>2050</v>
      </c>
      <c r="AF569" s="498" t="s">
        <v>3487</v>
      </c>
      <c r="AG569" s="2" t="str">
        <f t="shared" si="70"/>
        <v>SI</v>
      </c>
      <c r="AH569" s="284"/>
      <c r="AI569" s="498"/>
      <c r="AJ569" s="2" t="str">
        <f t="shared" si="71"/>
        <v>NV</v>
      </c>
      <c r="AK569" s="303"/>
    </row>
    <row r="570" spans="1:37" x14ac:dyDescent="0.25">
      <c r="A570" s="499" t="s">
        <v>2226</v>
      </c>
      <c r="B570" s="317" t="s">
        <v>2227</v>
      </c>
      <c r="C570" s="95">
        <v>0</v>
      </c>
      <c r="D570" s="95">
        <v>184</v>
      </c>
      <c r="E570" s="95"/>
      <c r="F570" s="95"/>
      <c r="G570" s="95">
        <v>6316</v>
      </c>
      <c r="H570" s="138">
        <v>54000</v>
      </c>
      <c r="I570" s="138"/>
      <c r="J570" s="126">
        <f t="shared" si="64"/>
        <v>54000</v>
      </c>
      <c r="K570" s="318">
        <v>43825</v>
      </c>
      <c r="L570" s="95">
        <v>0</v>
      </c>
      <c r="M570" s="313">
        <f t="shared" si="65"/>
        <v>43825</v>
      </c>
      <c r="N570" s="2" t="str">
        <f t="shared" ca="1" si="66"/>
        <v>Vencido</v>
      </c>
      <c r="O570" s="318"/>
      <c r="P570" s="138"/>
      <c r="Q570" s="2"/>
      <c r="R570" s="2"/>
      <c r="S570" s="95"/>
      <c r="T570" s="313"/>
      <c r="U570" s="393"/>
      <c r="V570" s="95"/>
      <c r="W570" s="129"/>
      <c r="X570" s="318"/>
      <c r="Y570" s="95"/>
      <c r="Z570" s="131"/>
      <c r="AA570" s="108" t="str">
        <f t="shared" si="67"/>
        <v/>
      </c>
      <c r="AB570" s="2"/>
      <c r="AC570" s="131">
        <f t="shared" si="68"/>
        <v>45378.151260504201</v>
      </c>
      <c r="AD570" s="108">
        <f t="shared" si="69"/>
        <v>8621.8487394957992</v>
      </c>
      <c r="AE570" s="95" t="s">
        <v>1501</v>
      </c>
      <c r="AF570" s="498" t="s">
        <v>3487</v>
      </c>
      <c r="AG570" s="2" t="str">
        <f t="shared" ca="1" si="70"/>
        <v>NO</v>
      </c>
      <c r="AH570" s="284"/>
      <c r="AI570" s="498"/>
      <c r="AJ570" s="2" t="str">
        <f t="shared" si="71"/>
        <v>NV</v>
      </c>
      <c r="AK570" s="303"/>
    </row>
    <row r="571" spans="1:37" x14ac:dyDescent="0.25">
      <c r="A571" s="542" t="s">
        <v>1182</v>
      </c>
      <c r="B571" s="317" t="s">
        <v>1044</v>
      </c>
      <c r="C571" s="95">
        <v>3050</v>
      </c>
      <c r="D571" s="95">
        <v>0</v>
      </c>
      <c r="E571" s="95"/>
      <c r="F571" s="95"/>
      <c r="G571" s="95" t="s">
        <v>2528</v>
      </c>
      <c r="H571" s="138">
        <v>181706</v>
      </c>
      <c r="I571" s="138"/>
      <c r="J571" s="126">
        <f t="shared" si="64"/>
        <v>181706</v>
      </c>
      <c r="K571" s="318">
        <v>43826</v>
      </c>
      <c r="L571" s="95">
        <v>7</v>
      </c>
      <c r="M571" s="313">
        <f t="shared" si="65"/>
        <v>43833</v>
      </c>
      <c r="N571" s="2" t="str">
        <f t="shared" si="66"/>
        <v>Pagado</v>
      </c>
      <c r="O571" s="318">
        <v>43826</v>
      </c>
      <c r="P571" s="138">
        <v>181706</v>
      </c>
      <c r="Q571" s="2" t="s">
        <v>2131</v>
      </c>
      <c r="R571" s="2"/>
      <c r="S571" s="95" t="s">
        <v>5557</v>
      </c>
      <c r="T571" s="313" t="s">
        <v>1493</v>
      </c>
      <c r="U571" s="393">
        <v>43837</v>
      </c>
      <c r="V571" s="95"/>
      <c r="W571" s="129"/>
      <c r="X571" s="318"/>
      <c r="Y571" s="95"/>
      <c r="Z571" s="131"/>
      <c r="AA571" s="108" t="str">
        <f t="shared" si="67"/>
        <v>Otros</v>
      </c>
      <c r="AB571" s="2"/>
      <c r="AC571" s="131">
        <f t="shared" si="68"/>
        <v>152694.11764705883</v>
      </c>
      <c r="AD571" s="108">
        <f t="shared" si="69"/>
        <v>29011.882352941175</v>
      </c>
      <c r="AE571" s="95" t="s">
        <v>1445</v>
      </c>
      <c r="AF571" s="541" t="s">
        <v>3490</v>
      </c>
      <c r="AG571" s="2" t="str">
        <f t="shared" si="70"/>
        <v>SI</v>
      </c>
      <c r="AH571" s="284"/>
      <c r="AI571" s="541"/>
      <c r="AJ571" s="2" t="str">
        <f t="shared" si="71"/>
        <v>Factura</v>
      </c>
      <c r="AK571" s="303"/>
    </row>
    <row r="572" spans="1:37" x14ac:dyDescent="0.25">
      <c r="A572" s="499" t="s">
        <v>1238</v>
      </c>
      <c r="B572" s="317" t="s">
        <v>1944</v>
      </c>
      <c r="C572" s="95">
        <v>0</v>
      </c>
      <c r="D572" s="95">
        <v>2812</v>
      </c>
      <c r="E572" s="95"/>
      <c r="F572" s="95"/>
      <c r="G572" s="95">
        <v>6319</v>
      </c>
      <c r="H572" s="138">
        <v>41800</v>
      </c>
      <c r="I572" s="138"/>
      <c r="J572" s="126">
        <f t="shared" si="64"/>
        <v>41800</v>
      </c>
      <c r="K572" s="318">
        <v>43826</v>
      </c>
      <c r="L572" s="95">
        <v>0</v>
      </c>
      <c r="M572" s="313">
        <f t="shared" si="65"/>
        <v>43826</v>
      </c>
      <c r="N572" s="2" t="str">
        <f t="shared" si="66"/>
        <v>Pagado</v>
      </c>
      <c r="O572" s="318">
        <v>43836</v>
      </c>
      <c r="P572" s="138">
        <v>41800</v>
      </c>
      <c r="Q572" s="2" t="s">
        <v>1484</v>
      </c>
      <c r="R572" s="2"/>
      <c r="S572" s="95"/>
      <c r="T572" s="313" t="s">
        <v>1488</v>
      </c>
      <c r="U572" s="393"/>
      <c r="V572" s="95"/>
      <c r="W572" s="129"/>
      <c r="X572" s="318"/>
      <c r="Y572" s="95"/>
      <c r="Z572" s="131"/>
      <c r="AA572" s="108" t="str">
        <f t="shared" si="67"/>
        <v/>
      </c>
      <c r="AB572" s="2"/>
      <c r="AC572" s="131">
        <f t="shared" si="68"/>
        <v>35126.050420168067</v>
      </c>
      <c r="AD572" s="108">
        <f t="shared" si="69"/>
        <v>6673.9495798319331</v>
      </c>
      <c r="AE572" s="95" t="s">
        <v>1445</v>
      </c>
      <c r="AF572" s="498" t="s">
        <v>3489</v>
      </c>
      <c r="AG572" s="2" t="str">
        <f t="shared" si="70"/>
        <v>SI</v>
      </c>
      <c r="AH572" s="284"/>
      <c r="AI572" s="498"/>
      <c r="AJ572" s="2" t="str">
        <f t="shared" si="71"/>
        <v>NV</v>
      </c>
      <c r="AK572" s="303"/>
    </row>
    <row r="573" spans="1:37" x14ac:dyDescent="0.25">
      <c r="A573" s="534" t="s">
        <v>1193</v>
      </c>
      <c r="B573" s="317" t="s">
        <v>1017</v>
      </c>
      <c r="C573" s="95">
        <v>3051</v>
      </c>
      <c r="D573" s="95">
        <v>0</v>
      </c>
      <c r="E573" s="95"/>
      <c r="F573" s="95"/>
      <c r="G573" s="95" t="s">
        <v>2528</v>
      </c>
      <c r="H573" s="138">
        <v>50491</v>
      </c>
      <c r="I573" s="138"/>
      <c r="J573" s="126">
        <f t="shared" si="64"/>
        <v>50491</v>
      </c>
      <c r="K573" s="318">
        <v>43826</v>
      </c>
      <c r="L573" s="95">
        <v>0</v>
      </c>
      <c r="M573" s="313">
        <f t="shared" si="65"/>
        <v>43826</v>
      </c>
      <c r="N573" s="2" t="str">
        <f t="shared" si="66"/>
        <v>Pagado</v>
      </c>
      <c r="O573" s="318">
        <v>43826</v>
      </c>
      <c r="P573" s="138">
        <v>50491</v>
      </c>
      <c r="Q573" s="2" t="s">
        <v>1481</v>
      </c>
      <c r="R573" s="2"/>
      <c r="S573" s="95"/>
      <c r="T573" s="313"/>
      <c r="U573" s="393"/>
      <c r="V573" s="95"/>
      <c r="W573" s="129"/>
      <c r="X573" s="318"/>
      <c r="Y573" s="95"/>
      <c r="Z573" s="131"/>
      <c r="AA573" s="108" t="str">
        <f t="shared" si="67"/>
        <v/>
      </c>
      <c r="AB573" s="2"/>
      <c r="AC573" s="131">
        <f t="shared" si="68"/>
        <v>42429.411764705881</v>
      </c>
      <c r="AD573" s="108">
        <f t="shared" si="69"/>
        <v>8061.5882352941189</v>
      </c>
      <c r="AE573" s="95" t="s">
        <v>1445</v>
      </c>
      <c r="AF573" s="533" t="s">
        <v>3490</v>
      </c>
      <c r="AG573" s="2" t="str">
        <f t="shared" si="70"/>
        <v>SI</v>
      </c>
      <c r="AH573" s="284"/>
      <c r="AI573" s="533"/>
      <c r="AJ573" s="2" t="str">
        <f t="shared" si="71"/>
        <v>Factura</v>
      </c>
      <c r="AK573" s="303"/>
    </row>
    <row r="574" spans="1:37" x14ac:dyDescent="0.25">
      <c r="A574" s="542" t="s">
        <v>5419</v>
      </c>
      <c r="B574" s="317" t="s">
        <v>5420</v>
      </c>
      <c r="C574" s="95">
        <v>0</v>
      </c>
      <c r="D574" s="95">
        <v>2813</v>
      </c>
      <c r="E574" s="95"/>
      <c r="F574" s="95"/>
      <c r="G574" s="95">
        <v>6321</v>
      </c>
      <c r="H574" s="138">
        <v>29600</v>
      </c>
      <c r="I574" s="138"/>
      <c r="J574" s="126">
        <f t="shared" si="64"/>
        <v>29600</v>
      </c>
      <c r="K574" s="318">
        <v>43827</v>
      </c>
      <c r="L574" s="95">
        <v>0</v>
      </c>
      <c r="M574" s="313">
        <f t="shared" si="65"/>
        <v>43827</v>
      </c>
      <c r="N574" s="2" t="str">
        <f t="shared" si="66"/>
        <v>Pagado</v>
      </c>
      <c r="O574" s="318">
        <v>43827</v>
      </c>
      <c r="P574" s="138">
        <v>29600</v>
      </c>
      <c r="Q574" s="2" t="s">
        <v>1484</v>
      </c>
      <c r="R574" s="2"/>
      <c r="S574" s="95"/>
      <c r="T574" s="313" t="s">
        <v>1492</v>
      </c>
      <c r="U574" s="393"/>
      <c r="V574" s="95"/>
      <c r="W574" s="129"/>
      <c r="X574" s="318"/>
      <c r="Y574" s="95"/>
      <c r="Z574" s="131"/>
      <c r="AA574" s="108" t="str">
        <f t="shared" si="67"/>
        <v/>
      </c>
      <c r="AB574" s="2"/>
      <c r="AC574" s="131">
        <f t="shared" si="68"/>
        <v>24873.949579831933</v>
      </c>
      <c r="AD574" s="108">
        <f t="shared" si="69"/>
        <v>4726.0504201680669</v>
      </c>
      <c r="AE574" s="95" t="s">
        <v>1501</v>
      </c>
      <c r="AF574" s="541" t="s">
        <v>3487</v>
      </c>
      <c r="AG574" s="2" t="str">
        <f t="shared" si="70"/>
        <v>SI</v>
      </c>
      <c r="AH574" s="284"/>
      <c r="AI574" s="541"/>
      <c r="AJ574" s="2" t="str">
        <f t="shared" si="71"/>
        <v>NV</v>
      </c>
      <c r="AK574" s="303"/>
    </row>
    <row r="575" spans="1:37" x14ac:dyDescent="0.25">
      <c r="A575" s="499" t="s">
        <v>5558</v>
      </c>
      <c r="B575" s="317" t="s">
        <v>5559</v>
      </c>
      <c r="C575" s="95">
        <v>0</v>
      </c>
      <c r="D575" s="95">
        <v>0</v>
      </c>
      <c r="E575" s="95"/>
      <c r="F575" s="95"/>
      <c r="G575" s="95">
        <v>6320</v>
      </c>
      <c r="H575" s="138">
        <v>25700</v>
      </c>
      <c r="I575" s="138"/>
      <c r="J575" s="126">
        <f t="shared" si="64"/>
        <v>25700</v>
      </c>
      <c r="K575" s="318">
        <v>43827</v>
      </c>
      <c r="L575" s="95">
        <v>0</v>
      </c>
      <c r="M575" s="313">
        <f t="shared" si="65"/>
        <v>43827</v>
      </c>
      <c r="N575" s="2" t="str">
        <f t="shared" ca="1" si="66"/>
        <v>Vencido</v>
      </c>
      <c r="O575" s="318"/>
      <c r="P575" s="138"/>
      <c r="Q575" s="2"/>
      <c r="R575" s="2"/>
      <c r="S575" s="95"/>
      <c r="T575" s="313"/>
      <c r="U575" s="393"/>
      <c r="V575" s="95"/>
      <c r="W575" s="129"/>
      <c r="X575" s="318"/>
      <c r="Y575" s="95"/>
      <c r="Z575" s="131"/>
      <c r="AA575" s="108" t="str">
        <f t="shared" si="67"/>
        <v/>
      </c>
      <c r="AB575" s="2"/>
      <c r="AC575" s="131">
        <f t="shared" si="68"/>
        <v>21596.638655462186</v>
      </c>
      <c r="AD575" s="108">
        <f t="shared" si="69"/>
        <v>4103.3613445378141</v>
      </c>
      <c r="AE575" s="95" t="s">
        <v>1501</v>
      </c>
      <c r="AF575" s="498" t="s">
        <v>3487</v>
      </c>
      <c r="AG575" s="2" t="str">
        <f t="shared" ca="1" si="70"/>
        <v>NO</v>
      </c>
      <c r="AH575" s="284"/>
      <c r="AI575" s="498"/>
      <c r="AJ575" s="2" t="str">
        <f t="shared" si="71"/>
        <v>NV</v>
      </c>
      <c r="AK575" s="303"/>
    </row>
    <row r="576" spans="1:37" x14ac:dyDescent="0.25">
      <c r="A576" s="499" t="s">
        <v>5348</v>
      </c>
      <c r="B576" s="317" t="s">
        <v>5349</v>
      </c>
      <c r="C576" s="95">
        <v>0</v>
      </c>
      <c r="D576" s="95">
        <v>2815</v>
      </c>
      <c r="E576" s="95"/>
      <c r="F576" s="95"/>
      <c r="G576" s="95">
        <v>6325</v>
      </c>
      <c r="H576" s="138">
        <v>14800</v>
      </c>
      <c r="I576" s="138"/>
      <c r="J576" s="126">
        <f t="shared" si="64"/>
        <v>14800</v>
      </c>
      <c r="K576" s="318">
        <v>43827</v>
      </c>
      <c r="L576" s="95">
        <v>0</v>
      </c>
      <c r="M576" s="313">
        <f t="shared" si="65"/>
        <v>43827</v>
      </c>
      <c r="N576" s="2" t="str">
        <f t="shared" ca="1" si="66"/>
        <v>Vencido</v>
      </c>
      <c r="O576" s="318"/>
      <c r="P576" s="138"/>
      <c r="Q576" s="2"/>
      <c r="R576" s="2"/>
      <c r="S576" s="95"/>
      <c r="T576" s="313"/>
      <c r="U576" s="393"/>
      <c r="V576" s="95"/>
      <c r="W576" s="129"/>
      <c r="X576" s="318"/>
      <c r="Y576" s="95"/>
      <c r="Z576" s="131"/>
      <c r="AA576" s="108" t="str">
        <f t="shared" si="67"/>
        <v/>
      </c>
      <c r="AB576" s="2"/>
      <c r="AC576" s="131">
        <f t="shared" si="68"/>
        <v>12436.974789915967</v>
      </c>
      <c r="AD576" s="108">
        <f t="shared" si="69"/>
        <v>2363.0252100840335</v>
      </c>
      <c r="AE576" s="95" t="s">
        <v>1501</v>
      </c>
      <c r="AF576" s="498" t="s">
        <v>3487</v>
      </c>
      <c r="AG576" s="2" t="str">
        <f t="shared" ca="1" si="70"/>
        <v>NO</v>
      </c>
      <c r="AH576" s="284"/>
      <c r="AI576" s="498"/>
      <c r="AJ576" s="2" t="str">
        <f t="shared" si="71"/>
        <v>NV</v>
      </c>
      <c r="AK576" s="303"/>
    </row>
    <row r="577" spans="1:37" x14ac:dyDescent="0.25">
      <c r="A577" s="499" t="s">
        <v>5561</v>
      </c>
      <c r="B577" s="317" t="s">
        <v>5562</v>
      </c>
      <c r="C577" s="95">
        <v>0</v>
      </c>
      <c r="D577" s="95">
        <v>0</v>
      </c>
      <c r="E577" s="95"/>
      <c r="F577" s="95"/>
      <c r="G577" s="95">
        <v>6326</v>
      </c>
      <c r="H577" s="138">
        <v>17000</v>
      </c>
      <c r="I577" s="138"/>
      <c r="J577" s="126">
        <f t="shared" si="64"/>
        <v>17000</v>
      </c>
      <c r="K577" s="318">
        <v>43827</v>
      </c>
      <c r="L577" s="95">
        <v>0</v>
      </c>
      <c r="M577" s="313">
        <f t="shared" si="65"/>
        <v>43827</v>
      </c>
      <c r="N577" s="2" t="str">
        <f t="shared" ca="1" si="66"/>
        <v>Vencido</v>
      </c>
      <c r="O577" s="318"/>
      <c r="P577" s="138"/>
      <c r="Q577" s="2"/>
      <c r="R577" s="2"/>
      <c r="S577" s="95"/>
      <c r="T577" s="313"/>
      <c r="U577" s="393"/>
      <c r="V577" s="95"/>
      <c r="W577" s="129"/>
      <c r="X577" s="318"/>
      <c r="Y577" s="95"/>
      <c r="Z577" s="131"/>
      <c r="AA577" s="108" t="str">
        <f t="shared" si="67"/>
        <v/>
      </c>
      <c r="AB577" s="2"/>
      <c r="AC577" s="131">
        <f t="shared" si="68"/>
        <v>14285.714285714286</v>
      </c>
      <c r="AD577" s="108">
        <f t="shared" si="69"/>
        <v>2714.2857142857138</v>
      </c>
      <c r="AE577" s="95" t="s">
        <v>1501</v>
      </c>
      <c r="AF577" s="498" t="s">
        <v>3487</v>
      </c>
      <c r="AG577" s="2" t="str">
        <f t="shared" ca="1" si="70"/>
        <v>NO</v>
      </c>
      <c r="AH577" s="284"/>
      <c r="AI577" s="498"/>
      <c r="AJ577" s="2" t="str">
        <f t="shared" si="71"/>
        <v>NV</v>
      </c>
      <c r="AK577" s="303"/>
    </row>
    <row r="578" spans="1:37" x14ac:dyDescent="0.25">
      <c r="A578" s="499" t="s">
        <v>1411</v>
      </c>
      <c r="B578" s="317" t="s">
        <v>1150</v>
      </c>
      <c r="C578" s="95">
        <v>0</v>
      </c>
      <c r="D578" s="95">
        <v>186</v>
      </c>
      <c r="E578" s="95"/>
      <c r="F578" s="95"/>
      <c r="G578" s="95">
        <v>6322</v>
      </c>
      <c r="H578" s="138">
        <v>23000</v>
      </c>
      <c r="I578" s="138"/>
      <c r="J578" s="126">
        <f t="shared" si="64"/>
        <v>23000</v>
      </c>
      <c r="K578" s="318">
        <v>43827</v>
      </c>
      <c r="L578" s="95">
        <v>0</v>
      </c>
      <c r="M578" s="313">
        <f t="shared" si="65"/>
        <v>43827</v>
      </c>
      <c r="N578" s="2" t="str">
        <f t="shared" ca="1" si="66"/>
        <v>Vencido</v>
      </c>
      <c r="O578" s="318"/>
      <c r="P578" s="138"/>
      <c r="Q578" s="2"/>
      <c r="R578" s="2"/>
      <c r="S578" s="95"/>
      <c r="T578" s="313"/>
      <c r="U578" s="393"/>
      <c r="V578" s="95"/>
      <c r="W578" s="129"/>
      <c r="X578" s="318"/>
      <c r="Y578" s="95"/>
      <c r="Z578" s="131"/>
      <c r="AA578" s="108" t="str">
        <f t="shared" si="67"/>
        <v/>
      </c>
      <c r="AB578" s="2"/>
      <c r="AC578" s="131">
        <f t="shared" si="68"/>
        <v>19327.731092436974</v>
      </c>
      <c r="AD578" s="108">
        <f t="shared" si="69"/>
        <v>3672.268907563026</v>
      </c>
      <c r="AE578" s="95" t="s">
        <v>1501</v>
      </c>
      <c r="AF578" s="498" t="s">
        <v>3487</v>
      </c>
      <c r="AG578" s="2" t="str">
        <f t="shared" ca="1" si="70"/>
        <v>NO</v>
      </c>
      <c r="AH578" s="284"/>
      <c r="AI578" s="498"/>
      <c r="AJ578" s="2" t="str">
        <f t="shared" si="71"/>
        <v>NV</v>
      </c>
      <c r="AK578" s="303"/>
    </row>
    <row r="579" spans="1:37" x14ac:dyDescent="0.25">
      <c r="A579" s="534" t="s">
        <v>4031</v>
      </c>
      <c r="B579" s="317" t="s">
        <v>4032</v>
      </c>
      <c r="C579" s="95">
        <v>0</v>
      </c>
      <c r="D579" s="95">
        <v>2814</v>
      </c>
      <c r="E579" s="95"/>
      <c r="F579" s="95"/>
      <c r="G579" s="95">
        <v>6324</v>
      </c>
      <c r="H579" s="138">
        <v>31300</v>
      </c>
      <c r="I579" s="138"/>
      <c r="J579" s="126">
        <f t="shared" ref="J579:J642" si="72">+H579+I579</f>
        <v>31300</v>
      </c>
      <c r="K579" s="318">
        <v>43827</v>
      </c>
      <c r="L579" s="95">
        <v>0</v>
      </c>
      <c r="M579" s="313">
        <f t="shared" ref="M579:M642" si="73">+L579+K579</f>
        <v>43827</v>
      </c>
      <c r="N579" s="2" t="str">
        <f t="shared" ref="N579:N642" si="74">+IF(J579=0,"Nulo",IF(P579&gt;=J579,"Pagado",IF(P579&gt;0,"Abonado",IF(M579&lt;$M$1,"Vencido",IF(J579&gt;P579,"Pendiente","Vencido")))))</f>
        <v>Pagado</v>
      </c>
      <c r="O579" s="318">
        <v>43830</v>
      </c>
      <c r="P579" s="138">
        <v>31300</v>
      </c>
      <c r="Q579" s="2" t="s">
        <v>1484</v>
      </c>
      <c r="R579" s="2"/>
      <c r="S579" s="95"/>
      <c r="T579" s="313" t="s">
        <v>1462</v>
      </c>
      <c r="U579" s="393"/>
      <c r="V579" s="95"/>
      <c r="W579" s="129"/>
      <c r="X579" s="318"/>
      <c r="Y579" s="95"/>
      <c r="Z579" s="131"/>
      <c r="AA579" s="108" t="str">
        <f t="shared" ref="AA579:AA642" si="75">+IF(LEFT(Q579,6)="Cheque",IF(T579="Chile","Chile","Otros"),"")</f>
        <v/>
      </c>
      <c r="AB579" s="2"/>
      <c r="AC579" s="131">
        <f t="shared" ref="AC579:AC642" si="76">+IF(C579="","",H579/1.19)</f>
        <v>26302.521008403364</v>
      </c>
      <c r="AD579" s="108">
        <f t="shared" ref="AD579:AD642" si="77">+IF(C579="","",H579-AC579)</f>
        <v>4997.4789915966358</v>
      </c>
      <c r="AE579" s="95" t="s">
        <v>1501</v>
      </c>
      <c r="AF579" s="533" t="s">
        <v>3487</v>
      </c>
      <c r="AG579" s="2" t="str">
        <f t="shared" ref="AG579:AG642" si="78">+IF(N579="Pagado","SI",IF(N579="NULO","SI","NO"))</f>
        <v>SI</v>
      </c>
      <c r="AH579" s="284"/>
      <c r="AI579" s="533"/>
      <c r="AJ579" s="2" t="str">
        <f t="shared" ref="AJ579:AJ642" si="79">+IF(C579=0,"NV","Factura")</f>
        <v>NV</v>
      </c>
      <c r="AK579" s="303"/>
    </row>
    <row r="580" spans="1:37" x14ac:dyDescent="0.25">
      <c r="A580" s="534" t="s">
        <v>1234</v>
      </c>
      <c r="B580" s="317" t="s">
        <v>970</v>
      </c>
      <c r="C580" s="95">
        <v>0</v>
      </c>
      <c r="D580" s="95">
        <v>0</v>
      </c>
      <c r="E580" s="95"/>
      <c r="F580" s="95"/>
      <c r="G580" s="95">
        <v>6323</v>
      </c>
      <c r="H580" s="138">
        <v>10200</v>
      </c>
      <c r="I580" s="138"/>
      <c r="J580" s="126">
        <f t="shared" si="72"/>
        <v>10200</v>
      </c>
      <c r="K580" s="318">
        <v>43827</v>
      </c>
      <c r="L580" s="95">
        <v>0</v>
      </c>
      <c r="M580" s="313">
        <f t="shared" si="73"/>
        <v>43827</v>
      </c>
      <c r="N580" s="2" t="str">
        <f t="shared" si="74"/>
        <v>Pagado</v>
      </c>
      <c r="O580" s="318">
        <v>43839</v>
      </c>
      <c r="P580" s="138">
        <v>10200</v>
      </c>
      <c r="Q580" s="2"/>
      <c r="R580" s="2" t="s">
        <v>2243</v>
      </c>
      <c r="S580" s="95">
        <v>193</v>
      </c>
      <c r="T580" s="313"/>
      <c r="U580" s="393"/>
      <c r="V580" s="95"/>
      <c r="W580" s="129"/>
      <c r="X580" s="318"/>
      <c r="Y580" s="95"/>
      <c r="Z580" s="131"/>
      <c r="AA580" s="108" t="str">
        <f t="shared" si="75"/>
        <v/>
      </c>
      <c r="AB580" s="2"/>
      <c r="AC580" s="131">
        <f t="shared" si="76"/>
        <v>8571.4285714285725</v>
      </c>
      <c r="AD580" s="108">
        <f t="shared" si="77"/>
        <v>1628.5714285714275</v>
      </c>
      <c r="AE580" s="95" t="s">
        <v>1501</v>
      </c>
      <c r="AF580" s="533" t="s">
        <v>3489</v>
      </c>
      <c r="AG580" s="2" t="str">
        <f t="shared" si="78"/>
        <v>SI</v>
      </c>
      <c r="AH580" s="284"/>
      <c r="AI580" s="533"/>
      <c r="AJ580" s="2" t="str">
        <f t="shared" si="79"/>
        <v>NV</v>
      </c>
      <c r="AK580" s="303"/>
    </row>
    <row r="581" spans="1:37" x14ac:dyDescent="0.25">
      <c r="A581" s="542" t="s">
        <v>1402</v>
      </c>
      <c r="B581" s="317" t="s">
        <v>3588</v>
      </c>
      <c r="C581" s="95">
        <v>0</v>
      </c>
      <c r="D581" s="95">
        <v>2820</v>
      </c>
      <c r="E581" s="95"/>
      <c r="F581" s="95"/>
      <c r="G581" s="95">
        <v>6330</v>
      </c>
      <c r="H581" s="138">
        <v>20900</v>
      </c>
      <c r="I581" s="138"/>
      <c r="J581" s="126">
        <f t="shared" si="72"/>
        <v>20900</v>
      </c>
      <c r="K581" s="318">
        <v>43829</v>
      </c>
      <c r="L581" s="95">
        <v>0</v>
      </c>
      <c r="M581" s="313">
        <f t="shared" si="73"/>
        <v>43829</v>
      </c>
      <c r="N581" s="2" t="str">
        <f t="shared" si="74"/>
        <v>Pagado</v>
      </c>
      <c r="O581" s="318">
        <v>43829</v>
      </c>
      <c r="P581" s="138">
        <v>20900</v>
      </c>
      <c r="Q581" s="2" t="s">
        <v>1484</v>
      </c>
      <c r="R581" s="2"/>
      <c r="S581" s="95"/>
      <c r="T581" s="313" t="s">
        <v>1488</v>
      </c>
      <c r="U581" s="393"/>
      <c r="V581" s="95"/>
      <c r="W581" s="129"/>
      <c r="X581" s="318"/>
      <c r="Y581" s="95"/>
      <c r="Z581" s="131"/>
      <c r="AA581" s="108" t="str">
        <f t="shared" si="75"/>
        <v/>
      </c>
      <c r="AB581" s="2"/>
      <c r="AC581" s="131">
        <f t="shared" si="76"/>
        <v>17563.025210084033</v>
      </c>
      <c r="AD581" s="108">
        <f t="shared" si="77"/>
        <v>3336.9747899159665</v>
      </c>
      <c r="AE581" s="95" t="s">
        <v>1501</v>
      </c>
      <c r="AF581" s="541" t="s">
        <v>3489</v>
      </c>
      <c r="AG581" s="2" t="str">
        <f t="shared" si="78"/>
        <v>SI</v>
      </c>
      <c r="AH581" s="284"/>
      <c r="AI581" s="541"/>
      <c r="AJ581" s="2" t="str">
        <f t="shared" si="79"/>
        <v>NV</v>
      </c>
      <c r="AK581" s="303"/>
    </row>
    <row r="582" spans="1:37" x14ac:dyDescent="0.25">
      <c r="A582" s="542" t="s">
        <v>1239</v>
      </c>
      <c r="B582" s="317" t="s">
        <v>3501</v>
      </c>
      <c r="C582" s="95">
        <v>3052</v>
      </c>
      <c r="D582" s="95">
        <v>0</v>
      </c>
      <c r="E582" s="95"/>
      <c r="F582" s="95"/>
      <c r="G582" s="95" t="s">
        <v>2528</v>
      </c>
      <c r="H582" s="138">
        <v>19593</v>
      </c>
      <c r="I582" s="138"/>
      <c r="J582" s="126">
        <f t="shared" si="72"/>
        <v>19593</v>
      </c>
      <c r="K582" s="318">
        <v>43829</v>
      </c>
      <c r="L582" s="95">
        <v>30</v>
      </c>
      <c r="M582" s="313">
        <f t="shared" si="73"/>
        <v>43859</v>
      </c>
      <c r="N582" s="2" t="str">
        <f t="shared" si="74"/>
        <v>Pagado</v>
      </c>
      <c r="O582" s="318">
        <v>43865</v>
      </c>
      <c r="P582" s="138">
        <v>19593</v>
      </c>
      <c r="Q582" s="2" t="s">
        <v>1484</v>
      </c>
      <c r="R582" s="2"/>
      <c r="S582" s="95"/>
      <c r="T582" s="313" t="s">
        <v>1462</v>
      </c>
      <c r="U582" s="393"/>
      <c r="V582" s="95"/>
      <c r="W582" s="129"/>
      <c r="X582" s="318"/>
      <c r="Y582" s="95"/>
      <c r="Z582" s="131"/>
      <c r="AA582" s="108" t="str">
        <f t="shared" si="75"/>
        <v/>
      </c>
      <c r="AB582" s="2"/>
      <c r="AC582" s="131">
        <f t="shared" si="76"/>
        <v>16464.705882352941</v>
      </c>
      <c r="AD582" s="108">
        <f t="shared" si="77"/>
        <v>3128.2941176470595</v>
      </c>
      <c r="AE582" s="95" t="s">
        <v>1849</v>
      </c>
      <c r="AF582" s="541" t="s">
        <v>3489</v>
      </c>
      <c r="AG582" s="2" t="str">
        <f t="shared" si="78"/>
        <v>SI</v>
      </c>
      <c r="AH582" s="284"/>
      <c r="AI582" s="541"/>
      <c r="AJ582" s="2" t="str">
        <f t="shared" si="79"/>
        <v>Factura</v>
      </c>
      <c r="AK582" s="303"/>
    </row>
    <row r="583" spans="1:37" x14ac:dyDescent="0.25">
      <c r="A583" s="499" t="s">
        <v>1237</v>
      </c>
      <c r="B583" s="317" t="s">
        <v>2147</v>
      </c>
      <c r="C583" s="95">
        <v>0</v>
      </c>
      <c r="D583" s="95">
        <v>2818</v>
      </c>
      <c r="E583" s="95"/>
      <c r="F583" s="95"/>
      <c r="G583" s="95">
        <v>6333</v>
      </c>
      <c r="H583" s="138">
        <v>43800</v>
      </c>
      <c r="I583" s="138"/>
      <c r="J583" s="126">
        <f t="shared" si="72"/>
        <v>43800</v>
      </c>
      <c r="K583" s="318">
        <v>43829</v>
      </c>
      <c r="L583" s="95">
        <v>0</v>
      </c>
      <c r="M583" s="313">
        <f t="shared" si="73"/>
        <v>43829</v>
      </c>
      <c r="N583" s="2" t="str">
        <f t="shared" ca="1" si="74"/>
        <v>Vencido</v>
      </c>
      <c r="O583" s="318"/>
      <c r="P583" s="138"/>
      <c r="Q583" s="2"/>
      <c r="R583" s="2"/>
      <c r="S583" s="95"/>
      <c r="T583" s="313"/>
      <c r="U583" s="393"/>
      <c r="V583" s="95"/>
      <c r="W583" s="129"/>
      <c r="X583" s="318"/>
      <c r="Y583" s="95"/>
      <c r="Z583" s="131"/>
      <c r="AA583" s="108" t="str">
        <f t="shared" si="75"/>
        <v/>
      </c>
      <c r="AB583" s="2"/>
      <c r="AC583" s="131">
        <f t="shared" si="76"/>
        <v>36806.722689075628</v>
      </c>
      <c r="AD583" s="108">
        <f t="shared" si="77"/>
        <v>6993.2773109243717</v>
      </c>
      <c r="AE583" s="95" t="s">
        <v>1501</v>
      </c>
      <c r="AF583" s="498" t="s">
        <v>3489</v>
      </c>
      <c r="AG583" s="2" t="str">
        <f t="shared" ca="1" si="78"/>
        <v>NO</v>
      </c>
      <c r="AH583" s="284"/>
      <c r="AI583" s="498"/>
      <c r="AJ583" s="2" t="str">
        <f t="shared" si="79"/>
        <v>NV</v>
      </c>
      <c r="AK583" s="303"/>
    </row>
    <row r="584" spans="1:37" x14ac:dyDescent="0.25">
      <c r="A584" s="499" t="s">
        <v>5402</v>
      </c>
      <c r="B584" s="317" t="s">
        <v>5403</v>
      </c>
      <c r="C584" s="95">
        <v>0</v>
      </c>
      <c r="D584" s="95">
        <v>189</v>
      </c>
      <c r="E584" s="95"/>
      <c r="F584" s="95"/>
      <c r="G584" s="95">
        <v>6339</v>
      </c>
      <c r="H584" s="138">
        <v>39600</v>
      </c>
      <c r="I584" s="138"/>
      <c r="J584" s="126">
        <f t="shared" si="72"/>
        <v>39600</v>
      </c>
      <c r="K584" s="318">
        <v>43829</v>
      </c>
      <c r="L584" s="95">
        <v>0</v>
      </c>
      <c r="M584" s="313">
        <f t="shared" si="73"/>
        <v>43829</v>
      </c>
      <c r="N584" s="2" t="str">
        <f t="shared" si="74"/>
        <v>Pagado</v>
      </c>
      <c r="O584" s="318">
        <v>44195</v>
      </c>
      <c r="P584" s="138">
        <v>39600</v>
      </c>
      <c r="Q584" s="2" t="s">
        <v>1070</v>
      </c>
      <c r="R584" s="2" t="s">
        <v>2243</v>
      </c>
      <c r="S584" s="95">
        <v>189</v>
      </c>
      <c r="T584" s="313"/>
      <c r="U584" s="393"/>
      <c r="V584" s="95"/>
      <c r="W584" s="129"/>
      <c r="X584" s="318"/>
      <c r="Y584" s="95"/>
      <c r="Z584" s="131"/>
      <c r="AA584" s="108" t="str">
        <f t="shared" si="75"/>
        <v/>
      </c>
      <c r="AB584" s="2"/>
      <c r="AC584" s="131">
        <f t="shared" si="76"/>
        <v>33277.310924369747</v>
      </c>
      <c r="AD584" s="108">
        <f t="shared" si="77"/>
        <v>6322.6890756302528</v>
      </c>
      <c r="AE584" s="95" t="s">
        <v>1501</v>
      </c>
      <c r="AF584" s="498" t="s">
        <v>3489</v>
      </c>
      <c r="AG584" s="2" t="str">
        <f t="shared" si="78"/>
        <v>SI</v>
      </c>
      <c r="AH584" s="284"/>
      <c r="AI584" s="498"/>
      <c r="AJ584" s="2" t="str">
        <f t="shared" si="79"/>
        <v>NV</v>
      </c>
      <c r="AK584" s="303"/>
    </row>
    <row r="585" spans="1:37" x14ac:dyDescent="0.25">
      <c r="A585" s="499" t="s">
        <v>5258</v>
      </c>
      <c r="B585" s="317" t="s">
        <v>5259</v>
      </c>
      <c r="C585" s="95">
        <v>0</v>
      </c>
      <c r="D585" s="95">
        <v>2824</v>
      </c>
      <c r="E585" s="95"/>
      <c r="F585" s="95"/>
      <c r="G585" s="95">
        <v>6337</v>
      </c>
      <c r="H585" s="138">
        <v>19700</v>
      </c>
      <c r="I585" s="138"/>
      <c r="J585" s="126">
        <f t="shared" si="72"/>
        <v>19700</v>
      </c>
      <c r="K585" s="318">
        <v>43829</v>
      </c>
      <c r="L585" s="95">
        <v>0</v>
      </c>
      <c r="M585" s="313">
        <f t="shared" si="73"/>
        <v>43829</v>
      </c>
      <c r="N585" s="2" t="str">
        <f t="shared" si="74"/>
        <v>Pagado</v>
      </c>
      <c r="O585" s="318">
        <v>43829</v>
      </c>
      <c r="P585" s="138">
        <v>19700</v>
      </c>
      <c r="Q585" s="2" t="s">
        <v>1484</v>
      </c>
      <c r="R585" s="2"/>
      <c r="S585" s="95"/>
      <c r="T585" s="313" t="s">
        <v>1462</v>
      </c>
      <c r="U585" s="393"/>
      <c r="V585" s="95"/>
      <c r="W585" s="129"/>
      <c r="X585" s="318"/>
      <c r="Y585" s="95"/>
      <c r="Z585" s="131"/>
      <c r="AA585" s="108" t="str">
        <f t="shared" si="75"/>
        <v/>
      </c>
      <c r="AB585" s="2"/>
      <c r="AC585" s="131">
        <f t="shared" si="76"/>
        <v>16554.621848739498</v>
      </c>
      <c r="AD585" s="108">
        <f t="shared" si="77"/>
        <v>3145.3781512605019</v>
      </c>
      <c r="AE585" s="95" t="s">
        <v>1501</v>
      </c>
      <c r="AF585" s="498" t="s">
        <v>3487</v>
      </c>
      <c r="AG585" s="2" t="str">
        <f t="shared" si="78"/>
        <v>SI</v>
      </c>
      <c r="AH585" s="284"/>
      <c r="AI585" s="498"/>
      <c r="AJ585" s="2" t="str">
        <f t="shared" si="79"/>
        <v>NV</v>
      </c>
      <c r="AK585" s="303"/>
    </row>
    <row r="586" spans="1:37" x14ac:dyDescent="0.25">
      <c r="A586" s="499" t="s">
        <v>4807</v>
      </c>
      <c r="B586" s="317" t="s">
        <v>4808</v>
      </c>
      <c r="C586" s="95">
        <v>0</v>
      </c>
      <c r="D586" s="95">
        <v>188</v>
      </c>
      <c r="E586" s="95"/>
      <c r="F586" s="95"/>
      <c r="G586" s="95">
        <v>6338</v>
      </c>
      <c r="H586" s="138">
        <v>35500</v>
      </c>
      <c r="I586" s="138"/>
      <c r="J586" s="126">
        <f t="shared" si="72"/>
        <v>35500</v>
      </c>
      <c r="K586" s="318">
        <v>43829</v>
      </c>
      <c r="L586" s="95">
        <v>0</v>
      </c>
      <c r="M586" s="313">
        <f t="shared" si="73"/>
        <v>43829</v>
      </c>
      <c r="N586" s="2" t="str">
        <f t="shared" ca="1" si="74"/>
        <v>Vencido</v>
      </c>
      <c r="O586" s="318"/>
      <c r="P586" s="138"/>
      <c r="Q586" s="2"/>
      <c r="R586" s="2"/>
      <c r="S586" s="95"/>
      <c r="T586" s="313"/>
      <c r="U586" s="393"/>
      <c r="V586" s="95"/>
      <c r="W586" s="129"/>
      <c r="X586" s="318"/>
      <c r="Y586" s="95"/>
      <c r="Z586" s="131"/>
      <c r="AA586" s="108" t="str">
        <f t="shared" si="75"/>
        <v/>
      </c>
      <c r="AB586" s="2"/>
      <c r="AC586" s="131">
        <f t="shared" si="76"/>
        <v>29831.932773109245</v>
      </c>
      <c r="AD586" s="108">
        <f t="shared" si="77"/>
        <v>5668.0672268907547</v>
      </c>
      <c r="AE586" s="95" t="s">
        <v>1501</v>
      </c>
      <c r="AF586" s="498" t="s">
        <v>3487</v>
      </c>
      <c r="AG586" s="2" t="str">
        <f t="shared" ca="1" si="78"/>
        <v>NO</v>
      </c>
      <c r="AH586" s="284"/>
      <c r="AI586" s="498"/>
      <c r="AJ586" s="2" t="str">
        <f t="shared" si="79"/>
        <v>NV</v>
      </c>
      <c r="AK586" s="303"/>
    </row>
    <row r="587" spans="1:37" x14ac:dyDescent="0.25">
      <c r="A587" s="499" t="s">
        <v>2344</v>
      </c>
      <c r="B587" s="317" t="s">
        <v>2345</v>
      </c>
      <c r="C587" s="95">
        <v>0</v>
      </c>
      <c r="D587" s="95">
        <v>2819</v>
      </c>
      <c r="E587" s="95"/>
      <c r="F587" s="95"/>
      <c r="G587" s="95">
        <v>6331</v>
      </c>
      <c r="H587" s="138">
        <v>16500</v>
      </c>
      <c r="I587" s="138"/>
      <c r="J587" s="126">
        <f t="shared" si="72"/>
        <v>16500</v>
      </c>
      <c r="K587" s="318">
        <v>43829</v>
      </c>
      <c r="L587" s="95">
        <v>0</v>
      </c>
      <c r="M587" s="313">
        <f t="shared" si="73"/>
        <v>43829</v>
      </c>
      <c r="N587" s="2" t="str">
        <f t="shared" si="74"/>
        <v>Pagado</v>
      </c>
      <c r="O587" s="318">
        <v>43829</v>
      </c>
      <c r="P587" s="138">
        <v>16500</v>
      </c>
      <c r="Q587" s="2" t="s">
        <v>1484</v>
      </c>
      <c r="R587" s="2"/>
      <c r="S587" s="95"/>
      <c r="T587" s="313" t="s">
        <v>1496</v>
      </c>
      <c r="U587" s="393"/>
      <c r="V587" s="95"/>
      <c r="W587" s="129"/>
      <c r="X587" s="318"/>
      <c r="Y587" s="95"/>
      <c r="Z587" s="131"/>
      <c r="AA587" s="108" t="str">
        <f t="shared" si="75"/>
        <v/>
      </c>
      <c r="AB587" s="2"/>
      <c r="AC587" s="131">
        <f t="shared" si="76"/>
        <v>13865.546218487396</v>
      </c>
      <c r="AD587" s="108">
        <f t="shared" si="77"/>
        <v>2634.4537815126041</v>
      </c>
      <c r="AE587" s="95" t="s">
        <v>1501</v>
      </c>
      <c r="AF587" s="541" t="s">
        <v>3487</v>
      </c>
      <c r="AG587" s="2" t="str">
        <f t="shared" si="78"/>
        <v>SI</v>
      </c>
      <c r="AH587" s="284"/>
      <c r="AI587" s="541"/>
      <c r="AJ587" s="2" t="str">
        <f t="shared" si="79"/>
        <v>NV</v>
      </c>
      <c r="AK587" s="303"/>
    </row>
    <row r="588" spans="1:37" x14ac:dyDescent="0.25">
      <c r="A588" s="499" t="s">
        <v>4577</v>
      </c>
      <c r="B588" s="317" t="s">
        <v>4578</v>
      </c>
      <c r="C588" s="95">
        <v>0</v>
      </c>
      <c r="D588" s="95">
        <v>187</v>
      </c>
      <c r="E588" s="95"/>
      <c r="F588" s="95"/>
      <c r="G588" s="95">
        <v>6332</v>
      </c>
      <c r="H588" s="138">
        <v>45400</v>
      </c>
      <c r="I588" s="138"/>
      <c r="J588" s="126">
        <f t="shared" si="72"/>
        <v>45400</v>
      </c>
      <c r="K588" s="318">
        <v>43829</v>
      </c>
      <c r="L588" s="95">
        <v>0</v>
      </c>
      <c r="M588" s="313">
        <f t="shared" si="73"/>
        <v>43829</v>
      </c>
      <c r="N588" s="2" t="str">
        <f t="shared" ca="1" si="74"/>
        <v>Vencido</v>
      </c>
      <c r="O588" s="318"/>
      <c r="P588" s="138"/>
      <c r="Q588" s="2"/>
      <c r="R588" s="2"/>
      <c r="S588" s="95"/>
      <c r="T588" s="313"/>
      <c r="U588" s="393"/>
      <c r="V588" s="95"/>
      <c r="W588" s="129"/>
      <c r="X588" s="318"/>
      <c r="Y588" s="95"/>
      <c r="Z588" s="131"/>
      <c r="AA588" s="108" t="str">
        <f t="shared" si="75"/>
        <v/>
      </c>
      <c r="AB588" s="2"/>
      <c r="AC588" s="131">
        <f t="shared" si="76"/>
        <v>38151.26050420168</v>
      </c>
      <c r="AD588" s="108">
        <f t="shared" si="77"/>
        <v>7248.7394957983197</v>
      </c>
      <c r="AE588" s="95" t="s">
        <v>1501</v>
      </c>
      <c r="AF588" s="498" t="s">
        <v>3487</v>
      </c>
      <c r="AG588" s="2" t="str">
        <f t="shared" ca="1" si="78"/>
        <v>NO</v>
      </c>
      <c r="AH588" s="284"/>
      <c r="AI588" s="498"/>
      <c r="AJ588" s="2" t="str">
        <f t="shared" si="79"/>
        <v>NV</v>
      </c>
      <c r="AK588" s="303"/>
    </row>
    <row r="589" spans="1:37" x14ac:dyDescent="0.25">
      <c r="A589" s="499" t="s">
        <v>2011</v>
      </c>
      <c r="B589" s="317" t="s">
        <v>2162</v>
      </c>
      <c r="C589" s="95">
        <v>0</v>
      </c>
      <c r="D589" s="95">
        <v>2825</v>
      </c>
      <c r="E589" s="95"/>
      <c r="F589" s="95"/>
      <c r="G589" s="95">
        <v>6336</v>
      </c>
      <c r="H589" s="138">
        <v>16100</v>
      </c>
      <c r="I589" s="138"/>
      <c r="J589" s="126">
        <f t="shared" si="72"/>
        <v>16100</v>
      </c>
      <c r="K589" s="318">
        <v>43829</v>
      </c>
      <c r="L589" s="95">
        <v>0</v>
      </c>
      <c r="M589" s="313">
        <f t="shared" si="73"/>
        <v>43829</v>
      </c>
      <c r="N589" s="2" t="str">
        <f t="shared" si="74"/>
        <v>Pagado</v>
      </c>
      <c r="O589" s="318">
        <v>43829</v>
      </c>
      <c r="P589" s="138">
        <v>16100</v>
      </c>
      <c r="Q589" s="2" t="s">
        <v>1484</v>
      </c>
      <c r="R589" s="2"/>
      <c r="S589" s="95"/>
      <c r="T589" s="313" t="s">
        <v>1496</v>
      </c>
      <c r="U589" s="393"/>
      <c r="V589" s="95"/>
      <c r="W589" s="129"/>
      <c r="X589" s="318"/>
      <c r="Y589" s="95"/>
      <c r="Z589" s="131"/>
      <c r="AA589" s="108" t="str">
        <f t="shared" si="75"/>
        <v/>
      </c>
      <c r="AB589" s="2"/>
      <c r="AC589" s="131">
        <f t="shared" si="76"/>
        <v>13529.411764705883</v>
      </c>
      <c r="AD589" s="108">
        <f t="shared" si="77"/>
        <v>2570.5882352941171</v>
      </c>
      <c r="AE589" s="95" t="s">
        <v>1501</v>
      </c>
      <c r="AF589" s="498" t="s">
        <v>3487</v>
      </c>
      <c r="AG589" s="2" t="str">
        <f t="shared" si="78"/>
        <v>SI</v>
      </c>
      <c r="AH589" s="284"/>
      <c r="AI589" s="498"/>
      <c r="AJ589" s="2" t="str">
        <f t="shared" si="79"/>
        <v>NV</v>
      </c>
      <c r="AK589" s="303"/>
    </row>
    <row r="590" spans="1:37" x14ac:dyDescent="0.25">
      <c r="A590" s="499" t="s">
        <v>4580</v>
      </c>
      <c r="B590" s="317" t="s">
        <v>4581</v>
      </c>
      <c r="C590" s="95">
        <v>0</v>
      </c>
      <c r="D590" s="95">
        <v>2822</v>
      </c>
      <c r="E590" s="95"/>
      <c r="F590" s="95"/>
      <c r="G590" s="95">
        <v>6328</v>
      </c>
      <c r="H590" s="138">
        <v>122000</v>
      </c>
      <c r="I590" s="138"/>
      <c r="J590" s="126">
        <f t="shared" si="72"/>
        <v>122000</v>
      </c>
      <c r="K590" s="318">
        <v>43829</v>
      </c>
      <c r="L590" s="95">
        <v>0</v>
      </c>
      <c r="M590" s="313">
        <f t="shared" si="73"/>
        <v>43829</v>
      </c>
      <c r="N590" s="2" t="str">
        <f t="shared" si="74"/>
        <v>Pagado</v>
      </c>
      <c r="O590" s="318">
        <v>43829</v>
      </c>
      <c r="P590" s="138">
        <v>122000</v>
      </c>
      <c r="Q590" s="2" t="s">
        <v>1484</v>
      </c>
      <c r="R590" s="2"/>
      <c r="S590" s="95"/>
      <c r="T590" s="313" t="s">
        <v>1462</v>
      </c>
      <c r="U590" s="393"/>
      <c r="V590" s="95"/>
      <c r="W590" s="129"/>
      <c r="X590" s="318"/>
      <c r="Y590" s="95"/>
      <c r="Z590" s="131"/>
      <c r="AA590" s="108" t="str">
        <f t="shared" si="75"/>
        <v/>
      </c>
      <c r="AB590" s="2"/>
      <c r="AC590" s="131">
        <f t="shared" si="76"/>
        <v>102521.00840336135</v>
      </c>
      <c r="AD590" s="108">
        <f t="shared" si="77"/>
        <v>19478.991596638647</v>
      </c>
      <c r="AE590" s="95" t="s">
        <v>1501</v>
      </c>
      <c r="AF590" s="498" t="s">
        <v>3487</v>
      </c>
      <c r="AG590" s="2" t="str">
        <f t="shared" si="78"/>
        <v>SI</v>
      </c>
      <c r="AH590" s="284"/>
      <c r="AI590" s="498"/>
      <c r="AJ590" s="2" t="str">
        <f t="shared" si="79"/>
        <v>NV</v>
      </c>
      <c r="AK590" s="303"/>
    </row>
    <row r="591" spans="1:37" x14ac:dyDescent="0.25">
      <c r="A591" s="499" t="s">
        <v>1368</v>
      </c>
      <c r="B591" s="317" t="s">
        <v>2387</v>
      </c>
      <c r="C591" s="95">
        <v>0</v>
      </c>
      <c r="D591" s="95">
        <v>2816</v>
      </c>
      <c r="E591" s="95"/>
      <c r="F591" s="95"/>
      <c r="G591" s="95">
        <v>6327</v>
      </c>
      <c r="H591" s="138">
        <v>30400</v>
      </c>
      <c r="I591" s="138"/>
      <c r="J591" s="126">
        <f t="shared" si="72"/>
        <v>30400</v>
      </c>
      <c r="K591" s="318">
        <v>43829</v>
      </c>
      <c r="L591" s="95">
        <v>0</v>
      </c>
      <c r="M591" s="313">
        <f t="shared" si="73"/>
        <v>43829</v>
      </c>
      <c r="N591" s="2" t="str">
        <f t="shared" ca="1" si="74"/>
        <v>Vencido</v>
      </c>
      <c r="O591" s="318"/>
      <c r="P591" s="138"/>
      <c r="Q591" s="2"/>
      <c r="R591" s="2"/>
      <c r="S591" s="95"/>
      <c r="T591" s="313"/>
      <c r="U591" s="393"/>
      <c r="V591" s="95"/>
      <c r="W591" s="129"/>
      <c r="X591" s="318"/>
      <c r="Y591" s="95"/>
      <c r="Z591" s="131"/>
      <c r="AA591" s="108" t="str">
        <f t="shared" si="75"/>
        <v/>
      </c>
      <c r="AB591" s="2"/>
      <c r="AC591" s="131">
        <f t="shared" si="76"/>
        <v>25546.218487394959</v>
      </c>
      <c r="AD591" s="108">
        <f t="shared" si="77"/>
        <v>4853.7815126050409</v>
      </c>
      <c r="AE591" s="95" t="s">
        <v>1501</v>
      </c>
      <c r="AF591" s="498" t="s">
        <v>3487</v>
      </c>
      <c r="AG591" s="2" t="str">
        <f t="shared" ca="1" si="78"/>
        <v>NO</v>
      </c>
      <c r="AH591" s="284"/>
      <c r="AI591" s="498"/>
      <c r="AJ591" s="2" t="str">
        <f t="shared" si="79"/>
        <v>NV</v>
      </c>
      <c r="AK591" s="303"/>
    </row>
    <row r="592" spans="1:37" x14ac:dyDescent="0.25">
      <c r="A592" s="534" t="s">
        <v>1257</v>
      </c>
      <c r="B592" s="317" t="s">
        <v>2145</v>
      </c>
      <c r="C592" s="95">
        <v>0</v>
      </c>
      <c r="D592" s="95">
        <v>2821</v>
      </c>
      <c r="E592" s="95"/>
      <c r="F592" s="95"/>
      <c r="G592" s="95">
        <v>6329</v>
      </c>
      <c r="H592" s="138">
        <v>18400</v>
      </c>
      <c r="I592" s="138"/>
      <c r="J592" s="126">
        <f t="shared" si="72"/>
        <v>18400</v>
      </c>
      <c r="K592" s="318">
        <v>43829</v>
      </c>
      <c r="L592" s="95">
        <v>0</v>
      </c>
      <c r="M592" s="313">
        <f t="shared" si="73"/>
        <v>43829</v>
      </c>
      <c r="N592" s="2" t="str">
        <f t="shared" si="74"/>
        <v>Pagado</v>
      </c>
      <c r="O592" s="318">
        <v>43830</v>
      </c>
      <c r="P592" s="138">
        <v>18400</v>
      </c>
      <c r="Q592" s="2" t="s">
        <v>1484</v>
      </c>
      <c r="R592" s="2"/>
      <c r="S592" s="95"/>
      <c r="T592" s="313" t="s">
        <v>1488</v>
      </c>
      <c r="U592" s="393"/>
      <c r="V592" s="95"/>
      <c r="W592" s="129"/>
      <c r="X592" s="318"/>
      <c r="Y592" s="95"/>
      <c r="Z592" s="131"/>
      <c r="AA592" s="108" t="str">
        <f t="shared" si="75"/>
        <v/>
      </c>
      <c r="AB592" s="2"/>
      <c r="AC592" s="131">
        <f t="shared" si="76"/>
        <v>15462.18487394958</v>
      </c>
      <c r="AD592" s="108">
        <f t="shared" si="77"/>
        <v>2937.8151260504201</v>
      </c>
      <c r="AE592" s="95" t="s">
        <v>1501</v>
      </c>
      <c r="AF592" s="533" t="s">
        <v>3489</v>
      </c>
      <c r="AG592" s="2" t="str">
        <f t="shared" si="78"/>
        <v>SI</v>
      </c>
      <c r="AH592" s="284"/>
      <c r="AI592" s="533"/>
      <c r="AJ592" s="2" t="str">
        <f t="shared" si="79"/>
        <v>NV</v>
      </c>
      <c r="AK592" s="303"/>
    </row>
    <row r="593" spans="1:37" x14ac:dyDescent="0.25">
      <c r="A593" s="542" t="s">
        <v>3200</v>
      </c>
      <c r="B593" s="317" t="s">
        <v>3201</v>
      </c>
      <c r="C593" s="95">
        <v>0</v>
      </c>
      <c r="D593" s="95">
        <v>2823</v>
      </c>
      <c r="E593" s="95"/>
      <c r="F593" s="95"/>
      <c r="G593" s="95">
        <v>6335</v>
      </c>
      <c r="H593" s="138">
        <v>25500</v>
      </c>
      <c r="I593" s="138"/>
      <c r="J593" s="126">
        <f t="shared" si="72"/>
        <v>25500</v>
      </c>
      <c r="K593" s="318">
        <v>43829</v>
      </c>
      <c r="L593" s="95">
        <v>0</v>
      </c>
      <c r="M593" s="313">
        <f t="shared" si="73"/>
        <v>43829</v>
      </c>
      <c r="N593" s="2" t="str">
        <f t="shared" ca="1" si="74"/>
        <v>Vencido</v>
      </c>
      <c r="O593" s="318"/>
      <c r="P593" s="138"/>
      <c r="Q593" s="2"/>
      <c r="R593" s="2"/>
      <c r="S593" s="95"/>
      <c r="T593" s="313"/>
      <c r="U593" s="393"/>
      <c r="V593" s="95"/>
      <c r="W593" s="129"/>
      <c r="X593" s="318"/>
      <c r="Y593" s="95"/>
      <c r="Z593" s="131"/>
      <c r="AA593" s="108" t="str">
        <f t="shared" si="75"/>
        <v/>
      </c>
      <c r="AB593" s="2"/>
      <c r="AC593" s="131">
        <f t="shared" si="76"/>
        <v>21428.571428571431</v>
      </c>
      <c r="AD593" s="108">
        <f t="shared" si="77"/>
        <v>4071.4285714285688</v>
      </c>
      <c r="AE593" s="95" t="s">
        <v>1501</v>
      </c>
      <c r="AF593" s="541" t="s">
        <v>3487</v>
      </c>
      <c r="AG593" s="2" t="str">
        <f t="shared" ca="1" si="78"/>
        <v>NO</v>
      </c>
      <c r="AH593" s="284"/>
      <c r="AI593" s="541"/>
      <c r="AJ593" s="2" t="str">
        <f t="shared" si="79"/>
        <v>NV</v>
      </c>
      <c r="AK593" s="303"/>
    </row>
    <row r="594" spans="1:37" x14ac:dyDescent="0.25">
      <c r="A594" s="499" t="s">
        <v>1282</v>
      </c>
      <c r="B594" s="317" t="s">
        <v>2389</v>
      </c>
      <c r="C594" s="95">
        <v>3053</v>
      </c>
      <c r="D594" s="95">
        <v>0</v>
      </c>
      <c r="E594" s="95">
        <v>282</v>
      </c>
      <c r="F594" s="95"/>
      <c r="G594" s="95" t="s">
        <v>2528</v>
      </c>
      <c r="H594" s="138">
        <v>198316</v>
      </c>
      <c r="I594" s="138">
        <v>-7230</v>
      </c>
      <c r="J594" s="126">
        <f t="shared" si="72"/>
        <v>191086</v>
      </c>
      <c r="K594" s="318">
        <v>43829</v>
      </c>
      <c r="L594" s="95">
        <v>0</v>
      </c>
      <c r="M594" s="313">
        <f t="shared" si="73"/>
        <v>43829</v>
      </c>
      <c r="N594" s="2" t="str">
        <f t="shared" si="74"/>
        <v>Pagado</v>
      </c>
      <c r="O594" s="318">
        <v>43836</v>
      </c>
      <c r="P594" s="138">
        <v>191086</v>
      </c>
      <c r="Q594" s="2" t="s">
        <v>1481</v>
      </c>
      <c r="R594" s="2"/>
      <c r="S594" s="95"/>
      <c r="T594" s="313"/>
      <c r="U594" s="393"/>
      <c r="V594" s="95">
        <v>2719728</v>
      </c>
      <c r="W594" s="129">
        <v>181000</v>
      </c>
      <c r="X594" s="318">
        <v>43836</v>
      </c>
      <c r="Y594" s="95" t="s">
        <v>1488</v>
      </c>
      <c r="Z594" s="131"/>
      <c r="AA594" s="108" t="str">
        <f t="shared" si="75"/>
        <v/>
      </c>
      <c r="AB594" s="2"/>
      <c r="AC594" s="131">
        <f t="shared" si="76"/>
        <v>166652.10084033615</v>
      </c>
      <c r="AD594" s="108">
        <f t="shared" si="77"/>
        <v>31663.899159663852</v>
      </c>
      <c r="AE594" s="95" t="s">
        <v>1445</v>
      </c>
      <c r="AF594" s="498" t="s">
        <v>3490</v>
      </c>
      <c r="AG594" s="2" t="str">
        <f t="shared" si="78"/>
        <v>SI</v>
      </c>
      <c r="AH594" s="284"/>
      <c r="AI594" s="498"/>
      <c r="AJ594" s="2" t="str">
        <f t="shared" si="79"/>
        <v>Factura</v>
      </c>
      <c r="AK594" s="303"/>
    </row>
    <row r="595" spans="1:37" x14ac:dyDescent="0.25">
      <c r="A595" s="499" t="s">
        <v>5154</v>
      </c>
      <c r="B595" s="317" t="s">
        <v>5155</v>
      </c>
      <c r="C595" s="95">
        <v>0</v>
      </c>
      <c r="D595" s="95">
        <v>2817</v>
      </c>
      <c r="E595" s="95"/>
      <c r="F595" s="95"/>
      <c r="G595" s="95">
        <v>6334</v>
      </c>
      <c r="H595" s="138">
        <v>16500</v>
      </c>
      <c r="I595" s="138"/>
      <c r="J595" s="126">
        <f t="shared" si="72"/>
        <v>16500</v>
      </c>
      <c r="K595" s="318">
        <v>43829</v>
      </c>
      <c r="L595" s="95">
        <v>0</v>
      </c>
      <c r="M595" s="313">
        <f t="shared" si="73"/>
        <v>43829</v>
      </c>
      <c r="N595" s="2" t="str">
        <f t="shared" ca="1" si="74"/>
        <v>Vencido</v>
      </c>
      <c r="O595" s="318"/>
      <c r="P595" s="138"/>
      <c r="Q595" s="2"/>
      <c r="R595" s="2"/>
      <c r="S595" s="95"/>
      <c r="T595" s="313"/>
      <c r="U595" s="393"/>
      <c r="V595" s="95"/>
      <c r="W595" s="129"/>
      <c r="X595" s="318"/>
      <c r="Y595" s="95"/>
      <c r="Z595" s="131"/>
      <c r="AA595" s="108" t="str">
        <f t="shared" si="75"/>
        <v/>
      </c>
      <c r="AB595" s="2"/>
      <c r="AC595" s="131">
        <f t="shared" si="76"/>
        <v>13865.546218487396</v>
      </c>
      <c r="AD595" s="108">
        <f t="shared" si="77"/>
        <v>2634.4537815126041</v>
      </c>
      <c r="AE595" s="95" t="s">
        <v>1501</v>
      </c>
      <c r="AF595" s="498" t="s">
        <v>3487</v>
      </c>
      <c r="AG595" s="2" t="str">
        <f t="shared" ca="1" si="78"/>
        <v>NO</v>
      </c>
      <c r="AH595" s="284"/>
      <c r="AI595" s="498"/>
      <c r="AJ595" s="2" t="str">
        <f t="shared" si="79"/>
        <v>NV</v>
      </c>
      <c r="AK595" s="303"/>
    </row>
    <row r="596" spans="1:37" x14ac:dyDescent="0.25">
      <c r="A596" s="499" t="s">
        <v>1347</v>
      </c>
      <c r="B596" s="317" t="s">
        <v>1069</v>
      </c>
      <c r="C596" s="95">
        <v>0</v>
      </c>
      <c r="D596" s="95">
        <v>191</v>
      </c>
      <c r="E596" s="95"/>
      <c r="F596" s="95"/>
      <c r="G596" s="95">
        <v>6343</v>
      </c>
      <c r="H596" s="138">
        <v>19900</v>
      </c>
      <c r="I596" s="138"/>
      <c r="J596" s="126">
        <f t="shared" si="72"/>
        <v>19900</v>
      </c>
      <c r="K596" s="318">
        <v>43830</v>
      </c>
      <c r="L596" s="95">
        <v>0</v>
      </c>
      <c r="M596" s="313">
        <f t="shared" si="73"/>
        <v>43830</v>
      </c>
      <c r="N596" s="2" t="str">
        <f t="shared" ca="1" si="74"/>
        <v>Vencido</v>
      </c>
      <c r="O596" s="318"/>
      <c r="P596" s="138"/>
      <c r="Q596" s="2"/>
      <c r="R596" s="2"/>
      <c r="S596" s="95"/>
      <c r="T596" s="313"/>
      <c r="U596" s="393"/>
      <c r="V596" s="95"/>
      <c r="W596" s="129"/>
      <c r="X596" s="318"/>
      <c r="Y596" s="95"/>
      <c r="Z596" s="131"/>
      <c r="AA596" s="108" t="str">
        <f t="shared" si="75"/>
        <v/>
      </c>
      <c r="AB596" s="2"/>
      <c r="AC596" s="131">
        <f t="shared" si="76"/>
        <v>16722.689075630253</v>
      </c>
      <c r="AD596" s="108">
        <f t="shared" si="77"/>
        <v>3177.3109243697472</v>
      </c>
      <c r="AE596" s="95" t="s">
        <v>1501</v>
      </c>
      <c r="AF596" s="498" t="s">
        <v>3487</v>
      </c>
      <c r="AG596" s="2" t="str">
        <f t="shared" ca="1" si="78"/>
        <v>NO</v>
      </c>
      <c r="AH596" s="284"/>
      <c r="AI596" s="498"/>
      <c r="AJ596" s="2" t="str">
        <f t="shared" si="79"/>
        <v>NV</v>
      </c>
      <c r="AK596" s="303"/>
    </row>
    <row r="597" spans="1:37" x14ac:dyDescent="0.25">
      <c r="A597" s="499" t="s">
        <v>2656</v>
      </c>
      <c r="B597" s="317" t="s">
        <v>3362</v>
      </c>
      <c r="C597" s="95">
        <v>0</v>
      </c>
      <c r="D597" s="95">
        <v>2827</v>
      </c>
      <c r="E597" s="95"/>
      <c r="F597" s="95"/>
      <c r="G597" s="95">
        <v>6341</v>
      </c>
      <c r="H597" s="138">
        <v>37300</v>
      </c>
      <c r="I597" s="138"/>
      <c r="J597" s="126">
        <f t="shared" si="72"/>
        <v>37300</v>
      </c>
      <c r="K597" s="318">
        <v>43830</v>
      </c>
      <c r="L597" s="95">
        <v>0</v>
      </c>
      <c r="M597" s="313">
        <f t="shared" si="73"/>
        <v>43830</v>
      </c>
      <c r="N597" s="2" t="str">
        <f t="shared" si="74"/>
        <v>Pagado</v>
      </c>
      <c r="O597" s="318">
        <v>43830</v>
      </c>
      <c r="P597" s="138">
        <v>37300</v>
      </c>
      <c r="Q597" s="2" t="s">
        <v>1481</v>
      </c>
      <c r="R597" s="2"/>
      <c r="S597" s="95"/>
      <c r="T597" s="313"/>
      <c r="U597" s="393"/>
      <c r="V597" s="95"/>
      <c r="W597" s="129"/>
      <c r="X597" s="318"/>
      <c r="Y597" s="95"/>
      <c r="Z597" s="131"/>
      <c r="AA597" s="108" t="str">
        <f t="shared" si="75"/>
        <v/>
      </c>
      <c r="AB597" s="2"/>
      <c r="AC597" s="131">
        <f t="shared" si="76"/>
        <v>31344.537815126052</v>
      </c>
      <c r="AD597" s="108">
        <f t="shared" si="77"/>
        <v>5955.462184873948</v>
      </c>
      <c r="AE597" s="95" t="s">
        <v>1501</v>
      </c>
      <c r="AF597" s="498" t="s">
        <v>3489</v>
      </c>
      <c r="AG597" s="2" t="str">
        <f t="shared" si="78"/>
        <v>SI</v>
      </c>
      <c r="AH597" s="284"/>
      <c r="AI597" s="498"/>
      <c r="AJ597" s="2" t="str">
        <f t="shared" si="79"/>
        <v>NV</v>
      </c>
      <c r="AK597" s="303"/>
    </row>
    <row r="598" spans="1:37" x14ac:dyDescent="0.25">
      <c r="A598" s="534" t="s">
        <v>5564</v>
      </c>
      <c r="B598" s="317" t="s">
        <v>5565</v>
      </c>
      <c r="C598" s="95">
        <v>0</v>
      </c>
      <c r="D598" s="95">
        <v>190</v>
      </c>
      <c r="E598" s="95"/>
      <c r="F598" s="95"/>
      <c r="G598" s="95">
        <v>6340</v>
      </c>
      <c r="H598" s="138">
        <v>23000</v>
      </c>
      <c r="I598" s="138"/>
      <c r="J598" s="126">
        <f t="shared" si="72"/>
        <v>23000</v>
      </c>
      <c r="K598" s="318">
        <v>43830</v>
      </c>
      <c r="L598" s="95">
        <v>0</v>
      </c>
      <c r="M598" s="313">
        <f t="shared" si="73"/>
        <v>43830</v>
      </c>
      <c r="N598" s="2" t="str">
        <f t="shared" ca="1" si="74"/>
        <v>Vencido</v>
      </c>
      <c r="O598" s="318"/>
      <c r="P598" s="138"/>
      <c r="Q598" s="2"/>
      <c r="R598" s="2"/>
      <c r="S598" s="95"/>
      <c r="T598" s="313"/>
      <c r="U598" s="393"/>
      <c r="V598" s="95"/>
      <c r="W598" s="129"/>
      <c r="X598" s="318"/>
      <c r="Y598" s="95"/>
      <c r="Z598" s="131"/>
      <c r="AA598" s="108" t="str">
        <f t="shared" si="75"/>
        <v/>
      </c>
      <c r="AB598" s="2"/>
      <c r="AC598" s="131">
        <f t="shared" si="76"/>
        <v>19327.731092436974</v>
      </c>
      <c r="AD598" s="108">
        <f t="shared" si="77"/>
        <v>3672.268907563026</v>
      </c>
      <c r="AE598" s="95" t="s">
        <v>1501</v>
      </c>
      <c r="AF598" s="533" t="s">
        <v>3487</v>
      </c>
      <c r="AG598" s="2" t="str">
        <f t="shared" ca="1" si="78"/>
        <v>NO</v>
      </c>
      <c r="AH598" s="284"/>
      <c r="AI598" s="533"/>
      <c r="AJ598" s="2" t="str">
        <f t="shared" si="79"/>
        <v>NV</v>
      </c>
      <c r="AK598" s="303"/>
    </row>
    <row r="599" spans="1:37" x14ac:dyDescent="0.25">
      <c r="A599" s="499" t="s">
        <v>4953</v>
      </c>
      <c r="B599" s="317" t="s">
        <v>4954</v>
      </c>
      <c r="C599" s="95">
        <v>0</v>
      </c>
      <c r="D599" s="95">
        <v>2826</v>
      </c>
      <c r="E599" s="95"/>
      <c r="F599" s="95"/>
      <c r="G599" s="95">
        <v>6342</v>
      </c>
      <c r="H599" s="138">
        <v>19700</v>
      </c>
      <c r="I599" s="138"/>
      <c r="J599" s="126">
        <f t="shared" si="72"/>
        <v>19700</v>
      </c>
      <c r="K599" s="318">
        <v>43830</v>
      </c>
      <c r="L599" s="95">
        <v>0</v>
      </c>
      <c r="M599" s="313">
        <f t="shared" si="73"/>
        <v>43830</v>
      </c>
      <c r="N599" s="2" t="str">
        <f t="shared" ca="1" si="74"/>
        <v>Vencido</v>
      </c>
      <c r="O599" s="318"/>
      <c r="P599" s="138"/>
      <c r="Q599" s="2"/>
      <c r="R599" s="2"/>
      <c r="S599" s="95"/>
      <c r="T599" s="313"/>
      <c r="U599" s="393"/>
      <c r="V599" s="95"/>
      <c r="W599" s="129"/>
      <c r="X599" s="318"/>
      <c r="Y599" s="95"/>
      <c r="Z599" s="131"/>
      <c r="AA599" s="108" t="str">
        <f t="shared" si="75"/>
        <v/>
      </c>
      <c r="AB599" s="2"/>
      <c r="AC599" s="131">
        <f t="shared" si="76"/>
        <v>16554.621848739498</v>
      </c>
      <c r="AD599" s="108">
        <f t="shared" si="77"/>
        <v>3145.3781512605019</v>
      </c>
      <c r="AE599" s="95" t="s">
        <v>1501</v>
      </c>
      <c r="AF599" s="498" t="s">
        <v>3487</v>
      </c>
      <c r="AG599" s="2" t="str">
        <f t="shared" ca="1" si="78"/>
        <v>NO</v>
      </c>
      <c r="AH599" s="284"/>
      <c r="AI599" s="498"/>
      <c r="AJ599" s="2" t="str">
        <f t="shared" si="79"/>
        <v>NV</v>
      </c>
      <c r="AK599" s="303"/>
    </row>
    <row r="600" spans="1:37" x14ac:dyDescent="0.25">
      <c r="A600" s="542" t="s">
        <v>1192</v>
      </c>
      <c r="B600" s="317" t="s">
        <v>1061</v>
      </c>
      <c r="C600" s="95">
        <v>3055</v>
      </c>
      <c r="D600" s="95">
        <v>0</v>
      </c>
      <c r="E600" s="95"/>
      <c r="F600" s="95"/>
      <c r="G600" s="95" t="s">
        <v>4786</v>
      </c>
      <c r="H600" s="138">
        <v>79850</v>
      </c>
      <c r="I600" s="138"/>
      <c r="J600" s="126">
        <f t="shared" si="72"/>
        <v>79850</v>
      </c>
      <c r="K600" s="318">
        <v>43832</v>
      </c>
      <c r="L600" s="95">
        <v>0</v>
      </c>
      <c r="M600" s="313">
        <f t="shared" si="73"/>
        <v>43832</v>
      </c>
      <c r="N600" s="2" t="str">
        <f t="shared" si="74"/>
        <v>Pagado</v>
      </c>
      <c r="O600" s="318">
        <v>43833</v>
      </c>
      <c r="P600" s="138">
        <v>79850</v>
      </c>
      <c r="Q600" s="2" t="s">
        <v>1484</v>
      </c>
      <c r="R600" s="2"/>
      <c r="S600" s="95"/>
      <c r="T600" s="313" t="s">
        <v>1488</v>
      </c>
      <c r="U600" s="393"/>
      <c r="V600" s="95"/>
      <c r="W600" s="129"/>
      <c r="X600" s="318"/>
      <c r="Y600" s="95"/>
      <c r="Z600" s="310">
        <v>43806</v>
      </c>
      <c r="AA600" s="108" t="str">
        <f t="shared" si="75"/>
        <v/>
      </c>
      <c r="AB600" s="2"/>
      <c r="AC600" s="131">
        <f t="shared" si="76"/>
        <v>67100.840336134454</v>
      </c>
      <c r="AD600" s="108">
        <f t="shared" si="77"/>
        <v>12749.159663865546</v>
      </c>
      <c r="AE600" s="95" t="s">
        <v>1501</v>
      </c>
      <c r="AF600" s="541" t="s">
        <v>3490</v>
      </c>
      <c r="AG600" s="2" t="str">
        <f t="shared" si="78"/>
        <v>SI</v>
      </c>
      <c r="AH600" s="284"/>
      <c r="AI600" s="541"/>
      <c r="AJ600" s="2" t="str">
        <f t="shared" si="79"/>
        <v>Factura</v>
      </c>
      <c r="AK600" s="303"/>
    </row>
    <row r="601" spans="1:37" x14ac:dyDescent="0.25">
      <c r="A601" s="542" t="s">
        <v>1192</v>
      </c>
      <c r="B601" s="317" t="s">
        <v>1061</v>
      </c>
      <c r="C601" s="95">
        <v>3055</v>
      </c>
      <c r="D601" s="95">
        <v>0</v>
      </c>
      <c r="E601" s="95"/>
      <c r="F601" s="95"/>
      <c r="G601" s="95" t="s">
        <v>4844</v>
      </c>
      <c r="H601" s="138">
        <v>57152</v>
      </c>
      <c r="I601" s="138"/>
      <c r="J601" s="126">
        <f t="shared" si="72"/>
        <v>57152</v>
      </c>
      <c r="K601" s="318">
        <v>43832</v>
      </c>
      <c r="L601" s="95">
        <v>0</v>
      </c>
      <c r="M601" s="313">
        <f t="shared" si="73"/>
        <v>43832</v>
      </c>
      <c r="N601" s="2" t="str">
        <f t="shared" si="74"/>
        <v>Pagado</v>
      </c>
      <c r="O601" s="318">
        <v>43833</v>
      </c>
      <c r="P601" s="138">
        <v>57152</v>
      </c>
      <c r="Q601" s="2" t="s">
        <v>1484</v>
      </c>
      <c r="R601" s="2"/>
      <c r="S601" s="95"/>
      <c r="T601" s="313" t="s">
        <v>1488</v>
      </c>
      <c r="U601" s="393"/>
      <c r="V601" s="95"/>
      <c r="W601" s="129"/>
      <c r="X601" s="318"/>
      <c r="Y601" s="95"/>
      <c r="Z601" s="310">
        <v>43810</v>
      </c>
      <c r="AA601" s="108" t="str">
        <f t="shared" si="75"/>
        <v/>
      </c>
      <c r="AB601" s="2"/>
      <c r="AC601" s="131">
        <f t="shared" si="76"/>
        <v>48026.89075630252</v>
      </c>
      <c r="AD601" s="108">
        <f t="shared" si="77"/>
        <v>9125.1092436974795</v>
      </c>
      <c r="AE601" s="95" t="s">
        <v>1501</v>
      </c>
      <c r="AF601" s="541" t="s">
        <v>3490</v>
      </c>
      <c r="AG601" s="2" t="str">
        <f t="shared" si="78"/>
        <v>SI</v>
      </c>
      <c r="AH601" s="284"/>
      <c r="AI601" s="541"/>
      <c r="AJ601" s="2" t="str">
        <f t="shared" si="79"/>
        <v>Factura</v>
      </c>
      <c r="AK601" s="303"/>
    </row>
    <row r="602" spans="1:37" x14ac:dyDescent="0.25">
      <c r="A602" s="542" t="s">
        <v>1192</v>
      </c>
      <c r="B602" s="317" t="s">
        <v>1061</v>
      </c>
      <c r="C602" s="95">
        <v>3055</v>
      </c>
      <c r="D602" s="95">
        <v>0</v>
      </c>
      <c r="E602" s="95"/>
      <c r="F602" s="95"/>
      <c r="G602" s="95" t="s">
        <v>4845</v>
      </c>
      <c r="H602" s="138">
        <v>50628</v>
      </c>
      <c r="I602" s="138"/>
      <c r="J602" s="126">
        <f t="shared" si="72"/>
        <v>50628</v>
      </c>
      <c r="K602" s="318">
        <v>43832</v>
      </c>
      <c r="L602" s="95">
        <v>0</v>
      </c>
      <c r="M602" s="313">
        <f t="shared" si="73"/>
        <v>43832</v>
      </c>
      <c r="N602" s="2" t="str">
        <f t="shared" si="74"/>
        <v>Pagado</v>
      </c>
      <c r="O602" s="318">
        <v>43833</v>
      </c>
      <c r="P602" s="138">
        <v>50628</v>
      </c>
      <c r="Q602" s="2" t="s">
        <v>1484</v>
      </c>
      <c r="R602" s="2"/>
      <c r="S602" s="95"/>
      <c r="T602" s="313" t="s">
        <v>1488</v>
      </c>
      <c r="U602" s="393"/>
      <c r="V602" s="95"/>
      <c r="W602" s="129"/>
      <c r="X602" s="318"/>
      <c r="Y602" s="95"/>
      <c r="Z602" s="310">
        <v>43817</v>
      </c>
      <c r="AA602" s="108" t="str">
        <f t="shared" si="75"/>
        <v/>
      </c>
      <c r="AB602" s="2"/>
      <c r="AC602" s="131">
        <f t="shared" si="76"/>
        <v>42544.537815126052</v>
      </c>
      <c r="AD602" s="108">
        <f t="shared" si="77"/>
        <v>8083.462184873948</v>
      </c>
      <c r="AE602" s="95" t="s">
        <v>1501</v>
      </c>
      <c r="AF602" s="541" t="s">
        <v>3490</v>
      </c>
      <c r="AG602" s="2" t="str">
        <f t="shared" si="78"/>
        <v>SI</v>
      </c>
      <c r="AH602" s="284"/>
      <c r="AI602" s="541"/>
      <c r="AJ602" s="2" t="str">
        <f t="shared" si="79"/>
        <v>Factura</v>
      </c>
      <c r="AK602" s="303"/>
    </row>
    <row r="603" spans="1:37" x14ac:dyDescent="0.25">
      <c r="A603" s="542" t="s">
        <v>1192</v>
      </c>
      <c r="B603" s="317" t="s">
        <v>1061</v>
      </c>
      <c r="C603" s="95">
        <v>3055</v>
      </c>
      <c r="D603" s="95">
        <v>0</v>
      </c>
      <c r="E603" s="95"/>
      <c r="F603" s="95"/>
      <c r="G603" s="95" t="s">
        <v>4429</v>
      </c>
      <c r="H603" s="138">
        <v>50633</v>
      </c>
      <c r="I603" s="138"/>
      <c r="J603" s="126">
        <f t="shared" si="72"/>
        <v>50633</v>
      </c>
      <c r="K603" s="318">
        <v>43832</v>
      </c>
      <c r="L603" s="95">
        <v>0</v>
      </c>
      <c r="M603" s="313">
        <f t="shared" si="73"/>
        <v>43832</v>
      </c>
      <c r="N603" s="2" t="str">
        <f t="shared" si="74"/>
        <v>Pagado</v>
      </c>
      <c r="O603" s="318">
        <v>43833</v>
      </c>
      <c r="P603" s="138">
        <v>50633</v>
      </c>
      <c r="Q603" s="2" t="s">
        <v>1484</v>
      </c>
      <c r="R603" s="2"/>
      <c r="S603" s="95"/>
      <c r="T603" s="313" t="s">
        <v>1488</v>
      </c>
      <c r="U603" s="393"/>
      <c r="V603" s="95"/>
      <c r="W603" s="129"/>
      <c r="X603" s="318"/>
      <c r="Y603" s="95"/>
      <c r="Z603" s="310">
        <v>43826</v>
      </c>
      <c r="AA603" s="108" t="str">
        <f t="shared" si="75"/>
        <v/>
      </c>
      <c r="AB603" s="2"/>
      <c r="AC603" s="131">
        <f t="shared" si="76"/>
        <v>42548.73949579832</v>
      </c>
      <c r="AD603" s="108">
        <f t="shared" si="77"/>
        <v>8084.2605042016803</v>
      </c>
      <c r="AE603" s="95" t="s">
        <v>1501</v>
      </c>
      <c r="AF603" s="541" t="s">
        <v>3490</v>
      </c>
      <c r="AG603" s="2" t="str">
        <f t="shared" si="78"/>
        <v>SI</v>
      </c>
      <c r="AH603" s="284"/>
      <c r="AI603" s="541"/>
      <c r="AJ603" s="2" t="str">
        <f t="shared" si="79"/>
        <v>Factura</v>
      </c>
      <c r="AK603" s="303"/>
    </row>
    <row r="604" spans="1:37" x14ac:dyDescent="0.25">
      <c r="A604" s="542" t="s">
        <v>1192</v>
      </c>
      <c r="B604" s="317" t="s">
        <v>1061</v>
      </c>
      <c r="C604" s="95">
        <v>3055</v>
      </c>
      <c r="D604" s="95">
        <v>0</v>
      </c>
      <c r="E604" s="95"/>
      <c r="F604" s="95"/>
      <c r="G604" s="95" t="s">
        <v>4759</v>
      </c>
      <c r="H604" s="138">
        <v>48040</v>
      </c>
      <c r="I604" s="138"/>
      <c r="J604" s="126">
        <f t="shared" si="72"/>
        <v>48040</v>
      </c>
      <c r="K604" s="318">
        <v>43832</v>
      </c>
      <c r="L604" s="95">
        <v>0</v>
      </c>
      <c r="M604" s="313">
        <f t="shared" si="73"/>
        <v>43832</v>
      </c>
      <c r="N604" s="2" t="str">
        <f t="shared" si="74"/>
        <v>Pagado</v>
      </c>
      <c r="O604" s="318">
        <v>43833</v>
      </c>
      <c r="P604" s="138">
        <v>48040</v>
      </c>
      <c r="Q604" s="2" t="s">
        <v>1484</v>
      </c>
      <c r="R604" s="2"/>
      <c r="S604" s="95"/>
      <c r="T604" s="313" t="s">
        <v>1488</v>
      </c>
      <c r="U604" s="393"/>
      <c r="V604" s="95"/>
      <c r="W604" s="129"/>
      <c r="X604" s="318"/>
      <c r="Y604" s="95"/>
      <c r="Z604" s="310">
        <v>43830</v>
      </c>
      <c r="AA604" s="108" t="str">
        <f t="shared" si="75"/>
        <v/>
      </c>
      <c r="AB604" s="2"/>
      <c r="AC604" s="131">
        <f t="shared" si="76"/>
        <v>40369.747899159665</v>
      </c>
      <c r="AD604" s="108">
        <f t="shared" si="77"/>
        <v>7670.2521008403346</v>
      </c>
      <c r="AE604" s="95" t="s">
        <v>1501</v>
      </c>
      <c r="AF604" s="541" t="s">
        <v>3490</v>
      </c>
      <c r="AG604" s="2" t="str">
        <f t="shared" si="78"/>
        <v>SI</v>
      </c>
      <c r="AH604" s="284"/>
      <c r="AI604" s="541"/>
      <c r="AJ604" s="2" t="str">
        <f t="shared" si="79"/>
        <v>Factura</v>
      </c>
      <c r="AK604" s="303"/>
    </row>
    <row r="605" spans="1:37" x14ac:dyDescent="0.25">
      <c r="A605" s="542" t="s">
        <v>1178</v>
      </c>
      <c r="B605" s="317" t="s">
        <v>950</v>
      </c>
      <c r="C605" s="95">
        <v>3054</v>
      </c>
      <c r="D605" s="95">
        <v>0</v>
      </c>
      <c r="E605" s="95"/>
      <c r="F605" s="95"/>
      <c r="G605" s="95" t="s">
        <v>2528</v>
      </c>
      <c r="H605" s="138">
        <v>41769</v>
      </c>
      <c r="I605" s="138"/>
      <c r="J605" s="126">
        <f t="shared" si="72"/>
        <v>41769</v>
      </c>
      <c r="K605" s="318">
        <v>43832</v>
      </c>
      <c r="L605" s="95">
        <v>7</v>
      </c>
      <c r="M605" s="313">
        <f t="shared" si="73"/>
        <v>43839</v>
      </c>
      <c r="N605" s="2" t="str">
        <f t="shared" si="74"/>
        <v>Pagado</v>
      </c>
      <c r="O605" s="318">
        <v>43839</v>
      </c>
      <c r="P605" s="138">
        <v>41769</v>
      </c>
      <c r="Q605" s="2" t="s">
        <v>2131</v>
      </c>
      <c r="R605" s="2"/>
      <c r="S605" s="95"/>
      <c r="T605" s="313" t="s">
        <v>1496</v>
      </c>
      <c r="U605" s="393">
        <v>43843</v>
      </c>
      <c r="V605" s="95"/>
      <c r="W605" s="129"/>
      <c r="X605" s="318"/>
      <c r="Y605" s="95"/>
      <c r="Z605" s="131"/>
      <c r="AA605" s="108" t="str">
        <f t="shared" si="75"/>
        <v>Otros</v>
      </c>
      <c r="AB605" s="2"/>
      <c r="AC605" s="131">
        <f t="shared" si="76"/>
        <v>35100</v>
      </c>
      <c r="AD605" s="108">
        <f t="shared" si="77"/>
        <v>6669</v>
      </c>
      <c r="AE605" s="95" t="s">
        <v>2050</v>
      </c>
      <c r="AF605" s="541" t="s">
        <v>3490</v>
      </c>
      <c r="AG605" s="2" t="str">
        <f t="shared" si="78"/>
        <v>SI</v>
      </c>
      <c r="AH605" s="284"/>
      <c r="AI605" s="541"/>
      <c r="AJ605" s="2" t="str">
        <f t="shared" si="79"/>
        <v>Factura</v>
      </c>
      <c r="AK605" s="303"/>
    </row>
    <row r="606" spans="1:37" x14ac:dyDescent="0.25">
      <c r="A606" s="499" t="s">
        <v>4586</v>
      </c>
      <c r="B606" s="317" t="s">
        <v>4587</v>
      </c>
      <c r="C606" s="95">
        <v>0</v>
      </c>
      <c r="D606" s="95">
        <v>2829</v>
      </c>
      <c r="E606" s="95"/>
      <c r="F606" s="95"/>
      <c r="G606" s="95">
        <v>6344</v>
      </c>
      <c r="H606" s="138">
        <v>14800</v>
      </c>
      <c r="I606" s="138"/>
      <c r="J606" s="126">
        <f t="shared" si="72"/>
        <v>14800</v>
      </c>
      <c r="K606" s="318">
        <v>43833</v>
      </c>
      <c r="L606" s="95">
        <v>0</v>
      </c>
      <c r="M606" s="313">
        <f t="shared" si="73"/>
        <v>43833</v>
      </c>
      <c r="N606" s="2" t="str">
        <f t="shared" si="74"/>
        <v>Pagado</v>
      </c>
      <c r="O606" s="318">
        <v>43833</v>
      </c>
      <c r="P606" s="138">
        <v>14800</v>
      </c>
      <c r="Q606" s="2" t="s">
        <v>1481</v>
      </c>
      <c r="R606" s="2"/>
      <c r="S606" s="95"/>
      <c r="T606" s="313"/>
      <c r="U606" s="393"/>
      <c r="V606" s="95"/>
      <c r="W606" s="129"/>
      <c r="X606" s="318"/>
      <c r="Y606" s="95"/>
      <c r="Z606" s="131"/>
      <c r="AA606" s="108" t="str">
        <f t="shared" si="75"/>
        <v/>
      </c>
      <c r="AB606" s="2"/>
      <c r="AC606" s="131">
        <f t="shared" si="76"/>
        <v>12436.974789915967</v>
      </c>
      <c r="AD606" s="108">
        <f t="shared" si="77"/>
        <v>2363.0252100840335</v>
      </c>
      <c r="AE606" s="95" t="s">
        <v>1501</v>
      </c>
      <c r="AF606" s="498" t="s">
        <v>3487</v>
      </c>
      <c r="AG606" s="2" t="str">
        <f t="shared" si="78"/>
        <v>SI</v>
      </c>
      <c r="AH606" s="284"/>
      <c r="AI606" s="498"/>
      <c r="AJ606" s="2" t="str">
        <f t="shared" si="79"/>
        <v>NV</v>
      </c>
      <c r="AK606" s="303"/>
    </row>
    <row r="607" spans="1:37" x14ac:dyDescent="0.25">
      <c r="A607" s="534" t="s">
        <v>1200</v>
      </c>
      <c r="B607" s="317" t="s">
        <v>2316</v>
      </c>
      <c r="C607" s="95">
        <v>0</v>
      </c>
      <c r="D607" s="95">
        <v>0</v>
      </c>
      <c r="E607" s="95"/>
      <c r="F607" s="95"/>
      <c r="G607" s="95">
        <v>6346</v>
      </c>
      <c r="H607" s="138">
        <v>41000</v>
      </c>
      <c r="I607" s="138"/>
      <c r="J607" s="126">
        <f t="shared" si="72"/>
        <v>41000</v>
      </c>
      <c r="K607" s="318">
        <v>43833</v>
      </c>
      <c r="L607" s="95">
        <v>0</v>
      </c>
      <c r="M607" s="313">
        <f t="shared" si="73"/>
        <v>43833</v>
      </c>
      <c r="N607" s="2" t="str">
        <f t="shared" si="74"/>
        <v>Pagado</v>
      </c>
      <c r="O607" s="318">
        <v>43862</v>
      </c>
      <c r="P607" s="138">
        <v>41000</v>
      </c>
      <c r="Q607" s="2" t="s">
        <v>1484</v>
      </c>
      <c r="R607" s="2"/>
      <c r="S607" s="95"/>
      <c r="T607" s="313" t="s">
        <v>1496</v>
      </c>
      <c r="U607" s="393"/>
      <c r="V607" s="95"/>
      <c r="W607" s="129"/>
      <c r="X607" s="318"/>
      <c r="Y607" s="95"/>
      <c r="Z607" s="131"/>
      <c r="AA607" s="108" t="str">
        <f t="shared" si="75"/>
        <v/>
      </c>
      <c r="AB607" s="2"/>
      <c r="AC607" s="131">
        <f t="shared" si="76"/>
        <v>34453.781512605041</v>
      </c>
      <c r="AD607" s="108">
        <f t="shared" si="77"/>
        <v>6546.2184873949591</v>
      </c>
      <c r="AE607" s="95" t="s">
        <v>1445</v>
      </c>
      <c r="AF607" s="533" t="s">
        <v>3489</v>
      </c>
      <c r="AG607" s="2" t="str">
        <f t="shared" si="78"/>
        <v>SI</v>
      </c>
      <c r="AH607" s="284"/>
      <c r="AI607" s="533"/>
      <c r="AJ607" s="2" t="str">
        <f t="shared" si="79"/>
        <v>NV</v>
      </c>
      <c r="AK607" s="303"/>
    </row>
    <row r="608" spans="1:37" x14ac:dyDescent="0.25">
      <c r="A608" s="534" t="s">
        <v>4028</v>
      </c>
      <c r="B608" s="317" t="s">
        <v>4029</v>
      </c>
      <c r="C608" s="95">
        <v>0</v>
      </c>
      <c r="D608" s="95">
        <v>0</v>
      </c>
      <c r="E608" s="95"/>
      <c r="F608" s="95"/>
      <c r="G608" s="95">
        <v>6347</v>
      </c>
      <c r="H608" s="138">
        <v>18600</v>
      </c>
      <c r="I608" s="138"/>
      <c r="J608" s="126">
        <f t="shared" si="72"/>
        <v>18600</v>
      </c>
      <c r="K608" s="318">
        <v>43833</v>
      </c>
      <c r="L608" s="95">
        <v>0</v>
      </c>
      <c r="M608" s="313">
        <f t="shared" si="73"/>
        <v>43833</v>
      </c>
      <c r="N608" s="2" t="str">
        <f t="shared" si="74"/>
        <v>Pagado</v>
      </c>
      <c r="O608" s="318">
        <v>43833</v>
      </c>
      <c r="P608" s="138">
        <v>18600</v>
      </c>
      <c r="Q608" s="2" t="s">
        <v>1484</v>
      </c>
      <c r="R608" s="2"/>
      <c r="S608" s="95"/>
      <c r="T608" s="313" t="s">
        <v>1492</v>
      </c>
      <c r="U608" s="393"/>
      <c r="V608" s="95"/>
      <c r="W608" s="129"/>
      <c r="X608" s="318"/>
      <c r="Y608" s="95"/>
      <c r="Z608" s="131"/>
      <c r="AA608" s="108" t="str">
        <f t="shared" si="75"/>
        <v/>
      </c>
      <c r="AB608" s="2"/>
      <c r="AC608" s="131">
        <f t="shared" si="76"/>
        <v>15630.252100840336</v>
      </c>
      <c r="AD608" s="108">
        <f t="shared" si="77"/>
        <v>2969.7478991596636</v>
      </c>
      <c r="AE608" s="95" t="s">
        <v>1501</v>
      </c>
      <c r="AF608" s="533" t="s">
        <v>3489</v>
      </c>
      <c r="AG608" s="2" t="str">
        <f t="shared" si="78"/>
        <v>SI</v>
      </c>
      <c r="AH608" s="284"/>
      <c r="AI608" s="533"/>
      <c r="AJ608" s="2" t="str">
        <f t="shared" si="79"/>
        <v>NV</v>
      </c>
      <c r="AK608" s="303"/>
    </row>
    <row r="609" spans="1:37" x14ac:dyDescent="0.25">
      <c r="A609" s="499" t="s">
        <v>2437</v>
      </c>
      <c r="B609" s="317" t="s">
        <v>2438</v>
      </c>
      <c r="C609" s="95">
        <v>0</v>
      </c>
      <c r="D609" s="95">
        <v>2828</v>
      </c>
      <c r="E609" s="95"/>
      <c r="F609" s="95"/>
      <c r="G609" s="95">
        <v>6345</v>
      </c>
      <c r="H609" s="138">
        <v>40400</v>
      </c>
      <c r="I609" s="138"/>
      <c r="J609" s="126">
        <f t="shared" si="72"/>
        <v>40400</v>
      </c>
      <c r="K609" s="318">
        <v>43833</v>
      </c>
      <c r="L609" s="95">
        <v>0</v>
      </c>
      <c r="M609" s="313">
        <f t="shared" si="73"/>
        <v>43833</v>
      </c>
      <c r="N609" s="2" t="str">
        <f t="shared" si="74"/>
        <v>Pagado</v>
      </c>
      <c r="O609" s="318">
        <v>43833</v>
      </c>
      <c r="P609" s="138">
        <v>40400</v>
      </c>
      <c r="Q609" s="2" t="s">
        <v>1481</v>
      </c>
      <c r="R609" s="2"/>
      <c r="S609" s="95"/>
      <c r="T609" s="313"/>
      <c r="U609" s="393"/>
      <c r="V609" s="95"/>
      <c r="W609" s="129"/>
      <c r="X609" s="318"/>
      <c r="Y609" s="95"/>
      <c r="Z609" s="131"/>
      <c r="AA609" s="108" t="str">
        <f t="shared" si="75"/>
        <v/>
      </c>
      <c r="AB609" s="2"/>
      <c r="AC609" s="131">
        <f t="shared" si="76"/>
        <v>33949.579831932773</v>
      </c>
      <c r="AD609" s="108">
        <f t="shared" si="77"/>
        <v>6450.4201680672268</v>
      </c>
      <c r="AE609" s="95" t="s">
        <v>1501</v>
      </c>
      <c r="AF609" s="498" t="s">
        <v>3489</v>
      </c>
      <c r="AG609" s="2" t="str">
        <f t="shared" si="78"/>
        <v>SI</v>
      </c>
      <c r="AH609" s="284"/>
      <c r="AI609" s="498"/>
      <c r="AJ609" s="2" t="str">
        <f t="shared" si="79"/>
        <v>NV</v>
      </c>
      <c r="AK609" s="303"/>
    </row>
    <row r="610" spans="1:37" x14ac:dyDescent="0.25">
      <c r="A610" s="499" t="s">
        <v>1333</v>
      </c>
      <c r="B610" s="317" t="s">
        <v>959</v>
      </c>
      <c r="C610" s="95">
        <v>0</v>
      </c>
      <c r="D610" s="95">
        <v>0</v>
      </c>
      <c r="E610" s="95"/>
      <c r="F610" s="95"/>
      <c r="G610" s="95">
        <v>6351</v>
      </c>
      <c r="H610" s="138">
        <v>22700</v>
      </c>
      <c r="I610" s="138"/>
      <c r="J610" s="126">
        <f t="shared" si="72"/>
        <v>22700</v>
      </c>
      <c r="K610" s="318">
        <v>43834</v>
      </c>
      <c r="L610" s="95">
        <v>0</v>
      </c>
      <c r="M610" s="313">
        <f t="shared" si="73"/>
        <v>43834</v>
      </c>
      <c r="N610" s="2" t="str">
        <f t="shared" si="74"/>
        <v>Pagado</v>
      </c>
      <c r="O610" s="318">
        <v>43834</v>
      </c>
      <c r="P610" s="138">
        <v>22700</v>
      </c>
      <c r="Q610" s="2" t="s">
        <v>1481</v>
      </c>
      <c r="R610" s="2"/>
      <c r="S610" s="95"/>
      <c r="T610" s="313"/>
      <c r="U610" s="393"/>
      <c r="V610" s="95"/>
      <c r="W610" s="129"/>
      <c r="X610" s="318"/>
      <c r="Y610" s="95"/>
      <c r="Z610" s="131"/>
      <c r="AA610" s="108" t="str">
        <f t="shared" si="75"/>
        <v/>
      </c>
      <c r="AB610" s="2"/>
      <c r="AC610" s="131">
        <f t="shared" si="76"/>
        <v>19075.63025210084</v>
      </c>
      <c r="AD610" s="108">
        <f t="shared" si="77"/>
        <v>3624.3697478991598</v>
      </c>
      <c r="AE610" s="95" t="s">
        <v>1501</v>
      </c>
      <c r="AF610" s="498" t="s">
        <v>3487</v>
      </c>
      <c r="AG610" s="2" t="str">
        <f t="shared" si="78"/>
        <v>SI</v>
      </c>
      <c r="AH610" s="284"/>
      <c r="AI610" s="498"/>
      <c r="AJ610" s="2" t="str">
        <f t="shared" si="79"/>
        <v>NV</v>
      </c>
      <c r="AK610" s="303"/>
    </row>
    <row r="611" spans="1:37" x14ac:dyDescent="0.25">
      <c r="A611" s="499" t="s">
        <v>5591</v>
      </c>
      <c r="B611" s="317" t="s">
        <v>5592</v>
      </c>
      <c r="C611" s="95">
        <v>0</v>
      </c>
      <c r="D611" s="95">
        <v>0</v>
      </c>
      <c r="E611" s="95"/>
      <c r="F611" s="95"/>
      <c r="G611" s="95">
        <v>6351</v>
      </c>
      <c r="H611" s="138">
        <v>16500</v>
      </c>
      <c r="I611" s="138"/>
      <c r="J611" s="126">
        <f t="shared" si="72"/>
        <v>16500</v>
      </c>
      <c r="K611" s="318">
        <v>43834</v>
      </c>
      <c r="L611" s="95">
        <v>0</v>
      </c>
      <c r="M611" s="313">
        <f t="shared" si="73"/>
        <v>43834</v>
      </c>
      <c r="N611" s="2" t="str">
        <f t="shared" si="74"/>
        <v>Pagado</v>
      </c>
      <c r="O611" s="318">
        <v>43834</v>
      </c>
      <c r="P611" s="138">
        <v>16500</v>
      </c>
      <c r="Q611" s="2" t="s">
        <v>1481</v>
      </c>
      <c r="R611" s="2"/>
      <c r="S611" s="95"/>
      <c r="T611" s="313"/>
      <c r="U611" s="393"/>
      <c r="V611" s="95"/>
      <c r="W611" s="129"/>
      <c r="X611" s="318"/>
      <c r="Y611" s="95"/>
      <c r="Z611" s="131"/>
      <c r="AA611" s="108" t="str">
        <f t="shared" si="75"/>
        <v/>
      </c>
      <c r="AB611" s="2"/>
      <c r="AC611" s="131">
        <f t="shared" si="76"/>
        <v>13865.546218487396</v>
      </c>
      <c r="AD611" s="108">
        <f t="shared" si="77"/>
        <v>2634.4537815126041</v>
      </c>
      <c r="AE611" s="95" t="s">
        <v>2050</v>
      </c>
      <c r="AF611" s="498" t="s">
        <v>3487</v>
      </c>
      <c r="AG611" s="2" t="str">
        <f t="shared" si="78"/>
        <v>SI</v>
      </c>
      <c r="AH611" s="284"/>
      <c r="AI611" s="498"/>
      <c r="AJ611" s="2" t="str">
        <f t="shared" si="79"/>
        <v>NV</v>
      </c>
      <c r="AK611" s="303"/>
    </row>
    <row r="612" spans="1:37" x14ac:dyDescent="0.25">
      <c r="A612" s="534" t="s">
        <v>5588</v>
      </c>
      <c r="B612" s="317" t="s">
        <v>5589</v>
      </c>
      <c r="C612" s="95">
        <v>0</v>
      </c>
      <c r="D612" s="95">
        <v>2831</v>
      </c>
      <c r="E612" s="95"/>
      <c r="F612" s="95"/>
      <c r="G612" s="95">
        <v>6348</v>
      </c>
      <c r="H612" s="138">
        <v>19900</v>
      </c>
      <c r="I612" s="138"/>
      <c r="J612" s="126">
        <f t="shared" si="72"/>
        <v>19900</v>
      </c>
      <c r="K612" s="318">
        <v>43834</v>
      </c>
      <c r="L612" s="95">
        <v>0</v>
      </c>
      <c r="M612" s="313">
        <f t="shared" si="73"/>
        <v>43834</v>
      </c>
      <c r="N612" s="2" t="str">
        <f t="shared" si="74"/>
        <v>Pagado</v>
      </c>
      <c r="O612" s="318">
        <v>43836</v>
      </c>
      <c r="P612" s="138">
        <v>19900</v>
      </c>
      <c r="Q612" s="2" t="s">
        <v>1484</v>
      </c>
      <c r="R612" s="2"/>
      <c r="S612" s="95"/>
      <c r="T612" s="313" t="s">
        <v>1462</v>
      </c>
      <c r="U612" s="393"/>
      <c r="V612" s="95"/>
      <c r="W612" s="129"/>
      <c r="X612" s="318"/>
      <c r="Y612" s="95"/>
      <c r="Z612" s="131"/>
      <c r="AA612" s="108" t="str">
        <f t="shared" si="75"/>
        <v/>
      </c>
      <c r="AB612" s="2"/>
      <c r="AC612" s="131">
        <f t="shared" si="76"/>
        <v>16722.689075630253</v>
      </c>
      <c r="AD612" s="108">
        <f t="shared" si="77"/>
        <v>3177.3109243697472</v>
      </c>
      <c r="AE612" s="95" t="s">
        <v>1501</v>
      </c>
      <c r="AF612" s="533" t="s">
        <v>3489</v>
      </c>
      <c r="AG612" s="2" t="str">
        <f t="shared" si="78"/>
        <v>SI</v>
      </c>
      <c r="AH612" s="284"/>
      <c r="AI612" s="533"/>
      <c r="AJ612" s="2" t="str">
        <f t="shared" si="79"/>
        <v>NV</v>
      </c>
      <c r="AK612" s="303"/>
    </row>
    <row r="613" spans="1:37" x14ac:dyDescent="0.25">
      <c r="A613" s="499" t="s">
        <v>1204</v>
      </c>
      <c r="B613" s="317" t="s">
        <v>1052</v>
      </c>
      <c r="C613" s="95">
        <v>0</v>
      </c>
      <c r="D613" s="95">
        <v>0</v>
      </c>
      <c r="E613" s="95"/>
      <c r="F613" s="95"/>
      <c r="G613" s="95">
        <v>6349</v>
      </c>
      <c r="H613" s="138">
        <v>51400</v>
      </c>
      <c r="I613" s="138"/>
      <c r="J613" s="126">
        <f t="shared" si="72"/>
        <v>51400</v>
      </c>
      <c r="K613" s="318">
        <v>43834</v>
      </c>
      <c r="L613" s="95">
        <v>0</v>
      </c>
      <c r="M613" s="313">
        <f t="shared" si="73"/>
        <v>43834</v>
      </c>
      <c r="N613" s="2" t="str">
        <f t="shared" si="74"/>
        <v>Pagado</v>
      </c>
      <c r="O613" s="318">
        <v>43859</v>
      </c>
      <c r="P613" s="138">
        <v>51400</v>
      </c>
      <c r="Q613" s="2" t="s">
        <v>1484</v>
      </c>
      <c r="R613" s="2"/>
      <c r="S613" s="95"/>
      <c r="T613" s="313" t="s">
        <v>1492</v>
      </c>
      <c r="U613" s="393"/>
      <c r="V613" s="95"/>
      <c r="W613" s="129"/>
      <c r="X613" s="318"/>
      <c r="Y613" s="95"/>
      <c r="Z613" s="131"/>
      <c r="AA613" s="108" t="str">
        <f t="shared" si="75"/>
        <v/>
      </c>
      <c r="AB613" s="2"/>
      <c r="AC613" s="131">
        <f t="shared" si="76"/>
        <v>43193.277310924372</v>
      </c>
      <c r="AD613" s="108">
        <f t="shared" si="77"/>
        <v>8206.7226890756283</v>
      </c>
      <c r="AE613" s="95" t="s">
        <v>1501</v>
      </c>
      <c r="AF613" s="498" t="s">
        <v>3489</v>
      </c>
      <c r="AG613" s="2" t="str">
        <f t="shared" si="78"/>
        <v>SI</v>
      </c>
      <c r="AH613" s="284"/>
      <c r="AI613" s="498"/>
      <c r="AJ613" s="2" t="str">
        <f t="shared" si="79"/>
        <v>NV</v>
      </c>
      <c r="AK613" s="303"/>
    </row>
    <row r="614" spans="1:37" x14ac:dyDescent="0.25">
      <c r="A614" s="534" t="s">
        <v>5594</v>
      </c>
      <c r="B614" s="317" t="s">
        <v>5595</v>
      </c>
      <c r="C614" s="95">
        <v>0</v>
      </c>
      <c r="D614" s="95">
        <v>0</v>
      </c>
      <c r="E614" s="95"/>
      <c r="F614" s="95"/>
      <c r="G614" s="95">
        <v>6354</v>
      </c>
      <c r="H614" s="138">
        <v>11700</v>
      </c>
      <c r="I614" s="138"/>
      <c r="J614" s="126">
        <f t="shared" si="72"/>
        <v>11700</v>
      </c>
      <c r="K614" s="318">
        <v>43835</v>
      </c>
      <c r="L614" s="95">
        <v>0</v>
      </c>
      <c r="M614" s="313">
        <f t="shared" si="73"/>
        <v>43835</v>
      </c>
      <c r="N614" s="2" t="str">
        <f t="shared" si="74"/>
        <v>Abonado</v>
      </c>
      <c r="O614" s="318">
        <v>43835</v>
      </c>
      <c r="P614" s="138">
        <v>11500</v>
      </c>
      <c r="Q614" s="2" t="s">
        <v>1481</v>
      </c>
      <c r="R614" s="2"/>
      <c r="S614" s="95"/>
      <c r="T614" s="313"/>
      <c r="U614" s="393"/>
      <c r="V614" s="95"/>
      <c r="W614" s="129"/>
      <c r="X614" s="318"/>
      <c r="Y614" s="95"/>
      <c r="Z614" s="131"/>
      <c r="AA614" s="108" t="str">
        <f t="shared" si="75"/>
        <v/>
      </c>
      <c r="AB614" s="2"/>
      <c r="AC614" s="131">
        <f t="shared" si="76"/>
        <v>9831.9327731092435</v>
      </c>
      <c r="AD614" s="108">
        <f t="shared" si="77"/>
        <v>1868.0672268907565</v>
      </c>
      <c r="AE614" s="95" t="s">
        <v>1501</v>
      </c>
      <c r="AF614" s="533" t="s">
        <v>3487</v>
      </c>
      <c r="AG614" s="2" t="str">
        <f t="shared" si="78"/>
        <v>NO</v>
      </c>
      <c r="AH614" s="284"/>
      <c r="AI614" s="533"/>
      <c r="AJ614" s="2" t="str">
        <f t="shared" si="79"/>
        <v>NV</v>
      </c>
      <c r="AK614" s="303"/>
    </row>
    <row r="615" spans="1:37" x14ac:dyDescent="0.25">
      <c r="A615" s="499" t="s">
        <v>5585</v>
      </c>
      <c r="B615" s="317" t="s">
        <v>5586</v>
      </c>
      <c r="C615" s="95">
        <v>0</v>
      </c>
      <c r="D615" s="95">
        <v>0</v>
      </c>
      <c r="E615" s="95"/>
      <c r="F615" s="95"/>
      <c r="G615" s="95">
        <v>6353</v>
      </c>
      <c r="H615" s="138">
        <v>29000</v>
      </c>
      <c r="I615" s="138"/>
      <c r="J615" s="126">
        <f t="shared" si="72"/>
        <v>29000</v>
      </c>
      <c r="K615" s="318">
        <v>43835</v>
      </c>
      <c r="L615" s="95">
        <v>0</v>
      </c>
      <c r="M615" s="313">
        <f t="shared" si="73"/>
        <v>43835</v>
      </c>
      <c r="N615" s="2" t="str">
        <f t="shared" si="74"/>
        <v>Pagado</v>
      </c>
      <c r="O615" s="318">
        <v>43835</v>
      </c>
      <c r="P615" s="138">
        <v>29000</v>
      </c>
      <c r="Q615" s="2" t="s">
        <v>1481</v>
      </c>
      <c r="R615" s="2"/>
      <c r="S615" s="95"/>
      <c r="T615" s="313"/>
      <c r="U615" s="393"/>
      <c r="V615" s="95"/>
      <c r="W615" s="129"/>
      <c r="X615" s="318"/>
      <c r="Y615" s="95"/>
      <c r="Z615" s="131"/>
      <c r="AA615" s="108" t="str">
        <f t="shared" si="75"/>
        <v/>
      </c>
      <c r="AB615" s="2"/>
      <c r="AC615" s="131">
        <f t="shared" si="76"/>
        <v>24369.747899159665</v>
      </c>
      <c r="AD615" s="108">
        <f t="shared" si="77"/>
        <v>4630.2521008403346</v>
      </c>
      <c r="AE615" s="95" t="s">
        <v>1501</v>
      </c>
      <c r="AF615" s="498" t="s">
        <v>3489</v>
      </c>
      <c r="AG615" s="2" t="str">
        <f t="shared" si="78"/>
        <v>SI</v>
      </c>
      <c r="AH615" s="284"/>
      <c r="AI615" s="498"/>
      <c r="AJ615" s="2" t="str">
        <f t="shared" si="79"/>
        <v>NV</v>
      </c>
      <c r="AK615" s="303"/>
    </row>
    <row r="616" spans="1:37" x14ac:dyDescent="0.25">
      <c r="A616" s="499" t="s">
        <v>5585</v>
      </c>
      <c r="B616" s="317" t="s">
        <v>5586</v>
      </c>
      <c r="C616" s="95">
        <v>0</v>
      </c>
      <c r="D616" s="95">
        <v>0</v>
      </c>
      <c r="E616" s="95"/>
      <c r="F616" s="95"/>
      <c r="G616" s="95">
        <v>6353</v>
      </c>
      <c r="H616" s="138">
        <v>15000</v>
      </c>
      <c r="I616" s="138"/>
      <c r="J616" s="126">
        <f t="shared" si="72"/>
        <v>15000</v>
      </c>
      <c r="K616" s="318">
        <v>43835</v>
      </c>
      <c r="L616" s="95">
        <v>0</v>
      </c>
      <c r="M616" s="313">
        <f t="shared" si="73"/>
        <v>43835</v>
      </c>
      <c r="N616" s="2" t="str">
        <f t="shared" si="74"/>
        <v>Pagado</v>
      </c>
      <c r="O616" s="318">
        <v>43835</v>
      </c>
      <c r="P616" s="138">
        <v>15000</v>
      </c>
      <c r="Q616" s="2" t="s">
        <v>1484</v>
      </c>
      <c r="R616" s="2"/>
      <c r="S616" s="95"/>
      <c r="T616" s="326" t="s">
        <v>1496</v>
      </c>
      <c r="U616" s="393"/>
      <c r="V616" s="95"/>
      <c r="W616" s="129"/>
      <c r="X616" s="318"/>
      <c r="Y616" s="95"/>
      <c r="Z616" s="131"/>
      <c r="AA616" s="108" t="str">
        <f t="shared" si="75"/>
        <v/>
      </c>
      <c r="AB616" s="2"/>
      <c r="AC616" s="131">
        <f t="shared" si="76"/>
        <v>12605.042016806723</v>
      </c>
      <c r="AD616" s="108">
        <f t="shared" si="77"/>
        <v>2394.957983193277</v>
      </c>
      <c r="AE616" s="95" t="s">
        <v>1501</v>
      </c>
      <c r="AF616" s="498" t="s">
        <v>3489</v>
      </c>
      <c r="AG616" s="2" t="str">
        <f t="shared" si="78"/>
        <v>SI</v>
      </c>
      <c r="AH616" s="284"/>
      <c r="AI616" s="498"/>
      <c r="AJ616" s="2" t="str">
        <f t="shared" si="79"/>
        <v>NV</v>
      </c>
      <c r="AK616" s="303"/>
    </row>
    <row r="617" spans="1:37" x14ac:dyDescent="0.25">
      <c r="A617" s="270" t="s">
        <v>2226</v>
      </c>
      <c r="B617" s="3" t="s">
        <v>2227</v>
      </c>
      <c r="C617" s="2">
        <v>0</v>
      </c>
      <c r="D617" s="2">
        <v>192</v>
      </c>
      <c r="E617" s="2"/>
      <c r="F617" s="2"/>
      <c r="G617" s="2">
        <v>6349</v>
      </c>
      <c r="H617" s="293">
        <v>54000</v>
      </c>
      <c r="I617" s="293"/>
      <c r="J617" s="126">
        <f t="shared" si="72"/>
        <v>54000</v>
      </c>
      <c r="K617" s="310">
        <v>43835</v>
      </c>
      <c r="L617" s="2">
        <v>0</v>
      </c>
      <c r="M617" s="313">
        <f t="shared" si="73"/>
        <v>43835</v>
      </c>
      <c r="N617" s="2" t="str">
        <f t="shared" si="74"/>
        <v>Pagado</v>
      </c>
      <c r="O617" s="310">
        <v>43835</v>
      </c>
      <c r="P617" s="293">
        <v>54000</v>
      </c>
      <c r="Q617" s="2" t="s">
        <v>1070</v>
      </c>
      <c r="R617" s="2" t="s">
        <v>1478</v>
      </c>
      <c r="S617" s="2">
        <v>192</v>
      </c>
      <c r="T617" s="313"/>
      <c r="U617" s="392"/>
      <c r="V617" s="2"/>
      <c r="W617" s="108"/>
      <c r="X617" s="310"/>
      <c r="Y617" s="2"/>
      <c r="Z617" s="131"/>
      <c r="AA617" s="108" t="str">
        <f t="shared" si="75"/>
        <v/>
      </c>
      <c r="AB617" s="2"/>
      <c r="AC617" s="131">
        <f t="shared" si="76"/>
        <v>45378.151260504201</v>
      </c>
      <c r="AD617" s="108">
        <f t="shared" si="77"/>
        <v>8621.8487394957992</v>
      </c>
      <c r="AE617" s="2" t="s">
        <v>1501</v>
      </c>
      <c r="AF617" s="23" t="s">
        <v>3487</v>
      </c>
      <c r="AG617" s="2" t="str">
        <f t="shared" si="78"/>
        <v>SI</v>
      </c>
      <c r="AH617" s="14"/>
      <c r="AI617" s="23"/>
      <c r="AJ617" s="2" t="str">
        <f t="shared" si="79"/>
        <v>NV</v>
      </c>
      <c r="AK617" s="294"/>
    </row>
    <row r="618" spans="1:37" x14ac:dyDescent="0.25">
      <c r="A618" s="542" t="s">
        <v>5596</v>
      </c>
      <c r="B618" s="317" t="s">
        <v>5597</v>
      </c>
      <c r="C618" s="95">
        <v>0</v>
      </c>
      <c r="D618" s="95">
        <v>2832</v>
      </c>
      <c r="E618" s="95"/>
      <c r="F618" s="95"/>
      <c r="G618" s="95">
        <v>6357</v>
      </c>
      <c r="H618" s="138">
        <v>23000</v>
      </c>
      <c r="I618" s="138"/>
      <c r="J618" s="126">
        <f t="shared" si="72"/>
        <v>23000</v>
      </c>
      <c r="K618" s="318">
        <v>43836</v>
      </c>
      <c r="L618" s="95">
        <v>0</v>
      </c>
      <c r="M618" s="313">
        <f t="shared" si="73"/>
        <v>43836</v>
      </c>
      <c r="N618" s="2" t="str">
        <f t="shared" si="74"/>
        <v>Pagado</v>
      </c>
      <c r="O618" s="318">
        <v>43836</v>
      </c>
      <c r="P618" s="138">
        <v>23000</v>
      </c>
      <c r="Q618" s="2" t="s">
        <v>1484</v>
      </c>
      <c r="R618" s="2"/>
      <c r="S618" s="95"/>
      <c r="T618" s="313" t="s">
        <v>1496</v>
      </c>
      <c r="U618" s="393"/>
      <c r="V618" s="95"/>
      <c r="W618" s="129"/>
      <c r="X618" s="318"/>
      <c r="Y618" s="95"/>
      <c r="Z618" s="131"/>
      <c r="AA618" s="108" t="str">
        <f t="shared" si="75"/>
        <v/>
      </c>
      <c r="AB618" s="2"/>
      <c r="AC618" s="131">
        <f t="shared" si="76"/>
        <v>19327.731092436974</v>
      </c>
      <c r="AD618" s="108">
        <f t="shared" si="77"/>
        <v>3672.268907563026</v>
      </c>
      <c r="AE618" s="95" t="s">
        <v>1501</v>
      </c>
      <c r="AF618" s="541" t="s">
        <v>5291</v>
      </c>
      <c r="AG618" s="2" t="str">
        <f t="shared" si="78"/>
        <v>SI</v>
      </c>
      <c r="AH618" s="284"/>
      <c r="AI618" s="541"/>
      <c r="AJ618" s="2" t="str">
        <f t="shared" si="79"/>
        <v>NV</v>
      </c>
      <c r="AK618" s="303"/>
    </row>
    <row r="619" spans="1:37" x14ac:dyDescent="0.25">
      <c r="A619" s="542" t="s">
        <v>5335</v>
      </c>
      <c r="B619" s="317" t="s">
        <v>5336</v>
      </c>
      <c r="C619" s="95">
        <v>0</v>
      </c>
      <c r="D619" s="95">
        <v>2836</v>
      </c>
      <c r="E619" s="95"/>
      <c r="F619" s="95"/>
      <c r="G619" s="95">
        <v>6360</v>
      </c>
      <c r="H619" s="138">
        <v>19700</v>
      </c>
      <c r="I619" s="138"/>
      <c r="J619" s="126">
        <f t="shared" si="72"/>
        <v>19700</v>
      </c>
      <c r="K619" s="318">
        <v>43836</v>
      </c>
      <c r="L619" s="95">
        <v>0</v>
      </c>
      <c r="M619" s="313">
        <f t="shared" si="73"/>
        <v>43836</v>
      </c>
      <c r="N619" s="2" t="str">
        <f t="shared" si="74"/>
        <v>Pagado</v>
      </c>
      <c r="O619" s="318">
        <v>43836</v>
      </c>
      <c r="P619" s="138">
        <v>19700</v>
      </c>
      <c r="Q619" s="2" t="s">
        <v>1484</v>
      </c>
      <c r="R619" s="2"/>
      <c r="S619" s="95"/>
      <c r="T619" s="313" t="s">
        <v>1494</v>
      </c>
      <c r="U619" s="393"/>
      <c r="V619" s="95"/>
      <c r="W619" s="129"/>
      <c r="X619" s="318"/>
      <c r="Y619" s="95"/>
      <c r="Z619" s="131"/>
      <c r="AA619" s="108" t="str">
        <f t="shared" si="75"/>
        <v/>
      </c>
      <c r="AB619" s="2"/>
      <c r="AC619" s="131">
        <f t="shared" si="76"/>
        <v>16554.621848739498</v>
      </c>
      <c r="AD619" s="108">
        <f t="shared" si="77"/>
        <v>3145.3781512605019</v>
      </c>
      <c r="AE619" s="95" t="s">
        <v>1501</v>
      </c>
      <c r="AF619" s="541" t="s">
        <v>3487</v>
      </c>
      <c r="AG619" s="2" t="str">
        <f t="shared" si="78"/>
        <v>SI</v>
      </c>
      <c r="AH619" s="284"/>
      <c r="AI619" s="541"/>
      <c r="AJ619" s="2" t="str">
        <f t="shared" si="79"/>
        <v>NV</v>
      </c>
      <c r="AK619" s="303"/>
    </row>
    <row r="620" spans="1:37" x14ac:dyDescent="0.25">
      <c r="A620" s="542" t="s">
        <v>4947</v>
      </c>
      <c r="B620" s="317" t="s">
        <v>4948</v>
      </c>
      <c r="C620" s="95">
        <v>0</v>
      </c>
      <c r="D620" s="95">
        <v>2835</v>
      </c>
      <c r="E620" s="95"/>
      <c r="F620" s="95"/>
      <c r="G620" s="95">
        <v>6359</v>
      </c>
      <c r="H620" s="138">
        <v>25700</v>
      </c>
      <c r="I620" s="138"/>
      <c r="J620" s="126">
        <f t="shared" si="72"/>
        <v>25700</v>
      </c>
      <c r="K620" s="318">
        <v>43836</v>
      </c>
      <c r="L620" s="95">
        <v>0</v>
      </c>
      <c r="M620" s="313">
        <f t="shared" si="73"/>
        <v>43836</v>
      </c>
      <c r="N620" s="2" t="str">
        <f t="shared" si="74"/>
        <v>Pagado</v>
      </c>
      <c r="O620" s="318">
        <v>43836</v>
      </c>
      <c r="P620" s="138">
        <v>25700</v>
      </c>
      <c r="Q620" s="2" t="s">
        <v>1484</v>
      </c>
      <c r="R620" s="2"/>
      <c r="S620" s="95"/>
      <c r="T620" s="313" t="s">
        <v>1488</v>
      </c>
      <c r="U620" s="393"/>
      <c r="V620" s="95"/>
      <c r="W620" s="129"/>
      <c r="X620" s="318"/>
      <c r="Y620" s="95"/>
      <c r="Z620" s="131"/>
      <c r="AA620" s="108" t="str">
        <f t="shared" si="75"/>
        <v/>
      </c>
      <c r="AB620" s="2"/>
      <c r="AC620" s="131">
        <f t="shared" si="76"/>
        <v>21596.638655462186</v>
      </c>
      <c r="AD620" s="108">
        <f t="shared" si="77"/>
        <v>4103.3613445378141</v>
      </c>
      <c r="AE620" s="95" t="s">
        <v>1501</v>
      </c>
      <c r="AF620" s="541" t="s">
        <v>3487</v>
      </c>
      <c r="AG620" s="2" t="str">
        <f t="shared" si="78"/>
        <v>SI</v>
      </c>
      <c r="AH620" s="284"/>
      <c r="AI620" s="541"/>
      <c r="AJ620" s="2" t="str">
        <f t="shared" si="79"/>
        <v>NV</v>
      </c>
      <c r="AK620" s="303"/>
    </row>
    <row r="621" spans="1:37" x14ac:dyDescent="0.25">
      <c r="A621" s="429" t="s">
        <v>2729</v>
      </c>
      <c r="B621" s="317" t="s">
        <v>2730</v>
      </c>
      <c r="C621" s="95">
        <v>3090</v>
      </c>
      <c r="D621" s="95">
        <v>0</v>
      </c>
      <c r="E621" s="95"/>
      <c r="F621" s="95"/>
      <c r="G621" s="95">
        <v>6355</v>
      </c>
      <c r="H621" s="138">
        <v>34500</v>
      </c>
      <c r="I621" s="138"/>
      <c r="J621" s="126">
        <f t="shared" si="72"/>
        <v>34500</v>
      </c>
      <c r="K621" s="318">
        <v>43836</v>
      </c>
      <c r="L621" s="95">
        <v>0</v>
      </c>
      <c r="M621" s="313">
        <f t="shared" si="73"/>
        <v>43836</v>
      </c>
      <c r="N621" s="2" t="str">
        <f t="shared" si="74"/>
        <v>Pagado</v>
      </c>
      <c r="O621" s="318">
        <v>43836</v>
      </c>
      <c r="P621" s="138">
        <v>34500</v>
      </c>
      <c r="Q621" s="2" t="s">
        <v>1484</v>
      </c>
      <c r="R621" s="2"/>
      <c r="S621" s="95"/>
      <c r="T621" s="313" t="s">
        <v>1462</v>
      </c>
      <c r="U621" s="393"/>
      <c r="V621" s="95"/>
      <c r="W621" s="129"/>
      <c r="X621" s="318"/>
      <c r="Y621" s="95"/>
      <c r="Z621" s="131"/>
      <c r="AA621" s="108" t="str">
        <f t="shared" si="75"/>
        <v/>
      </c>
      <c r="AB621" s="2"/>
      <c r="AC621" s="131">
        <f t="shared" si="76"/>
        <v>28991.596638655465</v>
      </c>
      <c r="AD621" s="108">
        <f t="shared" si="77"/>
        <v>5508.4033613445354</v>
      </c>
      <c r="AE621" s="95" t="s">
        <v>1501</v>
      </c>
      <c r="AF621" s="428" t="s">
        <v>3489</v>
      </c>
      <c r="AG621" s="2" t="str">
        <f t="shared" si="78"/>
        <v>SI</v>
      </c>
      <c r="AH621" s="284"/>
      <c r="AI621" s="428"/>
      <c r="AJ621" s="2" t="str">
        <f t="shared" si="79"/>
        <v>Factura</v>
      </c>
      <c r="AK621" s="303"/>
    </row>
    <row r="622" spans="1:37" x14ac:dyDescent="0.25">
      <c r="A622" s="429" t="s">
        <v>1198</v>
      </c>
      <c r="B622" s="317" t="s">
        <v>2158</v>
      </c>
      <c r="C622" s="95">
        <v>0</v>
      </c>
      <c r="D622" s="95">
        <v>2833</v>
      </c>
      <c r="E622" s="95"/>
      <c r="F622" s="95"/>
      <c r="G622" s="95">
        <v>6356</v>
      </c>
      <c r="H622" s="138">
        <v>46000</v>
      </c>
      <c r="I622" s="138"/>
      <c r="J622" s="126">
        <f t="shared" si="72"/>
        <v>46000</v>
      </c>
      <c r="K622" s="318">
        <v>43836</v>
      </c>
      <c r="L622" s="95">
        <v>0</v>
      </c>
      <c r="M622" s="313">
        <f t="shared" si="73"/>
        <v>43836</v>
      </c>
      <c r="N622" s="2" t="str">
        <f t="shared" si="74"/>
        <v>Pagado</v>
      </c>
      <c r="O622" s="318">
        <v>43843</v>
      </c>
      <c r="P622" s="138">
        <v>46000</v>
      </c>
      <c r="Q622" s="2" t="s">
        <v>1483</v>
      </c>
      <c r="R622" s="2"/>
      <c r="S622" s="95"/>
      <c r="T622" s="313" t="s">
        <v>1493</v>
      </c>
      <c r="U622" s="393"/>
      <c r="V622" s="95"/>
      <c r="W622" s="129"/>
      <c r="X622" s="318"/>
      <c r="Y622" s="95"/>
      <c r="Z622" s="131"/>
      <c r="AA622" s="108" t="str">
        <f t="shared" si="75"/>
        <v/>
      </c>
      <c r="AB622" s="2"/>
      <c r="AC622" s="131">
        <f t="shared" si="76"/>
        <v>38655.462184873948</v>
      </c>
      <c r="AD622" s="108">
        <f t="shared" si="77"/>
        <v>7344.537815126052</v>
      </c>
      <c r="AE622" s="95" t="s">
        <v>1501</v>
      </c>
      <c r="AF622" s="428" t="s">
        <v>3489</v>
      </c>
      <c r="AG622" s="2" t="str">
        <f t="shared" si="78"/>
        <v>SI</v>
      </c>
      <c r="AH622" s="284"/>
      <c r="AI622" s="428"/>
      <c r="AJ622" s="2" t="str">
        <f t="shared" si="79"/>
        <v>NV</v>
      </c>
      <c r="AK622" s="303"/>
    </row>
    <row r="623" spans="1:37" x14ac:dyDescent="0.25">
      <c r="A623" s="429" t="s">
        <v>1419</v>
      </c>
      <c r="B623" s="317" t="s">
        <v>1119</v>
      </c>
      <c r="C623" s="95">
        <v>0</v>
      </c>
      <c r="D623" s="95">
        <v>2834</v>
      </c>
      <c r="E623" s="95"/>
      <c r="F623" s="95"/>
      <c r="G623" s="95">
        <v>6358</v>
      </c>
      <c r="H623" s="138">
        <v>23500</v>
      </c>
      <c r="I623" s="138"/>
      <c r="J623" s="126">
        <f t="shared" si="72"/>
        <v>23500</v>
      </c>
      <c r="K623" s="318">
        <v>43836</v>
      </c>
      <c r="L623" s="95">
        <v>0</v>
      </c>
      <c r="M623" s="313">
        <f t="shared" si="73"/>
        <v>43836</v>
      </c>
      <c r="N623" s="2" t="str">
        <f t="shared" si="74"/>
        <v>Pagado</v>
      </c>
      <c r="O623" s="318">
        <v>43836</v>
      </c>
      <c r="P623" s="138">
        <v>23500</v>
      </c>
      <c r="Q623" s="2" t="s">
        <v>1481</v>
      </c>
      <c r="R623" s="2"/>
      <c r="S623" s="95"/>
      <c r="T623" s="313"/>
      <c r="U623" s="393"/>
      <c r="V623" s="95"/>
      <c r="W623" s="129"/>
      <c r="X623" s="318"/>
      <c r="Y623" s="95"/>
      <c r="Z623" s="131"/>
      <c r="AA623" s="108" t="str">
        <f t="shared" si="75"/>
        <v/>
      </c>
      <c r="AB623" s="2"/>
      <c r="AC623" s="131">
        <f t="shared" si="76"/>
        <v>19747.899159663866</v>
      </c>
      <c r="AD623" s="108">
        <f t="shared" si="77"/>
        <v>3752.1008403361338</v>
      </c>
      <c r="AE623" s="95" t="s">
        <v>1501</v>
      </c>
      <c r="AF623" s="428" t="s">
        <v>3489</v>
      </c>
      <c r="AG623" s="2" t="str">
        <f t="shared" si="78"/>
        <v>SI</v>
      </c>
      <c r="AH623" s="284"/>
      <c r="AI623" s="428"/>
      <c r="AJ623" s="2" t="str">
        <f t="shared" si="79"/>
        <v>NV</v>
      </c>
      <c r="AK623" s="303"/>
    </row>
    <row r="624" spans="1:37" x14ac:dyDescent="0.25">
      <c r="A624" s="542" t="s">
        <v>1285</v>
      </c>
      <c r="B624" s="317" t="s">
        <v>1071</v>
      </c>
      <c r="C624" s="95">
        <v>0</v>
      </c>
      <c r="D624" s="95">
        <v>0</v>
      </c>
      <c r="E624" s="95"/>
      <c r="F624" s="95"/>
      <c r="G624" s="95" t="s">
        <v>2528</v>
      </c>
      <c r="H624" s="138">
        <v>14800</v>
      </c>
      <c r="I624" s="138"/>
      <c r="J624" s="126">
        <f t="shared" si="72"/>
        <v>14800</v>
      </c>
      <c r="K624" s="318">
        <v>43836</v>
      </c>
      <c r="L624" s="95">
        <v>0</v>
      </c>
      <c r="M624" s="313">
        <f t="shared" si="73"/>
        <v>43836</v>
      </c>
      <c r="N624" s="2" t="str">
        <f t="shared" si="74"/>
        <v>Pagado</v>
      </c>
      <c r="O624" s="318">
        <v>43836</v>
      </c>
      <c r="P624" s="138">
        <v>14800</v>
      </c>
      <c r="Q624" s="2" t="s">
        <v>1484</v>
      </c>
      <c r="R624" s="2"/>
      <c r="S624" s="95"/>
      <c r="T624" s="313" t="s">
        <v>1492</v>
      </c>
      <c r="U624" s="393"/>
      <c r="V624" s="95"/>
      <c r="W624" s="129"/>
      <c r="X624" s="318"/>
      <c r="Y624" s="95"/>
      <c r="Z624" s="131"/>
      <c r="AA624" s="108" t="str">
        <f t="shared" si="75"/>
        <v/>
      </c>
      <c r="AB624" s="2"/>
      <c r="AC624" s="131">
        <f t="shared" si="76"/>
        <v>12436.974789915967</v>
      </c>
      <c r="AD624" s="108">
        <f t="shared" si="77"/>
        <v>2363.0252100840335</v>
      </c>
      <c r="AE624" s="95" t="s">
        <v>1501</v>
      </c>
      <c r="AF624" s="541" t="s">
        <v>3487</v>
      </c>
      <c r="AG624" s="2" t="str">
        <f t="shared" si="78"/>
        <v>SI</v>
      </c>
      <c r="AH624" s="284"/>
      <c r="AI624" s="541"/>
      <c r="AJ624" s="2" t="str">
        <f t="shared" si="79"/>
        <v>NV</v>
      </c>
      <c r="AK624" s="303"/>
    </row>
    <row r="625" spans="1:37" x14ac:dyDescent="0.25">
      <c r="A625" s="542" t="s">
        <v>3987</v>
      </c>
      <c r="B625" s="317" t="s">
        <v>3988</v>
      </c>
      <c r="C625" s="95">
        <v>0</v>
      </c>
      <c r="D625" s="95">
        <v>2838</v>
      </c>
      <c r="E625" s="95"/>
      <c r="F625" s="95"/>
      <c r="G625" s="95">
        <v>6361</v>
      </c>
      <c r="H625" s="138">
        <v>19900</v>
      </c>
      <c r="I625" s="138"/>
      <c r="J625" s="126">
        <f t="shared" si="72"/>
        <v>19900</v>
      </c>
      <c r="K625" s="318">
        <v>43837</v>
      </c>
      <c r="L625" s="95">
        <v>0</v>
      </c>
      <c r="M625" s="313">
        <f t="shared" si="73"/>
        <v>43837</v>
      </c>
      <c r="N625" s="2" t="str">
        <f t="shared" si="74"/>
        <v>Pagado</v>
      </c>
      <c r="O625" s="318">
        <v>43837</v>
      </c>
      <c r="P625" s="138">
        <v>19900</v>
      </c>
      <c r="Q625" s="2" t="s">
        <v>1484</v>
      </c>
      <c r="R625" s="2"/>
      <c r="S625" s="95"/>
      <c r="T625" s="313" t="s">
        <v>1492</v>
      </c>
      <c r="U625" s="393"/>
      <c r="V625" s="95"/>
      <c r="W625" s="129"/>
      <c r="X625" s="318"/>
      <c r="Y625" s="95"/>
      <c r="Z625" s="131"/>
      <c r="AA625" s="108" t="str">
        <f t="shared" si="75"/>
        <v/>
      </c>
      <c r="AB625" s="2"/>
      <c r="AC625" s="131">
        <f t="shared" si="76"/>
        <v>16722.689075630253</v>
      </c>
      <c r="AD625" s="108">
        <f t="shared" si="77"/>
        <v>3177.3109243697472</v>
      </c>
      <c r="AE625" s="95" t="s">
        <v>1501</v>
      </c>
      <c r="AF625" s="541" t="s">
        <v>3488</v>
      </c>
      <c r="AG625" s="2" t="str">
        <f t="shared" si="78"/>
        <v>SI</v>
      </c>
      <c r="AH625" s="284"/>
      <c r="AI625" s="541"/>
      <c r="AJ625" s="2" t="str">
        <f t="shared" si="79"/>
        <v>NV</v>
      </c>
      <c r="AK625" s="303"/>
    </row>
    <row r="626" spans="1:37" x14ac:dyDescent="0.25">
      <c r="A626" s="542" t="s">
        <v>4551</v>
      </c>
      <c r="B626" s="317" t="s">
        <v>4552</v>
      </c>
      <c r="C626" s="95">
        <v>0</v>
      </c>
      <c r="D626" s="95">
        <v>2840</v>
      </c>
      <c r="E626" s="95"/>
      <c r="F626" s="95"/>
      <c r="G626" s="95">
        <v>6363</v>
      </c>
      <c r="H626" s="138">
        <v>16500</v>
      </c>
      <c r="I626" s="138"/>
      <c r="J626" s="126">
        <f t="shared" si="72"/>
        <v>16500</v>
      </c>
      <c r="K626" s="318">
        <v>43837</v>
      </c>
      <c r="L626" s="95">
        <v>0</v>
      </c>
      <c r="M626" s="313">
        <f t="shared" si="73"/>
        <v>43837</v>
      </c>
      <c r="N626" s="2" t="str">
        <f t="shared" si="74"/>
        <v>Pagado</v>
      </c>
      <c r="O626" s="318">
        <v>43472</v>
      </c>
      <c r="P626" s="138">
        <v>16500</v>
      </c>
      <c r="Q626" s="2" t="s">
        <v>1481</v>
      </c>
      <c r="R626" s="2"/>
      <c r="S626" s="95"/>
      <c r="T626" s="313"/>
      <c r="U626" s="393"/>
      <c r="V626" s="95"/>
      <c r="W626" s="129"/>
      <c r="X626" s="318"/>
      <c r="Y626" s="95"/>
      <c r="Z626" s="131"/>
      <c r="AA626" s="108" t="str">
        <f t="shared" si="75"/>
        <v/>
      </c>
      <c r="AB626" s="2"/>
      <c r="AC626" s="131">
        <f t="shared" si="76"/>
        <v>13865.546218487396</v>
      </c>
      <c r="AD626" s="108">
        <f t="shared" si="77"/>
        <v>2634.4537815126041</v>
      </c>
      <c r="AE626" s="95" t="s">
        <v>1501</v>
      </c>
      <c r="AF626" s="541" t="s">
        <v>3489</v>
      </c>
      <c r="AG626" s="2" t="str">
        <f t="shared" si="78"/>
        <v>SI</v>
      </c>
      <c r="AH626" s="284"/>
      <c r="AI626" s="541"/>
      <c r="AJ626" s="2" t="str">
        <f t="shared" si="79"/>
        <v>NV</v>
      </c>
      <c r="AK626" s="303"/>
    </row>
    <row r="627" spans="1:37" x14ac:dyDescent="0.25">
      <c r="A627" s="476" t="s">
        <v>1176</v>
      </c>
      <c r="B627" s="317" t="s">
        <v>949</v>
      </c>
      <c r="C627" s="95">
        <v>3057</v>
      </c>
      <c r="D627" s="95">
        <v>0</v>
      </c>
      <c r="E627" s="95"/>
      <c r="F627" s="95"/>
      <c r="G627" s="95" t="s">
        <v>2528</v>
      </c>
      <c r="H627" s="138">
        <v>172610</v>
      </c>
      <c r="I627" s="138"/>
      <c r="J627" s="126">
        <f t="shared" si="72"/>
        <v>172610</v>
      </c>
      <c r="K627" s="318">
        <v>43837</v>
      </c>
      <c r="L627" s="95">
        <v>30</v>
      </c>
      <c r="M627" s="313">
        <f t="shared" si="73"/>
        <v>43867</v>
      </c>
      <c r="N627" s="2" t="str">
        <f t="shared" si="74"/>
        <v>Pagado</v>
      </c>
      <c r="O627" s="318">
        <v>43838</v>
      </c>
      <c r="P627" s="138">
        <v>172610</v>
      </c>
      <c r="Q627" s="2" t="s">
        <v>2131</v>
      </c>
      <c r="R627" s="2"/>
      <c r="S627" s="95">
        <v>5854294</v>
      </c>
      <c r="T627" s="313" t="s">
        <v>1488</v>
      </c>
      <c r="U627" s="393">
        <v>43857</v>
      </c>
      <c r="V627" s="95"/>
      <c r="W627" s="129"/>
      <c r="X627" s="318"/>
      <c r="Y627" s="95"/>
      <c r="Z627" s="131"/>
      <c r="AA627" s="108" t="str">
        <f t="shared" si="75"/>
        <v>Chile</v>
      </c>
      <c r="AB627" s="2"/>
      <c r="AC627" s="131">
        <f t="shared" si="76"/>
        <v>145050.42016806724</v>
      </c>
      <c r="AD627" s="108">
        <f t="shared" si="77"/>
        <v>27559.579831932759</v>
      </c>
      <c r="AE627" s="95" t="s">
        <v>1501</v>
      </c>
      <c r="AF627" s="475" t="s">
        <v>3490</v>
      </c>
      <c r="AG627" s="2" t="str">
        <f t="shared" si="78"/>
        <v>SI</v>
      </c>
      <c r="AH627" s="284"/>
      <c r="AI627" s="475"/>
      <c r="AJ627" s="2" t="str">
        <f t="shared" si="79"/>
        <v>Factura</v>
      </c>
      <c r="AK627" s="303"/>
    </row>
    <row r="628" spans="1:37" x14ac:dyDescent="0.25">
      <c r="A628" s="270" t="s">
        <v>1176</v>
      </c>
      <c r="B628" s="3" t="s">
        <v>949</v>
      </c>
      <c r="C628" s="2">
        <v>3057</v>
      </c>
      <c r="D628" s="2">
        <v>0</v>
      </c>
      <c r="E628" s="2"/>
      <c r="F628" s="2"/>
      <c r="G628" s="2" t="s">
        <v>2528</v>
      </c>
      <c r="H628" s="293">
        <v>172610</v>
      </c>
      <c r="I628" s="293"/>
      <c r="J628" s="126">
        <f t="shared" si="72"/>
        <v>172610</v>
      </c>
      <c r="K628" s="310">
        <v>43837</v>
      </c>
      <c r="L628" s="2">
        <v>30</v>
      </c>
      <c r="M628" s="313">
        <f t="shared" si="73"/>
        <v>43867</v>
      </c>
      <c r="N628" s="2" t="str">
        <f t="shared" si="74"/>
        <v>Pagado</v>
      </c>
      <c r="O628" s="310">
        <v>43838</v>
      </c>
      <c r="P628" s="293">
        <v>172610</v>
      </c>
      <c r="Q628" s="2" t="s">
        <v>2131</v>
      </c>
      <c r="R628" s="2"/>
      <c r="S628" s="2">
        <v>5854295</v>
      </c>
      <c r="T628" s="326" t="s">
        <v>1488</v>
      </c>
      <c r="U628" s="392">
        <v>43878</v>
      </c>
      <c r="V628" s="2"/>
      <c r="W628" s="108"/>
      <c r="X628" s="310"/>
      <c r="Y628" s="2"/>
      <c r="Z628" s="131"/>
      <c r="AA628" s="108" t="str">
        <f t="shared" si="75"/>
        <v>Chile</v>
      </c>
      <c r="AB628" s="2"/>
      <c r="AC628" s="131">
        <f t="shared" si="76"/>
        <v>145050.42016806724</v>
      </c>
      <c r="AD628" s="108">
        <f t="shared" si="77"/>
        <v>27559.579831932759</v>
      </c>
      <c r="AE628" s="2" t="s">
        <v>1501</v>
      </c>
      <c r="AF628" s="23" t="s">
        <v>3490</v>
      </c>
      <c r="AG628" s="2" t="str">
        <f t="shared" si="78"/>
        <v>SI</v>
      </c>
      <c r="AH628" s="14"/>
      <c r="AI628" s="23"/>
      <c r="AJ628" s="2" t="str">
        <f t="shared" si="79"/>
        <v>Factura</v>
      </c>
      <c r="AK628" s="294"/>
    </row>
    <row r="629" spans="1:37" x14ac:dyDescent="0.25">
      <c r="A629" s="429" t="s">
        <v>4863</v>
      </c>
      <c r="B629" s="317" t="s">
        <v>4864</v>
      </c>
      <c r="C629" s="95">
        <v>0</v>
      </c>
      <c r="D629" s="95">
        <v>2837</v>
      </c>
      <c r="E629" s="95"/>
      <c r="F629" s="95"/>
      <c r="G629" s="95">
        <v>6362</v>
      </c>
      <c r="H629" s="138">
        <v>35500</v>
      </c>
      <c r="I629" s="138"/>
      <c r="J629" s="126">
        <f t="shared" si="72"/>
        <v>35500</v>
      </c>
      <c r="K629" s="318">
        <v>43837</v>
      </c>
      <c r="L629" s="95">
        <v>0</v>
      </c>
      <c r="M629" s="313">
        <f t="shared" si="73"/>
        <v>43837</v>
      </c>
      <c r="N629" s="2" t="str">
        <f t="shared" si="74"/>
        <v>Pagado</v>
      </c>
      <c r="O629" s="318">
        <v>43837</v>
      </c>
      <c r="P629" s="138">
        <v>35500</v>
      </c>
      <c r="Q629" s="2" t="s">
        <v>1481</v>
      </c>
      <c r="R629" s="2"/>
      <c r="S629" s="95"/>
      <c r="T629" s="313"/>
      <c r="U629" s="393"/>
      <c r="V629" s="95"/>
      <c r="W629" s="129"/>
      <c r="X629" s="318"/>
      <c r="Y629" s="95"/>
      <c r="Z629" s="131"/>
      <c r="AA629" s="108" t="str">
        <f t="shared" si="75"/>
        <v/>
      </c>
      <c r="AB629" s="2"/>
      <c r="AC629" s="131">
        <f t="shared" si="76"/>
        <v>29831.932773109245</v>
      </c>
      <c r="AD629" s="108">
        <f t="shared" si="77"/>
        <v>5668.0672268907547</v>
      </c>
      <c r="AE629" s="95" t="s">
        <v>1501</v>
      </c>
      <c r="AF629" s="428" t="s">
        <v>3487</v>
      </c>
      <c r="AG629" s="2" t="str">
        <f t="shared" si="78"/>
        <v>SI</v>
      </c>
      <c r="AH629" s="284"/>
      <c r="AI629" s="428"/>
      <c r="AJ629" s="2" t="str">
        <f t="shared" si="79"/>
        <v>NV</v>
      </c>
      <c r="AK629" s="303"/>
    </row>
    <row r="630" spans="1:37" x14ac:dyDescent="0.25">
      <c r="A630" s="534" t="s">
        <v>5273</v>
      </c>
      <c r="B630" s="317" t="s">
        <v>5274</v>
      </c>
      <c r="C630" s="95">
        <v>0</v>
      </c>
      <c r="D630" s="95">
        <v>2841</v>
      </c>
      <c r="E630" s="95"/>
      <c r="F630" s="95"/>
      <c r="G630" s="95">
        <v>6365</v>
      </c>
      <c r="H630" s="138">
        <v>39400</v>
      </c>
      <c r="I630" s="138"/>
      <c r="J630" s="126">
        <f t="shared" si="72"/>
        <v>39400</v>
      </c>
      <c r="K630" s="318">
        <v>43837</v>
      </c>
      <c r="L630" s="95">
        <v>0</v>
      </c>
      <c r="M630" s="313">
        <f t="shared" si="73"/>
        <v>43837</v>
      </c>
      <c r="N630" s="2" t="str">
        <f t="shared" si="74"/>
        <v>Pagado</v>
      </c>
      <c r="O630" s="318">
        <v>43837</v>
      </c>
      <c r="P630" s="138">
        <v>39400</v>
      </c>
      <c r="Q630" s="2" t="s">
        <v>1484</v>
      </c>
      <c r="R630" s="2"/>
      <c r="S630" s="95"/>
      <c r="T630" s="313" t="s">
        <v>1462</v>
      </c>
      <c r="U630" s="393"/>
      <c r="V630" s="95"/>
      <c r="W630" s="129"/>
      <c r="X630" s="318"/>
      <c r="Y630" s="95"/>
      <c r="Z630" s="131"/>
      <c r="AA630" s="108" t="str">
        <f t="shared" si="75"/>
        <v/>
      </c>
      <c r="AB630" s="2"/>
      <c r="AC630" s="131">
        <f t="shared" si="76"/>
        <v>33109.243697478996</v>
      </c>
      <c r="AD630" s="108">
        <f t="shared" si="77"/>
        <v>6290.7563025210038</v>
      </c>
      <c r="AE630" s="95" t="s">
        <v>1501</v>
      </c>
      <c r="AF630" s="533" t="s">
        <v>3487</v>
      </c>
      <c r="AG630" s="2" t="str">
        <f t="shared" si="78"/>
        <v>SI</v>
      </c>
      <c r="AH630" s="284"/>
      <c r="AI630" s="533"/>
      <c r="AJ630" s="2" t="str">
        <f t="shared" si="79"/>
        <v>NV</v>
      </c>
      <c r="AK630" s="303"/>
    </row>
    <row r="631" spans="1:37" x14ac:dyDescent="0.25">
      <c r="A631" s="534" t="s">
        <v>3990</v>
      </c>
      <c r="B631" s="317" t="s">
        <v>3993</v>
      </c>
      <c r="C631" s="95">
        <v>0</v>
      </c>
      <c r="D631" s="95">
        <v>2831</v>
      </c>
      <c r="E631" s="95"/>
      <c r="F631" s="95"/>
      <c r="G631" s="95">
        <v>6364</v>
      </c>
      <c r="H631" s="138">
        <v>19700</v>
      </c>
      <c r="I631" s="138"/>
      <c r="J631" s="126">
        <f t="shared" si="72"/>
        <v>19700</v>
      </c>
      <c r="K631" s="318">
        <v>43837</v>
      </c>
      <c r="L631" s="95">
        <v>0</v>
      </c>
      <c r="M631" s="313">
        <f t="shared" si="73"/>
        <v>43837</v>
      </c>
      <c r="N631" s="2" t="str">
        <f t="shared" si="74"/>
        <v>Pagado</v>
      </c>
      <c r="O631" s="318">
        <v>43837</v>
      </c>
      <c r="P631" s="138">
        <v>19700</v>
      </c>
      <c r="Q631" s="2" t="s">
        <v>1481</v>
      </c>
      <c r="R631" s="2"/>
      <c r="S631" s="95"/>
      <c r="T631" s="313"/>
      <c r="U631" s="393"/>
      <c r="V631" s="95"/>
      <c r="W631" s="129"/>
      <c r="X631" s="318"/>
      <c r="Y631" s="95"/>
      <c r="Z631" s="131"/>
      <c r="AA631" s="108" t="str">
        <f t="shared" si="75"/>
        <v/>
      </c>
      <c r="AB631" s="2"/>
      <c r="AC631" s="131">
        <f t="shared" si="76"/>
        <v>16554.621848739498</v>
      </c>
      <c r="AD631" s="108">
        <f t="shared" si="77"/>
        <v>3145.3781512605019</v>
      </c>
      <c r="AE631" s="95" t="s">
        <v>1501</v>
      </c>
      <c r="AF631" s="533" t="s">
        <v>3487</v>
      </c>
      <c r="AG631" s="2" t="str">
        <f t="shared" si="78"/>
        <v>SI</v>
      </c>
      <c r="AH631" s="284"/>
      <c r="AI631" s="533"/>
      <c r="AJ631" s="2" t="str">
        <f t="shared" si="79"/>
        <v>NV</v>
      </c>
      <c r="AK631" s="303"/>
    </row>
    <row r="632" spans="1:37" x14ac:dyDescent="0.25">
      <c r="A632" s="542" t="s">
        <v>5538</v>
      </c>
      <c r="B632" s="317" t="s">
        <v>5539</v>
      </c>
      <c r="C632" s="95">
        <v>0</v>
      </c>
      <c r="D632" s="95">
        <v>2843</v>
      </c>
      <c r="E632" s="95"/>
      <c r="F632" s="95"/>
      <c r="G632" s="95">
        <v>6367</v>
      </c>
      <c r="H632" s="138">
        <v>16500</v>
      </c>
      <c r="I632" s="138"/>
      <c r="J632" s="126">
        <f t="shared" si="72"/>
        <v>16500</v>
      </c>
      <c r="K632" s="318">
        <v>43838</v>
      </c>
      <c r="L632" s="95">
        <v>0</v>
      </c>
      <c r="M632" s="313">
        <f t="shared" si="73"/>
        <v>43838</v>
      </c>
      <c r="N632" s="2" t="str">
        <f t="shared" si="74"/>
        <v>Pagado</v>
      </c>
      <c r="O632" s="318">
        <v>43838</v>
      </c>
      <c r="P632" s="138">
        <v>16500</v>
      </c>
      <c r="Q632" s="2" t="s">
        <v>1484</v>
      </c>
      <c r="R632" s="2"/>
      <c r="S632" s="95"/>
      <c r="T632" s="313" t="s">
        <v>1488</v>
      </c>
      <c r="U632" s="393"/>
      <c r="V632" s="95"/>
      <c r="W632" s="129"/>
      <c r="X632" s="318"/>
      <c r="Y632" s="95"/>
      <c r="Z632" s="131"/>
      <c r="AA632" s="108" t="str">
        <f t="shared" si="75"/>
        <v/>
      </c>
      <c r="AB632" s="2"/>
      <c r="AC632" s="131">
        <f t="shared" si="76"/>
        <v>13865.546218487396</v>
      </c>
      <c r="AD632" s="108">
        <f t="shared" si="77"/>
        <v>2634.4537815126041</v>
      </c>
      <c r="AE632" s="95" t="s">
        <v>1501</v>
      </c>
      <c r="AF632" s="541" t="s">
        <v>3487</v>
      </c>
      <c r="AG632" s="2" t="str">
        <f t="shared" si="78"/>
        <v>SI</v>
      </c>
      <c r="AH632" s="284"/>
      <c r="AI632" s="541"/>
      <c r="AJ632" s="2" t="str">
        <f t="shared" si="79"/>
        <v>NV</v>
      </c>
      <c r="AK632" s="303"/>
    </row>
    <row r="633" spans="1:37" x14ac:dyDescent="0.25">
      <c r="A633" s="542" t="s">
        <v>4545</v>
      </c>
      <c r="B633" s="317" t="s">
        <v>4546</v>
      </c>
      <c r="C633" s="95">
        <v>0</v>
      </c>
      <c r="D633" s="95">
        <v>2842</v>
      </c>
      <c r="E633" s="95"/>
      <c r="F633" s="95"/>
      <c r="G633" s="95">
        <v>6366</v>
      </c>
      <c r="H633" s="138">
        <v>70600</v>
      </c>
      <c r="I633" s="138"/>
      <c r="J633" s="126">
        <f t="shared" si="72"/>
        <v>70600</v>
      </c>
      <c r="K633" s="318">
        <v>43838</v>
      </c>
      <c r="L633" s="95">
        <v>0</v>
      </c>
      <c r="M633" s="313">
        <f t="shared" si="73"/>
        <v>43838</v>
      </c>
      <c r="N633" s="2" t="str">
        <f t="shared" si="74"/>
        <v>Pagado</v>
      </c>
      <c r="O633" s="318">
        <v>43838</v>
      </c>
      <c r="P633" s="138">
        <v>70600</v>
      </c>
      <c r="Q633" s="2" t="s">
        <v>1484</v>
      </c>
      <c r="R633" s="2"/>
      <c r="S633" s="95"/>
      <c r="T633" s="313" t="s">
        <v>1488</v>
      </c>
      <c r="U633" s="393"/>
      <c r="V633" s="95"/>
      <c r="W633" s="129"/>
      <c r="X633" s="318"/>
      <c r="Y633" s="95"/>
      <c r="Z633" s="131"/>
      <c r="AA633" s="108" t="str">
        <f t="shared" si="75"/>
        <v/>
      </c>
      <c r="AB633" s="2"/>
      <c r="AC633" s="131">
        <f t="shared" si="76"/>
        <v>59327.731092436974</v>
      </c>
      <c r="AD633" s="108">
        <f t="shared" si="77"/>
        <v>11272.268907563026</v>
      </c>
      <c r="AE633" s="95" t="s">
        <v>1501</v>
      </c>
      <c r="AF633" s="541" t="s">
        <v>3487</v>
      </c>
      <c r="AG633" s="2" t="str">
        <f t="shared" si="78"/>
        <v>SI</v>
      </c>
      <c r="AH633" s="284"/>
      <c r="AI633" s="541"/>
      <c r="AJ633" s="2" t="str">
        <f t="shared" si="79"/>
        <v>NV</v>
      </c>
      <c r="AK633" s="303"/>
    </row>
    <row r="634" spans="1:37" x14ac:dyDescent="0.25">
      <c r="A634" s="534" t="s">
        <v>3460</v>
      </c>
      <c r="B634" s="317" t="s">
        <v>3461</v>
      </c>
      <c r="C634" s="95">
        <v>3058</v>
      </c>
      <c r="D634" s="95">
        <v>0</v>
      </c>
      <c r="E634" s="95"/>
      <c r="F634" s="95"/>
      <c r="G634" s="95" t="s">
        <v>2528</v>
      </c>
      <c r="H634" s="138">
        <v>125674</v>
      </c>
      <c r="I634" s="138"/>
      <c r="J634" s="126">
        <f t="shared" si="72"/>
        <v>125674</v>
      </c>
      <c r="K634" s="318">
        <v>43838</v>
      </c>
      <c r="L634" s="95">
        <v>0</v>
      </c>
      <c r="M634" s="313">
        <f t="shared" si="73"/>
        <v>43838</v>
      </c>
      <c r="N634" s="2" t="str">
        <f t="shared" si="74"/>
        <v>Pagado</v>
      </c>
      <c r="O634" s="318">
        <v>43865</v>
      </c>
      <c r="P634" s="138">
        <v>125674</v>
      </c>
      <c r="Q634" s="2" t="s">
        <v>1484</v>
      </c>
      <c r="R634" s="2"/>
      <c r="S634" s="95"/>
      <c r="T634" s="313" t="s">
        <v>1496</v>
      </c>
      <c r="U634" s="393"/>
      <c r="V634" s="95"/>
      <c r="W634" s="129"/>
      <c r="X634" s="318"/>
      <c r="Y634" s="95"/>
      <c r="Z634" s="131"/>
      <c r="AA634" s="108" t="str">
        <f t="shared" si="75"/>
        <v/>
      </c>
      <c r="AB634" s="2"/>
      <c r="AC634" s="131">
        <f t="shared" si="76"/>
        <v>105608.40336134454</v>
      </c>
      <c r="AD634" s="108">
        <f t="shared" si="77"/>
        <v>20065.596638655465</v>
      </c>
      <c r="AE634" s="95" t="s">
        <v>1501</v>
      </c>
      <c r="AF634" s="533" t="s">
        <v>3490</v>
      </c>
      <c r="AG634" s="2" t="str">
        <f t="shared" si="78"/>
        <v>SI</v>
      </c>
      <c r="AH634" s="284"/>
      <c r="AI634" s="533"/>
      <c r="AJ634" s="2" t="str">
        <f t="shared" si="79"/>
        <v>Factura</v>
      </c>
      <c r="AK634" s="303"/>
    </row>
    <row r="635" spans="1:37" x14ac:dyDescent="0.25">
      <c r="A635" s="499" t="s">
        <v>1176</v>
      </c>
      <c r="B635" s="317" t="s">
        <v>949</v>
      </c>
      <c r="C635" s="95">
        <v>3063</v>
      </c>
      <c r="D635" s="95">
        <v>0</v>
      </c>
      <c r="E635" s="95"/>
      <c r="F635" s="95"/>
      <c r="G635" s="95" t="s">
        <v>2528</v>
      </c>
      <c r="H635" s="138">
        <v>190494</v>
      </c>
      <c r="I635" s="138"/>
      <c r="J635" s="126">
        <f t="shared" si="72"/>
        <v>190494</v>
      </c>
      <c r="K635" s="318">
        <v>43838</v>
      </c>
      <c r="L635" s="95">
        <v>30</v>
      </c>
      <c r="M635" s="313">
        <f t="shared" si="73"/>
        <v>43868</v>
      </c>
      <c r="N635" s="2" t="str">
        <f t="shared" si="74"/>
        <v>Pagado</v>
      </c>
      <c r="O635" s="318">
        <v>43838</v>
      </c>
      <c r="P635" s="138">
        <v>190494</v>
      </c>
      <c r="Q635" s="2" t="s">
        <v>2131</v>
      </c>
      <c r="R635" s="2"/>
      <c r="S635" s="95">
        <v>5854302</v>
      </c>
      <c r="T635" s="313" t="s">
        <v>1488</v>
      </c>
      <c r="U635" s="393">
        <v>43868</v>
      </c>
      <c r="V635" s="95"/>
      <c r="W635" s="129"/>
      <c r="X635" s="318"/>
      <c r="Y635" s="95"/>
      <c r="Z635" s="131"/>
      <c r="AA635" s="108" t="str">
        <f t="shared" si="75"/>
        <v>Chile</v>
      </c>
      <c r="AB635" s="2"/>
      <c r="AC635" s="131">
        <f t="shared" si="76"/>
        <v>160078.99159663866</v>
      </c>
      <c r="AD635" s="108">
        <f t="shared" si="77"/>
        <v>30415.008403361338</v>
      </c>
      <c r="AE635" s="95" t="s">
        <v>1501</v>
      </c>
      <c r="AF635" s="498" t="s">
        <v>3490</v>
      </c>
      <c r="AG635" s="2" t="str">
        <f t="shared" si="78"/>
        <v>SI</v>
      </c>
      <c r="AH635" s="284"/>
      <c r="AI635" s="498"/>
      <c r="AJ635" s="2" t="str">
        <f t="shared" si="79"/>
        <v>Factura</v>
      </c>
      <c r="AK635" s="303"/>
    </row>
    <row r="636" spans="1:37" x14ac:dyDescent="0.25">
      <c r="A636" s="499" t="s">
        <v>1179</v>
      </c>
      <c r="B636" s="317" t="s">
        <v>952</v>
      </c>
      <c r="C636" s="95">
        <v>3061</v>
      </c>
      <c r="D636" s="95">
        <v>0</v>
      </c>
      <c r="E636" s="95"/>
      <c r="F636" s="95"/>
      <c r="G636" s="95" t="s">
        <v>2528</v>
      </c>
      <c r="H636" s="138">
        <v>22359</v>
      </c>
      <c r="I636" s="138"/>
      <c r="J636" s="126">
        <f t="shared" si="72"/>
        <v>22359</v>
      </c>
      <c r="K636" s="318">
        <v>43838</v>
      </c>
      <c r="L636" s="95">
        <v>7</v>
      </c>
      <c r="M636" s="313">
        <f t="shared" si="73"/>
        <v>43845</v>
      </c>
      <c r="N636" s="2" t="str">
        <f t="shared" si="74"/>
        <v>Pagado</v>
      </c>
      <c r="O636" s="318">
        <v>43845</v>
      </c>
      <c r="P636" s="138">
        <v>22359</v>
      </c>
      <c r="Q636" s="2" t="s">
        <v>1481</v>
      </c>
      <c r="R636" s="2"/>
      <c r="S636" s="95"/>
      <c r="T636" s="313"/>
      <c r="U636" s="393">
        <v>43852</v>
      </c>
      <c r="V636" s="95">
        <v>7675283</v>
      </c>
      <c r="W636" s="129">
        <v>22359</v>
      </c>
      <c r="X636" s="318">
        <v>43857</v>
      </c>
      <c r="Y636" s="95" t="s">
        <v>1488</v>
      </c>
      <c r="Z636" s="131"/>
      <c r="AA636" s="108" t="str">
        <f t="shared" si="75"/>
        <v/>
      </c>
      <c r="AB636" s="2"/>
      <c r="AC636" s="131">
        <f t="shared" si="76"/>
        <v>18789.0756302521</v>
      </c>
      <c r="AD636" s="108">
        <f t="shared" si="77"/>
        <v>3569.9243697478996</v>
      </c>
      <c r="AE636" s="95" t="s">
        <v>2050</v>
      </c>
      <c r="AF636" s="498" t="s">
        <v>3490</v>
      </c>
      <c r="AG636" s="2" t="str">
        <f t="shared" si="78"/>
        <v>SI</v>
      </c>
      <c r="AH636" s="284"/>
      <c r="AI636" s="498"/>
      <c r="AJ636" s="2" t="str">
        <f t="shared" si="79"/>
        <v>Factura</v>
      </c>
      <c r="AK636" s="303"/>
    </row>
    <row r="637" spans="1:37" x14ac:dyDescent="0.25">
      <c r="A637" s="429" t="s">
        <v>1419</v>
      </c>
      <c r="B637" s="317" t="s">
        <v>1119</v>
      </c>
      <c r="C637" s="95">
        <v>0</v>
      </c>
      <c r="D637" s="95">
        <v>0</v>
      </c>
      <c r="E637" s="95"/>
      <c r="F637" s="95"/>
      <c r="G637" s="95">
        <v>6368</v>
      </c>
      <c r="H637" s="138">
        <v>13200</v>
      </c>
      <c r="I637" s="138"/>
      <c r="J637" s="126">
        <f t="shared" si="72"/>
        <v>13200</v>
      </c>
      <c r="K637" s="318">
        <v>43838</v>
      </c>
      <c r="L637" s="95">
        <v>0</v>
      </c>
      <c r="M637" s="313">
        <f t="shared" si="73"/>
        <v>43838</v>
      </c>
      <c r="N637" s="2" t="str">
        <f t="shared" si="74"/>
        <v>Pagado</v>
      </c>
      <c r="O637" s="318">
        <v>43838</v>
      </c>
      <c r="P637" s="138">
        <v>13200</v>
      </c>
      <c r="Q637" s="2" t="s">
        <v>1481</v>
      </c>
      <c r="R637" s="2"/>
      <c r="S637" s="95"/>
      <c r="T637" s="313"/>
      <c r="U637" s="393"/>
      <c r="V637" s="95"/>
      <c r="W637" s="129"/>
      <c r="X637" s="318"/>
      <c r="Y637" s="95"/>
      <c r="Z637" s="131"/>
      <c r="AA637" s="108" t="str">
        <f t="shared" si="75"/>
        <v/>
      </c>
      <c r="AB637" s="2"/>
      <c r="AC637" s="131">
        <f t="shared" si="76"/>
        <v>11092.436974789916</v>
      </c>
      <c r="AD637" s="108">
        <f t="shared" si="77"/>
        <v>2107.5630252100837</v>
      </c>
      <c r="AE637" s="95" t="s">
        <v>1501</v>
      </c>
      <c r="AF637" s="428" t="s">
        <v>3489</v>
      </c>
      <c r="AG637" s="2" t="str">
        <f t="shared" si="78"/>
        <v>SI</v>
      </c>
      <c r="AH637" s="284"/>
      <c r="AI637" s="428"/>
      <c r="AJ637" s="2" t="str">
        <f t="shared" si="79"/>
        <v>NV</v>
      </c>
      <c r="AK637" s="303"/>
    </row>
    <row r="638" spans="1:37" x14ac:dyDescent="0.25">
      <c r="A638" s="542" t="s">
        <v>1175</v>
      </c>
      <c r="B638" s="317" t="s">
        <v>1144</v>
      </c>
      <c r="C638" s="95">
        <v>3046</v>
      </c>
      <c r="D638" s="95">
        <v>0</v>
      </c>
      <c r="E638" s="95"/>
      <c r="F638" s="95"/>
      <c r="G638" s="95" t="s">
        <v>2528</v>
      </c>
      <c r="H638" s="138">
        <v>70516</v>
      </c>
      <c r="I638" s="138"/>
      <c r="J638" s="126">
        <f t="shared" si="72"/>
        <v>70516</v>
      </c>
      <c r="K638" s="318">
        <v>43838</v>
      </c>
      <c r="L638" s="95">
        <v>30</v>
      </c>
      <c r="M638" s="313">
        <f t="shared" si="73"/>
        <v>43868</v>
      </c>
      <c r="N638" s="2" t="str">
        <f t="shared" si="74"/>
        <v>Pagado</v>
      </c>
      <c r="O638" s="318">
        <v>43878</v>
      </c>
      <c r="P638" s="138">
        <v>70516</v>
      </c>
      <c r="Q638" s="2" t="s">
        <v>1484</v>
      </c>
      <c r="R638" s="2"/>
      <c r="S638" s="95"/>
      <c r="T638" s="313" t="s">
        <v>1496</v>
      </c>
      <c r="U638" s="393"/>
      <c r="V638" s="95"/>
      <c r="W638" s="129"/>
      <c r="X638" s="318"/>
      <c r="Y638" s="95"/>
      <c r="Z638" s="131"/>
      <c r="AA638" s="108" t="str">
        <f t="shared" si="75"/>
        <v/>
      </c>
      <c r="AB638" s="2"/>
      <c r="AC638" s="131">
        <f t="shared" si="76"/>
        <v>59257.142857142862</v>
      </c>
      <c r="AD638" s="108">
        <f t="shared" si="77"/>
        <v>11258.857142857138</v>
      </c>
      <c r="AE638" s="95" t="s">
        <v>2050</v>
      </c>
      <c r="AF638" s="541" t="s">
        <v>3490</v>
      </c>
      <c r="AG638" s="2" t="str">
        <f t="shared" si="78"/>
        <v>SI</v>
      </c>
      <c r="AH638" s="284"/>
      <c r="AI638" s="541"/>
      <c r="AJ638" s="2" t="str">
        <f t="shared" si="79"/>
        <v>Factura</v>
      </c>
      <c r="AK638" s="303"/>
    </row>
    <row r="639" spans="1:37" x14ac:dyDescent="0.25">
      <c r="A639" s="542" t="s">
        <v>1175</v>
      </c>
      <c r="B639" s="317" t="s">
        <v>1144</v>
      </c>
      <c r="C639" s="95">
        <v>3056</v>
      </c>
      <c r="D639" s="95">
        <v>0</v>
      </c>
      <c r="E639" s="95"/>
      <c r="F639" s="95"/>
      <c r="G639" s="95" t="s">
        <v>2528</v>
      </c>
      <c r="H639" s="138">
        <v>477000</v>
      </c>
      <c r="I639" s="138"/>
      <c r="J639" s="126">
        <f t="shared" si="72"/>
        <v>477000</v>
      </c>
      <c r="K639" s="318">
        <v>43838</v>
      </c>
      <c r="L639" s="95">
        <v>30</v>
      </c>
      <c r="M639" s="313">
        <f t="shared" si="73"/>
        <v>43868</v>
      </c>
      <c r="N639" s="2" t="str">
        <f t="shared" si="74"/>
        <v>Pagado</v>
      </c>
      <c r="O639" s="318">
        <v>43878</v>
      </c>
      <c r="P639" s="138">
        <v>477000</v>
      </c>
      <c r="Q639" s="2" t="s">
        <v>1484</v>
      </c>
      <c r="R639" s="2"/>
      <c r="S639" s="95"/>
      <c r="T639" s="313" t="s">
        <v>1496</v>
      </c>
      <c r="U639" s="393"/>
      <c r="V639" s="95"/>
      <c r="W639" s="129"/>
      <c r="X639" s="318"/>
      <c r="Y639" s="95"/>
      <c r="Z639" s="131"/>
      <c r="AA639" s="108" t="str">
        <f t="shared" si="75"/>
        <v/>
      </c>
      <c r="AB639" s="2"/>
      <c r="AC639" s="131">
        <f t="shared" si="76"/>
        <v>400840.33613445383</v>
      </c>
      <c r="AD639" s="108">
        <f t="shared" si="77"/>
        <v>76159.663865546172</v>
      </c>
      <c r="AE639" s="95" t="s">
        <v>2050</v>
      </c>
      <c r="AF639" s="541" t="s">
        <v>3490</v>
      </c>
      <c r="AG639" s="2" t="str">
        <f t="shared" si="78"/>
        <v>SI</v>
      </c>
      <c r="AH639" s="284"/>
      <c r="AI639" s="541"/>
      <c r="AJ639" s="2" t="str">
        <f t="shared" si="79"/>
        <v>Factura</v>
      </c>
      <c r="AK639" s="303"/>
    </row>
    <row r="640" spans="1:37" x14ac:dyDescent="0.25">
      <c r="A640" s="542" t="s">
        <v>1175</v>
      </c>
      <c r="B640" s="317" t="s">
        <v>1144</v>
      </c>
      <c r="C640" s="95">
        <v>3062</v>
      </c>
      <c r="D640" s="95">
        <v>0</v>
      </c>
      <c r="E640" s="95">
        <v>283</v>
      </c>
      <c r="F640" s="95"/>
      <c r="G640" s="95" t="s">
        <v>2528</v>
      </c>
      <c r="H640" s="138">
        <v>288420</v>
      </c>
      <c r="I640" s="138">
        <v>-88413</v>
      </c>
      <c r="J640" s="126">
        <f t="shared" si="72"/>
        <v>200007</v>
      </c>
      <c r="K640" s="318">
        <v>43838</v>
      </c>
      <c r="L640" s="95">
        <v>30</v>
      </c>
      <c r="M640" s="313">
        <f t="shared" si="73"/>
        <v>43868</v>
      </c>
      <c r="N640" s="2" t="str">
        <f t="shared" si="74"/>
        <v>Pagado</v>
      </c>
      <c r="O640" s="318">
        <v>43878</v>
      </c>
      <c r="P640" s="138">
        <v>200007</v>
      </c>
      <c r="Q640" s="2" t="s">
        <v>1484</v>
      </c>
      <c r="R640" s="2"/>
      <c r="S640" s="95"/>
      <c r="T640" s="313" t="s">
        <v>1496</v>
      </c>
      <c r="U640" s="393"/>
      <c r="V640" s="95"/>
      <c r="W640" s="129"/>
      <c r="X640" s="318"/>
      <c r="Y640" s="95"/>
      <c r="Z640" s="131"/>
      <c r="AA640" s="108" t="str">
        <f t="shared" si="75"/>
        <v/>
      </c>
      <c r="AB640" s="2"/>
      <c r="AC640" s="131">
        <f t="shared" si="76"/>
        <v>242369.74789915967</v>
      </c>
      <c r="AD640" s="108">
        <f t="shared" si="77"/>
        <v>46050.252100840327</v>
      </c>
      <c r="AE640" s="95" t="s">
        <v>2050</v>
      </c>
      <c r="AF640" s="541" t="s">
        <v>3490</v>
      </c>
      <c r="AG640" s="2" t="str">
        <f t="shared" si="78"/>
        <v>SI</v>
      </c>
      <c r="AH640" s="284"/>
      <c r="AI640" s="541"/>
      <c r="AJ640" s="2" t="str">
        <f t="shared" si="79"/>
        <v>Factura</v>
      </c>
      <c r="AK640" s="303"/>
    </row>
    <row r="641" spans="1:37" x14ac:dyDescent="0.25">
      <c r="A641" s="542" t="s">
        <v>1175</v>
      </c>
      <c r="B641" s="317" t="s">
        <v>1144</v>
      </c>
      <c r="C641" s="95">
        <v>3064</v>
      </c>
      <c r="D641" s="95">
        <v>0</v>
      </c>
      <c r="E641" s="95"/>
      <c r="F641" s="95"/>
      <c r="G641" s="95" t="s">
        <v>2528</v>
      </c>
      <c r="H641" s="138">
        <v>70516</v>
      </c>
      <c r="I641" s="138"/>
      <c r="J641" s="126">
        <f t="shared" si="72"/>
        <v>70516</v>
      </c>
      <c r="K641" s="318">
        <v>43838</v>
      </c>
      <c r="L641" s="95">
        <v>30</v>
      </c>
      <c r="M641" s="313">
        <f t="shared" si="73"/>
        <v>43868</v>
      </c>
      <c r="N641" s="2" t="str">
        <f t="shared" ca="1" si="74"/>
        <v>Vencido</v>
      </c>
      <c r="O641" s="318"/>
      <c r="P641" s="138"/>
      <c r="Q641" s="2"/>
      <c r="R641" s="2"/>
      <c r="S641" s="95"/>
      <c r="T641" s="313"/>
      <c r="U641" s="393"/>
      <c r="V641" s="95"/>
      <c r="W641" s="129"/>
      <c r="X641" s="318"/>
      <c r="Y641" s="95"/>
      <c r="Z641" s="131" t="s">
        <v>1467</v>
      </c>
      <c r="AA641" s="108" t="str">
        <f t="shared" si="75"/>
        <v/>
      </c>
      <c r="AB641" s="2"/>
      <c r="AC641" s="131">
        <f t="shared" si="76"/>
        <v>59257.142857142862</v>
      </c>
      <c r="AD641" s="108">
        <f t="shared" si="77"/>
        <v>11258.857142857138</v>
      </c>
      <c r="AE641" s="95" t="s">
        <v>2050</v>
      </c>
      <c r="AF641" s="541" t="s">
        <v>3490</v>
      </c>
      <c r="AG641" s="2" t="str">
        <f t="shared" ca="1" si="78"/>
        <v>NO</v>
      </c>
      <c r="AH641" s="284"/>
      <c r="AI641" s="541"/>
      <c r="AJ641" s="2" t="str">
        <f t="shared" si="79"/>
        <v>Factura</v>
      </c>
      <c r="AK641" s="303"/>
    </row>
    <row r="642" spans="1:37" x14ac:dyDescent="0.25">
      <c r="A642" s="542" t="s">
        <v>4480</v>
      </c>
      <c r="B642" s="317" t="s">
        <v>4481</v>
      </c>
      <c r="C642" s="95">
        <v>0</v>
      </c>
      <c r="D642" s="95">
        <v>2846</v>
      </c>
      <c r="E642" s="95"/>
      <c r="F642" s="95"/>
      <c r="G642" s="95">
        <v>6373</v>
      </c>
      <c r="H642" s="138">
        <v>22700</v>
      </c>
      <c r="I642" s="138"/>
      <c r="J642" s="126">
        <f t="shared" si="72"/>
        <v>22700</v>
      </c>
      <c r="K642" s="318">
        <v>43839</v>
      </c>
      <c r="L642" s="95">
        <v>0</v>
      </c>
      <c r="M642" s="313">
        <f t="shared" si="73"/>
        <v>43839</v>
      </c>
      <c r="N642" s="2" t="str">
        <f t="shared" si="74"/>
        <v>Pagado</v>
      </c>
      <c r="O642" s="318">
        <v>43839</v>
      </c>
      <c r="P642" s="138">
        <v>22700</v>
      </c>
      <c r="Q642" s="2" t="s">
        <v>1481</v>
      </c>
      <c r="R642" s="2"/>
      <c r="S642" s="95"/>
      <c r="T642" s="313"/>
      <c r="U642" s="393"/>
      <c r="V642" s="95">
        <v>7679486</v>
      </c>
      <c r="W642" s="129">
        <v>22700</v>
      </c>
      <c r="X642" s="318">
        <v>43840</v>
      </c>
      <c r="Y642" s="95" t="s">
        <v>1488</v>
      </c>
      <c r="Z642" s="131"/>
      <c r="AA642" s="108" t="str">
        <f t="shared" si="75"/>
        <v/>
      </c>
      <c r="AB642" s="2"/>
      <c r="AC642" s="131">
        <f t="shared" si="76"/>
        <v>19075.63025210084</v>
      </c>
      <c r="AD642" s="108">
        <f t="shared" si="77"/>
        <v>3624.3697478991598</v>
      </c>
      <c r="AE642" s="95" t="s">
        <v>1501</v>
      </c>
      <c r="AF642" s="541" t="s">
        <v>3487</v>
      </c>
      <c r="AG642" s="2" t="str">
        <f t="shared" si="78"/>
        <v>SI</v>
      </c>
      <c r="AH642" s="284"/>
      <c r="AI642" s="541"/>
      <c r="AJ642" s="2" t="str">
        <f t="shared" si="79"/>
        <v>NV</v>
      </c>
      <c r="AK642" s="303"/>
    </row>
    <row r="643" spans="1:37" x14ac:dyDescent="0.25">
      <c r="A643" s="476" t="s">
        <v>2598</v>
      </c>
      <c r="B643" s="317" t="s">
        <v>2599</v>
      </c>
      <c r="C643" s="95">
        <v>0</v>
      </c>
      <c r="D643" s="95">
        <v>2848</v>
      </c>
      <c r="E643" s="95"/>
      <c r="F643" s="95"/>
      <c r="G643" s="95">
        <v>6375</v>
      </c>
      <c r="H643" s="138">
        <v>14800</v>
      </c>
      <c r="I643" s="138"/>
      <c r="J643" s="126">
        <f t="shared" ref="J643:J706" si="80">+H643+I643</f>
        <v>14800</v>
      </c>
      <c r="K643" s="318">
        <v>43839</v>
      </c>
      <c r="L643" s="95">
        <v>0</v>
      </c>
      <c r="M643" s="313">
        <f t="shared" ref="M643:M706" si="81">+L643+K643</f>
        <v>43839</v>
      </c>
      <c r="N643" s="2" t="str">
        <f t="shared" ref="N643:N706" si="82">+IF(J643=0,"Nulo",IF(P643&gt;=J643,"Pagado",IF(P643&gt;0,"Abonado",IF(M643&lt;$M$1,"Vencido",IF(J643&gt;P643,"Pendiente","Vencido")))))</f>
        <v>Pagado</v>
      </c>
      <c r="O643" s="318">
        <v>43839</v>
      </c>
      <c r="P643" s="138">
        <v>14800</v>
      </c>
      <c r="Q643" s="2" t="s">
        <v>1481</v>
      </c>
      <c r="R643" s="2"/>
      <c r="S643" s="95"/>
      <c r="T643" s="313"/>
      <c r="U643" s="393"/>
      <c r="V643" s="95">
        <v>7679486</v>
      </c>
      <c r="W643" s="129">
        <v>14800</v>
      </c>
      <c r="X643" s="318">
        <v>43840</v>
      </c>
      <c r="Y643" s="95" t="s">
        <v>1488</v>
      </c>
      <c r="Z643" s="131"/>
      <c r="AA643" s="108" t="str">
        <f t="shared" ref="AA643:AA650" si="83">+IF(LEFT(Q643,6)="Cheque",IF(T643="Chile","Chile","Otros"),"")</f>
        <v/>
      </c>
      <c r="AB643" s="2"/>
      <c r="AC643" s="131">
        <f t="shared" ref="AC643:AC706" si="84">+IF(C643="","",H643/1.19)</f>
        <v>12436.974789915967</v>
      </c>
      <c r="AD643" s="108">
        <f t="shared" ref="AD643:AD706" si="85">+IF(C643="","",H643-AC643)</f>
        <v>2363.0252100840335</v>
      </c>
      <c r="AE643" s="95" t="s">
        <v>1501</v>
      </c>
      <c r="AF643" s="475" t="s">
        <v>3489</v>
      </c>
      <c r="AG643" s="2" t="str">
        <f t="shared" ref="AG643:AG706" si="86">+IF(N643="Pagado","SI",IF(N643="NULO","SI","NO"))</f>
        <v>SI</v>
      </c>
      <c r="AH643" s="284"/>
      <c r="AI643" s="475"/>
      <c r="AJ643" s="2" t="str">
        <f t="shared" ref="AJ643:AJ706" si="87">+IF(C643=0,"NV","Factura")</f>
        <v>NV</v>
      </c>
      <c r="AK643" s="303"/>
    </row>
    <row r="644" spans="1:37" x14ac:dyDescent="0.25">
      <c r="A644" s="534" t="s">
        <v>5603</v>
      </c>
      <c r="B644" s="317" t="s">
        <v>5604</v>
      </c>
      <c r="C644" s="95">
        <v>0</v>
      </c>
      <c r="D644" s="95">
        <v>2850</v>
      </c>
      <c r="E644" s="95"/>
      <c r="F644" s="95"/>
      <c r="G644" s="95">
        <v>6376</v>
      </c>
      <c r="H644" s="138">
        <v>23000</v>
      </c>
      <c r="I644" s="138"/>
      <c r="J644" s="126">
        <f t="shared" si="80"/>
        <v>23000</v>
      </c>
      <c r="K644" s="318">
        <v>43839</v>
      </c>
      <c r="L644" s="95">
        <v>0</v>
      </c>
      <c r="M644" s="313">
        <f t="shared" si="81"/>
        <v>43839</v>
      </c>
      <c r="N644" s="2" t="str">
        <f t="shared" si="82"/>
        <v>Pagado</v>
      </c>
      <c r="O644" s="318">
        <v>43839</v>
      </c>
      <c r="P644" s="138">
        <v>23000</v>
      </c>
      <c r="Q644" s="2" t="s">
        <v>1481</v>
      </c>
      <c r="R644" s="2"/>
      <c r="S644" s="95"/>
      <c r="T644" s="313"/>
      <c r="U644" s="393"/>
      <c r="V644" s="95">
        <v>7679486</v>
      </c>
      <c r="W644" s="129">
        <v>23000</v>
      </c>
      <c r="X644" s="318">
        <v>43840</v>
      </c>
      <c r="Y644" s="95" t="s">
        <v>1488</v>
      </c>
      <c r="Z644" s="131"/>
      <c r="AA644" s="108" t="str">
        <f t="shared" si="83"/>
        <v/>
      </c>
      <c r="AB644" s="2"/>
      <c r="AC644" s="131">
        <f t="shared" si="84"/>
        <v>19327.731092436974</v>
      </c>
      <c r="AD644" s="108">
        <f t="shared" si="85"/>
        <v>3672.268907563026</v>
      </c>
      <c r="AE644" s="95" t="s">
        <v>1501</v>
      </c>
      <c r="AF644" s="533" t="s">
        <v>3487</v>
      </c>
      <c r="AG644" s="2" t="str">
        <f t="shared" si="86"/>
        <v>SI</v>
      </c>
      <c r="AH644" s="284"/>
      <c r="AI644" s="533"/>
      <c r="AJ644" s="2" t="str">
        <f t="shared" si="87"/>
        <v>NV</v>
      </c>
      <c r="AK644" s="303"/>
    </row>
    <row r="645" spans="1:37" x14ac:dyDescent="0.25">
      <c r="A645" s="476" t="s">
        <v>2619</v>
      </c>
      <c r="B645" s="317" t="s">
        <v>3361</v>
      </c>
      <c r="C645" s="95">
        <v>0</v>
      </c>
      <c r="D645" s="95">
        <v>2844</v>
      </c>
      <c r="E645" s="95"/>
      <c r="F645" s="95"/>
      <c r="G645" s="95">
        <v>6369</v>
      </c>
      <c r="H645" s="138">
        <v>29900</v>
      </c>
      <c r="I645" s="138"/>
      <c r="J645" s="126">
        <f t="shared" si="80"/>
        <v>29900</v>
      </c>
      <c r="K645" s="318">
        <v>43839</v>
      </c>
      <c r="L645" s="95">
        <v>0</v>
      </c>
      <c r="M645" s="313">
        <f t="shared" si="81"/>
        <v>43839</v>
      </c>
      <c r="N645" s="2" t="str">
        <f t="shared" si="82"/>
        <v>Pagado</v>
      </c>
      <c r="O645" s="318">
        <v>43840</v>
      </c>
      <c r="P645" s="138">
        <v>29900</v>
      </c>
      <c r="Q645" s="2" t="s">
        <v>1484</v>
      </c>
      <c r="R645" s="2"/>
      <c r="S645" s="95"/>
      <c r="T645" s="313" t="s">
        <v>1496</v>
      </c>
      <c r="U645" s="393"/>
      <c r="V645" s="95"/>
      <c r="W645" s="129"/>
      <c r="X645" s="318"/>
      <c r="Y645" s="95"/>
      <c r="Z645" s="131"/>
      <c r="AA645" s="108" t="str">
        <f t="shared" si="83"/>
        <v/>
      </c>
      <c r="AB645" s="2"/>
      <c r="AC645" s="131">
        <f t="shared" si="84"/>
        <v>25126.050420168067</v>
      </c>
      <c r="AD645" s="108">
        <f t="shared" si="85"/>
        <v>4773.9495798319331</v>
      </c>
      <c r="AE645" s="95" t="s">
        <v>1501</v>
      </c>
      <c r="AF645" s="475" t="s">
        <v>3489</v>
      </c>
      <c r="AG645" s="2" t="str">
        <f t="shared" si="86"/>
        <v>SI</v>
      </c>
      <c r="AH645" s="284"/>
      <c r="AI645" s="475"/>
      <c r="AJ645" s="2" t="str">
        <f t="shared" si="87"/>
        <v>NV</v>
      </c>
      <c r="AK645" s="303"/>
    </row>
    <row r="646" spans="1:37" x14ac:dyDescent="0.25">
      <c r="A646" s="458" t="s">
        <v>4794</v>
      </c>
      <c r="B646" s="317" t="s">
        <v>4795</v>
      </c>
      <c r="C646" s="95">
        <v>0</v>
      </c>
      <c r="D646" s="95">
        <v>2845</v>
      </c>
      <c r="E646" s="95"/>
      <c r="F646" s="95"/>
      <c r="G646" s="95">
        <v>6271</v>
      </c>
      <c r="H646" s="138">
        <v>50400</v>
      </c>
      <c r="I646" s="138"/>
      <c r="J646" s="126">
        <f t="shared" si="80"/>
        <v>50400</v>
      </c>
      <c r="K646" s="318">
        <v>43839</v>
      </c>
      <c r="L646" s="95">
        <v>0</v>
      </c>
      <c r="M646" s="313">
        <f t="shared" si="81"/>
        <v>43839</v>
      </c>
      <c r="N646" s="2" t="str">
        <f t="shared" si="82"/>
        <v>Pagado</v>
      </c>
      <c r="O646" s="318">
        <v>43840</v>
      </c>
      <c r="P646" s="138">
        <v>50400</v>
      </c>
      <c r="Q646" s="2" t="s">
        <v>1484</v>
      </c>
      <c r="R646" s="2"/>
      <c r="S646" s="95"/>
      <c r="T646" s="313" t="s">
        <v>1492</v>
      </c>
      <c r="U646" s="393"/>
      <c r="V646" s="95"/>
      <c r="W646" s="129"/>
      <c r="X646" s="318"/>
      <c r="Y646" s="95"/>
      <c r="Z646" s="131"/>
      <c r="AA646" s="108" t="str">
        <f t="shared" si="83"/>
        <v/>
      </c>
      <c r="AB646" s="2"/>
      <c r="AC646" s="131">
        <f t="shared" si="84"/>
        <v>42352.941176470587</v>
      </c>
      <c r="AD646" s="108">
        <f t="shared" si="85"/>
        <v>8047.0588235294126</v>
      </c>
      <c r="AE646" s="95" t="s">
        <v>1501</v>
      </c>
      <c r="AF646" s="457" t="s">
        <v>3487</v>
      </c>
      <c r="AG646" s="2" t="str">
        <f t="shared" si="86"/>
        <v>SI</v>
      </c>
      <c r="AH646" s="284"/>
      <c r="AI646" s="457"/>
      <c r="AJ646" s="2" t="str">
        <f t="shared" si="87"/>
        <v>NV</v>
      </c>
      <c r="AK646" s="303"/>
    </row>
    <row r="647" spans="1:37" x14ac:dyDescent="0.25">
      <c r="A647" s="534" t="s">
        <v>3562</v>
      </c>
      <c r="B647" s="317" t="s">
        <v>3563</v>
      </c>
      <c r="C647" s="95">
        <v>0</v>
      </c>
      <c r="D647" s="95">
        <v>2845</v>
      </c>
      <c r="E647" s="95"/>
      <c r="F647" s="95"/>
      <c r="G647" s="95">
        <v>6372</v>
      </c>
      <c r="H647" s="138">
        <v>14800</v>
      </c>
      <c r="I647" s="138"/>
      <c r="J647" s="126">
        <f t="shared" si="80"/>
        <v>14800</v>
      </c>
      <c r="K647" s="318">
        <v>43839</v>
      </c>
      <c r="L647" s="95">
        <v>0</v>
      </c>
      <c r="M647" s="313">
        <f t="shared" si="81"/>
        <v>43839</v>
      </c>
      <c r="N647" s="2" t="str">
        <f t="shared" si="82"/>
        <v>Pagado</v>
      </c>
      <c r="O647" s="318">
        <v>43839</v>
      </c>
      <c r="P647" s="138">
        <v>14800</v>
      </c>
      <c r="Q647" s="2" t="s">
        <v>1481</v>
      </c>
      <c r="R647" s="2"/>
      <c r="S647" s="95"/>
      <c r="T647" s="313"/>
      <c r="U647" s="393"/>
      <c r="V647" s="95">
        <v>7679486</v>
      </c>
      <c r="W647" s="129">
        <v>14800</v>
      </c>
      <c r="X647" s="318">
        <v>43840</v>
      </c>
      <c r="Y647" s="95" t="s">
        <v>1488</v>
      </c>
      <c r="Z647" s="131"/>
      <c r="AA647" s="108" t="str">
        <f t="shared" si="83"/>
        <v/>
      </c>
      <c r="AB647" s="2"/>
      <c r="AC647" s="131">
        <f t="shared" si="84"/>
        <v>12436.974789915967</v>
      </c>
      <c r="AD647" s="108">
        <f t="shared" si="85"/>
        <v>2363.0252100840335</v>
      </c>
      <c r="AE647" s="95" t="s">
        <v>1501</v>
      </c>
      <c r="AF647" s="533" t="s">
        <v>3489</v>
      </c>
      <c r="AG647" s="2" t="str">
        <f t="shared" si="86"/>
        <v>SI</v>
      </c>
      <c r="AH647" s="284"/>
      <c r="AI647" s="533"/>
      <c r="AJ647" s="2" t="str">
        <f t="shared" si="87"/>
        <v>NV</v>
      </c>
      <c r="AK647" s="303"/>
    </row>
    <row r="648" spans="1:37" x14ac:dyDescent="0.25">
      <c r="A648" s="429" t="s">
        <v>1244</v>
      </c>
      <c r="B648" s="317" t="s">
        <v>971</v>
      </c>
      <c r="C648" s="95">
        <v>0</v>
      </c>
      <c r="D648" s="95">
        <v>2847</v>
      </c>
      <c r="E648" s="95"/>
      <c r="F648" s="95"/>
      <c r="G648" s="95">
        <v>6374</v>
      </c>
      <c r="H648" s="138">
        <v>19700</v>
      </c>
      <c r="I648" s="138"/>
      <c r="J648" s="126">
        <f t="shared" si="80"/>
        <v>19700</v>
      </c>
      <c r="K648" s="318">
        <v>43839</v>
      </c>
      <c r="L648" s="95">
        <v>0</v>
      </c>
      <c r="M648" s="313">
        <f t="shared" si="81"/>
        <v>43839</v>
      </c>
      <c r="N648" s="2" t="str">
        <f t="shared" si="82"/>
        <v>Pagado</v>
      </c>
      <c r="O648" s="318">
        <v>43839</v>
      </c>
      <c r="P648" s="138">
        <v>19700</v>
      </c>
      <c r="Q648" s="2" t="s">
        <v>1481</v>
      </c>
      <c r="R648" s="2"/>
      <c r="S648" s="95"/>
      <c r="T648" s="313"/>
      <c r="U648" s="393"/>
      <c r="V648" s="95">
        <v>7679486</v>
      </c>
      <c r="W648" s="129">
        <v>19700</v>
      </c>
      <c r="X648" s="318">
        <v>43840</v>
      </c>
      <c r="Y648" s="95" t="s">
        <v>1488</v>
      </c>
      <c r="Z648" s="131"/>
      <c r="AA648" s="108" t="str">
        <f t="shared" si="83"/>
        <v/>
      </c>
      <c r="AB648" s="2"/>
      <c r="AC648" s="131">
        <f t="shared" si="84"/>
        <v>16554.621848739498</v>
      </c>
      <c r="AD648" s="108">
        <f t="shared" si="85"/>
        <v>3145.3781512605019</v>
      </c>
      <c r="AE648" s="95" t="s">
        <v>1501</v>
      </c>
      <c r="AF648" s="428" t="s">
        <v>3489</v>
      </c>
      <c r="AG648" s="2" t="str">
        <f t="shared" si="86"/>
        <v>SI</v>
      </c>
      <c r="AH648" s="284"/>
      <c r="AI648" s="428"/>
      <c r="AJ648" s="2" t="str">
        <f t="shared" si="87"/>
        <v>NV</v>
      </c>
      <c r="AK648" s="303"/>
    </row>
    <row r="649" spans="1:37" x14ac:dyDescent="0.25">
      <c r="A649" s="429" t="s">
        <v>1234</v>
      </c>
      <c r="B649" s="317" t="s">
        <v>970</v>
      </c>
      <c r="C649" s="95">
        <v>0</v>
      </c>
      <c r="D649" s="95">
        <v>193</v>
      </c>
      <c r="E649" s="95"/>
      <c r="F649" s="95"/>
      <c r="G649" s="95">
        <v>6370</v>
      </c>
      <c r="H649" s="138">
        <v>26700</v>
      </c>
      <c r="I649" s="138"/>
      <c r="J649" s="126">
        <f t="shared" si="80"/>
        <v>26700</v>
      </c>
      <c r="K649" s="318">
        <v>43839</v>
      </c>
      <c r="L649" s="95">
        <v>0</v>
      </c>
      <c r="M649" s="313">
        <f t="shared" si="81"/>
        <v>43839</v>
      </c>
      <c r="N649" s="2" t="str">
        <f t="shared" si="82"/>
        <v>Pagado</v>
      </c>
      <c r="O649" s="318">
        <v>43839</v>
      </c>
      <c r="P649" s="138">
        <v>26700</v>
      </c>
      <c r="Q649" s="2" t="s">
        <v>1070</v>
      </c>
      <c r="R649" s="2" t="s">
        <v>2243</v>
      </c>
      <c r="S649" s="95">
        <v>193</v>
      </c>
      <c r="T649" s="313"/>
      <c r="U649" s="393"/>
      <c r="V649" s="95"/>
      <c r="W649" s="129"/>
      <c r="X649" s="318"/>
      <c r="Y649" s="95"/>
      <c r="Z649" s="131"/>
      <c r="AA649" s="108" t="str">
        <f t="shared" si="83"/>
        <v/>
      </c>
      <c r="AB649" s="2"/>
      <c r="AC649" s="131">
        <f t="shared" si="84"/>
        <v>22436.974789915967</v>
      </c>
      <c r="AD649" s="108">
        <f t="shared" si="85"/>
        <v>4263.0252100840335</v>
      </c>
      <c r="AE649" s="95" t="s">
        <v>1501</v>
      </c>
      <c r="AF649" s="428" t="s">
        <v>3489</v>
      </c>
      <c r="AG649" s="2" t="str">
        <f t="shared" si="86"/>
        <v>SI</v>
      </c>
      <c r="AH649" s="284"/>
      <c r="AI649" s="428"/>
      <c r="AJ649" s="2" t="str">
        <f t="shared" si="87"/>
        <v>NV</v>
      </c>
      <c r="AK649" s="303"/>
    </row>
    <row r="650" spans="1:37" x14ac:dyDescent="0.25">
      <c r="A650" s="542" t="s">
        <v>1183</v>
      </c>
      <c r="B650" s="317" t="s">
        <v>1999</v>
      </c>
      <c r="C650" s="95">
        <v>3060</v>
      </c>
      <c r="D650" s="95">
        <v>0</v>
      </c>
      <c r="E650" s="95"/>
      <c r="F650" s="95"/>
      <c r="G650" s="95">
        <v>5292</v>
      </c>
      <c r="H650" s="138">
        <v>120000</v>
      </c>
      <c r="I650" s="138"/>
      <c r="J650" s="126">
        <f t="shared" si="80"/>
        <v>120000</v>
      </c>
      <c r="K650" s="318">
        <v>43840</v>
      </c>
      <c r="L650" s="95">
        <v>30</v>
      </c>
      <c r="M650" s="313">
        <f t="shared" si="81"/>
        <v>43870</v>
      </c>
      <c r="N650" s="2" t="str">
        <f t="shared" si="82"/>
        <v>Pagado</v>
      </c>
      <c r="O650" s="318">
        <v>43840</v>
      </c>
      <c r="P650" s="138">
        <v>120000</v>
      </c>
      <c r="Q650" s="2" t="s">
        <v>1484</v>
      </c>
      <c r="R650" s="2"/>
      <c r="S650" s="95"/>
      <c r="T650" s="313" t="s">
        <v>1488</v>
      </c>
      <c r="U650" s="393"/>
      <c r="V650" s="95"/>
      <c r="W650" s="129"/>
      <c r="X650" s="318"/>
      <c r="Y650" s="95"/>
      <c r="Z650" s="131"/>
      <c r="AA650" s="108" t="str">
        <f t="shared" si="83"/>
        <v/>
      </c>
      <c r="AB650" s="2"/>
      <c r="AC650" s="131">
        <f t="shared" si="84"/>
        <v>100840.33613445378</v>
      </c>
      <c r="AD650" s="108">
        <f t="shared" si="85"/>
        <v>19159.663865546216</v>
      </c>
      <c r="AE650" s="95" t="s">
        <v>1445</v>
      </c>
      <c r="AF650" s="541" t="s">
        <v>3490</v>
      </c>
      <c r="AG650" s="2" t="str">
        <f t="shared" si="86"/>
        <v>SI</v>
      </c>
      <c r="AH650" s="284"/>
      <c r="AI650" s="541"/>
      <c r="AJ650" s="2" t="str">
        <f t="shared" si="87"/>
        <v>Factura</v>
      </c>
      <c r="AK650" s="303"/>
    </row>
    <row r="651" spans="1:37" x14ac:dyDescent="0.25">
      <c r="A651" s="542" t="s">
        <v>1183</v>
      </c>
      <c r="B651" s="317" t="s">
        <v>1999</v>
      </c>
      <c r="C651" s="95">
        <v>3060</v>
      </c>
      <c r="D651" s="95">
        <v>0</v>
      </c>
      <c r="E651" s="95"/>
      <c r="F651" s="95"/>
      <c r="G651" s="95">
        <v>5292</v>
      </c>
      <c r="H651" s="138">
        <v>161995</v>
      </c>
      <c r="I651" s="138"/>
      <c r="J651" s="126">
        <f t="shared" si="80"/>
        <v>161995</v>
      </c>
      <c r="K651" s="318">
        <v>43840</v>
      </c>
      <c r="L651" s="95">
        <v>30</v>
      </c>
      <c r="M651" s="313">
        <f t="shared" si="81"/>
        <v>43870</v>
      </c>
      <c r="N651" s="2" t="str">
        <f t="shared" ca="1" si="82"/>
        <v>Vencido</v>
      </c>
      <c r="O651" s="318"/>
      <c r="P651" s="138"/>
      <c r="Q651" s="2"/>
      <c r="R651" s="2"/>
      <c r="S651" s="95"/>
      <c r="T651" s="326"/>
      <c r="U651" s="393"/>
      <c r="V651" s="95"/>
      <c r="W651" s="129"/>
      <c r="X651" s="318"/>
      <c r="Y651" s="95"/>
      <c r="Z651" s="131"/>
      <c r="AA651" s="108" t="str">
        <f>+IF(LEFT(Q651,6)="Cheque",IF(T652="Chile","Chile","Otros"),"")</f>
        <v/>
      </c>
      <c r="AB651" s="2"/>
      <c r="AC651" s="131">
        <f t="shared" si="84"/>
        <v>136130.25210084036</v>
      </c>
      <c r="AD651" s="108">
        <f t="shared" si="85"/>
        <v>25864.747899159644</v>
      </c>
      <c r="AE651" s="95" t="s">
        <v>1445</v>
      </c>
      <c r="AF651" s="541" t="s">
        <v>3490</v>
      </c>
      <c r="AG651" s="2" t="str">
        <f t="shared" ca="1" si="86"/>
        <v>NO</v>
      </c>
      <c r="AH651" s="284"/>
      <c r="AI651" s="541"/>
      <c r="AJ651" s="2" t="str">
        <f t="shared" si="87"/>
        <v>Factura</v>
      </c>
      <c r="AK651" s="303"/>
    </row>
    <row r="652" spans="1:37" x14ac:dyDescent="0.25">
      <c r="A652" s="542" t="s">
        <v>1275</v>
      </c>
      <c r="B652" s="317" t="s">
        <v>2218</v>
      </c>
      <c r="C652" s="95">
        <v>3066</v>
      </c>
      <c r="D652" s="95">
        <v>0</v>
      </c>
      <c r="E652" s="95"/>
      <c r="F652" s="95"/>
      <c r="G652" s="95" t="s">
        <v>2528</v>
      </c>
      <c r="H652" s="138">
        <v>29000</v>
      </c>
      <c r="I652" s="138"/>
      <c r="J652" s="126">
        <f t="shared" si="80"/>
        <v>29000</v>
      </c>
      <c r="K652" s="318">
        <v>43840</v>
      </c>
      <c r="L652" s="95">
        <v>0</v>
      </c>
      <c r="M652" s="313">
        <f t="shared" si="81"/>
        <v>43840</v>
      </c>
      <c r="N652" s="2" t="str">
        <f t="shared" si="82"/>
        <v>Pagado</v>
      </c>
      <c r="O652" s="318">
        <v>43840</v>
      </c>
      <c r="P652" s="138">
        <v>29000</v>
      </c>
      <c r="Q652" s="2" t="s">
        <v>1481</v>
      </c>
      <c r="R652" s="2"/>
      <c r="S652" s="95"/>
      <c r="T652" s="313"/>
      <c r="U652" s="393"/>
      <c r="V652" s="95"/>
      <c r="W652" s="129"/>
      <c r="X652" s="318"/>
      <c r="Y652" s="95"/>
      <c r="Z652" s="131"/>
      <c r="AA652" s="108" t="str">
        <f t="shared" ref="AA652:AA659" si="88">+IF(LEFT(Q652,6)="Cheque",IF(T652="Chile","Chile","Otros"),"")</f>
        <v/>
      </c>
      <c r="AB652" s="2"/>
      <c r="AC652" s="131">
        <f t="shared" si="84"/>
        <v>24369.747899159665</v>
      </c>
      <c r="AD652" s="108">
        <f t="shared" si="85"/>
        <v>4630.2521008403346</v>
      </c>
      <c r="AE652" s="95" t="s">
        <v>1445</v>
      </c>
      <c r="AF652" s="541" t="s">
        <v>3490</v>
      </c>
      <c r="AG652" s="2" t="str">
        <f t="shared" si="86"/>
        <v>SI</v>
      </c>
      <c r="AH652" s="284"/>
      <c r="AI652" s="541"/>
      <c r="AJ652" s="2" t="str">
        <f t="shared" si="87"/>
        <v>Factura</v>
      </c>
      <c r="AK652" s="303"/>
    </row>
    <row r="653" spans="1:37" x14ac:dyDescent="0.25">
      <c r="A653" s="542" t="s">
        <v>5609</v>
      </c>
      <c r="B653" s="317" t="s">
        <v>5610</v>
      </c>
      <c r="C653" s="95">
        <v>0</v>
      </c>
      <c r="D653" s="95">
        <v>0</v>
      </c>
      <c r="E653" s="95"/>
      <c r="F653" s="95"/>
      <c r="G653" s="95" t="s">
        <v>2528</v>
      </c>
      <c r="H653" s="138">
        <v>36000</v>
      </c>
      <c r="I653" s="138"/>
      <c r="J653" s="126">
        <f t="shared" si="80"/>
        <v>36000</v>
      </c>
      <c r="K653" s="318">
        <v>43840</v>
      </c>
      <c r="L653" s="95">
        <v>0</v>
      </c>
      <c r="M653" s="313">
        <f t="shared" si="81"/>
        <v>43840</v>
      </c>
      <c r="N653" s="2" t="str">
        <f t="shared" si="82"/>
        <v>Pagado</v>
      </c>
      <c r="O653" s="318">
        <v>43840</v>
      </c>
      <c r="P653" s="138">
        <v>36000</v>
      </c>
      <c r="Q653" s="2" t="s">
        <v>1481</v>
      </c>
      <c r="R653" s="2"/>
      <c r="S653" s="95"/>
      <c r="T653" s="313"/>
      <c r="U653" s="393"/>
      <c r="V653" s="95">
        <v>7679487</v>
      </c>
      <c r="W653" s="129">
        <v>36000</v>
      </c>
      <c r="X653" s="318">
        <v>43840</v>
      </c>
      <c r="Y653" s="95" t="s">
        <v>1488</v>
      </c>
      <c r="Z653" s="131"/>
      <c r="AA653" s="108" t="str">
        <f t="shared" si="88"/>
        <v/>
      </c>
      <c r="AB653" s="2"/>
      <c r="AC653" s="131">
        <f t="shared" si="84"/>
        <v>30252.100840336137</v>
      </c>
      <c r="AD653" s="108">
        <f t="shared" si="85"/>
        <v>5747.8991596638625</v>
      </c>
      <c r="AE653" s="95" t="s">
        <v>1501</v>
      </c>
      <c r="AF653" s="541" t="s">
        <v>3489</v>
      </c>
      <c r="AG653" s="2" t="str">
        <f t="shared" si="86"/>
        <v>SI</v>
      </c>
      <c r="AH653" s="284"/>
      <c r="AI653" s="541"/>
      <c r="AJ653" s="2" t="str">
        <f t="shared" si="87"/>
        <v>NV</v>
      </c>
      <c r="AK653" s="303"/>
    </row>
    <row r="654" spans="1:37" x14ac:dyDescent="0.25">
      <c r="A654" s="270" t="s">
        <v>4907</v>
      </c>
      <c r="B654" s="3" t="s">
        <v>4908</v>
      </c>
      <c r="C654" s="2">
        <v>3065</v>
      </c>
      <c r="D654" s="2">
        <v>0</v>
      </c>
      <c r="E654" s="2"/>
      <c r="F654" s="2"/>
      <c r="G654" s="2" t="s">
        <v>2528</v>
      </c>
      <c r="H654" s="293">
        <v>70775</v>
      </c>
      <c r="I654" s="293"/>
      <c r="J654" s="126">
        <f t="shared" si="80"/>
        <v>70775</v>
      </c>
      <c r="K654" s="310">
        <v>43840</v>
      </c>
      <c r="L654" s="2">
        <v>30</v>
      </c>
      <c r="M654" s="313">
        <f t="shared" si="81"/>
        <v>43870</v>
      </c>
      <c r="N654" s="2" t="str">
        <f t="shared" si="82"/>
        <v>Pagado</v>
      </c>
      <c r="O654" s="310">
        <v>43861</v>
      </c>
      <c r="P654" s="293">
        <v>70775</v>
      </c>
      <c r="Q654" s="2" t="s">
        <v>2131</v>
      </c>
      <c r="R654" s="2"/>
      <c r="S654" s="2">
        <v>1032</v>
      </c>
      <c r="T654" s="313" t="s">
        <v>1494</v>
      </c>
      <c r="U654" s="392">
        <v>43870</v>
      </c>
      <c r="V654" s="2"/>
      <c r="W654" s="108"/>
      <c r="X654" s="310"/>
      <c r="Y654" s="2"/>
      <c r="Z654" s="131"/>
      <c r="AA654" s="108" t="str">
        <f t="shared" si="88"/>
        <v>Otros</v>
      </c>
      <c r="AB654" s="2"/>
      <c r="AC654" s="131">
        <f t="shared" si="84"/>
        <v>59474.789915966387</v>
      </c>
      <c r="AD654" s="108">
        <f t="shared" si="85"/>
        <v>11300.210084033613</v>
      </c>
      <c r="AE654" s="2" t="s">
        <v>1445</v>
      </c>
      <c r="AF654" s="23" t="s">
        <v>3490</v>
      </c>
      <c r="AG654" s="2" t="str">
        <f t="shared" si="86"/>
        <v>SI</v>
      </c>
      <c r="AH654" s="14"/>
      <c r="AI654" s="23"/>
      <c r="AJ654" s="2" t="str">
        <f t="shared" si="87"/>
        <v>Factura</v>
      </c>
      <c r="AK654" s="294"/>
    </row>
    <row r="655" spans="1:37" x14ac:dyDescent="0.25">
      <c r="A655" s="534" t="s">
        <v>1189</v>
      </c>
      <c r="B655" s="317" t="s">
        <v>940</v>
      </c>
      <c r="C655" s="95">
        <v>3067</v>
      </c>
      <c r="D655" s="95">
        <v>0</v>
      </c>
      <c r="E655" s="95"/>
      <c r="F655" s="95"/>
      <c r="G655" s="95" t="s">
        <v>2528</v>
      </c>
      <c r="H655" s="138">
        <v>89991</v>
      </c>
      <c r="I655" s="138"/>
      <c r="J655" s="126">
        <f t="shared" si="80"/>
        <v>89991</v>
      </c>
      <c r="K655" s="318">
        <v>43840</v>
      </c>
      <c r="L655" s="95">
        <v>0</v>
      </c>
      <c r="M655" s="313">
        <f t="shared" si="81"/>
        <v>43840</v>
      </c>
      <c r="N655" s="2" t="str">
        <f t="shared" si="82"/>
        <v>Pagado</v>
      </c>
      <c r="O655" s="318">
        <v>43840</v>
      </c>
      <c r="P655" s="138">
        <v>89991</v>
      </c>
      <c r="Q655" s="2" t="s">
        <v>1481</v>
      </c>
      <c r="R655" s="2"/>
      <c r="S655" s="95"/>
      <c r="T655" s="313"/>
      <c r="U655" s="392"/>
      <c r="V655" s="95"/>
      <c r="W655" s="129"/>
      <c r="X655" s="318"/>
      <c r="Y655" s="95"/>
      <c r="Z655" s="131"/>
      <c r="AA655" s="108" t="str">
        <f t="shared" si="88"/>
        <v/>
      </c>
      <c r="AB655" s="2"/>
      <c r="AC655" s="131">
        <f t="shared" si="84"/>
        <v>75622.68907563026</v>
      </c>
      <c r="AD655" s="108">
        <f t="shared" si="85"/>
        <v>14368.31092436974</v>
      </c>
      <c r="AE655" s="95" t="s">
        <v>1445</v>
      </c>
      <c r="AF655" s="533" t="s">
        <v>3490</v>
      </c>
      <c r="AG655" s="2" t="str">
        <f t="shared" si="86"/>
        <v>SI</v>
      </c>
      <c r="AH655" s="284"/>
      <c r="AI655" s="533"/>
      <c r="AJ655" s="2" t="str">
        <f t="shared" si="87"/>
        <v>Factura</v>
      </c>
      <c r="AK655" s="303"/>
    </row>
    <row r="656" spans="1:37" x14ac:dyDescent="0.25">
      <c r="A656" s="534" t="s">
        <v>1250</v>
      </c>
      <c r="B656" s="317" t="s">
        <v>3398</v>
      </c>
      <c r="C656" s="95">
        <v>0</v>
      </c>
      <c r="D656" s="95">
        <v>0</v>
      </c>
      <c r="E656" s="95"/>
      <c r="F656" s="95"/>
      <c r="G656" s="95">
        <v>6381</v>
      </c>
      <c r="H656" s="138">
        <v>16500</v>
      </c>
      <c r="I656" s="138"/>
      <c r="J656" s="126">
        <f t="shared" si="80"/>
        <v>16500</v>
      </c>
      <c r="K656" s="318">
        <v>43840</v>
      </c>
      <c r="L656" s="95">
        <v>0</v>
      </c>
      <c r="M656" s="313">
        <f t="shared" si="81"/>
        <v>43840</v>
      </c>
      <c r="N656" s="2" t="str">
        <f t="shared" si="82"/>
        <v>Pagado</v>
      </c>
      <c r="O656" s="318">
        <v>43840</v>
      </c>
      <c r="P656" s="138">
        <v>16500</v>
      </c>
      <c r="Q656" s="2" t="s">
        <v>1481</v>
      </c>
      <c r="R656" s="2"/>
      <c r="S656" s="95"/>
      <c r="T656" s="313"/>
      <c r="U656" s="393"/>
      <c r="V656" s="95">
        <v>7679486</v>
      </c>
      <c r="W656" s="129">
        <v>16500</v>
      </c>
      <c r="X656" s="318">
        <v>43840</v>
      </c>
      <c r="Y656" s="95" t="s">
        <v>1488</v>
      </c>
      <c r="Z656" s="131"/>
      <c r="AA656" s="108" t="str">
        <f t="shared" si="88"/>
        <v/>
      </c>
      <c r="AB656" s="2"/>
      <c r="AC656" s="131">
        <f t="shared" si="84"/>
        <v>13865.546218487396</v>
      </c>
      <c r="AD656" s="108">
        <f t="shared" si="85"/>
        <v>2634.4537815126041</v>
      </c>
      <c r="AE656" s="95" t="s">
        <v>1501</v>
      </c>
      <c r="AF656" s="533" t="s">
        <v>3489</v>
      </c>
      <c r="AG656" s="2" t="str">
        <f t="shared" si="86"/>
        <v>SI</v>
      </c>
      <c r="AH656" s="284"/>
      <c r="AI656" s="533"/>
      <c r="AJ656" s="2" t="str">
        <f t="shared" si="87"/>
        <v>NV</v>
      </c>
      <c r="AK656" s="303"/>
    </row>
    <row r="657" spans="1:37" x14ac:dyDescent="0.25">
      <c r="A657" s="534" t="s">
        <v>1216</v>
      </c>
      <c r="B657" s="317" t="s">
        <v>2209</v>
      </c>
      <c r="C657" s="95">
        <v>0</v>
      </c>
      <c r="D657" s="95">
        <v>0</v>
      </c>
      <c r="E657" s="95"/>
      <c r="F657" s="95"/>
      <c r="G657" s="95" t="s">
        <v>2528</v>
      </c>
      <c r="H657" s="138">
        <v>47800</v>
      </c>
      <c r="I657" s="138"/>
      <c r="J657" s="126">
        <f t="shared" si="80"/>
        <v>47800</v>
      </c>
      <c r="K657" s="318">
        <v>43840</v>
      </c>
      <c r="L657" s="95">
        <v>0</v>
      </c>
      <c r="M657" s="313">
        <f t="shared" si="81"/>
        <v>43840</v>
      </c>
      <c r="N657" s="2" t="str">
        <f t="shared" si="82"/>
        <v>Pagado</v>
      </c>
      <c r="O657" s="318">
        <v>43840</v>
      </c>
      <c r="P657" s="138">
        <v>47800</v>
      </c>
      <c r="Q657" s="2" t="s">
        <v>1484</v>
      </c>
      <c r="R657" s="2"/>
      <c r="S657" s="95"/>
      <c r="T657" s="313" t="s">
        <v>1488</v>
      </c>
      <c r="U657" s="393"/>
      <c r="V657" s="95"/>
      <c r="W657" s="129"/>
      <c r="X657" s="318"/>
      <c r="Y657" s="95"/>
      <c r="Z657" s="131"/>
      <c r="AA657" s="108" t="str">
        <f t="shared" si="88"/>
        <v/>
      </c>
      <c r="AB657" s="2"/>
      <c r="AC657" s="131">
        <f t="shared" si="84"/>
        <v>40168.067226890758</v>
      </c>
      <c r="AD657" s="108">
        <f t="shared" si="85"/>
        <v>7631.9327731092417</v>
      </c>
      <c r="AE657" s="95" t="s">
        <v>1501</v>
      </c>
      <c r="AF657" s="533" t="s">
        <v>3489</v>
      </c>
      <c r="AG657" s="2" t="str">
        <f t="shared" si="86"/>
        <v>SI</v>
      </c>
      <c r="AH657" s="284"/>
      <c r="AI657" s="533"/>
      <c r="AJ657" s="2" t="str">
        <f t="shared" si="87"/>
        <v>NV</v>
      </c>
      <c r="AK657" s="303"/>
    </row>
    <row r="658" spans="1:37" x14ac:dyDescent="0.25">
      <c r="A658" s="534" t="s">
        <v>5606</v>
      </c>
      <c r="B658" s="317" t="s">
        <v>5607</v>
      </c>
      <c r="C658" s="95">
        <v>0</v>
      </c>
      <c r="D658" s="95">
        <v>194</v>
      </c>
      <c r="E658" s="95"/>
      <c r="F658" s="95"/>
      <c r="G658" s="95">
        <v>6379</v>
      </c>
      <c r="H658" s="138">
        <v>16300</v>
      </c>
      <c r="I658" s="138"/>
      <c r="J658" s="126">
        <f t="shared" si="80"/>
        <v>16300</v>
      </c>
      <c r="K658" s="318">
        <v>43840</v>
      </c>
      <c r="L658" s="95">
        <v>0</v>
      </c>
      <c r="M658" s="313">
        <f t="shared" si="81"/>
        <v>43840</v>
      </c>
      <c r="N658" s="2" t="str">
        <f t="shared" si="82"/>
        <v>Pagado</v>
      </c>
      <c r="O658" s="318">
        <v>43840</v>
      </c>
      <c r="P658" s="138">
        <v>16300</v>
      </c>
      <c r="Q658" s="2" t="s">
        <v>1070</v>
      </c>
      <c r="R658" s="2" t="s">
        <v>2243</v>
      </c>
      <c r="S658" s="95">
        <v>194</v>
      </c>
      <c r="T658" s="313"/>
      <c r="U658" s="393"/>
      <c r="V658" s="95"/>
      <c r="W658" s="129"/>
      <c r="X658" s="318"/>
      <c r="Y658" s="95"/>
      <c r="Z658" s="131"/>
      <c r="AA658" s="108" t="str">
        <f t="shared" si="88"/>
        <v/>
      </c>
      <c r="AB658" s="2"/>
      <c r="AC658" s="131">
        <f t="shared" si="84"/>
        <v>13697.478991596639</v>
      </c>
      <c r="AD658" s="108">
        <f t="shared" si="85"/>
        <v>2602.5210084033606</v>
      </c>
      <c r="AE658" s="95" t="s">
        <v>1445</v>
      </c>
      <c r="AF658" s="533" t="s">
        <v>3487</v>
      </c>
      <c r="AG658" s="2" t="str">
        <f t="shared" si="86"/>
        <v>SI</v>
      </c>
      <c r="AH658" s="284"/>
      <c r="AI658" s="533"/>
      <c r="AJ658" s="2" t="str">
        <f t="shared" si="87"/>
        <v>NV</v>
      </c>
      <c r="AK658" s="303"/>
    </row>
    <row r="659" spans="1:37" x14ac:dyDescent="0.25">
      <c r="A659" s="499" t="s">
        <v>3236</v>
      </c>
      <c r="B659" s="317" t="s">
        <v>3237</v>
      </c>
      <c r="C659" s="95">
        <v>0</v>
      </c>
      <c r="D659" s="95">
        <v>2851</v>
      </c>
      <c r="E659" s="95"/>
      <c r="F659" s="95"/>
      <c r="G659" s="95">
        <v>6377</v>
      </c>
      <c r="H659" s="138">
        <v>14800</v>
      </c>
      <c r="I659" s="138"/>
      <c r="J659" s="126">
        <f t="shared" si="80"/>
        <v>14800</v>
      </c>
      <c r="K659" s="318">
        <v>43840</v>
      </c>
      <c r="L659" s="95">
        <v>0</v>
      </c>
      <c r="M659" s="313">
        <f t="shared" si="81"/>
        <v>43840</v>
      </c>
      <c r="N659" s="2" t="str">
        <f t="shared" si="82"/>
        <v>Pagado</v>
      </c>
      <c r="O659" s="318">
        <v>43840</v>
      </c>
      <c r="P659" s="138">
        <v>14800</v>
      </c>
      <c r="Q659" s="2" t="s">
        <v>1484</v>
      </c>
      <c r="R659" s="2"/>
      <c r="S659" s="95"/>
      <c r="T659" s="313" t="s">
        <v>1462</v>
      </c>
      <c r="U659" s="393"/>
      <c r="V659" s="95"/>
      <c r="W659" s="129"/>
      <c r="X659" s="318"/>
      <c r="Y659" s="95"/>
      <c r="Z659" s="131"/>
      <c r="AA659" s="108" t="str">
        <f t="shared" si="88"/>
        <v/>
      </c>
      <c r="AB659" s="2"/>
      <c r="AC659" s="131">
        <f t="shared" si="84"/>
        <v>12436.974789915967</v>
      </c>
      <c r="AD659" s="108">
        <f t="shared" si="85"/>
        <v>2363.0252100840335</v>
      </c>
      <c r="AE659" s="95" t="s">
        <v>1501</v>
      </c>
      <c r="AF659" s="498" t="s">
        <v>3489</v>
      </c>
      <c r="AG659" s="2" t="str">
        <f t="shared" si="86"/>
        <v>SI</v>
      </c>
      <c r="AH659" s="284"/>
      <c r="AI659" s="498"/>
      <c r="AJ659" s="2" t="str">
        <f t="shared" si="87"/>
        <v>NV</v>
      </c>
      <c r="AK659" s="303"/>
    </row>
    <row r="660" spans="1:37" x14ac:dyDescent="0.25">
      <c r="A660" s="499" t="s">
        <v>1180</v>
      </c>
      <c r="B660" s="317" t="s">
        <v>1048</v>
      </c>
      <c r="C660" s="95">
        <v>3059</v>
      </c>
      <c r="D660" s="95">
        <v>0</v>
      </c>
      <c r="E660" s="95"/>
      <c r="F660" s="95"/>
      <c r="G660" s="95">
        <v>5293</v>
      </c>
      <c r="H660" s="138">
        <v>253081</v>
      </c>
      <c r="I660" s="138"/>
      <c r="J660" s="126">
        <f t="shared" si="80"/>
        <v>253081</v>
      </c>
      <c r="K660" s="318">
        <v>43840</v>
      </c>
      <c r="L660" s="95">
        <v>30</v>
      </c>
      <c r="M660" s="313">
        <f t="shared" si="81"/>
        <v>43870</v>
      </c>
      <c r="N660" s="2" t="str">
        <f t="shared" si="82"/>
        <v>Pagado</v>
      </c>
      <c r="O660" s="318">
        <v>43840</v>
      </c>
      <c r="P660" s="138">
        <v>253081</v>
      </c>
      <c r="Q660" s="2" t="s">
        <v>2131</v>
      </c>
      <c r="R660" s="2"/>
      <c r="S660" s="95">
        <v>733</v>
      </c>
      <c r="T660" s="326" t="s">
        <v>1494</v>
      </c>
      <c r="U660" s="393">
        <v>43869</v>
      </c>
      <c r="V660" s="95"/>
      <c r="W660" s="129"/>
      <c r="X660" s="318"/>
      <c r="Y660" s="95"/>
      <c r="Z660" s="131"/>
      <c r="AA660" s="108" t="e">
        <f>+IF(LEFT(Q660,6)="Cheque",IF(#REF!="Chile","Chile","Otros"),"")</f>
        <v>#REF!</v>
      </c>
      <c r="AB660" s="2"/>
      <c r="AC660" s="131">
        <f t="shared" si="84"/>
        <v>212673.10924369749</v>
      </c>
      <c r="AD660" s="108">
        <f t="shared" si="85"/>
        <v>40407.890756302513</v>
      </c>
      <c r="AE660" s="95" t="s">
        <v>1445</v>
      </c>
      <c r="AF660" s="498" t="s">
        <v>3490</v>
      </c>
      <c r="AG660" s="2" t="str">
        <f t="shared" si="86"/>
        <v>SI</v>
      </c>
      <c r="AH660" s="284"/>
      <c r="AI660" s="498"/>
      <c r="AJ660" s="2" t="str">
        <f t="shared" si="87"/>
        <v>Factura</v>
      </c>
      <c r="AK660" s="303"/>
    </row>
    <row r="661" spans="1:37" x14ac:dyDescent="0.25">
      <c r="A661" s="542" t="s">
        <v>1213</v>
      </c>
      <c r="B661" s="317" t="s">
        <v>985</v>
      </c>
      <c r="C661" s="95">
        <v>0</v>
      </c>
      <c r="D661" s="95">
        <v>0</v>
      </c>
      <c r="E661" s="95"/>
      <c r="F661" s="95"/>
      <c r="G661" s="95">
        <v>6383</v>
      </c>
      <c r="H661" s="138">
        <v>24600</v>
      </c>
      <c r="I661" s="138"/>
      <c r="J661" s="126">
        <f t="shared" si="80"/>
        <v>24600</v>
      </c>
      <c r="K661" s="318">
        <v>43843</v>
      </c>
      <c r="L661" s="95">
        <v>0</v>
      </c>
      <c r="M661" s="313">
        <f t="shared" si="81"/>
        <v>43843</v>
      </c>
      <c r="N661" s="2" t="str">
        <f t="shared" si="82"/>
        <v>Pagado</v>
      </c>
      <c r="O661" s="318">
        <v>43862</v>
      </c>
      <c r="P661" s="138">
        <v>24600</v>
      </c>
      <c r="Q661" s="2" t="s">
        <v>1481</v>
      </c>
      <c r="R661" s="2"/>
      <c r="S661" s="95"/>
      <c r="T661" s="313"/>
      <c r="U661" s="393"/>
      <c r="V661" s="95"/>
      <c r="W661" s="129"/>
      <c r="X661" s="318"/>
      <c r="Y661" s="95"/>
      <c r="Z661" s="131"/>
      <c r="AA661" s="108" t="str">
        <f t="shared" ref="AA661:AA724" si="89">+IF(LEFT(Q661,6)="Cheque",IF(T661="Chile","Chile","Otros"),"")</f>
        <v/>
      </c>
      <c r="AB661" s="2"/>
      <c r="AC661" s="131">
        <f t="shared" si="84"/>
        <v>20672.268907563026</v>
      </c>
      <c r="AD661" s="108">
        <f t="shared" si="85"/>
        <v>3927.731092436974</v>
      </c>
      <c r="AE661" s="95" t="s">
        <v>1501</v>
      </c>
      <c r="AF661" s="541" t="s">
        <v>3489</v>
      </c>
      <c r="AG661" s="2" t="str">
        <f t="shared" si="86"/>
        <v>SI</v>
      </c>
      <c r="AH661" s="284"/>
      <c r="AI661" s="541"/>
      <c r="AJ661" s="2" t="str">
        <f t="shared" si="87"/>
        <v>NV</v>
      </c>
      <c r="AK661" s="303"/>
    </row>
    <row r="662" spans="1:37" x14ac:dyDescent="0.25">
      <c r="A662" s="542" t="s">
        <v>1259</v>
      </c>
      <c r="B662" s="317" t="s">
        <v>2778</v>
      </c>
      <c r="C662" s="95">
        <v>3068</v>
      </c>
      <c r="D662" s="95">
        <v>0</v>
      </c>
      <c r="E662" s="95"/>
      <c r="F662" s="95"/>
      <c r="G662" s="95" t="s">
        <v>2528</v>
      </c>
      <c r="H662" s="138">
        <v>290478</v>
      </c>
      <c r="I662" s="138"/>
      <c r="J662" s="126">
        <f t="shared" si="80"/>
        <v>290478</v>
      </c>
      <c r="K662" s="318">
        <v>43843</v>
      </c>
      <c r="L662" s="95">
        <v>30</v>
      </c>
      <c r="M662" s="313">
        <f t="shared" si="81"/>
        <v>43873</v>
      </c>
      <c r="N662" s="2" t="str">
        <f t="shared" si="82"/>
        <v>Pagado</v>
      </c>
      <c r="O662" s="318">
        <v>43843</v>
      </c>
      <c r="P662" s="138">
        <v>290478</v>
      </c>
      <c r="Q662" s="2" t="s">
        <v>2131</v>
      </c>
      <c r="R662" s="2"/>
      <c r="S662" s="95">
        <v>6379104</v>
      </c>
      <c r="T662" s="313" t="s">
        <v>1488</v>
      </c>
      <c r="U662" s="393">
        <v>43860</v>
      </c>
      <c r="V662" s="95">
        <v>7675291</v>
      </c>
      <c r="W662" s="129">
        <v>290478</v>
      </c>
      <c r="X662" s="318">
        <v>43860</v>
      </c>
      <c r="Y662" s="95" t="s">
        <v>1488</v>
      </c>
      <c r="Z662" s="131"/>
      <c r="AA662" s="108" t="str">
        <f t="shared" si="89"/>
        <v>Chile</v>
      </c>
      <c r="AB662" s="2"/>
      <c r="AC662" s="131">
        <f t="shared" si="84"/>
        <v>244099.15966386555</v>
      </c>
      <c r="AD662" s="108">
        <f t="shared" si="85"/>
        <v>46378.840336134454</v>
      </c>
      <c r="AE662" s="95" t="s">
        <v>2050</v>
      </c>
      <c r="AF662" s="541" t="s">
        <v>3490</v>
      </c>
      <c r="AG662" s="2" t="str">
        <f t="shared" si="86"/>
        <v>SI</v>
      </c>
      <c r="AH662" s="284"/>
      <c r="AI662" s="541"/>
      <c r="AJ662" s="2" t="str">
        <f t="shared" si="87"/>
        <v>Factura</v>
      </c>
      <c r="AK662" s="303"/>
    </row>
    <row r="663" spans="1:37" x14ac:dyDescent="0.25">
      <c r="A663" s="542" t="s">
        <v>5616</v>
      </c>
      <c r="B663" s="317" t="s">
        <v>5617</v>
      </c>
      <c r="C663" s="95">
        <v>0</v>
      </c>
      <c r="D663" s="95">
        <v>2855</v>
      </c>
      <c r="E663" s="95"/>
      <c r="F663" s="95"/>
      <c r="G663" s="95">
        <v>6389</v>
      </c>
      <c r="H663" s="138">
        <v>14800</v>
      </c>
      <c r="I663" s="138"/>
      <c r="J663" s="126">
        <f t="shared" si="80"/>
        <v>14800</v>
      </c>
      <c r="K663" s="318">
        <v>43843</v>
      </c>
      <c r="L663" s="95">
        <v>0</v>
      </c>
      <c r="M663" s="313">
        <f t="shared" si="81"/>
        <v>43843</v>
      </c>
      <c r="N663" s="2" t="str">
        <f t="shared" si="82"/>
        <v>Pagado</v>
      </c>
      <c r="O663" s="318">
        <v>43843</v>
      </c>
      <c r="P663" s="138">
        <v>14800</v>
      </c>
      <c r="Q663" s="2" t="s">
        <v>1481</v>
      </c>
      <c r="R663" s="2"/>
      <c r="S663" s="95"/>
      <c r="T663" s="313"/>
      <c r="U663" s="393"/>
      <c r="V663" s="95"/>
      <c r="W663" s="129"/>
      <c r="X663" s="318"/>
      <c r="Y663" s="95"/>
      <c r="Z663" s="131"/>
      <c r="AA663" s="108" t="str">
        <f t="shared" si="89"/>
        <v/>
      </c>
      <c r="AB663" s="2"/>
      <c r="AC663" s="131">
        <f t="shared" si="84"/>
        <v>12436.974789915967</v>
      </c>
      <c r="AD663" s="108">
        <f t="shared" si="85"/>
        <v>2363.0252100840335</v>
      </c>
      <c r="AE663" s="95" t="s">
        <v>1501</v>
      </c>
      <c r="AF663" s="541" t="s">
        <v>3487</v>
      </c>
      <c r="AG663" s="2" t="str">
        <f t="shared" si="86"/>
        <v>SI</v>
      </c>
      <c r="AH663" s="284"/>
      <c r="AI663" s="541"/>
      <c r="AJ663" s="2" t="str">
        <f t="shared" si="87"/>
        <v>NV</v>
      </c>
      <c r="AK663" s="303"/>
    </row>
    <row r="664" spans="1:37" x14ac:dyDescent="0.25">
      <c r="A664" s="499" t="s">
        <v>4950</v>
      </c>
      <c r="B664" s="317" t="s">
        <v>4951</v>
      </c>
      <c r="C664" s="95">
        <v>0</v>
      </c>
      <c r="D664" s="95">
        <v>2854</v>
      </c>
      <c r="E664" s="95"/>
      <c r="F664" s="95"/>
      <c r="G664" s="95">
        <v>6390</v>
      </c>
      <c r="H664" s="138">
        <v>10200</v>
      </c>
      <c r="I664" s="138"/>
      <c r="J664" s="126">
        <f t="shared" si="80"/>
        <v>10200</v>
      </c>
      <c r="K664" s="318">
        <v>43843</v>
      </c>
      <c r="L664" s="95">
        <v>0</v>
      </c>
      <c r="M664" s="313">
        <f t="shared" si="81"/>
        <v>43843</v>
      </c>
      <c r="N664" s="2" t="str">
        <f t="shared" si="82"/>
        <v>Pagado</v>
      </c>
      <c r="O664" s="318">
        <v>43843</v>
      </c>
      <c r="P664" s="138">
        <v>10200</v>
      </c>
      <c r="Q664" s="2" t="s">
        <v>1484</v>
      </c>
      <c r="R664" s="2"/>
      <c r="S664" s="95"/>
      <c r="T664" s="313" t="s">
        <v>1462</v>
      </c>
      <c r="U664" s="393"/>
      <c r="V664" s="95"/>
      <c r="W664" s="129"/>
      <c r="X664" s="318"/>
      <c r="Y664" s="95"/>
      <c r="Z664" s="131"/>
      <c r="AA664" s="108" t="str">
        <f t="shared" si="89"/>
        <v/>
      </c>
      <c r="AB664" s="2"/>
      <c r="AC664" s="131">
        <f t="shared" si="84"/>
        <v>8571.4285714285725</v>
      </c>
      <c r="AD664" s="108">
        <f t="shared" si="85"/>
        <v>1628.5714285714275</v>
      </c>
      <c r="AE664" s="95" t="s">
        <v>1501</v>
      </c>
      <c r="AF664" s="498" t="s">
        <v>3487</v>
      </c>
      <c r="AG664" s="2" t="str">
        <f t="shared" si="86"/>
        <v>SI</v>
      </c>
      <c r="AH664" s="284"/>
      <c r="AI664" s="498"/>
      <c r="AJ664" s="2" t="str">
        <f t="shared" si="87"/>
        <v>NV</v>
      </c>
      <c r="AK664" s="303"/>
    </row>
    <row r="665" spans="1:37" x14ac:dyDescent="0.25">
      <c r="A665" s="499" t="s">
        <v>5207</v>
      </c>
      <c r="B665" s="317" t="s">
        <v>5208</v>
      </c>
      <c r="C665" s="95">
        <v>0</v>
      </c>
      <c r="D665" s="95">
        <v>0</v>
      </c>
      <c r="E665" s="95"/>
      <c r="F665" s="95"/>
      <c r="G665" s="95">
        <v>6384</v>
      </c>
      <c r="H665" s="138">
        <v>34100</v>
      </c>
      <c r="I665" s="138"/>
      <c r="J665" s="126">
        <f t="shared" si="80"/>
        <v>34100</v>
      </c>
      <c r="K665" s="318">
        <v>43843</v>
      </c>
      <c r="L665" s="95">
        <v>0</v>
      </c>
      <c r="M665" s="313">
        <f t="shared" si="81"/>
        <v>43843</v>
      </c>
      <c r="N665" s="2" t="str">
        <f t="shared" si="82"/>
        <v>Pagado</v>
      </c>
      <c r="O665" s="318">
        <v>43845</v>
      </c>
      <c r="P665" s="138">
        <v>34100</v>
      </c>
      <c r="Q665" s="2" t="s">
        <v>1481</v>
      </c>
      <c r="R665" s="2"/>
      <c r="S665" s="95"/>
      <c r="T665" s="313"/>
      <c r="U665" s="393"/>
      <c r="V665" s="95"/>
      <c r="W665" s="129"/>
      <c r="X665" s="318"/>
      <c r="Y665" s="95"/>
      <c r="Z665" s="131"/>
      <c r="AA665" s="108" t="str">
        <f t="shared" si="89"/>
        <v/>
      </c>
      <c r="AB665" s="2"/>
      <c r="AC665" s="131">
        <f t="shared" si="84"/>
        <v>28655.462184873952</v>
      </c>
      <c r="AD665" s="108">
        <f t="shared" si="85"/>
        <v>5444.5378151260484</v>
      </c>
      <c r="AE665" s="95" t="s">
        <v>1501</v>
      </c>
      <c r="AF665" s="498" t="s">
        <v>3487</v>
      </c>
      <c r="AG665" s="2" t="str">
        <f t="shared" si="86"/>
        <v>SI</v>
      </c>
      <c r="AH665" s="284"/>
      <c r="AI665" s="498"/>
      <c r="AJ665" s="2" t="str">
        <f t="shared" si="87"/>
        <v>NV</v>
      </c>
      <c r="AK665" s="303"/>
    </row>
    <row r="666" spans="1:37" x14ac:dyDescent="0.25">
      <c r="A666" s="499" t="s">
        <v>1399</v>
      </c>
      <c r="B666" s="317" t="s">
        <v>1004</v>
      </c>
      <c r="C666" s="95">
        <v>0</v>
      </c>
      <c r="D666" s="95">
        <v>2853</v>
      </c>
      <c r="E666" s="95"/>
      <c r="F666" s="95"/>
      <c r="G666" s="95">
        <v>6385</v>
      </c>
      <c r="H666" s="138">
        <v>14800</v>
      </c>
      <c r="I666" s="138"/>
      <c r="J666" s="126">
        <f t="shared" si="80"/>
        <v>14800</v>
      </c>
      <c r="K666" s="318">
        <v>43843</v>
      </c>
      <c r="L666" s="95">
        <v>0</v>
      </c>
      <c r="M666" s="313">
        <f t="shared" si="81"/>
        <v>43843</v>
      </c>
      <c r="N666" s="2" t="str">
        <f t="shared" si="82"/>
        <v>Pagado</v>
      </c>
      <c r="O666" s="318">
        <v>43845</v>
      </c>
      <c r="P666" s="138">
        <v>14800</v>
      </c>
      <c r="Q666" s="2" t="s">
        <v>1484</v>
      </c>
      <c r="R666" s="2"/>
      <c r="S666" s="95"/>
      <c r="T666" s="313" t="s">
        <v>1488</v>
      </c>
      <c r="U666" s="393"/>
      <c r="V666" s="95"/>
      <c r="W666" s="129"/>
      <c r="X666" s="318"/>
      <c r="Y666" s="95"/>
      <c r="Z666" s="131"/>
      <c r="AA666" s="108" t="str">
        <f t="shared" si="89"/>
        <v/>
      </c>
      <c r="AB666" s="2"/>
      <c r="AC666" s="131">
        <f t="shared" si="84"/>
        <v>12436.974789915967</v>
      </c>
      <c r="AD666" s="108">
        <f t="shared" si="85"/>
        <v>2363.0252100840335</v>
      </c>
      <c r="AE666" s="95" t="s">
        <v>1501</v>
      </c>
      <c r="AF666" s="498" t="s">
        <v>3487</v>
      </c>
      <c r="AG666" s="2" t="str">
        <f t="shared" si="86"/>
        <v>SI</v>
      </c>
      <c r="AH666" s="284"/>
      <c r="AI666" s="498"/>
      <c r="AJ666" s="2" t="str">
        <f t="shared" si="87"/>
        <v>NV</v>
      </c>
      <c r="AK666" s="303"/>
    </row>
    <row r="667" spans="1:37" x14ac:dyDescent="0.25">
      <c r="A667" s="499" t="s">
        <v>1320</v>
      </c>
      <c r="B667" s="317" t="s">
        <v>3394</v>
      </c>
      <c r="C667" s="95">
        <v>0</v>
      </c>
      <c r="D667" s="95">
        <v>2852</v>
      </c>
      <c r="E667" s="95"/>
      <c r="F667" s="95"/>
      <c r="G667" s="95">
        <v>6391</v>
      </c>
      <c r="H667" s="138">
        <v>45100</v>
      </c>
      <c r="I667" s="138"/>
      <c r="J667" s="126">
        <f t="shared" si="80"/>
        <v>45100</v>
      </c>
      <c r="K667" s="318">
        <v>43843</v>
      </c>
      <c r="L667" s="95">
        <v>0</v>
      </c>
      <c r="M667" s="313">
        <f t="shared" si="81"/>
        <v>43843</v>
      </c>
      <c r="N667" s="2" t="str">
        <f t="shared" si="82"/>
        <v>Pagado</v>
      </c>
      <c r="O667" s="318">
        <v>43844</v>
      </c>
      <c r="P667" s="138">
        <v>45100</v>
      </c>
      <c r="Q667" s="2" t="s">
        <v>1484</v>
      </c>
      <c r="R667" s="2"/>
      <c r="S667" s="95"/>
      <c r="T667" s="313" t="s">
        <v>1496</v>
      </c>
      <c r="U667" s="393"/>
      <c r="V667" s="95"/>
      <c r="W667" s="129"/>
      <c r="X667" s="318"/>
      <c r="Y667" s="95"/>
      <c r="Z667" s="131"/>
      <c r="AA667" s="108" t="str">
        <f t="shared" si="89"/>
        <v/>
      </c>
      <c r="AB667" s="2"/>
      <c r="AC667" s="131">
        <f t="shared" si="84"/>
        <v>37899.159663865546</v>
      </c>
      <c r="AD667" s="108">
        <f t="shared" si="85"/>
        <v>7200.8403361344535</v>
      </c>
      <c r="AE667" s="95" t="s">
        <v>1501</v>
      </c>
      <c r="AF667" s="498" t="s">
        <v>3489</v>
      </c>
      <c r="AG667" s="2" t="str">
        <f t="shared" si="86"/>
        <v>SI</v>
      </c>
      <c r="AH667" s="284"/>
      <c r="AI667" s="498"/>
      <c r="AJ667" s="2" t="str">
        <f t="shared" si="87"/>
        <v>NV</v>
      </c>
      <c r="AK667" s="303"/>
    </row>
    <row r="668" spans="1:37" x14ac:dyDescent="0.25">
      <c r="A668" s="534" t="s">
        <v>1511</v>
      </c>
      <c r="B668" s="317" t="s">
        <v>1512</v>
      </c>
      <c r="C668" s="95">
        <v>0</v>
      </c>
      <c r="D668" s="95">
        <v>191</v>
      </c>
      <c r="E668" s="95"/>
      <c r="F668" s="95"/>
      <c r="G668" s="95">
        <v>6382</v>
      </c>
      <c r="H668" s="138">
        <v>66400</v>
      </c>
      <c r="I668" s="138"/>
      <c r="J668" s="126">
        <f t="shared" si="80"/>
        <v>66400</v>
      </c>
      <c r="K668" s="318">
        <v>43843</v>
      </c>
      <c r="L668" s="95">
        <v>0</v>
      </c>
      <c r="M668" s="313">
        <f t="shared" si="81"/>
        <v>43843</v>
      </c>
      <c r="N668" s="2" t="str">
        <f t="shared" si="82"/>
        <v>Pagado</v>
      </c>
      <c r="O668" s="318">
        <v>43843</v>
      </c>
      <c r="P668" s="138">
        <v>66400</v>
      </c>
      <c r="Q668" s="2" t="s">
        <v>1070</v>
      </c>
      <c r="R668" s="2" t="s">
        <v>1478</v>
      </c>
      <c r="S668" s="95">
        <v>191</v>
      </c>
      <c r="T668" s="313"/>
      <c r="U668" s="393"/>
      <c r="V668" s="95"/>
      <c r="W668" s="129"/>
      <c r="X668" s="318"/>
      <c r="Y668" s="95"/>
      <c r="Z668" s="131"/>
      <c r="AA668" s="108" t="str">
        <f t="shared" si="89"/>
        <v/>
      </c>
      <c r="AB668" s="2"/>
      <c r="AC668" s="131">
        <f t="shared" si="84"/>
        <v>55798.319327731093</v>
      </c>
      <c r="AD668" s="108">
        <f t="shared" si="85"/>
        <v>10601.680672268907</v>
      </c>
      <c r="AE668" s="95" t="s">
        <v>1501</v>
      </c>
      <c r="AF668" s="533" t="s">
        <v>3489</v>
      </c>
      <c r="AG668" s="2" t="str">
        <f t="shared" si="86"/>
        <v>SI</v>
      </c>
      <c r="AH668" s="284"/>
      <c r="AI668" s="533"/>
      <c r="AJ668" s="2" t="str">
        <f t="shared" si="87"/>
        <v>NV</v>
      </c>
      <c r="AK668" s="303"/>
    </row>
    <row r="669" spans="1:37" x14ac:dyDescent="0.25">
      <c r="A669" s="499" t="s">
        <v>1204</v>
      </c>
      <c r="B669" s="317" t="s">
        <v>1052</v>
      </c>
      <c r="C669" s="95">
        <v>0</v>
      </c>
      <c r="D669" s="95">
        <v>0</v>
      </c>
      <c r="E669" s="95"/>
      <c r="F669" s="95"/>
      <c r="G669" s="95">
        <v>6388</v>
      </c>
      <c r="H669" s="138">
        <v>18000</v>
      </c>
      <c r="I669" s="138"/>
      <c r="J669" s="126">
        <f t="shared" si="80"/>
        <v>18000</v>
      </c>
      <c r="K669" s="318">
        <v>43843</v>
      </c>
      <c r="L669" s="95">
        <v>0</v>
      </c>
      <c r="M669" s="313">
        <f t="shared" si="81"/>
        <v>43843</v>
      </c>
      <c r="N669" s="2" t="str">
        <f t="shared" si="82"/>
        <v>Pagado</v>
      </c>
      <c r="O669" s="318">
        <v>43859</v>
      </c>
      <c r="P669" s="138">
        <v>18000</v>
      </c>
      <c r="Q669" s="2" t="s">
        <v>1484</v>
      </c>
      <c r="R669" s="2"/>
      <c r="S669" s="95"/>
      <c r="T669" s="313" t="s">
        <v>1492</v>
      </c>
      <c r="U669" s="393"/>
      <c r="V669" s="95"/>
      <c r="W669" s="129"/>
      <c r="X669" s="318"/>
      <c r="Y669" s="95"/>
      <c r="Z669" s="131"/>
      <c r="AA669" s="108" t="str">
        <f t="shared" si="89"/>
        <v/>
      </c>
      <c r="AB669" s="2"/>
      <c r="AC669" s="131">
        <f t="shared" si="84"/>
        <v>15126.050420168069</v>
      </c>
      <c r="AD669" s="108">
        <f t="shared" si="85"/>
        <v>2873.9495798319313</v>
      </c>
      <c r="AE669" s="95" t="s">
        <v>1501</v>
      </c>
      <c r="AF669" s="498" t="s">
        <v>3489</v>
      </c>
      <c r="AG669" s="2" t="str">
        <f t="shared" si="86"/>
        <v>SI</v>
      </c>
      <c r="AH669" s="284"/>
      <c r="AI669" s="498"/>
      <c r="AJ669" s="2" t="str">
        <f t="shared" si="87"/>
        <v>NV</v>
      </c>
      <c r="AK669" s="303"/>
    </row>
    <row r="670" spans="1:37" x14ac:dyDescent="0.25">
      <c r="A670" s="499" t="s">
        <v>3306</v>
      </c>
      <c r="B670" s="317" t="s">
        <v>3307</v>
      </c>
      <c r="C670" s="95">
        <v>0</v>
      </c>
      <c r="D670" s="95">
        <v>192</v>
      </c>
      <c r="E670" s="95"/>
      <c r="F670" s="95"/>
      <c r="G670" s="95">
        <v>6386</v>
      </c>
      <c r="H670" s="138">
        <v>59300</v>
      </c>
      <c r="I670" s="138"/>
      <c r="J670" s="126">
        <f t="shared" si="80"/>
        <v>59300</v>
      </c>
      <c r="K670" s="318">
        <v>43843</v>
      </c>
      <c r="L670" s="95">
        <v>0</v>
      </c>
      <c r="M670" s="313">
        <f t="shared" si="81"/>
        <v>43843</v>
      </c>
      <c r="N670" s="2" t="str">
        <f t="shared" si="82"/>
        <v>Pagado</v>
      </c>
      <c r="O670" s="318">
        <v>43843</v>
      </c>
      <c r="P670" s="138">
        <v>59300</v>
      </c>
      <c r="Q670" s="2" t="s">
        <v>1070</v>
      </c>
      <c r="R670" s="2" t="s">
        <v>2243</v>
      </c>
      <c r="S670" s="95">
        <v>192</v>
      </c>
      <c r="T670" s="313"/>
      <c r="U670" s="393"/>
      <c r="V670" s="95"/>
      <c r="W670" s="129"/>
      <c r="X670" s="318"/>
      <c r="Y670" s="95"/>
      <c r="Z670" s="131"/>
      <c r="AA670" s="108" t="str">
        <f t="shared" si="89"/>
        <v/>
      </c>
      <c r="AB670" s="2"/>
      <c r="AC670" s="131">
        <f t="shared" si="84"/>
        <v>49831.932773109249</v>
      </c>
      <c r="AD670" s="108">
        <f t="shared" si="85"/>
        <v>9468.067226890751</v>
      </c>
      <c r="AE670" s="95" t="s">
        <v>1501</v>
      </c>
      <c r="AF670" s="498" t="s">
        <v>3489</v>
      </c>
      <c r="AG670" s="2" t="str">
        <f t="shared" si="86"/>
        <v>SI</v>
      </c>
      <c r="AH670" s="284"/>
      <c r="AI670" s="498"/>
      <c r="AJ670" s="2" t="str">
        <f t="shared" si="87"/>
        <v>NV</v>
      </c>
      <c r="AK670" s="303"/>
    </row>
    <row r="671" spans="1:37" x14ac:dyDescent="0.25">
      <c r="A671" s="499" t="s">
        <v>5613</v>
      </c>
      <c r="B671" s="317" t="s">
        <v>5614</v>
      </c>
      <c r="C671" s="95">
        <v>0</v>
      </c>
      <c r="D671" s="95">
        <v>0</v>
      </c>
      <c r="E671" s="95"/>
      <c r="F671" s="95"/>
      <c r="G671" s="95">
        <v>6387</v>
      </c>
      <c r="H671" s="138">
        <v>35900</v>
      </c>
      <c r="I671" s="138"/>
      <c r="J671" s="126">
        <f t="shared" si="80"/>
        <v>35900</v>
      </c>
      <c r="K671" s="318">
        <v>43844</v>
      </c>
      <c r="L671" s="95">
        <v>0</v>
      </c>
      <c r="M671" s="313">
        <f t="shared" si="81"/>
        <v>43844</v>
      </c>
      <c r="N671" s="2" t="str">
        <f t="shared" si="82"/>
        <v>Pagado</v>
      </c>
      <c r="O671" s="318">
        <v>43844</v>
      </c>
      <c r="P671" s="138">
        <v>35900</v>
      </c>
      <c r="Q671" s="2" t="s">
        <v>2132</v>
      </c>
      <c r="R671" s="2"/>
      <c r="S671" s="95">
        <v>905179</v>
      </c>
      <c r="T671" s="313" t="s">
        <v>1496</v>
      </c>
      <c r="U671" s="393">
        <v>43845</v>
      </c>
      <c r="V671" s="95"/>
      <c r="W671" s="129"/>
      <c r="X671" s="318"/>
      <c r="Y671" s="95"/>
      <c r="Z671" s="131"/>
      <c r="AA671" s="108" t="str">
        <f t="shared" si="89"/>
        <v>Otros</v>
      </c>
      <c r="AB671" s="2"/>
      <c r="AC671" s="131">
        <f t="shared" si="84"/>
        <v>30168.067226890758</v>
      </c>
      <c r="AD671" s="108">
        <f t="shared" si="85"/>
        <v>5731.9327731092417</v>
      </c>
      <c r="AE671" s="95" t="s">
        <v>1445</v>
      </c>
      <c r="AF671" s="498" t="s">
        <v>3489</v>
      </c>
      <c r="AG671" s="2" t="str">
        <f t="shared" si="86"/>
        <v>SI</v>
      </c>
      <c r="AH671" s="284"/>
      <c r="AI671" s="498"/>
      <c r="AJ671" s="2" t="str">
        <f t="shared" si="87"/>
        <v>NV</v>
      </c>
      <c r="AK671" s="303"/>
    </row>
    <row r="672" spans="1:37" x14ac:dyDescent="0.25">
      <c r="A672" s="499" t="s">
        <v>1200</v>
      </c>
      <c r="B672" s="317" t="s">
        <v>2316</v>
      </c>
      <c r="C672" s="95">
        <v>0</v>
      </c>
      <c r="D672" s="95">
        <v>0</v>
      </c>
      <c r="E672" s="95"/>
      <c r="F672" s="95"/>
      <c r="G672" s="95">
        <v>6395</v>
      </c>
      <c r="H672" s="138">
        <v>7713</v>
      </c>
      <c r="I672" s="138"/>
      <c r="J672" s="126">
        <f t="shared" si="80"/>
        <v>7713</v>
      </c>
      <c r="K672" s="318">
        <v>43844</v>
      </c>
      <c r="L672" s="95">
        <v>0</v>
      </c>
      <c r="M672" s="313">
        <f t="shared" si="81"/>
        <v>43844</v>
      </c>
      <c r="N672" s="2" t="str">
        <f t="shared" si="82"/>
        <v>Pagado</v>
      </c>
      <c r="O672" s="318">
        <v>43862</v>
      </c>
      <c r="P672" s="138">
        <v>7713</v>
      </c>
      <c r="Q672" s="2" t="s">
        <v>1484</v>
      </c>
      <c r="R672" s="2"/>
      <c r="S672" s="95"/>
      <c r="T672" s="313" t="s">
        <v>1496</v>
      </c>
      <c r="U672" s="393"/>
      <c r="V672" s="95"/>
      <c r="W672" s="129"/>
      <c r="X672" s="318"/>
      <c r="Y672" s="95"/>
      <c r="Z672" s="131"/>
      <c r="AA672" s="108" t="str">
        <f t="shared" si="89"/>
        <v/>
      </c>
      <c r="AB672" s="2"/>
      <c r="AC672" s="131">
        <f t="shared" si="84"/>
        <v>6481.5126050420167</v>
      </c>
      <c r="AD672" s="108">
        <f t="shared" si="85"/>
        <v>1231.4873949579833</v>
      </c>
      <c r="AE672" s="95" t="s">
        <v>1445</v>
      </c>
      <c r="AF672" s="498" t="s">
        <v>3489</v>
      </c>
      <c r="AG672" s="2" t="str">
        <f t="shared" si="86"/>
        <v>SI</v>
      </c>
      <c r="AH672" s="284"/>
      <c r="AI672" s="498"/>
      <c r="AJ672" s="2" t="str">
        <f t="shared" si="87"/>
        <v>NV</v>
      </c>
      <c r="AK672" s="303"/>
    </row>
    <row r="673" spans="1:37" x14ac:dyDescent="0.25">
      <c r="A673" s="542" t="s">
        <v>4791</v>
      </c>
      <c r="B673" s="317" t="s">
        <v>4792</v>
      </c>
      <c r="C673" s="95">
        <v>0</v>
      </c>
      <c r="D673" s="95">
        <v>193</v>
      </c>
      <c r="E673" s="95"/>
      <c r="F673" s="95"/>
      <c r="G673" s="95">
        <v>6392</v>
      </c>
      <c r="H673" s="138">
        <v>71000</v>
      </c>
      <c r="I673" s="138"/>
      <c r="J673" s="126">
        <f t="shared" si="80"/>
        <v>71000</v>
      </c>
      <c r="K673" s="318">
        <v>43844</v>
      </c>
      <c r="L673" s="95">
        <v>0</v>
      </c>
      <c r="M673" s="313">
        <f t="shared" si="81"/>
        <v>43844</v>
      </c>
      <c r="N673" s="2" t="str">
        <f t="shared" si="82"/>
        <v>Pagado</v>
      </c>
      <c r="O673" s="318">
        <v>43844</v>
      </c>
      <c r="P673" s="138">
        <v>71000</v>
      </c>
      <c r="Q673" s="2" t="s">
        <v>1070</v>
      </c>
      <c r="R673" s="2" t="s">
        <v>2243</v>
      </c>
      <c r="S673" s="95">
        <v>193</v>
      </c>
      <c r="T673" s="313"/>
      <c r="U673" s="393"/>
      <c r="V673" s="95"/>
      <c r="W673" s="129"/>
      <c r="X673" s="318"/>
      <c r="Y673" s="95"/>
      <c r="Z673" s="131"/>
      <c r="AA673" s="108" t="str">
        <f t="shared" si="89"/>
        <v/>
      </c>
      <c r="AB673" s="2"/>
      <c r="AC673" s="131">
        <f t="shared" si="84"/>
        <v>59663.865546218491</v>
      </c>
      <c r="AD673" s="108">
        <f t="shared" si="85"/>
        <v>11336.134453781509</v>
      </c>
      <c r="AE673" s="95" t="s">
        <v>1501</v>
      </c>
      <c r="AF673" s="541" t="s">
        <v>3487</v>
      </c>
      <c r="AG673" s="2" t="str">
        <f t="shared" si="86"/>
        <v>SI</v>
      </c>
      <c r="AH673" s="284"/>
      <c r="AI673" s="541"/>
      <c r="AJ673" s="2" t="str">
        <f t="shared" si="87"/>
        <v>NV</v>
      </c>
      <c r="AK673" s="303"/>
    </row>
    <row r="674" spans="1:37" x14ac:dyDescent="0.25">
      <c r="A674" s="542" t="s">
        <v>1178</v>
      </c>
      <c r="B674" s="317" t="s">
        <v>950</v>
      </c>
      <c r="C674" s="95">
        <v>3069</v>
      </c>
      <c r="D674" s="95">
        <v>0</v>
      </c>
      <c r="E674" s="95"/>
      <c r="F674" s="95"/>
      <c r="G674" s="95" t="s">
        <v>2528</v>
      </c>
      <c r="H674" s="138">
        <v>22715</v>
      </c>
      <c r="I674" s="138"/>
      <c r="J674" s="126">
        <f t="shared" si="80"/>
        <v>22715</v>
      </c>
      <c r="K674" s="318">
        <v>43845</v>
      </c>
      <c r="L674" s="95">
        <v>7</v>
      </c>
      <c r="M674" s="313">
        <f t="shared" si="81"/>
        <v>43852</v>
      </c>
      <c r="N674" s="2" t="str">
        <f t="shared" si="82"/>
        <v>Pagado</v>
      </c>
      <c r="O674" s="318">
        <v>43852</v>
      </c>
      <c r="P674" s="138">
        <v>22715</v>
      </c>
      <c r="Q674" s="2" t="s">
        <v>2131</v>
      </c>
      <c r="R674" s="2"/>
      <c r="S674" s="95">
        <v>1116274</v>
      </c>
      <c r="T674" s="313" t="s">
        <v>1496</v>
      </c>
      <c r="U674" s="393">
        <v>43860</v>
      </c>
      <c r="V674" s="95">
        <v>7675284</v>
      </c>
      <c r="W674" s="129">
        <v>22715</v>
      </c>
      <c r="X674" s="318">
        <v>43860</v>
      </c>
      <c r="Y674" s="95" t="s">
        <v>1488</v>
      </c>
      <c r="Z674" s="131"/>
      <c r="AA674" s="108" t="str">
        <f t="shared" si="89"/>
        <v>Otros</v>
      </c>
      <c r="AB674" s="2"/>
      <c r="AC674" s="131">
        <f t="shared" si="84"/>
        <v>19088.235294117647</v>
      </c>
      <c r="AD674" s="108">
        <f t="shared" si="85"/>
        <v>3626.7647058823532</v>
      </c>
      <c r="AE674" s="95" t="s">
        <v>2050</v>
      </c>
      <c r="AF674" s="541" t="s">
        <v>3490</v>
      </c>
      <c r="AG674" s="2" t="str">
        <f t="shared" si="86"/>
        <v>SI</v>
      </c>
      <c r="AH674" s="284"/>
      <c r="AI674" s="541"/>
      <c r="AJ674" s="2" t="str">
        <f t="shared" si="87"/>
        <v>Factura</v>
      </c>
      <c r="AK674" s="303"/>
    </row>
    <row r="675" spans="1:37" x14ac:dyDescent="0.25">
      <c r="A675" s="534" t="s">
        <v>1179</v>
      </c>
      <c r="B675" s="317" t="s">
        <v>952</v>
      </c>
      <c r="C675" s="95">
        <v>3070</v>
      </c>
      <c r="D675" s="95">
        <v>0</v>
      </c>
      <c r="E675" s="95"/>
      <c r="F675" s="95"/>
      <c r="G675" s="95" t="s">
        <v>2528</v>
      </c>
      <c r="H675" s="138">
        <v>24000</v>
      </c>
      <c r="I675" s="138"/>
      <c r="J675" s="126">
        <f t="shared" si="80"/>
        <v>24000</v>
      </c>
      <c r="K675" s="318">
        <v>43845</v>
      </c>
      <c r="L675" s="95">
        <v>7</v>
      </c>
      <c r="M675" s="313">
        <f t="shared" si="81"/>
        <v>43852</v>
      </c>
      <c r="N675" s="2" t="str">
        <f t="shared" si="82"/>
        <v>Pagado</v>
      </c>
      <c r="O675" s="318">
        <v>43852</v>
      </c>
      <c r="P675" s="138">
        <v>24000</v>
      </c>
      <c r="Q675" s="2" t="s">
        <v>1481</v>
      </c>
      <c r="R675" s="2"/>
      <c r="S675" s="95"/>
      <c r="T675" s="313"/>
      <c r="U675" s="393">
        <v>43852</v>
      </c>
      <c r="V675" s="95">
        <v>7675283</v>
      </c>
      <c r="W675" s="129">
        <v>24000</v>
      </c>
      <c r="X675" s="318">
        <v>43857</v>
      </c>
      <c r="Y675" s="95" t="s">
        <v>1488</v>
      </c>
      <c r="Z675" s="131"/>
      <c r="AA675" s="108" t="str">
        <f t="shared" si="89"/>
        <v/>
      </c>
      <c r="AB675" s="2"/>
      <c r="AC675" s="131">
        <f t="shared" si="84"/>
        <v>20168.067226890758</v>
      </c>
      <c r="AD675" s="108">
        <f t="shared" si="85"/>
        <v>3831.9327731092417</v>
      </c>
      <c r="AE675" s="95" t="s">
        <v>2050</v>
      </c>
      <c r="AF675" s="533" t="s">
        <v>3490</v>
      </c>
      <c r="AG675" s="2" t="str">
        <f t="shared" si="86"/>
        <v>SI</v>
      </c>
      <c r="AH675" s="284"/>
      <c r="AI675" s="533"/>
      <c r="AJ675" s="2" t="str">
        <f t="shared" si="87"/>
        <v>Factura</v>
      </c>
      <c r="AK675" s="303"/>
    </row>
    <row r="676" spans="1:37" x14ac:dyDescent="0.25">
      <c r="A676" s="534" t="s">
        <v>1179</v>
      </c>
      <c r="B676" s="317" t="s">
        <v>952</v>
      </c>
      <c r="C676" s="95">
        <v>3070</v>
      </c>
      <c r="D676" s="95">
        <v>0</v>
      </c>
      <c r="E676" s="95"/>
      <c r="F676" s="95"/>
      <c r="G676" s="95" t="s">
        <v>2528</v>
      </c>
      <c r="H676" s="138">
        <v>100000</v>
      </c>
      <c r="I676" s="138"/>
      <c r="J676" s="126">
        <f t="shared" si="80"/>
        <v>100000</v>
      </c>
      <c r="K676" s="318">
        <v>43845</v>
      </c>
      <c r="L676" s="95">
        <v>7</v>
      </c>
      <c r="M676" s="313">
        <f t="shared" si="81"/>
        <v>43852</v>
      </c>
      <c r="N676" s="2" t="str">
        <f t="shared" si="82"/>
        <v>Pagado</v>
      </c>
      <c r="O676" s="318">
        <v>43852</v>
      </c>
      <c r="P676" s="138">
        <v>100000</v>
      </c>
      <c r="Q676" s="2" t="s">
        <v>2132</v>
      </c>
      <c r="R676" s="2"/>
      <c r="S676" s="95">
        <v>979</v>
      </c>
      <c r="T676" s="313" t="s">
        <v>1496</v>
      </c>
      <c r="U676" s="393">
        <v>43851</v>
      </c>
      <c r="V676" s="95">
        <v>7675282</v>
      </c>
      <c r="W676" s="129">
        <v>100000</v>
      </c>
      <c r="X676" s="318">
        <v>43857</v>
      </c>
      <c r="Y676" s="95" t="s">
        <v>1488</v>
      </c>
      <c r="Z676" s="131"/>
      <c r="AA676" s="108" t="str">
        <f t="shared" si="89"/>
        <v>Otros</v>
      </c>
      <c r="AB676" s="2"/>
      <c r="AC676" s="131">
        <f t="shared" si="84"/>
        <v>84033.613445378156</v>
      </c>
      <c r="AD676" s="108">
        <f t="shared" si="85"/>
        <v>15966.386554621844</v>
      </c>
      <c r="AE676" s="95" t="s">
        <v>2050</v>
      </c>
      <c r="AF676" s="533" t="s">
        <v>3490</v>
      </c>
      <c r="AG676" s="2" t="str">
        <f t="shared" si="86"/>
        <v>SI</v>
      </c>
      <c r="AH676" s="284"/>
      <c r="AI676" s="533"/>
      <c r="AJ676" s="2" t="str">
        <f t="shared" si="87"/>
        <v>Factura</v>
      </c>
      <c r="AK676" s="303"/>
    </row>
    <row r="677" spans="1:37" x14ac:dyDescent="0.25">
      <c r="A677" s="499" t="s">
        <v>1419</v>
      </c>
      <c r="B677" s="317" t="s">
        <v>1119</v>
      </c>
      <c r="C677" s="95">
        <v>0</v>
      </c>
      <c r="D677" s="95">
        <v>2859</v>
      </c>
      <c r="E677" s="95"/>
      <c r="F677" s="95"/>
      <c r="G677" s="95">
        <v>6399</v>
      </c>
      <c r="H677" s="138">
        <v>23500</v>
      </c>
      <c r="I677" s="138"/>
      <c r="J677" s="126">
        <f t="shared" si="80"/>
        <v>23500</v>
      </c>
      <c r="K677" s="318">
        <v>43845</v>
      </c>
      <c r="L677" s="95">
        <v>0</v>
      </c>
      <c r="M677" s="313">
        <f t="shared" si="81"/>
        <v>43845</v>
      </c>
      <c r="N677" s="2" t="str">
        <f t="shared" si="82"/>
        <v>Pagado</v>
      </c>
      <c r="O677" s="318">
        <v>43845</v>
      </c>
      <c r="P677" s="138">
        <v>23500</v>
      </c>
      <c r="Q677" s="2" t="s">
        <v>1481</v>
      </c>
      <c r="R677" s="2"/>
      <c r="S677" s="95"/>
      <c r="T677" s="313"/>
      <c r="U677" s="393"/>
      <c r="V677" s="95"/>
      <c r="W677" s="129"/>
      <c r="X677" s="318"/>
      <c r="Y677" s="95"/>
      <c r="Z677" s="131"/>
      <c r="AA677" s="108" t="str">
        <f t="shared" si="89"/>
        <v/>
      </c>
      <c r="AB677" s="2"/>
      <c r="AC677" s="131">
        <f t="shared" si="84"/>
        <v>19747.899159663866</v>
      </c>
      <c r="AD677" s="108">
        <f t="shared" si="85"/>
        <v>3752.1008403361338</v>
      </c>
      <c r="AE677" s="95" t="s">
        <v>1501</v>
      </c>
      <c r="AF677" s="498" t="s">
        <v>3489</v>
      </c>
      <c r="AG677" s="2" t="str">
        <f t="shared" si="86"/>
        <v>SI</v>
      </c>
      <c r="AH677" s="284"/>
      <c r="AI677" s="498"/>
      <c r="AJ677" s="2" t="str">
        <f t="shared" si="87"/>
        <v>NV</v>
      </c>
      <c r="AK677" s="303"/>
    </row>
    <row r="678" spans="1:37" x14ac:dyDescent="0.25">
      <c r="A678" s="499" t="s">
        <v>1986</v>
      </c>
      <c r="B678" s="317" t="s">
        <v>1984</v>
      </c>
      <c r="C678" s="95">
        <v>0</v>
      </c>
      <c r="D678" s="95">
        <v>2858</v>
      </c>
      <c r="E678" s="95"/>
      <c r="F678" s="95"/>
      <c r="G678" s="95">
        <v>6398</v>
      </c>
      <c r="H678" s="138">
        <v>58700</v>
      </c>
      <c r="I678" s="138"/>
      <c r="J678" s="126">
        <f t="shared" si="80"/>
        <v>58700</v>
      </c>
      <c r="K678" s="318">
        <v>43845</v>
      </c>
      <c r="L678" s="95">
        <v>0</v>
      </c>
      <c r="M678" s="313">
        <f t="shared" si="81"/>
        <v>43845</v>
      </c>
      <c r="N678" s="2" t="str">
        <f t="shared" si="82"/>
        <v>Pagado</v>
      </c>
      <c r="O678" s="318">
        <v>43846</v>
      </c>
      <c r="P678" s="138">
        <v>58700</v>
      </c>
      <c r="Q678" s="2" t="s">
        <v>1484</v>
      </c>
      <c r="R678" s="2"/>
      <c r="S678" s="95"/>
      <c r="T678" s="313" t="s">
        <v>1496</v>
      </c>
      <c r="U678" s="393"/>
      <c r="V678" s="95"/>
      <c r="W678" s="129"/>
      <c r="X678" s="318"/>
      <c r="Y678" s="95"/>
      <c r="Z678" s="131"/>
      <c r="AA678" s="108" t="str">
        <f t="shared" si="89"/>
        <v/>
      </c>
      <c r="AB678" s="2"/>
      <c r="AC678" s="131">
        <f t="shared" si="84"/>
        <v>49327.731092436974</v>
      </c>
      <c r="AD678" s="108">
        <f t="shared" si="85"/>
        <v>9372.268907563026</v>
      </c>
      <c r="AE678" s="95" t="s">
        <v>1501</v>
      </c>
      <c r="AF678" s="498" t="s">
        <v>3489</v>
      </c>
      <c r="AG678" s="2" t="str">
        <f t="shared" si="86"/>
        <v>SI</v>
      </c>
      <c r="AH678" s="284"/>
      <c r="AI678" s="498"/>
      <c r="AJ678" s="2" t="str">
        <f t="shared" si="87"/>
        <v>NV</v>
      </c>
      <c r="AK678" s="303"/>
    </row>
    <row r="679" spans="1:37" x14ac:dyDescent="0.25">
      <c r="A679" s="499" t="s">
        <v>1177</v>
      </c>
      <c r="B679" s="317" t="s">
        <v>1060</v>
      </c>
      <c r="C679" s="95">
        <v>3072</v>
      </c>
      <c r="D679" s="95">
        <v>0</v>
      </c>
      <c r="E679" s="95" t="s">
        <v>5664</v>
      </c>
      <c r="F679" s="95"/>
      <c r="G679" s="95" t="s">
        <v>2528</v>
      </c>
      <c r="H679" s="138">
        <v>258652</v>
      </c>
      <c r="I679" s="138">
        <v>-32797</v>
      </c>
      <c r="J679" s="126">
        <f t="shared" si="80"/>
        <v>225855</v>
      </c>
      <c r="K679" s="318">
        <v>43845</v>
      </c>
      <c r="L679" s="95">
        <v>30</v>
      </c>
      <c r="M679" s="313">
        <f t="shared" si="81"/>
        <v>43875</v>
      </c>
      <c r="N679" s="2" t="str">
        <f t="shared" si="82"/>
        <v>Pagado</v>
      </c>
      <c r="O679" s="318">
        <v>43845</v>
      </c>
      <c r="P679" s="138">
        <v>225855</v>
      </c>
      <c r="Q679" s="2" t="s">
        <v>2131</v>
      </c>
      <c r="R679" s="2"/>
      <c r="S679" s="95">
        <v>7636302</v>
      </c>
      <c r="T679" s="313" t="s">
        <v>1462</v>
      </c>
      <c r="U679" s="393">
        <v>43876</v>
      </c>
      <c r="V679" s="95"/>
      <c r="W679" s="129"/>
      <c r="X679" s="318"/>
      <c r="Y679" s="95"/>
      <c r="Z679" s="131"/>
      <c r="AA679" s="108" t="str">
        <f t="shared" si="89"/>
        <v>Otros</v>
      </c>
      <c r="AB679" s="2"/>
      <c r="AC679" s="131">
        <f t="shared" si="84"/>
        <v>217354.62184873951</v>
      </c>
      <c r="AD679" s="108">
        <f t="shared" si="85"/>
        <v>41297.378151260491</v>
      </c>
      <c r="AE679" s="95" t="s">
        <v>2050</v>
      </c>
      <c r="AF679" s="498" t="s">
        <v>3490</v>
      </c>
      <c r="AG679" s="2" t="str">
        <f t="shared" si="86"/>
        <v>SI</v>
      </c>
      <c r="AH679" s="284"/>
      <c r="AI679" s="498"/>
      <c r="AJ679" s="2" t="str">
        <f t="shared" si="87"/>
        <v>Factura</v>
      </c>
      <c r="AK679" s="303"/>
    </row>
    <row r="680" spans="1:37" x14ac:dyDescent="0.25">
      <c r="A680" s="499" t="s">
        <v>1177</v>
      </c>
      <c r="B680" s="317" t="s">
        <v>1060</v>
      </c>
      <c r="C680" s="95">
        <v>3073</v>
      </c>
      <c r="D680" s="95">
        <v>0</v>
      </c>
      <c r="E680" s="95"/>
      <c r="F680" s="95"/>
      <c r="G680" s="95" t="s">
        <v>2528</v>
      </c>
      <c r="H680" s="138">
        <v>20951</v>
      </c>
      <c r="I680" s="138"/>
      <c r="J680" s="126">
        <f t="shared" si="80"/>
        <v>20951</v>
      </c>
      <c r="K680" s="318">
        <v>43845</v>
      </c>
      <c r="L680" s="95">
        <v>30</v>
      </c>
      <c r="M680" s="313">
        <f t="shared" si="81"/>
        <v>43875</v>
      </c>
      <c r="N680" s="2" t="str">
        <f t="shared" si="82"/>
        <v>Pagado</v>
      </c>
      <c r="O680" s="318">
        <v>43845</v>
      </c>
      <c r="P680" s="138">
        <v>20951</v>
      </c>
      <c r="Q680" s="2" t="s">
        <v>2131</v>
      </c>
      <c r="R680" s="2"/>
      <c r="S680" s="95">
        <v>7636302</v>
      </c>
      <c r="T680" s="313" t="s">
        <v>1462</v>
      </c>
      <c r="U680" s="393">
        <v>43876</v>
      </c>
      <c r="V680" s="95"/>
      <c r="W680" s="129"/>
      <c r="X680" s="318"/>
      <c r="Y680" s="95"/>
      <c r="Z680" s="131"/>
      <c r="AA680" s="108" t="str">
        <f t="shared" si="89"/>
        <v>Otros</v>
      </c>
      <c r="AB680" s="2"/>
      <c r="AC680" s="131">
        <f t="shared" si="84"/>
        <v>17605.882352941178</v>
      </c>
      <c r="AD680" s="108">
        <f t="shared" si="85"/>
        <v>3345.1176470588216</v>
      </c>
      <c r="AE680" s="95" t="s">
        <v>2050</v>
      </c>
      <c r="AF680" s="498" t="s">
        <v>3490</v>
      </c>
      <c r="AG680" s="2" t="str">
        <f t="shared" si="86"/>
        <v>SI</v>
      </c>
      <c r="AH680" s="284"/>
      <c r="AI680" s="498"/>
      <c r="AJ680" s="2" t="str">
        <f t="shared" si="87"/>
        <v>Factura</v>
      </c>
      <c r="AK680" s="303"/>
    </row>
    <row r="681" spans="1:37" x14ac:dyDescent="0.25">
      <c r="A681" s="534" t="s">
        <v>1278</v>
      </c>
      <c r="B681" s="317" t="s">
        <v>1942</v>
      </c>
      <c r="C681" s="95">
        <v>0</v>
      </c>
      <c r="D681" s="95">
        <v>195</v>
      </c>
      <c r="E681" s="95"/>
      <c r="F681" s="95"/>
      <c r="G681" s="95">
        <v>6394</v>
      </c>
      <c r="H681" s="138">
        <v>30600</v>
      </c>
      <c r="I681" s="138"/>
      <c r="J681" s="126">
        <f t="shared" si="80"/>
        <v>30600</v>
      </c>
      <c r="K681" s="318">
        <v>43845</v>
      </c>
      <c r="L681" s="95">
        <v>0</v>
      </c>
      <c r="M681" s="313">
        <f t="shared" si="81"/>
        <v>43845</v>
      </c>
      <c r="N681" s="2" t="str">
        <f t="shared" si="82"/>
        <v>Pagado</v>
      </c>
      <c r="O681" s="318">
        <v>43845</v>
      </c>
      <c r="P681" s="138">
        <v>30600</v>
      </c>
      <c r="Q681" s="2" t="s">
        <v>1070</v>
      </c>
      <c r="R681" s="2" t="s">
        <v>2243</v>
      </c>
      <c r="S681" s="95">
        <v>195</v>
      </c>
      <c r="T681" s="313"/>
      <c r="U681" s="393"/>
      <c r="V681" s="95"/>
      <c r="W681" s="129"/>
      <c r="X681" s="318"/>
      <c r="Y681" s="95"/>
      <c r="Z681" s="131"/>
      <c r="AA681" s="108" t="str">
        <f t="shared" si="89"/>
        <v/>
      </c>
      <c r="AB681" s="2"/>
      <c r="AC681" s="131">
        <f t="shared" si="84"/>
        <v>25714.285714285714</v>
      </c>
      <c r="AD681" s="108">
        <f t="shared" si="85"/>
        <v>4885.7142857142862</v>
      </c>
      <c r="AE681" s="95" t="s">
        <v>1501</v>
      </c>
      <c r="AF681" s="533" t="s">
        <v>3487</v>
      </c>
      <c r="AG681" s="2" t="str">
        <f t="shared" si="86"/>
        <v>SI</v>
      </c>
      <c r="AH681" s="284"/>
      <c r="AI681" s="533"/>
      <c r="AJ681" s="2" t="str">
        <f t="shared" si="87"/>
        <v>NV</v>
      </c>
      <c r="AK681" s="303"/>
    </row>
    <row r="682" spans="1:37" x14ac:dyDescent="0.25">
      <c r="A682" s="499" t="s">
        <v>1214</v>
      </c>
      <c r="B682" s="317" t="s">
        <v>2143</v>
      </c>
      <c r="C682" s="95">
        <v>0</v>
      </c>
      <c r="D682" s="95">
        <v>2857</v>
      </c>
      <c r="E682" s="95"/>
      <c r="F682" s="95"/>
      <c r="G682" s="95">
        <v>6393</v>
      </c>
      <c r="H682" s="138">
        <v>19700</v>
      </c>
      <c r="I682" s="138"/>
      <c r="J682" s="126">
        <f t="shared" si="80"/>
        <v>19700</v>
      </c>
      <c r="K682" s="318">
        <v>43845</v>
      </c>
      <c r="L682" s="95">
        <v>0</v>
      </c>
      <c r="M682" s="313">
        <f t="shared" si="81"/>
        <v>43845</v>
      </c>
      <c r="N682" s="2" t="str">
        <f t="shared" si="82"/>
        <v>Pagado</v>
      </c>
      <c r="O682" s="318">
        <v>43846</v>
      </c>
      <c r="P682" s="138">
        <v>19700</v>
      </c>
      <c r="Q682" s="2" t="s">
        <v>1484</v>
      </c>
      <c r="R682" s="2"/>
      <c r="S682" s="2"/>
      <c r="T682" s="313" t="s">
        <v>1494</v>
      </c>
      <c r="U682" s="393"/>
      <c r="V682" s="95"/>
      <c r="W682" s="129"/>
      <c r="X682" s="318"/>
      <c r="Y682" s="95"/>
      <c r="Z682" s="131"/>
      <c r="AA682" s="108" t="str">
        <f t="shared" si="89"/>
        <v/>
      </c>
      <c r="AB682" s="2"/>
      <c r="AC682" s="131">
        <f t="shared" si="84"/>
        <v>16554.621848739498</v>
      </c>
      <c r="AD682" s="108">
        <f t="shared" si="85"/>
        <v>3145.3781512605019</v>
      </c>
      <c r="AE682" s="95" t="s">
        <v>1501</v>
      </c>
      <c r="AF682" s="498" t="s">
        <v>3487</v>
      </c>
      <c r="AG682" s="2" t="str">
        <f t="shared" si="86"/>
        <v>SI</v>
      </c>
      <c r="AH682" s="284"/>
      <c r="AI682" s="498"/>
      <c r="AJ682" s="2" t="str">
        <f t="shared" si="87"/>
        <v>NV</v>
      </c>
      <c r="AK682" s="303"/>
    </row>
    <row r="683" spans="1:37" x14ac:dyDescent="0.25">
      <c r="A683" s="542" t="s">
        <v>1175</v>
      </c>
      <c r="B683" s="317" t="s">
        <v>1144</v>
      </c>
      <c r="C683" s="95">
        <v>3071</v>
      </c>
      <c r="D683" s="95">
        <v>0</v>
      </c>
      <c r="E683" s="95"/>
      <c r="F683" s="95"/>
      <c r="G683" s="95">
        <v>1036696</v>
      </c>
      <c r="H683" s="138">
        <v>130061</v>
      </c>
      <c r="I683" s="138"/>
      <c r="J683" s="126">
        <f t="shared" si="80"/>
        <v>130061</v>
      </c>
      <c r="K683" s="318">
        <v>43845</v>
      </c>
      <c r="L683" s="95">
        <v>30</v>
      </c>
      <c r="M683" s="313">
        <f t="shared" si="81"/>
        <v>43875</v>
      </c>
      <c r="N683" s="2" t="str">
        <f t="shared" si="82"/>
        <v>Pagado</v>
      </c>
      <c r="O683" s="318">
        <v>43878</v>
      </c>
      <c r="P683" s="138">
        <v>130061</v>
      </c>
      <c r="Q683" s="2" t="s">
        <v>1484</v>
      </c>
      <c r="R683" s="2"/>
      <c r="S683" s="95"/>
      <c r="T683" s="313" t="s">
        <v>1496</v>
      </c>
      <c r="U683" s="393"/>
      <c r="V683" s="95"/>
      <c r="W683" s="129"/>
      <c r="X683" s="318"/>
      <c r="Y683" s="95"/>
      <c r="Z683" s="131"/>
      <c r="AA683" s="108" t="str">
        <f t="shared" si="89"/>
        <v/>
      </c>
      <c r="AB683" s="2"/>
      <c r="AC683" s="131">
        <f t="shared" si="84"/>
        <v>109294.95798319328</v>
      </c>
      <c r="AD683" s="108">
        <f t="shared" si="85"/>
        <v>20766.042016806721</v>
      </c>
      <c r="AE683" s="95" t="s">
        <v>2050</v>
      </c>
      <c r="AF683" s="541" t="s">
        <v>3490</v>
      </c>
      <c r="AG683" s="2" t="str">
        <f t="shared" si="86"/>
        <v>SI</v>
      </c>
      <c r="AH683" s="284"/>
      <c r="AI683" s="541"/>
      <c r="AJ683" s="2" t="str">
        <f t="shared" si="87"/>
        <v>Factura</v>
      </c>
      <c r="AK683" s="303"/>
    </row>
    <row r="684" spans="1:37" x14ac:dyDescent="0.25">
      <c r="A684" s="534" t="s">
        <v>2226</v>
      </c>
      <c r="B684" s="317" t="s">
        <v>2227</v>
      </c>
      <c r="C684" s="95">
        <v>0</v>
      </c>
      <c r="D684" s="95">
        <v>194</v>
      </c>
      <c r="E684" s="95"/>
      <c r="F684" s="95"/>
      <c r="G684" s="95">
        <v>6400</v>
      </c>
      <c r="H684" s="138">
        <v>27000</v>
      </c>
      <c r="I684" s="138"/>
      <c r="J684" s="126">
        <f t="shared" si="80"/>
        <v>27000</v>
      </c>
      <c r="K684" s="318">
        <v>43845</v>
      </c>
      <c r="L684" s="95">
        <v>0</v>
      </c>
      <c r="M684" s="313">
        <f t="shared" si="81"/>
        <v>43845</v>
      </c>
      <c r="N684" s="2" t="str">
        <f t="shared" si="82"/>
        <v>Pagado</v>
      </c>
      <c r="O684" s="318">
        <v>43845</v>
      </c>
      <c r="P684" s="138">
        <v>27000</v>
      </c>
      <c r="Q684" s="2" t="s">
        <v>1070</v>
      </c>
      <c r="R684" s="2" t="s">
        <v>2243</v>
      </c>
      <c r="S684" s="95">
        <v>194</v>
      </c>
      <c r="T684" s="313"/>
      <c r="U684" s="393"/>
      <c r="V684" s="95"/>
      <c r="W684" s="129"/>
      <c r="X684" s="318"/>
      <c r="Y684" s="95"/>
      <c r="Z684" s="131"/>
      <c r="AA684" s="108" t="str">
        <f t="shared" si="89"/>
        <v/>
      </c>
      <c r="AB684" s="2"/>
      <c r="AC684" s="131">
        <f t="shared" si="84"/>
        <v>22689.0756302521</v>
      </c>
      <c r="AD684" s="108">
        <f t="shared" si="85"/>
        <v>4310.9243697478996</v>
      </c>
      <c r="AE684" s="95" t="s">
        <v>1501</v>
      </c>
      <c r="AF684" s="533" t="s">
        <v>5663</v>
      </c>
      <c r="AG684" s="2" t="str">
        <f t="shared" si="86"/>
        <v>SI</v>
      </c>
      <c r="AH684" s="284"/>
      <c r="AI684" s="533"/>
      <c r="AJ684" s="2" t="str">
        <f t="shared" si="87"/>
        <v>NV</v>
      </c>
      <c r="AK684" s="303"/>
    </row>
    <row r="685" spans="1:37" x14ac:dyDescent="0.25">
      <c r="A685" s="534" t="s">
        <v>5228</v>
      </c>
      <c r="B685" s="317" t="s">
        <v>5229</v>
      </c>
      <c r="C685" s="95">
        <v>0</v>
      </c>
      <c r="D685" s="95">
        <v>0</v>
      </c>
      <c r="E685" s="95"/>
      <c r="F685" s="95"/>
      <c r="G685" s="95">
        <v>6396</v>
      </c>
      <c r="H685" s="138">
        <v>35200</v>
      </c>
      <c r="I685" s="138"/>
      <c r="J685" s="126">
        <f t="shared" si="80"/>
        <v>35200</v>
      </c>
      <c r="K685" s="318">
        <v>43845</v>
      </c>
      <c r="L685" s="95">
        <v>0</v>
      </c>
      <c r="M685" s="313">
        <f t="shared" si="81"/>
        <v>43845</v>
      </c>
      <c r="N685" s="2" t="str">
        <f t="shared" si="82"/>
        <v>Pagado</v>
      </c>
      <c r="O685" s="318">
        <v>43850</v>
      </c>
      <c r="P685" s="138">
        <v>64200</v>
      </c>
      <c r="Q685" s="2" t="s">
        <v>2132</v>
      </c>
      <c r="R685" s="2"/>
      <c r="S685" s="95"/>
      <c r="T685" s="313" t="s">
        <v>1489</v>
      </c>
      <c r="U685" s="393"/>
      <c r="V685" s="95"/>
      <c r="W685" s="129">
        <v>64200</v>
      </c>
      <c r="X685" s="318">
        <v>43850</v>
      </c>
      <c r="Y685" s="95" t="s">
        <v>1488</v>
      </c>
      <c r="Z685" s="131"/>
      <c r="AA685" s="108" t="str">
        <f t="shared" si="89"/>
        <v>Otros</v>
      </c>
      <c r="AB685" s="2"/>
      <c r="AC685" s="131">
        <f t="shared" si="84"/>
        <v>29579.831932773111</v>
      </c>
      <c r="AD685" s="108">
        <f t="shared" si="85"/>
        <v>5620.1680672268885</v>
      </c>
      <c r="AE685" s="95" t="s">
        <v>1501</v>
      </c>
      <c r="AF685" s="533" t="s">
        <v>3487</v>
      </c>
      <c r="AG685" s="2" t="str">
        <f t="shared" si="86"/>
        <v>SI</v>
      </c>
      <c r="AH685" s="284"/>
      <c r="AI685" s="533"/>
      <c r="AJ685" s="2" t="str">
        <f t="shared" si="87"/>
        <v>NV</v>
      </c>
      <c r="AK685" s="303"/>
    </row>
    <row r="686" spans="1:37" x14ac:dyDescent="0.25">
      <c r="A686" s="499" t="s">
        <v>5154</v>
      </c>
      <c r="B686" s="317" t="s">
        <v>5155</v>
      </c>
      <c r="C686" s="95">
        <v>0</v>
      </c>
      <c r="D686" s="95">
        <v>2856</v>
      </c>
      <c r="E686" s="95"/>
      <c r="F686" s="95"/>
      <c r="G686" s="95">
        <v>6397</v>
      </c>
      <c r="H686" s="138">
        <v>16500</v>
      </c>
      <c r="I686" s="138"/>
      <c r="J686" s="126">
        <f t="shared" si="80"/>
        <v>16500</v>
      </c>
      <c r="K686" s="318">
        <v>43845</v>
      </c>
      <c r="L686" s="95">
        <v>0</v>
      </c>
      <c r="M686" s="313">
        <f t="shared" si="81"/>
        <v>43845</v>
      </c>
      <c r="N686" s="2" t="str">
        <f t="shared" si="82"/>
        <v>Pagado</v>
      </c>
      <c r="O686" s="318">
        <v>43845</v>
      </c>
      <c r="P686" s="138">
        <v>16500</v>
      </c>
      <c r="Q686" s="2" t="s">
        <v>1481</v>
      </c>
      <c r="R686" s="2"/>
      <c r="S686" s="95"/>
      <c r="T686" s="313"/>
      <c r="U686" s="393"/>
      <c r="V686" s="95">
        <v>7675275</v>
      </c>
      <c r="W686" s="129">
        <v>16500</v>
      </c>
      <c r="X686" s="318"/>
      <c r="Y686" s="95"/>
      <c r="Z686" s="131"/>
      <c r="AA686" s="108" t="str">
        <f t="shared" si="89"/>
        <v/>
      </c>
      <c r="AB686" s="2"/>
      <c r="AC686" s="131">
        <f t="shared" si="84"/>
        <v>13865.546218487396</v>
      </c>
      <c r="AD686" s="108">
        <f t="shared" si="85"/>
        <v>2634.4537815126041</v>
      </c>
      <c r="AE686" s="95" t="s">
        <v>1501</v>
      </c>
      <c r="AF686" s="498" t="s">
        <v>3487</v>
      </c>
      <c r="AG686" s="2" t="str">
        <f t="shared" si="86"/>
        <v>SI</v>
      </c>
      <c r="AH686" s="284"/>
      <c r="AI686" s="498"/>
      <c r="AJ686" s="2" t="str">
        <f t="shared" si="87"/>
        <v>NV</v>
      </c>
      <c r="AK686" s="303"/>
    </row>
    <row r="687" spans="1:37" x14ac:dyDescent="0.25">
      <c r="A687" s="542" t="s">
        <v>5643</v>
      </c>
      <c r="B687" s="317" t="s">
        <v>5644</v>
      </c>
      <c r="C687" s="95">
        <v>0</v>
      </c>
      <c r="D687" s="95">
        <v>196</v>
      </c>
      <c r="E687" s="95"/>
      <c r="F687" s="95"/>
      <c r="G687" s="95">
        <v>6403</v>
      </c>
      <c r="H687" s="138">
        <v>44400</v>
      </c>
      <c r="I687" s="138"/>
      <c r="J687" s="126">
        <f t="shared" si="80"/>
        <v>44400</v>
      </c>
      <c r="K687" s="318">
        <v>43846</v>
      </c>
      <c r="L687" s="95">
        <v>0</v>
      </c>
      <c r="M687" s="313">
        <f t="shared" si="81"/>
        <v>43846</v>
      </c>
      <c r="N687" s="2" t="str">
        <f t="shared" si="82"/>
        <v>Pagado</v>
      </c>
      <c r="O687" s="318">
        <v>43846</v>
      </c>
      <c r="P687" s="138">
        <v>44400</v>
      </c>
      <c r="Q687" s="2" t="s">
        <v>1070</v>
      </c>
      <c r="R687" s="2" t="s">
        <v>2243</v>
      </c>
      <c r="S687" s="95">
        <v>196</v>
      </c>
      <c r="T687" s="313"/>
      <c r="U687" s="393"/>
      <c r="V687" s="95"/>
      <c r="W687" s="129"/>
      <c r="X687" s="318"/>
      <c r="Y687" s="95"/>
      <c r="Z687" s="426"/>
      <c r="AA687" s="108" t="str">
        <f t="shared" si="89"/>
        <v/>
      </c>
      <c r="AB687" s="2"/>
      <c r="AC687" s="131">
        <f t="shared" si="84"/>
        <v>37310.924369747903</v>
      </c>
      <c r="AD687" s="108">
        <f t="shared" si="85"/>
        <v>7089.0756302520967</v>
      </c>
      <c r="AE687" s="95" t="s">
        <v>1501</v>
      </c>
      <c r="AF687" s="541" t="s">
        <v>3487</v>
      </c>
      <c r="AG687" s="2" t="str">
        <f t="shared" si="86"/>
        <v>SI</v>
      </c>
      <c r="AH687" s="284"/>
      <c r="AI687" s="541"/>
      <c r="AJ687" s="2" t="str">
        <f t="shared" si="87"/>
        <v>NV</v>
      </c>
      <c r="AK687" s="303"/>
    </row>
    <row r="688" spans="1:37" x14ac:dyDescent="0.25">
      <c r="A688" s="542" t="s">
        <v>4403</v>
      </c>
      <c r="B688" s="317" t="s">
        <v>4405</v>
      </c>
      <c r="C688" s="95">
        <v>0</v>
      </c>
      <c r="D688" s="95">
        <v>2860</v>
      </c>
      <c r="E688" s="95"/>
      <c r="F688" s="95"/>
      <c r="G688" s="95">
        <v>6402</v>
      </c>
      <c r="H688" s="138">
        <v>29600</v>
      </c>
      <c r="I688" s="138"/>
      <c r="J688" s="126">
        <f t="shared" si="80"/>
        <v>29600</v>
      </c>
      <c r="K688" s="318">
        <v>43846</v>
      </c>
      <c r="L688" s="95">
        <v>0</v>
      </c>
      <c r="M688" s="313">
        <f t="shared" si="81"/>
        <v>43846</v>
      </c>
      <c r="N688" s="2" t="str">
        <f t="shared" si="82"/>
        <v>Pagado</v>
      </c>
      <c r="O688" s="318">
        <v>43847</v>
      </c>
      <c r="P688" s="138">
        <v>29600</v>
      </c>
      <c r="Q688" s="2" t="s">
        <v>1484</v>
      </c>
      <c r="R688" s="2"/>
      <c r="S688" s="95"/>
      <c r="T688" s="313" t="s">
        <v>1488</v>
      </c>
      <c r="U688" s="393"/>
      <c r="V688" s="95"/>
      <c r="W688" s="129"/>
      <c r="X688" s="318"/>
      <c r="Y688" s="95"/>
      <c r="Z688" s="131"/>
      <c r="AA688" s="108" t="str">
        <f t="shared" si="89"/>
        <v/>
      </c>
      <c r="AB688" s="2"/>
      <c r="AC688" s="131">
        <f t="shared" si="84"/>
        <v>24873.949579831933</v>
      </c>
      <c r="AD688" s="108">
        <f t="shared" si="85"/>
        <v>4726.0504201680669</v>
      </c>
      <c r="AE688" s="95" t="s">
        <v>1501</v>
      </c>
      <c r="AF688" s="541" t="s">
        <v>3487</v>
      </c>
      <c r="AG688" s="2" t="str">
        <f t="shared" si="86"/>
        <v>SI</v>
      </c>
      <c r="AH688" s="284"/>
      <c r="AI688" s="541"/>
      <c r="AJ688" s="2" t="str">
        <f t="shared" si="87"/>
        <v>NV</v>
      </c>
      <c r="AK688" s="303"/>
    </row>
    <row r="689" spans="1:37" x14ac:dyDescent="0.25">
      <c r="A689" s="499" t="s">
        <v>3175</v>
      </c>
      <c r="B689" s="317" t="s">
        <v>3176</v>
      </c>
      <c r="C689" s="95">
        <v>0</v>
      </c>
      <c r="D689" s="95">
        <v>0</v>
      </c>
      <c r="E689" s="95"/>
      <c r="F689" s="95"/>
      <c r="G689" s="95">
        <v>6404</v>
      </c>
      <c r="H689" s="138">
        <v>29000</v>
      </c>
      <c r="I689" s="138"/>
      <c r="J689" s="126">
        <f t="shared" si="80"/>
        <v>29000</v>
      </c>
      <c r="K689" s="318">
        <v>43846</v>
      </c>
      <c r="L689" s="95">
        <v>0</v>
      </c>
      <c r="M689" s="313">
        <f t="shared" si="81"/>
        <v>43846</v>
      </c>
      <c r="N689" s="2" t="str">
        <f t="shared" si="82"/>
        <v>Pagado</v>
      </c>
      <c r="O689" s="318">
        <v>43849</v>
      </c>
      <c r="P689" s="138">
        <v>29000</v>
      </c>
      <c r="Q689" s="2" t="s">
        <v>1484</v>
      </c>
      <c r="R689" s="2"/>
      <c r="S689" s="95"/>
      <c r="T689" s="313" t="s">
        <v>2353</v>
      </c>
      <c r="U689" s="393"/>
      <c r="V689" s="95"/>
      <c r="W689" s="129"/>
      <c r="X689" s="318"/>
      <c r="Y689" s="95"/>
      <c r="Z689" s="131"/>
      <c r="AA689" s="108" t="str">
        <f t="shared" si="89"/>
        <v/>
      </c>
      <c r="AB689" s="2"/>
      <c r="AC689" s="131">
        <f t="shared" si="84"/>
        <v>24369.747899159665</v>
      </c>
      <c r="AD689" s="108">
        <f t="shared" si="85"/>
        <v>4630.2521008403346</v>
      </c>
      <c r="AE689" s="95" t="s">
        <v>1501</v>
      </c>
      <c r="AF689" s="498" t="s">
        <v>3489</v>
      </c>
      <c r="AG689" s="2" t="str">
        <f t="shared" si="86"/>
        <v>SI</v>
      </c>
      <c r="AH689" s="284"/>
      <c r="AI689" s="498"/>
      <c r="AJ689" s="2" t="str">
        <f t="shared" si="87"/>
        <v>NV</v>
      </c>
      <c r="AK689" s="303"/>
    </row>
    <row r="690" spans="1:37" x14ac:dyDescent="0.25">
      <c r="A690" s="499" t="s">
        <v>1242</v>
      </c>
      <c r="B690" s="317" t="s">
        <v>958</v>
      </c>
      <c r="C690" s="95">
        <v>0</v>
      </c>
      <c r="D690" s="95">
        <v>2861</v>
      </c>
      <c r="E690" s="95"/>
      <c r="F690" s="95"/>
      <c r="G690" s="95">
        <v>6405</v>
      </c>
      <c r="H690" s="138">
        <v>19000</v>
      </c>
      <c r="I690" s="138"/>
      <c r="J690" s="126">
        <f t="shared" si="80"/>
        <v>19000</v>
      </c>
      <c r="K690" s="318">
        <v>43846</v>
      </c>
      <c r="L690" s="95">
        <v>0</v>
      </c>
      <c r="M690" s="313">
        <f t="shared" si="81"/>
        <v>43846</v>
      </c>
      <c r="N690" s="2" t="str">
        <f t="shared" si="82"/>
        <v>Pagado</v>
      </c>
      <c r="O690" s="318">
        <v>43847</v>
      </c>
      <c r="P690" s="138">
        <v>19000</v>
      </c>
      <c r="Q690" s="2" t="s">
        <v>1484</v>
      </c>
      <c r="R690" s="2"/>
      <c r="S690" s="95"/>
      <c r="T690" s="313" t="s">
        <v>1488</v>
      </c>
      <c r="U690" s="393"/>
      <c r="V690" s="95"/>
      <c r="W690" s="129"/>
      <c r="X690" s="318"/>
      <c r="Y690" s="95"/>
      <c r="Z690" s="131"/>
      <c r="AA690" s="108" t="str">
        <f t="shared" si="89"/>
        <v/>
      </c>
      <c r="AB690" s="2"/>
      <c r="AC690" s="131">
        <f t="shared" si="84"/>
        <v>15966.386554621849</v>
      </c>
      <c r="AD690" s="108">
        <f t="shared" si="85"/>
        <v>3033.6134453781506</v>
      </c>
      <c r="AE690" s="95" t="s">
        <v>1501</v>
      </c>
      <c r="AF690" s="498" t="s">
        <v>3489</v>
      </c>
      <c r="AG690" s="2" t="str">
        <f t="shared" si="86"/>
        <v>SI</v>
      </c>
      <c r="AH690" s="284"/>
      <c r="AI690" s="498"/>
      <c r="AJ690" s="2" t="str">
        <f t="shared" si="87"/>
        <v>NV</v>
      </c>
      <c r="AK690" s="303"/>
    </row>
    <row r="691" spans="1:37" x14ac:dyDescent="0.25">
      <c r="A691" s="534" t="s">
        <v>4953</v>
      </c>
      <c r="B691" s="317" t="s">
        <v>4954</v>
      </c>
      <c r="C691" s="95">
        <v>0</v>
      </c>
      <c r="D691" s="95">
        <v>2857</v>
      </c>
      <c r="E691" s="95"/>
      <c r="F691" s="95"/>
      <c r="G691" s="95">
        <v>6406</v>
      </c>
      <c r="H691" s="138">
        <v>19700</v>
      </c>
      <c r="I691" s="138"/>
      <c r="J691" s="126">
        <f t="shared" si="80"/>
        <v>19700</v>
      </c>
      <c r="K691" s="318">
        <v>43846</v>
      </c>
      <c r="L691" s="95">
        <v>0</v>
      </c>
      <c r="M691" s="313">
        <f t="shared" si="81"/>
        <v>43846</v>
      </c>
      <c r="N691" s="2" t="str">
        <f t="shared" si="82"/>
        <v>Pagado</v>
      </c>
      <c r="O691" s="318">
        <v>43846</v>
      </c>
      <c r="P691" s="138">
        <v>19700</v>
      </c>
      <c r="Q691" s="2" t="s">
        <v>1481</v>
      </c>
      <c r="R691" s="2"/>
      <c r="S691" s="95"/>
      <c r="T691" s="313"/>
      <c r="U691" s="393"/>
      <c r="V691" s="95"/>
      <c r="W691" s="129"/>
      <c r="X691" s="318"/>
      <c r="Y691" s="95"/>
      <c r="Z691" s="131"/>
      <c r="AA691" s="108" t="str">
        <f t="shared" si="89"/>
        <v/>
      </c>
      <c r="AB691" s="2"/>
      <c r="AC691" s="131">
        <f t="shared" si="84"/>
        <v>16554.621848739498</v>
      </c>
      <c r="AD691" s="108">
        <f t="shared" si="85"/>
        <v>3145.3781512605019</v>
      </c>
      <c r="AE691" s="95" t="s">
        <v>1501</v>
      </c>
      <c r="AF691" s="533" t="s">
        <v>3487</v>
      </c>
      <c r="AG691" s="2" t="str">
        <f t="shared" si="86"/>
        <v>SI</v>
      </c>
      <c r="AH691" s="284"/>
      <c r="AI691" s="533"/>
      <c r="AJ691" s="2" t="str">
        <f t="shared" si="87"/>
        <v>NV</v>
      </c>
      <c r="AK691" s="303"/>
    </row>
    <row r="692" spans="1:37" x14ac:dyDescent="0.25">
      <c r="A692" s="542" t="s">
        <v>1233</v>
      </c>
      <c r="B692" s="317" t="s">
        <v>1046</v>
      </c>
      <c r="C692" s="95">
        <v>0</v>
      </c>
      <c r="D692" s="95">
        <v>0</v>
      </c>
      <c r="E692" s="95"/>
      <c r="F692" s="95"/>
      <c r="G692" s="95">
        <v>6415</v>
      </c>
      <c r="H692" s="138">
        <v>6104</v>
      </c>
      <c r="I692" s="138"/>
      <c r="J692" s="126">
        <f t="shared" si="80"/>
        <v>6104</v>
      </c>
      <c r="K692" s="318">
        <v>43847</v>
      </c>
      <c r="L692" s="95">
        <v>0</v>
      </c>
      <c r="M692" s="313">
        <f t="shared" si="81"/>
        <v>43847</v>
      </c>
      <c r="N692" s="2" t="str">
        <f t="shared" si="82"/>
        <v>Pagado</v>
      </c>
      <c r="O692" s="318">
        <v>43896</v>
      </c>
      <c r="P692" s="138">
        <v>6104</v>
      </c>
      <c r="Q692" s="2" t="s">
        <v>1484</v>
      </c>
      <c r="R692" s="2"/>
      <c r="S692" s="95"/>
      <c r="T692" s="313" t="s">
        <v>1492</v>
      </c>
      <c r="U692" s="393"/>
      <c r="V692" s="95"/>
      <c r="W692" s="129"/>
      <c r="X692" s="318"/>
      <c r="Y692" s="95"/>
      <c r="Z692" s="131"/>
      <c r="AA692" s="108" t="str">
        <f t="shared" si="89"/>
        <v/>
      </c>
      <c r="AB692" s="2"/>
      <c r="AC692" s="131">
        <f t="shared" si="84"/>
        <v>5129.4117647058829</v>
      </c>
      <c r="AD692" s="108">
        <f t="shared" si="85"/>
        <v>974.58823529411711</v>
      </c>
      <c r="AE692" s="95" t="s">
        <v>1501</v>
      </c>
      <c r="AF692" s="541" t="s">
        <v>3489</v>
      </c>
      <c r="AG692" s="2" t="str">
        <f t="shared" si="86"/>
        <v>SI</v>
      </c>
      <c r="AH692" s="284"/>
      <c r="AI692" s="541"/>
      <c r="AJ692" s="2" t="str">
        <f t="shared" si="87"/>
        <v>NV</v>
      </c>
      <c r="AK692" s="303"/>
    </row>
    <row r="693" spans="1:37" x14ac:dyDescent="0.25">
      <c r="A693" s="542" t="s">
        <v>1182</v>
      </c>
      <c r="B693" s="317" t="s">
        <v>1044</v>
      </c>
      <c r="C693" s="95">
        <v>3074</v>
      </c>
      <c r="D693" s="95">
        <v>0</v>
      </c>
      <c r="E693" s="95"/>
      <c r="F693" s="95"/>
      <c r="G693" s="95" t="s">
        <v>2528</v>
      </c>
      <c r="H693" s="138">
        <v>90377</v>
      </c>
      <c r="I693" s="138"/>
      <c r="J693" s="126">
        <f t="shared" si="80"/>
        <v>90377</v>
      </c>
      <c r="K693" s="318">
        <v>43847</v>
      </c>
      <c r="L693" s="95">
        <v>7</v>
      </c>
      <c r="M693" s="313">
        <f t="shared" si="81"/>
        <v>43854</v>
      </c>
      <c r="N693" s="2" t="str">
        <f t="shared" si="82"/>
        <v>Pagado</v>
      </c>
      <c r="O693" s="318">
        <v>43847</v>
      </c>
      <c r="P693" s="138">
        <v>90377</v>
      </c>
      <c r="Q693" s="2" t="s">
        <v>2131</v>
      </c>
      <c r="R693" s="2"/>
      <c r="S693" s="95">
        <v>2490455</v>
      </c>
      <c r="T693" s="313" t="s">
        <v>1493</v>
      </c>
      <c r="U693" s="393">
        <v>43854</v>
      </c>
      <c r="V693" s="95">
        <v>7675281</v>
      </c>
      <c r="W693" s="129">
        <v>90377</v>
      </c>
      <c r="X693" s="318">
        <v>43857</v>
      </c>
      <c r="Y693" s="95" t="s">
        <v>1488</v>
      </c>
      <c r="Z693" s="131"/>
      <c r="AA693" s="108" t="str">
        <f t="shared" si="89"/>
        <v>Otros</v>
      </c>
      <c r="AB693" s="2"/>
      <c r="AC693" s="131">
        <f t="shared" si="84"/>
        <v>75947.058823529413</v>
      </c>
      <c r="AD693" s="108">
        <f t="shared" si="85"/>
        <v>14429.941176470587</v>
      </c>
      <c r="AE693" s="95" t="s">
        <v>1445</v>
      </c>
      <c r="AF693" s="541" t="s">
        <v>3490</v>
      </c>
      <c r="AG693" s="2" t="str">
        <f t="shared" si="86"/>
        <v>SI</v>
      </c>
      <c r="AH693" s="284"/>
      <c r="AI693" s="541"/>
      <c r="AJ693" s="2" t="str">
        <f t="shared" si="87"/>
        <v>Factura</v>
      </c>
      <c r="AK693" s="303"/>
    </row>
    <row r="694" spans="1:37" x14ac:dyDescent="0.25">
      <c r="A694" s="542" t="s">
        <v>2273</v>
      </c>
      <c r="B694" s="317" t="s">
        <v>2274</v>
      </c>
      <c r="C694" s="95">
        <v>0</v>
      </c>
      <c r="D694" s="95">
        <v>0</v>
      </c>
      <c r="E694" s="95"/>
      <c r="F694" s="95"/>
      <c r="G694" s="95">
        <v>6418</v>
      </c>
      <c r="H694" s="138">
        <v>23900</v>
      </c>
      <c r="I694" s="138"/>
      <c r="J694" s="126">
        <f t="shared" si="80"/>
        <v>23900</v>
      </c>
      <c r="K694" s="318">
        <v>43847</v>
      </c>
      <c r="L694" s="95">
        <v>0</v>
      </c>
      <c r="M694" s="313">
        <f t="shared" si="81"/>
        <v>43847</v>
      </c>
      <c r="N694" s="2" t="str">
        <f t="shared" si="82"/>
        <v>Pagado</v>
      </c>
      <c r="O694" s="318">
        <v>43847</v>
      </c>
      <c r="P694" s="138">
        <v>23900</v>
      </c>
      <c r="Q694" s="2" t="s">
        <v>1481</v>
      </c>
      <c r="R694" s="2"/>
      <c r="S694" s="95"/>
      <c r="T694" s="313"/>
      <c r="U694" s="393"/>
      <c r="V694" s="95"/>
      <c r="W694" s="129"/>
      <c r="X694" s="318"/>
      <c r="Y694" s="95"/>
      <c r="Z694" s="131"/>
      <c r="AA694" s="108" t="str">
        <f t="shared" si="89"/>
        <v/>
      </c>
      <c r="AB694" s="2"/>
      <c r="AC694" s="131">
        <f t="shared" si="84"/>
        <v>20084.033613445379</v>
      </c>
      <c r="AD694" s="108">
        <f t="shared" si="85"/>
        <v>3815.9663865546208</v>
      </c>
      <c r="AE694" s="95" t="s">
        <v>1501</v>
      </c>
      <c r="AF694" s="541" t="s">
        <v>3489</v>
      </c>
      <c r="AG694" s="2" t="str">
        <f t="shared" si="86"/>
        <v>SI</v>
      </c>
      <c r="AH694" s="284"/>
      <c r="AI694" s="541"/>
      <c r="AJ694" s="2" t="str">
        <f t="shared" si="87"/>
        <v>NV</v>
      </c>
      <c r="AK694" s="303"/>
    </row>
    <row r="695" spans="1:37" x14ac:dyDescent="0.25">
      <c r="A695" s="542" t="s">
        <v>4919</v>
      </c>
      <c r="B695" s="317" t="s">
        <v>4920</v>
      </c>
      <c r="C695" s="95">
        <v>0</v>
      </c>
      <c r="D695" s="95">
        <v>2868</v>
      </c>
      <c r="E695" s="95"/>
      <c r="F695" s="95"/>
      <c r="G695" s="95">
        <v>6413</v>
      </c>
      <c r="H695" s="138">
        <v>14800</v>
      </c>
      <c r="I695" s="138"/>
      <c r="J695" s="126">
        <f t="shared" si="80"/>
        <v>14800</v>
      </c>
      <c r="K695" s="318">
        <v>43847</v>
      </c>
      <c r="L695" s="95">
        <v>0</v>
      </c>
      <c r="M695" s="313">
        <f t="shared" si="81"/>
        <v>43847</v>
      </c>
      <c r="N695" s="2" t="str">
        <f t="shared" si="82"/>
        <v>Pagado</v>
      </c>
      <c r="O695" s="318">
        <v>43847</v>
      </c>
      <c r="P695" s="138">
        <v>14800</v>
      </c>
      <c r="Q695" s="2" t="s">
        <v>1481</v>
      </c>
      <c r="R695" s="2"/>
      <c r="S695" s="95"/>
      <c r="T695" s="313"/>
      <c r="U695" s="393"/>
      <c r="V695" s="95"/>
      <c r="W695" s="129"/>
      <c r="X695" s="318"/>
      <c r="Y695" s="95"/>
      <c r="Z695" s="131"/>
      <c r="AA695" s="108" t="str">
        <f t="shared" si="89"/>
        <v/>
      </c>
      <c r="AB695" s="2"/>
      <c r="AC695" s="131">
        <f t="shared" si="84"/>
        <v>12436.974789915967</v>
      </c>
      <c r="AD695" s="108">
        <f t="shared" si="85"/>
        <v>2363.0252100840335</v>
      </c>
      <c r="AE695" s="95" t="s">
        <v>1501</v>
      </c>
      <c r="AF695" s="541" t="s">
        <v>3487</v>
      </c>
      <c r="AG695" s="2" t="str">
        <f t="shared" si="86"/>
        <v>SI</v>
      </c>
      <c r="AH695" s="284"/>
      <c r="AI695" s="541"/>
      <c r="AJ695" s="2" t="str">
        <f t="shared" si="87"/>
        <v>NV</v>
      </c>
      <c r="AK695" s="303"/>
    </row>
    <row r="696" spans="1:37" x14ac:dyDescent="0.25">
      <c r="A696" s="476" t="s">
        <v>2632</v>
      </c>
      <c r="B696" s="317" t="s">
        <v>2633</v>
      </c>
      <c r="C696" s="95">
        <v>0</v>
      </c>
      <c r="D696" s="95">
        <v>0</v>
      </c>
      <c r="E696" s="95"/>
      <c r="F696" s="95"/>
      <c r="G696" s="95">
        <v>6419</v>
      </c>
      <c r="H696" s="138">
        <v>45400</v>
      </c>
      <c r="I696" s="138"/>
      <c r="J696" s="126">
        <f t="shared" si="80"/>
        <v>45400</v>
      </c>
      <c r="K696" s="318">
        <v>43847</v>
      </c>
      <c r="L696" s="95">
        <v>0</v>
      </c>
      <c r="M696" s="313">
        <f t="shared" si="81"/>
        <v>43847</v>
      </c>
      <c r="N696" s="2" t="str">
        <f t="shared" si="82"/>
        <v>Pagado</v>
      </c>
      <c r="O696" s="318">
        <v>43848</v>
      </c>
      <c r="P696" s="138">
        <v>45400</v>
      </c>
      <c r="Q696" s="2" t="s">
        <v>1484</v>
      </c>
      <c r="R696" s="2"/>
      <c r="S696" s="95"/>
      <c r="T696" s="313" t="s">
        <v>1488</v>
      </c>
      <c r="U696" s="393"/>
      <c r="V696" s="95"/>
      <c r="W696" s="129"/>
      <c r="X696" s="318"/>
      <c r="Y696" s="95"/>
      <c r="Z696" s="131"/>
      <c r="AA696" s="108" t="str">
        <f t="shared" si="89"/>
        <v/>
      </c>
      <c r="AB696" s="2"/>
      <c r="AC696" s="131">
        <f t="shared" si="84"/>
        <v>38151.26050420168</v>
      </c>
      <c r="AD696" s="108">
        <f t="shared" si="85"/>
        <v>7248.7394957983197</v>
      </c>
      <c r="AE696" s="95" t="s">
        <v>1445</v>
      </c>
      <c r="AF696" s="475" t="s">
        <v>3487</v>
      </c>
      <c r="AG696" s="2" t="str">
        <f t="shared" si="86"/>
        <v>SI</v>
      </c>
      <c r="AH696" s="284"/>
      <c r="AI696" s="475"/>
      <c r="AJ696" s="2" t="str">
        <f t="shared" si="87"/>
        <v>NV</v>
      </c>
      <c r="AK696" s="303"/>
    </row>
    <row r="697" spans="1:37" x14ac:dyDescent="0.25">
      <c r="A697" s="534" t="s">
        <v>1247</v>
      </c>
      <c r="B697" s="317" t="s">
        <v>1943</v>
      </c>
      <c r="C697" s="95">
        <v>0</v>
      </c>
      <c r="D697" s="95">
        <v>2864</v>
      </c>
      <c r="E697" s="95"/>
      <c r="F697" s="95"/>
      <c r="G697" s="95">
        <v>6410</v>
      </c>
      <c r="H697" s="138">
        <v>29900</v>
      </c>
      <c r="I697" s="138"/>
      <c r="J697" s="126">
        <f t="shared" si="80"/>
        <v>29900</v>
      </c>
      <c r="K697" s="318">
        <v>43847</v>
      </c>
      <c r="L697" s="95">
        <v>0</v>
      </c>
      <c r="M697" s="313">
        <f t="shared" si="81"/>
        <v>43847</v>
      </c>
      <c r="N697" s="2" t="str">
        <f t="shared" si="82"/>
        <v>Pagado</v>
      </c>
      <c r="O697" s="318">
        <v>43847</v>
      </c>
      <c r="P697" s="138">
        <v>29900</v>
      </c>
      <c r="Q697" s="2" t="s">
        <v>1484</v>
      </c>
      <c r="R697" s="2"/>
      <c r="S697" s="95"/>
      <c r="T697" s="313" t="s">
        <v>1488</v>
      </c>
      <c r="U697" s="393"/>
      <c r="V697" s="95"/>
      <c r="W697" s="129"/>
      <c r="X697" s="318"/>
      <c r="Y697" s="95"/>
      <c r="Z697" s="131"/>
      <c r="AA697" s="108" t="str">
        <f t="shared" si="89"/>
        <v/>
      </c>
      <c r="AB697" s="2"/>
      <c r="AC697" s="131">
        <f t="shared" si="84"/>
        <v>25126.050420168067</v>
      </c>
      <c r="AD697" s="108">
        <f t="shared" si="85"/>
        <v>4773.9495798319331</v>
      </c>
      <c r="AE697" s="95" t="s">
        <v>1445</v>
      </c>
      <c r="AF697" s="533" t="s">
        <v>3489</v>
      </c>
      <c r="AG697" s="2" t="str">
        <f t="shared" si="86"/>
        <v>SI</v>
      </c>
      <c r="AH697" s="284"/>
      <c r="AI697" s="533"/>
      <c r="AJ697" s="2" t="str">
        <f t="shared" si="87"/>
        <v>NV</v>
      </c>
      <c r="AK697" s="303"/>
    </row>
    <row r="698" spans="1:37" x14ac:dyDescent="0.25">
      <c r="A698" s="534" t="s">
        <v>1200</v>
      </c>
      <c r="B698" s="317" t="s">
        <v>2316</v>
      </c>
      <c r="C698" s="95">
        <v>0</v>
      </c>
      <c r="D698" s="95">
        <v>2863</v>
      </c>
      <c r="E698" s="95"/>
      <c r="F698" s="95"/>
      <c r="G698" s="95">
        <v>6407</v>
      </c>
      <c r="H698" s="138">
        <v>7000</v>
      </c>
      <c r="I698" s="138"/>
      <c r="J698" s="126">
        <f t="shared" si="80"/>
        <v>7000</v>
      </c>
      <c r="K698" s="318">
        <v>43847</v>
      </c>
      <c r="L698" s="95">
        <v>0</v>
      </c>
      <c r="M698" s="313">
        <f t="shared" si="81"/>
        <v>43847</v>
      </c>
      <c r="N698" s="2" t="str">
        <f t="shared" si="82"/>
        <v>Pagado</v>
      </c>
      <c r="O698" s="318">
        <v>43862</v>
      </c>
      <c r="P698" s="138">
        <v>7000</v>
      </c>
      <c r="Q698" s="2" t="s">
        <v>1484</v>
      </c>
      <c r="R698" s="2"/>
      <c r="S698" s="95"/>
      <c r="T698" s="313" t="s">
        <v>1493</v>
      </c>
      <c r="U698" s="393"/>
      <c r="V698" s="95"/>
      <c r="W698" s="129"/>
      <c r="X698" s="318"/>
      <c r="Y698" s="95"/>
      <c r="Z698" s="131"/>
      <c r="AA698" s="108" t="str">
        <f t="shared" si="89"/>
        <v/>
      </c>
      <c r="AB698" s="2"/>
      <c r="AC698" s="131">
        <f t="shared" si="84"/>
        <v>5882.3529411764712</v>
      </c>
      <c r="AD698" s="108">
        <f t="shared" si="85"/>
        <v>1117.6470588235288</v>
      </c>
      <c r="AE698" s="95" t="s">
        <v>1445</v>
      </c>
      <c r="AF698" s="533" t="s">
        <v>3489</v>
      </c>
      <c r="AG698" s="2" t="str">
        <f t="shared" si="86"/>
        <v>SI</v>
      </c>
      <c r="AH698" s="284"/>
      <c r="AI698" s="533"/>
      <c r="AJ698" s="2" t="str">
        <f t="shared" si="87"/>
        <v>NV</v>
      </c>
      <c r="AK698" s="303"/>
    </row>
    <row r="699" spans="1:37" x14ac:dyDescent="0.25">
      <c r="A699" s="534" t="s">
        <v>1228</v>
      </c>
      <c r="B699" s="317" t="s">
        <v>948</v>
      </c>
      <c r="C699" s="95">
        <v>0</v>
      </c>
      <c r="D699" s="95">
        <v>2863</v>
      </c>
      <c r="E699" s="95"/>
      <c r="F699" s="95"/>
      <c r="G699" s="95">
        <v>6408</v>
      </c>
      <c r="H699" s="138">
        <v>31000</v>
      </c>
      <c r="I699" s="138"/>
      <c r="J699" s="126">
        <f t="shared" si="80"/>
        <v>31000</v>
      </c>
      <c r="K699" s="318">
        <v>43847</v>
      </c>
      <c r="L699" s="95">
        <v>0</v>
      </c>
      <c r="M699" s="313">
        <f t="shared" si="81"/>
        <v>43847</v>
      </c>
      <c r="N699" s="2" t="str">
        <f t="shared" si="82"/>
        <v>Pagado</v>
      </c>
      <c r="O699" s="318">
        <v>43855</v>
      </c>
      <c r="P699" s="138">
        <v>31000</v>
      </c>
      <c r="Q699" s="2" t="s">
        <v>1484</v>
      </c>
      <c r="R699" s="2"/>
      <c r="S699" s="95"/>
      <c r="T699" s="313" t="s">
        <v>1496</v>
      </c>
      <c r="U699" s="393"/>
      <c r="V699" s="95"/>
      <c r="W699" s="129"/>
      <c r="X699" s="318"/>
      <c r="Y699" s="95"/>
      <c r="Z699" s="131"/>
      <c r="AA699" s="108" t="str">
        <f t="shared" si="89"/>
        <v/>
      </c>
      <c r="AB699" s="2"/>
      <c r="AC699" s="131">
        <f t="shared" si="84"/>
        <v>26050.420168067227</v>
      </c>
      <c r="AD699" s="108">
        <f t="shared" si="85"/>
        <v>4949.5798319327732</v>
      </c>
      <c r="AE699" s="95" t="s">
        <v>1445</v>
      </c>
      <c r="AF699" s="533" t="s">
        <v>3489</v>
      </c>
      <c r="AG699" s="2" t="str">
        <f t="shared" si="86"/>
        <v>SI</v>
      </c>
      <c r="AH699" s="284"/>
      <c r="AI699" s="533"/>
      <c r="AJ699" s="2" t="str">
        <f t="shared" si="87"/>
        <v>NV</v>
      </c>
      <c r="AK699" s="303"/>
    </row>
    <row r="700" spans="1:37" x14ac:dyDescent="0.25">
      <c r="A700" s="534" t="s">
        <v>1511</v>
      </c>
      <c r="B700" s="317" t="s">
        <v>1512</v>
      </c>
      <c r="C700" s="95">
        <v>0</v>
      </c>
      <c r="D700" s="95">
        <v>198</v>
      </c>
      <c r="E700" s="95"/>
      <c r="F700" s="95"/>
      <c r="G700" s="95">
        <v>6416</v>
      </c>
      <c r="H700" s="138">
        <v>33000</v>
      </c>
      <c r="I700" s="138"/>
      <c r="J700" s="126">
        <f t="shared" si="80"/>
        <v>33000</v>
      </c>
      <c r="K700" s="318">
        <v>43847</v>
      </c>
      <c r="L700" s="95">
        <v>0</v>
      </c>
      <c r="M700" s="313">
        <f t="shared" si="81"/>
        <v>43847</v>
      </c>
      <c r="N700" s="2" t="str">
        <f t="shared" si="82"/>
        <v>Pagado</v>
      </c>
      <c r="O700" s="318">
        <v>43847</v>
      </c>
      <c r="P700" s="138">
        <v>33000</v>
      </c>
      <c r="Q700" s="2" t="s">
        <v>1070</v>
      </c>
      <c r="R700" s="2" t="s">
        <v>1478</v>
      </c>
      <c r="S700" s="95">
        <v>198</v>
      </c>
      <c r="T700" s="313"/>
      <c r="U700" s="393"/>
      <c r="V700" s="95"/>
      <c r="W700" s="129"/>
      <c r="X700" s="318"/>
      <c r="Y700" s="95"/>
      <c r="Z700" s="131"/>
      <c r="AA700" s="108" t="str">
        <f t="shared" si="89"/>
        <v/>
      </c>
      <c r="AB700" s="2"/>
      <c r="AC700" s="131">
        <f t="shared" si="84"/>
        <v>27731.092436974792</v>
      </c>
      <c r="AD700" s="108">
        <f t="shared" si="85"/>
        <v>5268.9075630252082</v>
      </c>
      <c r="AE700" s="95" t="s">
        <v>1501</v>
      </c>
      <c r="AF700" s="533" t="s">
        <v>3489</v>
      </c>
      <c r="AG700" s="2" t="str">
        <f t="shared" si="86"/>
        <v>SI</v>
      </c>
      <c r="AH700" s="284"/>
      <c r="AI700" s="533"/>
      <c r="AJ700" s="2" t="str">
        <f t="shared" si="87"/>
        <v>NV</v>
      </c>
      <c r="AK700" s="303"/>
    </row>
    <row r="701" spans="1:37" x14ac:dyDescent="0.25">
      <c r="A701" s="458" t="s">
        <v>5558</v>
      </c>
      <c r="B701" s="317" t="s">
        <v>5559</v>
      </c>
      <c r="C701" s="95">
        <v>0</v>
      </c>
      <c r="D701" s="95">
        <v>197</v>
      </c>
      <c r="E701" s="95"/>
      <c r="F701" s="95"/>
      <c r="G701" s="95">
        <v>6412</v>
      </c>
      <c r="H701" s="138">
        <v>14800</v>
      </c>
      <c r="I701" s="138"/>
      <c r="J701" s="126">
        <f t="shared" si="80"/>
        <v>14800</v>
      </c>
      <c r="K701" s="318">
        <v>43847</v>
      </c>
      <c r="L701" s="95">
        <v>0</v>
      </c>
      <c r="M701" s="313">
        <f t="shared" si="81"/>
        <v>43847</v>
      </c>
      <c r="N701" s="2" t="str">
        <f t="shared" si="82"/>
        <v>Pagado</v>
      </c>
      <c r="O701" s="318">
        <v>43847</v>
      </c>
      <c r="P701" s="138">
        <v>14800</v>
      </c>
      <c r="Q701" s="2" t="s">
        <v>1070</v>
      </c>
      <c r="R701" s="2" t="s">
        <v>1478</v>
      </c>
      <c r="S701" s="95">
        <v>197</v>
      </c>
      <c r="T701" s="313"/>
      <c r="U701" s="393"/>
      <c r="V701" s="95"/>
      <c r="W701" s="129"/>
      <c r="X701" s="318"/>
      <c r="Y701" s="95"/>
      <c r="Z701" s="131"/>
      <c r="AA701" s="108" t="str">
        <f t="shared" si="89"/>
        <v/>
      </c>
      <c r="AB701" s="2"/>
      <c r="AC701" s="131">
        <f t="shared" si="84"/>
        <v>12436.974789915967</v>
      </c>
      <c r="AD701" s="108">
        <f t="shared" si="85"/>
        <v>2363.0252100840335</v>
      </c>
      <c r="AE701" s="95" t="s">
        <v>1501</v>
      </c>
      <c r="AF701" s="457" t="s">
        <v>3487</v>
      </c>
      <c r="AG701" s="2" t="str">
        <f t="shared" si="86"/>
        <v>SI</v>
      </c>
      <c r="AH701" s="284"/>
      <c r="AI701" s="457"/>
      <c r="AJ701" s="2" t="str">
        <f t="shared" si="87"/>
        <v>NV</v>
      </c>
      <c r="AK701" s="303"/>
    </row>
    <row r="702" spans="1:37" x14ac:dyDescent="0.25">
      <c r="A702" s="458" t="s">
        <v>2190</v>
      </c>
      <c r="B702" s="317" t="s">
        <v>2191</v>
      </c>
      <c r="C702" s="95">
        <v>0</v>
      </c>
      <c r="D702" s="95">
        <v>199</v>
      </c>
      <c r="E702" s="95"/>
      <c r="F702" s="95"/>
      <c r="G702" s="95">
        <v>6417</v>
      </c>
      <c r="H702" s="138">
        <v>14800</v>
      </c>
      <c r="I702" s="138"/>
      <c r="J702" s="126">
        <f t="shared" si="80"/>
        <v>14800</v>
      </c>
      <c r="K702" s="318">
        <v>43847</v>
      </c>
      <c r="L702" s="95">
        <v>0</v>
      </c>
      <c r="M702" s="313">
        <f t="shared" si="81"/>
        <v>43847</v>
      </c>
      <c r="N702" s="2" t="str">
        <f t="shared" si="82"/>
        <v>Pagado</v>
      </c>
      <c r="O702" s="318">
        <v>43847</v>
      </c>
      <c r="P702" s="138">
        <v>14800</v>
      </c>
      <c r="Q702" s="2" t="s">
        <v>1070</v>
      </c>
      <c r="R702" s="2" t="s">
        <v>2243</v>
      </c>
      <c r="S702" s="95">
        <v>199</v>
      </c>
      <c r="T702" s="313"/>
      <c r="U702" s="393"/>
      <c r="V702" s="95"/>
      <c r="W702" s="129"/>
      <c r="X702" s="318"/>
      <c r="Y702" s="95"/>
      <c r="Z702" s="131"/>
      <c r="AA702" s="108" t="str">
        <f t="shared" si="89"/>
        <v/>
      </c>
      <c r="AB702" s="2"/>
      <c r="AC702" s="131">
        <f t="shared" si="84"/>
        <v>12436.974789915967</v>
      </c>
      <c r="AD702" s="108">
        <f t="shared" si="85"/>
        <v>2363.0252100840335</v>
      </c>
      <c r="AE702" s="95" t="s">
        <v>1501</v>
      </c>
      <c r="AF702" s="457" t="s">
        <v>5060</v>
      </c>
      <c r="AG702" s="2" t="str">
        <f t="shared" si="86"/>
        <v>SI</v>
      </c>
      <c r="AH702" s="284"/>
      <c r="AI702" s="457"/>
      <c r="AJ702" s="2" t="str">
        <f t="shared" si="87"/>
        <v>NV</v>
      </c>
      <c r="AK702" s="303"/>
    </row>
    <row r="703" spans="1:37" x14ac:dyDescent="0.25">
      <c r="A703" s="458" t="s">
        <v>5532</v>
      </c>
      <c r="B703" s="317" t="s">
        <v>5533</v>
      </c>
      <c r="C703" s="95">
        <v>0</v>
      </c>
      <c r="D703" s="95">
        <v>2867</v>
      </c>
      <c r="E703" s="95"/>
      <c r="F703" s="95"/>
      <c r="G703" s="95">
        <v>6414</v>
      </c>
      <c r="H703" s="138">
        <v>25000</v>
      </c>
      <c r="I703" s="138"/>
      <c r="J703" s="126">
        <f t="shared" si="80"/>
        <v>25000</v>
      </c>
      <c r="K703" s="318">
        <v>43847</v>
      </c>
      <c r="L703" s="95">
        <v>0</v>
      </c>
      <c r="M703" s="313">
        <f t="shared" si="81"/>
        <v>43847</v>
      </c>
      <c r="N703" s="2" t="str">
        <f t="shared" si="82"/>
        <v>Pagado</v>
      </c>
      <c r="O703" s="318">
        <v>43847</v>
      </c>
      <c r="P703" s="138">
        <v>25000</v>
      </c>
      <c r="Q703" s="2" t="s">
        <v>1484</v>
      </c>
      <c r="R703" s="2"/>
      <c r="S703" s="95"/>
      <c r="T703" s="313" t="s">
        <v>1492</v>
      </c>
      <c r="U703" s="393"/>
      <c r="V703" s="95"/>
      <c r="W703" s="129"/>
      <c r="X703" s="318"/>
      <c r="Y703" s="95"/>
      <c r="Z703" s="131"/>
      <c r="AA703" s="108" t="str">
        <f t="shared" si="89"/>
        <v/>
      </c>
      <c r="AB703" s="2"/>
      <c r="AC703" s="131">
        <f t="shared" si="84"/>
        <v>21008.403361344539</v>
      </c>
      <c r="AD703" s="108">
        <f t="shared" si="85"/>
        <v>3991.596638655461</v>
      </c>
      <c r="AE703" s="95" t="s">
        <v>1501</v>
      </c>
      <c r="AF703" s="457" t="s">
        <v>3489</v>
      </c>
      <c r="AG703" s="2" t="str">
        <f t="shared" si="86"/>
        <v>SI</v>
      </c>
      <c r="AH703" s="284"/>
      <c r="AI703" s="457"/>
      <c r="AJ703" s="2" t="str">
        <f t="shared" si="87"/>
        <v>NV</v>
      </c>
      <c r="AK703" s="303"/>
    </row>
    <row r="704" spans="1:37" x14ac:dyDescent="0.25">
      <c r="A704" s="458" t="s">
        <v>1205</v>
      </c>
      <c r="B704" s="317" t="s">
        <v>2171</v>
      </c>
      <c r="C704" s="95">
        <v>0</v>
      </c>
      <c r="D704" s="95">
        <v>2866</v>
      </c>
      <c r="E704" s="95"/>
      <c r="F704" s="95"/>
      <c r="G704" s="95">
        <v>6411</v>
      </c>
      <c r="H704" s="138">
        <v>44900</v>
      </c>
      <c r="I704" s="138"/>
      <c r="J704" s="126">
        <f t="shared" si="80"/>
        <v>44900</v>
      </c>
      <c r="K704" s="318">
        <v>43847</v>
      </c>
      <c r="L704" s="95">
        <v>0</v>
      </c>
      <c r="M704" s="313">
        <f t="shared" si="81"/>
        <v>43847</v>
      </c>
      <c r="N704" s="2" t="str">
        <f t="shared" si="82"/>
        <v>Pagado</v>
      </c>
      <c r="O704" s="318">
        <v>43859</v>
      </c>
      <c r="P704" s="138">
        <v>44900</v>
      </c>
      <c r="Q704" s="2" t="s">
        <v>1484</v>
      </c>
      <c r="R704" s="2"/>
      <c r="S704" s="95"/>
      <c r="T704" s="313" t="s">
        <v>1490</v>
      </c>
      <c r="U704" s="393"/>
      <c r="V704" s="95"/>
      <c r="W704" s="129"/>
      <c r="X704" s="318"/>
      <c r="Y704" s="95"/>
      <c r="Z704" s="131"/>
      <c r="AA704" s="108" t="str">
        <f t="shared" si="89"/>
        <v/>
      </c>
      <c r="AB704" s="2"/>
      <c r="AC704" s="131">
        <f t="shared" si="84"/>
        <v>37731.092436974788</v>
      </c>
      <c r="AD704" s="108">
        <f t="shared" si="85"/>
        <v>7168.9075630252119</v>
      </c>
      <c r="AE704" s="95" t="s">
        <v>1445</v>
      </c>
      <c r="AF704" s="457" t="s">
        <v>3489</v>
      </c>
      <c r="AG704" s="2" t="str">
        <f t="shared" si="86"/>
        <v>SI</v>
      </c>
      <c r="AH704" s="284"/>
      <c r="AI704" s="457"/>
      <c r="AJ704" s="2" t="str">
        <f t="shared" si="87"/>
        <v>NV</v>
      </c>
      <c r="AK704" s="303"/>
    </row>
    <row r="705" spans="1:37" x14ac:dyDescent="0.25">
      <c r="A705" s="458" t="s">
        <v>1204</v>
      </c>
      <c r="B705" s="317" t="s">
        <v>1052</v>
      </c>
      <c r="C705" s="95">
        <v>0</v>
      </c>
      <c r="D705" s="95">
        <v>0</v>
      </c>
      <c r="E705" s="95"/>
      <c r="F705" s="95"/>
      <c r="G705" s="95">
        <v>6401</v>
      </c>
      <c r="H705" s="138">
        <v>11600</v>
      </c>
      <c r="I705" s="138"/>
      <c r="J705" s="126">
        <f t="shared" si="80"/>
        <v>11600</v>
      </c>
      <c r="K705" s="318">
        <v>43847</v>
      </c>
      <c r="L705" s="95">
        <v>0</v>
      </c>
      <c r="M705" s="313">
        <f t="shared" si="81"/>
        <v>43847</v>
      </c>
      <c r="N705" s="2" t="str">
        <f t="shared" si="82"/>
        <v>Pagado</v>
      </c>
      <c r="O705" s="318">
        <v>43859</v>
      </c>
      <c r="P705" s="138">
        <v>11600</v>
      </c>
      <c r="Q705" s="2" t="s">
        <v>1484</v>
      </c>
      <c r="R705" s="2"/>
      <c r="S705" s="95"/>
      <c r="T705" s="313" t="s">
        <v>1492</v>
      </c>
      <c r="U705" s="393"/>
      <c r="V705" s="95"/>
      <c r="W705" s="129"/>
      <c r="X705" s="318"/>
      <c r="Y705" s="95"/>
      <c r="Z705" s="131"/>
      <c r="AA705" s="108" t="str">
        <f t="shared" si="89"/>
        <v/>
      </c>
      <c r="AB705" s="2"/>
      <c r="AC705" s="131">
        <f t="shared" si="84"/>
        <v>9747.8991596638662</v>
      </c>
      <c r="AD705" s="108">
        <f t="shared" si="85"/>
        <v>1852.1008403361338</v>
      </c>
      <c r="AE705" s="95" t="s">
        <v>1501</v>
      </c>
      <c r="AF705" s="457" t="s">
        <v>3489</v>
      </c>
      <c r="AG705" s="2" t="str">
        <f t="shared" si="86"/>
        <v>SI</v>
      </c>
      <c r="AH705" s="284"/>
      <c r="AI705" s="457"/>
      <c r="AJ705" s="2" t="str">
        <f t="shared" si="87"/>
        <v>NV</v>
      </c>
      <c r="AK705" s="303"/>
    </row>
    <row r="706" spans="1:37" x14ac:dyDescent="0.25">
      <c r="A706" s="429" t="s">
        <v>1282</v>
      </c>
      <c r="B706" s="317" t="s">
        <v>2389</v>
      </c>
      <c r="C706" s="95">
        <v>3075</v>
      </c>
      <c r="D706" s="95">
        <v>0</v>
      </c>
      <c r="E706" s="95"/>
      <c r="F706" s="95"/>
      <c r="G706" s="95" t="s">
        <v>2528</v>
      </c>
      <c r="H706" s="138">
        <v>243763</v>
      </c>
      <c r="I706" s="138"/>
      <c r="J706" s="126">
        <f t="shared" si="80"/>
        <v>243763</v>
      </c>
      <c r="K706" s="318">
        <v>43847</v>
      </c>
      <c r="L706" s="95">
        <v>0</v>
      </c>
      <c r="M706" s="313">
        <f t="shared" si="81"/>
        <v>43847</v>
      </c>
      <c r="N706" s="2" t="str">
        <f t="shared" si="82"/>
        <v>Pagado</v>
      </c>
      <c r="O706" s="318">
        <v>43847</v>
      </c>
      <c r="P706" s="138">
        <v>243763</v>
      </c>
      <c r="Q706" s="2" t="s">
        <v>1481</v>
      </c>
      <c r="R706" s="2"/>
      <c r="S706" s="95"/>
      <c r="T706" s="313"/>
      <c r="U706" s="393"/>
      <c r="V706" s="95">
        <v>7675276</v>
      </c>
      <c r="W706" s="129">
        <v>43850</v>
      </c>
      <c r="X706" s="318">
        <v>43976</v>
      </c>
      <c r="Y706" s="95" t="s">
        <v>1488</v>
      </c>
      <c r="Z706" s="131"/>
      <c r="AA706" s="108" t="str">
        <f t="shared" si="89"/>
        <v/>
      </c>
      <c r="AB706" s="2"/>
      <c r="AC706" s="131">
        <f t="shared" si="84"/>
        <v>204842.85714285716</v>
      </c>
      <c r="AD706" s="108">
        <f t="shared" si="85"/>
        <v>38920.142857142841</v>
      </c>
      <c r="AE706" s="95" t="s">
        <v>1445</v>
      </c>
      <c r="AF706" s="428" t="s">
        <v>3490</v>
      </c>
      <c r="AG706" s="2" t="str">
        <f t="shared" si="86"/>
        <v>SI</v>
      </c>
      <c r="AH706" s="284"/>
      <c r="AI706" s="428"/>
      <c r="AJ706" s="2" t="str">
        <f t="shared" si="87"/>
        <v>Factura</v>
      </c>
      <c r="AK706" s="303"/>
    </row>
    <row r="707" spans="1:37" x14ac:dyDescent="0.25">
      <c r="A707" s="429" t="s">
        <v>5659</v>
      </c>
      <c r="B707" s="317" t="s">
        <v>5660</v>
      </c>
      <c r="C707" s="95">
        <v>0</v>
      </c>
      <c r="D707" s="95">
        <v>201</v>
      </c>
      <c r="E707" s="95"/>
      <c r="F707" s="95"/>
      <c r="G707" s="95">
        <v>6422</v>
      </c>
      <c r="H707" s="138">
        <v>12500</v>
      </c>
      <c r="I707" s="138"/>
      <c r="J707" s="126">
        <f t="shared" ref="J707:J770" si="90">+H707+I707</f>
        <v>12500</v>
      </c>
      <c r="K707" s="318">
        <v>43848</v>
      </c>
      <c r="L707" s="95">
        <v>0</v>
      </c>
      <c r="M707" s="313">
        <f t="shared" ref="M707:M770" si="91">+L707+K707</f>
        <v>43848</v>
      </c>
      <c r="N707" s="2" t="str">
        <f t="shared" ref="N707:N770" si="92">+IF(J707=0,"Nulo",IF(P707&gt;=J707,"Pagado",IF(P707&gt;0,"Abonado",IF(M707&lt;$M$1,"Vencido",IF(J707&gt;P707,"Pendiente","Vencido")))))</f>
        <v>Pagado</v>
      </c>
      <c r="O707" s="318">
        <v>43848</v>
      </c>
      <c r="P707" s="138">
        <v>12500</v>
      </c>
      <c r="Q707" s="2" t="s">
        <v>1070</v>
      </c>
      <c r="R707" s="2" t="s">
        <v>2243</v>
      </c>
      <c r="S707" s="95">
        <v>201</v>
      </c>
      <c r="T707" s="313"/>
      <c r="U707" s="393"/>
      <c r="V707" s="95"/>
      <c r="W707" s="129"/>
      <c r="X707" s="318"/>
      <c r="Y707" s="95"/>
      <c r="Z707" s="131"/>
      <c r="AA707" s="108" t="str">
        <f t="shared" si="89"/>
        <v/>
      </c>
      <c r="AB707" s="2"/>
      <c r="AC707" s="131">
        <f t="shared" ref="AC707:AC770" si="93">+IF(C707="","",H707/1.19)</f>
        <v>10504.20168067227</v>
      </c>
      <c r="AD707" s="108">
        <f t="shared" ref="AD707:AD770" si="94">+IF(C707="","",H707-AC707)</f>
        <v>1995.7983193277305</v>
      </c>
      <c r="AE707" s="95" t="s">
        <v>1501</v>
      </c>
      <c r="AF707" s="428" t="s">
        <v>3487</v>
      </c>
      <c r="AG707" s="2" t="str">
        <f t="shared" ref="AG707:AG770" si="95">+IF(N707="Pagado","SI",IF(N707="NULO","SI","NO"))</f>
        <v>SI</v>
      </c>
      <c r="AH707" s="284"/>
      <c r="AI707" s="428"/>
      <c r="AJ707" s="2" t="str">
        <f t="shared" ref="AJ707:AJ770" si="96">+IF(C707=0,"NV","Factura")</f>
        <v>NV</v>
      </c>
      <c r="AK707" s="303"/>
    </row>
    <row r="708" spans="1:37" x14ac:dyDescent="0.25">
      <c r="A708" s="476" t="s">
        <v>4807</v>
      </c>
      <c r="B708" s="317" t="s">
        <v>4808</v>
      </c>
      <c r="C708" s="95">
        <v>0</v>
      </c>
      <c r="D708" s="95">
        <v>200</v>
      </c>
      <c r="E708" s="95"/>
      <c r="F708" s="95"/>
      <c r="G708" s="95">
        <v>6421</v>
      </c>
      <c r="H708" s="138">
        <v>35500</v>
      </c>
      <c r="I708" s="138"/>
      <c r="J708" s="126">
        <f t="shared" si="90"/>
        <v>35500</v>
      </c>
      <c r="K708" s="318">
        <v>43848</v>
      </c>
      <c r="L708" s="95">
        <v>0</v>
      </c>
      <c r="M708" s="313">
        <f t="shared" si="91"/>
        <v>43848</v>
      </c>
      <c r="N708" s="2" t="str">
        <f t="shared" si="92"/>
        <v>Pagado</v>
      </c>
      <c r="O708" s="318">
        <v>43848</v>
      </c>
      <c r="P708" s="138">
        <v>35500</v>
      </c>
      <c r="Q708" s="2" t="s">
        <v>1070</v>
      </c>
      <c r="R708" s="2" t="s">
        <v>1478</v>
      </c>
      <c r="S708" s="95">
        <v>200</v>
      </c>
      <c r="T708" s="313"/>
      <c r="U708" s="393"/>
      <c r="V708" s="95"/>
      <c r="W708" s="129"/>
      <c r="X708" s="318"/>
      <c r="Y708" s="95"/>
      <c r="Z708" s="131"/>
      <c r="AA708" s="108" t="str">
        <f t="shared" si="89"/>
        <v/>
      </c>
      <c r="AB708" s="2"/>
      <c r="AC708" s="131">
        <f t="shared" si="93"/>
        <v>29831.932773109245</v>
      </c>
      <c r="AD708" s="108">
        <f t="shared" si="94"/>
        <v>5668.0672268907547</v>
      </c>
      <c r="AE708" s="95" t="s">
        <v>1501</v>
      </c>
      <c r="AF708" s="475" t="s">
        <v>3487</v>
      </c>
      <c r="AG708" s="2" t="str">
        <f t="shared" si="95"/>
        <v>SI</v>
      </c>
      <c r="AH708" s="284"/>
      <c r="AI708" s="475"/>
      <c r="AJ708" s="2" t="str">
        <f t="shared" si="96"/>
        <v>NV</v>
      </c>
      <c r="AK708" s="303"/>
    </row>
    <row r="709" spans="1:37" x14ac:dyDescent="0.25">
      <c r="A709" s="429" t="s">
        <v>4041</v>
      </c>
      <c r="B709" s="317" t="s">
        <v>4042</v>
      </c>
      <c r="C709" s="95">
        <v>0</v>
      </c>
      <c r="D709" s="95">
        <v>2868</v>
      </c>
      <c r="E709" s="95"/>
      <c r="F709" s="95"/>
      <c r="G709" s="95">
        <v>6420</v>
      </c>
      <c r="H709" s="138">
        <v>14800</v>
      </c>
      <c r="I709" s="138"/>
      <c r="J709" s="126">
        <f t="shared" si="90"/>
        <v>14800</v>
      </c>
      <c r="K709" s="318">
        <v>43848</v>
      </c>
      <c r="L709" s="95">
        <v>0</v>
      </c>
      <c r="M709" s="313">
        <f t="shared" si="91"/>
        <v>43848</v>
      </c>
      <c r="N709" s="2" t="str">
        <f t="shared" si="92"/>
        <v>Pagado</v>
      </c>
      <c r="O709" s="318">
        <v>43850</v>
      </c>
      <c r="P709" s="138">
        <v>14800</v>
      </c>
      <c r="Q709" s="2" t="s">
        <v>1484</v>
      </c>
      <c r="R709" s="2"/>
      <c r="S709" s="95"/>
      <c r="T709" s="313" t="s">
        <v>1462</v>
      </c>
      <c r="U709" s="393"/>
      <c r="V709" s="95"/>
      <c r="W709" s="129"/>
      <c r="X709" s="318"/>
      <c r="Y709" s="95"/>
      <c r="Z709" s="131"/>
      <c r="AA709" s="108" t="str">
        <f t="shared" si="89"/>
        <v/>
      </c>
      <c r="AB709" s="2"/>
      <c r="AC709" s="131">
        <f t="shared" si="93"/>
        <v>12436.974789915967</v>
      </c>
      <c r="AD709" s="108">
        <f t="shared" si="94"/>
        <v>2363.0252100840335</v>
      </c>
      <c r="AE709" s="95" t="s">
        <v>1501</v>
      </c>
      <c r="AF709" s="428" t="s">
        <v>3489</v>
      </c>
      <c r="AG709" s="2" t="str">
        <f t="shared" si="95"/>
        <v>SI</v>
      </c>
      <c r="AH709" s="284"/>
      <c r="AI709" s="428"/>
      <c r="AJ709" s="2" t="str">
        <f t="shared" si="96"/>
        <v>NV</v>
      </c>
      <c r="AK709" s="303"/>
    </row>
    <row r="710" spans="1:37" x14ac:dyDescent="0.25">
      <c r="A710" s="429" t="s">
        <v>5128</v>
      </c>
      <c r="B710" s="317" t="s">
        <v>5129</v>
      </c>
      <c r="C710" s="95">
        <v>0</v>
      </c>
      <c r="D710" s="95">
        <v>0</v>
      </c>
      <c r="E710" s="95"/>
      <c r="F710" s="95"/>
      <c r="G710" s="95">
        <v>6427</v>
      </c>
      <c r="H710" s="138">
        <v>19700</v>
      </c>
      <c r="I710" s="138"/>
      <c r="J710" s="126">
        <f t="shared" si="90"/>
        <v>19700</v>
      </c>
      <c r="K710" s="318">
        <v>43850</v>
      </c>
      <c r="L710" s="95">
        <v>0</v>
      </c>
      <c r="M710" s="313">
        <f t="shared" si="91"/>
        <v>43850</v>
      </c>
      <c r="N710" s="2" t="str">
        <f t="shared" si="92"/>
        <v>Pagado</v>
      </c>
      <c r="O710" s="318">
        <v>43850</v>
      </c>
      <c r="P710" s="138">
        <v>19700</v>
      </c>
      <c r="Q710" s="2" t="s">
        <v>1481</v>
      </c>
      <c r="R710" s="2"/>
      <c r="S710" s="95"/>
      <c r="T710" s="313"/>
      <c r="U710" s="393"/>
      <c r="V710" s="95"/>
      <c r="W710" s="129"/>
      <c r="X710" s="318"/>
      <c r="Y710" s="95"/>
      <c r="Z710" s="131"/>
      <c r="AA710" s="108" t="str">
        <f t="shared" si="89"/>
        <v/>
      </c>
      <c r="AB710" s="2"/>
      <c r="AC710" s="131">
        <f t="shared" si="93"/>
        <v>16554.621848739498</v>
      </c>
      <c r="AD710" s="108">
        <f t="shared" si="94"/>
        <v>3145.3781512605019</v>
      </c>
      <c r="AE710" s="95" t="s">
        <v>1501</v>
      </c>
      <c r="AF710" s="428" t="s">
        <v>3487</v>
      </c>
      <c r="AG710" s="2" t="str">
        <f t="shared" si="95"/>
        <v>SI</v>
      </c>
      <c r="AH710" s="284"/>
      <c r="AI710" s="428"/>
      <c r="AJ710" s="2" t="str">
        <f t="shared" si="96"/>
        <v>NV</v>
      </c>
      <c r="AK710" s="303"/>
    </row>
    <row r="711" spans="1:37" x14ac:dyDescent="0.25">
      <c r="A711" s="499" t="s">
        <v>1258</v>
      </c>
      <c r="B711" s="317" t="s">
        <v>1059</v>
      </c>
      <c r="C711" s="95">
        <v>0</v>
      </c>
      <c r="D711" s="95">
        <v>2871</v>
      </c>
      <c r="E711" s="95"/>
      <c r="F711" s="95"/>
      <c r="G711" s="95">
        <v>6426</v>
      </c>
      <c r="H711" s="138">
        <v>69000</v>
      </c>
      <c r="I711" s="138"/>
      <c r="J711" s="126">
        <f t="shared" si="90"/>
        <v>69000</v>
      </c>
      <c r="K711" s="318">
        <v>43850</v>
      </c>
      <c r="L711" s="95">
        <v>0</v>
      </c>
      <c r="M711" s="313">
        <f t="shared" si="91"/>
        <v>43850</v>
      </c>
      <c r="N711" s="2" t="str">
        <f t="shared" si="92"/>
        <v>Pagado</v>
      </c>
      <c r="O711" s="318">
        <v>43850</v>
      </c>
      <c r="P711" s="138">
        <v>69000</v>
      </c>
      <c r="Q711" s="2" t="s">
        <v>1484</v>
      </c>
      <c r="R711" s="2"/>
      <c r="S711" s="95"/>
      <c r="T711" s="313" t="s">
        <v>1491</v>
      </c>
      <c r="U711" s="393"/>
      <c r="V711" s="95"/>
      <c r="W711" s="129"/>
      <c r="X711" s="318"/>
      <c r="Y711" s="95"/>
      <c r="Z711" s="131"/>
      <c r="AA711" s="108" t="str">
        <f t="shared" si="89"/>
        <v/>
      </c>
      <c r="AB711" s="2"/>
      <c r="AC711" s="131">
        <f t="shared" si="93"/>
        <v>57983.193277310929</v>
      </c>
      <c r="AD711" s="108">
        <f t="shared" si="94"/>
        <v>11016.806722689071</v>
      </c>
      <c r="AE711" s="95" t="s">
        <v>1501</v>
      </c>
      <c r="AF711" s="498" t="s">
        <v>3487</v>
      </c>
      <c r="AG711" s="2" t="str">
        <f t="shared" si="95"/>
        <v>SI</v>
      </c>
      <c r="AH711" s="284"/>
      <c r="AI711" s="498"/>
      <c r="AJ711" s="2" t="str">
        <f t="shared" si="96"/>
        <v>NV</v>
      </c>
      <c r="AK711" s="303"/>
    </row>
    <row r="712" spans="1:37" x14ac:dyDescent="0.25">
      <c r="A712" s="499" t="s">
        <v>1210</v>
      </c>
      <c r="B712" s="317" t="s">
        <v>1045</v>
      </c>
      <c r="C712" s="95">
        <v>0</v>
      </c>
      <c r="D712" s="95">
        <v>0</v>
      </c>
      <c r="E712" s="95"/>
      <c r="F712" s="95"/>
      <c r="G712" s="95">
        <v>6425</v>
      </c>
      <c r="H712" s="138">
        <v>25900</v>
      </c>
      <c r="I712" s="138"/>
      <c r="J712" s="126">
        <f t="shared" si="90"/>
        <v>25900</v>
      </c>
      <c r="K712" s="318">
        <v>43850</v>
      </c>
      <c r="L712" s="95">
        <v>0</v>
      </c>
      <c r="M712" s="313">
        <f t="shared" si="91"/>
        <v>43850</v>
      </c>
      <c r="N712" s="2" t="str">
        <f t="shared" ca="1" si="92"/>
        <v>Vencido</v>
      </c>
      <c r="O712" s="318"/>
      <c r="P712" s="138"/>
      <c r="Q712" s="2"/>
      <c r="R712" s="2"/>
      <c r="S712" s="95"/>
      <c r="T712" s="313"/>
      <c r="U712" s="393"/>
      <c r="V712" s="95"/>
      <c r="W712" s="129"/>
      <c r="X712" s="318"/>
      <c r="Y712" s="95"/>
      <c r="Z712" s="131"/>
      <c r="AA712" s="108" t="str">
        <f t="shared" si="89"/>
        <v/>
      </c>
      <c r="AB712" s="2"/>
      <c r="AC712" s="131">
        <f t="shared" si="93"/>
        <v>21764.705882352941</v>
      </c>
      <c r="AD712" s="108">
        <f t="shared" si="94"/>
        <v>4135.2941176470595</v>
      </c>
      <c r="AE712" s="95" t="s">
        <v>1501</v>
      </c>
      <c r="AF712" s="498" t="s">
        <v>3489</v>
      </c>
      <c r="AG712" s="2" t="str">
        <f t="shared" ca="1" si="95"/>
        <v>NO</v>
      </c>
      <c r="AH712" s="284"/>
      <c r="AI712" s="498"/>
      <c r="AJ712" s="2" t="str">
        <f t="shared" si="96"/>
        <v>NV</v>
      </c>
      <c r="AK712" s="303"/>
    </row>
    <row r="713" spans="1:37" x14ac:dyDescent="0.25">
      <c r="A713" s="499" t="s">
        <v>4583</v>
      </c>
      <c r="B713" s="317" t="s">
        <v>4584</v>
      </c>
      <c r="C713" s="95">
        <v>0</v>
      </c>
      <c r="D713" s="95">
        <v>0</v>
      </c>
      <c r="E713" s="95"/>
      <c r="F713" s="95"/>
      <c r="G713" s="95">
        <v>6424</v>
      </c>
      <c r="H713" s="138">
        <v>10500</v>
      </c>
      <c r="I713" s="138"/>
      <c r="J713" s="126">
        <f t="shared" si="90"/>
        <v>10500</v>
      </c>
      <c r="K713" s="318">
        <v>43850</v>
      </c>
      <c r="L713" s="95">
        <v>0</v>
      </c>
      <c r="M713" s="313">
        <f t="shared" si="91"/>
        <v>43850</v>
      </c>
      <c r="N713" s="2" t="str">
        <f t="shared" si="92"/>
        <v>Pagado</v>
      </c>
      <c r="O713" s="318">
        <v>43850</v>
      </c>
      <c r="P713" s="138">
        <v>10500</v>
      </c>
      <c r="Q713" s="2" t="s">
        <v>1481</v>
      </c>
      <c r="R713" s="2"/>
      <c r="S713" s="95"/>
      <c r="T713" s="313"/>
      <c r="U713" s="393"/>
      <c r="V713" s="95"/>
      <c r="W713" s="129"/>
      <c r="X713" s="318"/>
      <c r="Y713" s="95"/>
      <c r="Z713" s="131"/>
      <c r="AA713" s="108" t="str">
        <f t="shared" si="89"/>
        <v/>
      </c>
      <c r="AB713" s="2"/>
      <c r="AC713" s="131">
        <f t="shared" si="93"/>
        <v>8823.5294117647063</v>
      </c>
      <c r="AD713" s="108">
        <f t="shared" si="94"/>
        <v>1676.4705882352937</v>
      </c>
      <c r="AE713" s="95" t="s">
        <v>1501</v>
      </c>
      <c r="AF713" s="498" t="s">
        <v>3487</v>
      </c>
      <c r="AG713" s="2" t="str">
        <f t="shared" si="95"/>
        <v>SI</v>
      </c>
      <c r="AH713" s="284"/>
      <c r="AI713" s="498"/>
      <c r="AJ713" s="2" t="str">
        <f t="shared" si="96"/>
        <v>NV</v>
      </c>
      <c r="AK713" s="303"/>
    </row>
    <row r="714" spans="1:37" x14ac:dyDescent="0.25">
      <c r="A714" s="499" t="s">
        <v>4853</v>
      </c>
      <c r="B714" s="317" t="s">
        <v>4854</v>
      </c>
      <c r="C714" s="95">
        <v>0</v>
      </c>
      <c r="D714" s="95">
        <v>200</v>
      </c>
      <c r="E714" s="95"/>
      <c r="F714" s="95"/>
      <c r="G714" s="95">
        <v>6428</v>
      </c>
      <c r="H714" s="138">
        <v>23000</v>
      </c>
      <c r="I714" s="138"/>
      <c r="J714" s="126">
        <f t="shared" si="90"/>
        <v>23000</v>
      </c>
      <c r="K714" s="318">
        <v>43850</v>
      </c>
      <c r="L714" s="95">
        <v>0</v>
      </c>
      <c r="M714" s="313">
        <f t="shared" si="91"/>
        <v>43850</v>
      </c>
      <c r="N714" s="2" t="str">
        <f t="shared" si="92"/>
        <v>Pagado</v>
      </c>
      <c r="O714" s="318">
        <v>43850</v>
      </c>
      <c r="P714" s="138">
        <v>23000</v>
      </c>
      <c r="Q714" s="2" t="s">
        <v>1070</v>
      </c>
      <c r="R714" s="2" t="s">
        <v>2243</v>
      </c>
      <c r="S714" s="95">
        <v>200</v>
      </c>
      <c r="T714" s="313"/>
      <c r="U714" s="393"/>
      <c r="V714" s="95"/>
      <c r="W714" s="129"/>
      <c r="X714" s="318"/>
      <c r="Y714" s="95"/>
      <c r="Z714" s="131"/>
      <c r="AA714" s="108" t="str">
        <f t="shared" si="89"/>
        <v/>
      </c>
      <c r="AB714" s="2"/>
      <c r="AC714" s="131">
        <f t="shared" si="93"/>
        <v>19327.731092436974</v>
      </c>
      <c r="AD714" s="108">
        <f t="shared" si="94"/>
        <v>3672.268907563026</v>
      </c>
      <c r="AE714" s="95" t="s">
        <v>1501</v>
      </c>
      <c r="AF714" s="498" t="s">
        <v>3487</v>
      </c>
      <c r="AG714" s="2" t="str">
        <f t="shared" si="95"/>
        <v>SI</v>
      </c>
      <c r="AH714" s="284"/>
      <c r="AI714" s="498"/>
      <c r="AJ714" s="2" t="str">
        <f t="shared" si="96"/>
        <v>NV</v>
      </c>
      <c r="AK714" s="303"/>
    </row>
    <row r="715" spans="1:37" x14ac:dyDescent="0.25">
      <c r="A715" s="542" t="s">
        <v>1175</v>
      </c>
      <c r="B715" s="317" t="s">
        <v>1144</v>
      </c>
      <c r="C715" s="95">
        <v>3076</v>
      </c>
      <c r="D715" s="95">
        <v>0</v>
      </c>
      <c r="E715" s="95"/>
      <c r="F715" s="95"/>
      <c r="G715" s="95" t="s">
        <v>2528</v>
      </c>
      <c r="H715" s="138">
        <v>477000</v>
      </c>
      <c r="I715" s="138"/>
      <c r="J715" s="126">
        <f t="shared" si="90"/>
        <v>477000</v>
      </c>
      <c r="K715" s="318">
        <v>43850</v>
      </c>
      <c r="L715" s="95">
        <v>30</v>
      </c>
      <c r="M715" s="313">
        <f t="shared" si="91"/>
        <v>43880</v>
      </c>
      <c r="N715" s="2" t="str">
        <f t="shared" si="92"/>
        <v>Pagado</v>
      </c>
      <c r="O715" s="318">
        <v>43887</v>
      </c>
      <c r="P715" s="138">
        <v>477000</v>
      </c>
      <c r="Q715" s="2" t="s">
        <v>1484</v>
      </c>
      <c r="R715" s="2"/>
      <c r="S715" s="95"/>
      <c r="T715" s="313" t="s">
        <v>1496</v>
      </c>
      <c r="U715" s="393"/>
      <c r="V715" s="95"/>
      <c r="W715" s="129"/>
      <c r="X715" s="318"/>
      <c r="Y715" s="95"/>
      <c r="Z715" s="131" t="s">
        <v>1467</v>
      </c>
      <c r="AA715" s="108" t="str">
        <f t="shared" si="89"/>
        <v/>
      </c>
      <c r="AB715" s="2"/>
      <c r="AC715" s="131">
        <f t="shared" si="93"/>
        <v>400840.33613445383</v>
      </c>
      <c r="AD715" s="108">
        <f t="shared" si="94"/>
        <v>76159.663865546172</v>
      </c>
      <c r="AE715" s="95" t="s">
        <v>2050</v>
      </c>
      <c r="AF715" s="541" t="s">
        <v>3490</v>
      </c>
      <c r="AG715" s="2" t="str">
        <f t="shared" si="95"/>
        <v>SI</v>
      </c>
      <c r="AH715" s="284"/>
      <c r="AI715" s="541"/>
      <c r="AJ715" s="2" t="str">
        <f t="shared" si="96"/>
        <v>Factura</v>
      </c>
      <c r="AK715" s="303"/>
    </row>
    <row r="716" spans="1:37" x14ac:dyDescent="0.25">
      <c r="A716" s="499" t="s">
        <v>2226</v>
      </c>
      <c r="B716" s="317" t="s">
        <v>2227</v>
      </c>
      <c r="C716" s="95">
        <v>0</v>
      </c>
      <c r="D716" s="95">
        <v>196</v>
      </c>
      <c r="E716" s="95"/>
      <c r="F716" s="95"/>
      <c r="G716" s="95">
        <v>6423</v>
      </c>
      <c r="H716" s="138">
        <v>108000</v>
      </c>
      <c r="I716" s="138"/>
      <c r="J716" s="126">
        <f t="shared" si="90"/>
        <v>108000</v>
      </c>
      <c r="K716" s="318">
        <v>43850</v>
      </c>
      <c r="L716" s="95">
        <v>0</v>
      </c>
      <c r="M716" s="313">
        <f t="shared" si="91"/>
        <v>43850</v>
      </c>
      <c r="N716" s="2" t="str">
        <f t="shared" si="92"/>
        <v>Pagado</v>
      </c>
      <c r="O716" s="318">
        <v>43850</v>
      </c>
      <c r="P716" s="138">
        <v>108000</v>
      </c>
      <c r="Q716" s="2" t="s">
        <v>1070</v>
      </c>
      <c r="R716" s="2" t="s">
        <v>2243</v>
      </c>
      <c r="S716" s="95">
        <v>196</v>
      </c>
      <c r="T716" s="313"/>
      <c r="U716" s="393"/>
      <c r="V716" s="95"/>
      <c r="W716" s="129"/>
      <c r="X716" s="318"/>
      <c r="Y716" s="95"/>
      <c r="Z716" s="131"/>
      <c r="AA716" s="108" t="str">
        <f t="shared" si="89"/>
        <v/>
      </c>
      <c r="AB716" s="2"/>
      <c r="AC716" s="131">
        <f t="shared" si="93"/>
        <v>90756.302521008402</v>
      </c>
      <c r="AD716" s="108">
        <f t="shared" si="94"/>
        <v>17243.697478991598</v>
      </c>
      <c r="AE716" s="95" t="s">
        <v>1501</v>
      </c>
      <c r="AF716" s="498" t="s">
        <v>3487</v>
      </c>
      <c r="AG716" s="2" t="str">
        <f t="shared" si="95"/>
        <v>SI</v>
      </c>
      <c r="AH716" s="284"/>
      <c r="AI716" s="498"/>
      <c r="AJ716" s="2" t="str">
        <f t="shared" si="96"/>
        <v>NV</v>
      </c>
      <c r="AK716" s="303"/>
    </row>
    <row r="717" spans="1:37" x14ac:dyDescent="0.25">
      <c r="A717" s="534" t="s">
        <v>1226</v>
      </c>
      <c r="B717" s="317" t="s">
        <v>1016</v>
      </c>
      <c r="C717" s="95">
        <v>0</v>
      </c>
      <c r="D717" s="95">
        <v>2872</v>
      </c>
      <c r="E717" s="95"/>
      <c r="F717" s="95"/>
      <c r="G717" s="95">
        <v>6430</v>
      </c>
      <c r="H717" s="138">
        <v>292000</v>
      </c>
      <c r="I717" s="138"/>
      <c r="J717" s="126">
        <f t="shared" si="90"/>
        <v>292000</v>
      </c>
      <c r="K717" s="318">
        <v>43851</v>
      </c>
      <c r="L717" s="95">
        <v>0</v>
      </c>
      <c r="M717" s="313">
        <f t="shared" si="91"/>
        <v>43851</v>
      </c>
      <c r="N717" s="2" t="str">
        <f t="shared" si="92"/>
        <v>Pagado</v>
      </c>
      <c r="O717" s="318">
        <v>43852</v>
      </c>
      <c r="P717" s="138">
        <v>292000</v>
      </c>
      <c r="Q717" s="2" t="s">
        <v>1484</v>
      </c>
      <c r="R717" s="2"/>
      <c r="S717" s="95"/>
      <c r="T717" s="313" t="s">
        <v>1496</v>
      </c>
      <c r="U717" s="393"/>
      <c r="V717" s="95"/>
      <c r="W717" s="129"/>
      <c r="X717" s="318"/>
      <c r="Y717" s="95"/>
      <c r="Z717" s="131"/>
      <c r="AA717" s="108" t="str">
        <f t="shared" si="89"/>
        <v/>
      </c>
      <c r="AB717" s="2"/>
      <c r="AC717" s="131">
        <f t="shared" si="93"/>
        <v>245378.15126050421</v>
      </c>
      <c r="AD717" s="108">
        <f t="shared" si="94"/>
        <v>46621.848739495792</v>
      </c>
      <c r="AE717" s="95" t="s">
        <v>1501</v>
      </c>
      <c r="AF717" s="533" t="s">
        <v>3487</v>
      </c>
      <c r="AG717" s="2" t="str">
        <f t="shared" si="95"/>
        <v>SI</v>
      </c>
      <c r="AH717" s="284"/>
      <c r="AI717" s="533"/>
      <c r="AJ717" s="2" t="str">
        <f t="shared" si="96"/>
        <v>NV</v>
      </c>
      <c r="AK717" s="303"/>
    </row>
    <row r="718" spans="1:37" x14ac:dyDescent="0.25">
      <c r="A718" s="534" t="s">
        <v>4577</v>
      </c>
      <c r="B718" s="317" t="s">
        <v>4578</v>
      </c>
      <c r="C718" s="95">
        <v>0</v>
      </c>
      <c r="D718" s="95">
        <v>198</v>
      </c>
      <c r="E718" s="95"/>
      <c r="F718" s="95"/>
      <c r="G718" s="95">
        <v>6432</v>
      </c>
      <c r="H718" s="138">
        <v>45400</v>
      </c>
      <c r="I718" s="138"/>
      <c r="J718" s="126">
        <f t="shared" si="90"/>
        <v>45400</v>
      </c>
      <c r="K718" s="318">
        <v>43851</v>
      </c>
      <c r="L718" s="95">
        <v>0</v>
      </c>
      <c r="M718" s="313">
        <f t="shared" si="91"/>
        <v>43851</v>
      </c>
      <c r="N718" s="2" t="str">
        <f t="shared" si="92"/>
        <v>Pagado</v>
      </c>
      <c r="O718" s="318">
        <v>43851</v>
      </c>
      <c r="P718" s="138">
        <v>45400</v>
      </c>
      <c r="Q718" s="2" t="s">
        <v>1070</v>
      </c>
      <c r="R718" s="2" t="s">
        <v>2243</v>
      </c>
      <c r="S718" s="95">
        <v>198</v>
      </c>
      <c r="T718" s="313"/>
      <c r="U718" s="393"/>
      <c r="V718" s="95"/>
      <c r="W718" s="129"/>
      <c r="X718" s="318"/>
      <c r="Y718" s="95"/>
      <c r="Z718" s="131"/>
      <c r="AA718" s="108" t="str">
        <f t="shared" si="89"/>
        <v/>
      </c>
      <c r="AB718" s="2"/>
      <c r="AC718" s="131">
        <f t="shared" si="93"/>
        <v>38151.26050420168</v>
      </c>
      <c r="AD718" s="108">
        <f t="shared" si="94"/>
        <v>7248.7394957983197</v>
      </c>
      <c r="AE718" s="95" t="s">
        <v>1501</v>
      </c>
      <c r="AF718" s="533" t="s">
        <v>3487</v>
      </c>
      <c r="AG718" s="2" t="str">
        <f t="shared" si="95"/>
        <v>SI</v>
      </c>
      <c r="AH718" s="284"/>
      <c r="AI718" s="533"/>
      <c r="AJ718" s="2" t="str">
        <f t="shared" si="96"/>
        <v>NV</v>
      </c>
      <c r="AK718" s="303"/>
    </row>
    <row r="719" spans="1:37" x14ac:dyDescent="0.25">
      <c r="A719" s="499" t="s">
        <v>1419</v>
      </c>
      <c r="B719" s="317" t="s">
        <v>1119</v>
      </c>
      <c r="C719" s="95">
        <v>0</v>
      </c>
      <c r="D719" s="95">
        <v>199</v>
      </c>
      <c r="E719" s="95"/>
      <c r="F719" s="95"/>
      <c r="G719" s="95">
        <v>6431</v>
      </c>
      <c r="H719" s="138">
        <v>23500</v>
      </c>
      <c r="I719" s="138"/>
      <c r="J719" s="126">
        <f t="shared" si="90"/>
        <v>23500</v>
      </c>
      <c r="K719" s="318">
        <v>43851</v>
      </c>
      <c r="L719" s="95">
        <v>0</v>
      </c>
      <c r="M719" s="313">
        <f t="shared" si="91"/>
        <v>43851</v>
      </c>
      <c r="N719" s="2" t="str">
        <f t="shared" si="92"/>
        <v>Pagado</v>
      </c>
      <c r="O719" s="318">
        <v>43851</v>
      </c>
      <c r="P719" s="138">
        <v>23500</v>
      </c>
      <c r="Q719" s="2" t="s">
        <v>1070</v>
      </c>
      <c r="R719" s="2" t="s">
        <v>2243</v>
      </c>
      <c r="S719" s="95">
        <v>199</v>
      </c>
      <c r="T719" s="313"/>
      <c r="U719" s="393"/>
      <c r="V719" s="95"/>
      <c r="W719" s="129"/>
      <c r="X719" s="318"/>
      <c r="Y719" s="95"/>
      <c r="Z719" s="131"/>
      <c r="AA719" s="108" t="str">
        <f t="shared" si="89"/>
        <v/>
      </c>
      <c r="AB719" s="2"/>
      <c r="AC719" s="131">
        <f t="shared" si="93"/>
        <v>19747.899159663866</v>
      </c>
      <c r="AD719" s="108">
        <f t="shared" si="94"/>
        <v>3752.1008403361338</v>
      </c>
      <c r="AE719" s="95" t="s">
        <v>1501</v>
      </c>
      <c r="AF719" s="498" t="s">
        <v>3489</v>
      </c>
      <c r="AG719" s="2" t="str">
        <f t="shared" si="95"/>
        <v>SI</v>
      </c>
      <c r="AH719" s="284"/>
      <c r="AI719" s="498"/>
      <c r="AJ719" s="2" t="str">
        <f t="shared" si="96"/>
        <v>NV</v>
      </c>
      <c r="AK719" s="303"/>
    </row>
    <row r="720" spans="1:37" x14ac:dyDescent="0.25">
      <c r="A720" s="499" t="s">
        <v>4462</v>
      </c>
      <c r="B720" s="317" t="s">
        <v>4463</v>
      </c>
      <c r="C720" s="95">
        <v>0</v>
      </c>
      <c r="D720" s="95">
        <v>2873</v>
      </c>
      <c r="E720" s="95"/>
      <c r="F720" s="95"/>
      <c r="G720" s="95" t="s">
        <v>2528</v>
      </c>
      <c r="H720" s="138">
        <v>16500</v>
      </c>
      <c r="I720" s="138"/>
      <c r="J720" s="126">
        <f t="shared" si="90"/>
        <v>16500</v>
      </c>
      <c r="K720" s="318">
        <v>43851</v>
      </c>
      <c r="L720" s="95">
        <v>0</v>
      </c>
      <c r="M720" s="313">
        <f t="shared" si="91"/>
        <v>43851</v>
      </c>
      <c r="N720" s="2" t="str">
        <f t="shared" si="92"/>
        <v>Pagado</v>
      </c>
      <c r="O720" s="318">
        <v>43851</v>
      </c>
      <c r="P720" s="138">
        <v>16500</v>
      </c>
      <c r="Q720" s="2" t="s">
        <v>1484</v>
      </c>
      <c r="R720" s="2"/>
      <c r="S720" s="95"/>
      <c r="T720" s="313" t="s">
        <v>1462</v>
      </c>
      <c r="U720" s="393"/>
      <c r="V720" s="95"/>
      <c r="W720" s="129"/>
      <c r="X720" s="318"/>
      <c r="Y720" s="95"/>
      <c r="Z720" s="131"/>
      <c r="AA720" s="108" t="str">
        <f t="shared" si="89"/>
        <v/>
      </c>
      <c r="AB720" s="2"/>
      <c r="AC720" s="131">
        <f t="shared" si="93"/>
        <v>13865.546218487396</v>
      </c>
      <c r="AD720" s="108">
        <f t="shared" si="94"/>
        <v>2634.4537815126041</v>
      </c>
      <c r="AE720" s="95" t="s">
        <v>1501</v>
      </c>
      <c r="AF720" s="498" t="s">
        <v>3487</v>
      </c>
      <c r="AG720" s="2" t="str">
        <f t="shared" si="95"/>
        <v>SI</v>
      </c>
      <c r="AH720" s="284"/>
      <c r="AI720" s="498"/>
      <c r="AJ720" s="2" t="str">
        <f t="shared" si="96"/>
        <v>NV</v>
      </c>
      <c r="AK720" s="303"/>
    </row>
    <row r="721" spans="1:37" x14ac:dyDescent="0.25">
      <c r="A721" s="499" t="s">
        <v>5564</v>
      </c>
      <c r="B721" s="317" t="s">
        <v>5565</v>
      </c>
      <c r="C721" s="95">
        <v>0</v>
      </c>
      <c r="D721" s="95">
        <v>195</v>
      </c>
      <c r="E721" s="95"/>
      <c r="F721" s="95"/>
      <c r="G721" s="95">
        <v>6433</v>
      </c>
      <c r="H721" s="138">
        <v>23000</v>
      </c>
      <c r="I721" s="138"/>
      <c r="J721" s="126">
        <f t="shared" si="90"/>
        <v>23000</v>
      </c>
      <c r="K721" s="318">
        <v>43851</v>
      </c>
      <c r="L721" s="95">
        <v>0</v>
      </c>
      <c r="M721" s="313">
        <f t="shared" si="91"/>
        <v>43851</v>
      </c>
      <c r="N721" s="2" t="str">
        <f t="shared" si="92"/>
        <v>Pagado</v>
      </c>
      <c r="O721" s="318">
        <v>43851</v>
      </c>
      <c r="P721" s="138">
        <v>23000</v>
      </c>
      <c r="Q721" s="2" t="s">
        <v>1070</v>
      </c>
      <c r="R721" s="2" t="s">
        <v>2243</v>
      </c>
      <c r="S721" s="95">
        <v>195</v>
      </c>
      <c r="T721" s="313"/>
      <c r="U721" s="393"/>
      <c r="V721" s="95"/>
      <c r="W721" s="129"/>
      <c r="X721" s="318"/>
      <c r="Y721" s="95"/>
      <c r="Z721" s="131"/>
      <c r="AA721" s="108" t="str">
        <f t="shared" si="89"/>
        <v/>
      </c>
      <c r="AB721" s="2"/>
      <c r="AC721" s="131">
        <f t="shared" si="93"/>
        <v>19327.731092436974</v>
      </c>
      <c r="AD721" s="108">
        <f t="shared" si="94"/>
        <v>3672.268907563026</v>
      </c>
      <c r="AE721" s="95" t="s">
        <v>1501</v>
      </c>
      <c r="AF721" s="498" t="s">
        <v>3487</v>
      </c>
      <c r="AG721" s="2" t="str">
        <f t="shared" si="95"/>
        <v>SI</v>
      </c>
      <c r="AH721" s="284"/>
      <c r="AI721" s="498"/>
      <c r="AJ721" s="2" t="str">
        <f t="shared" si="96"/>
        <v>NV</v>
      </c>
      <c r="AK721" s="303"/>
    </row>
    <row r="722" spans="1:37" x14ac:dyDescent="0.25">
      <c r="A722" s="499" t="s">
        <v>1411</v>
      </c>
      <c r="B722" s="317" t="s">
        <v>1150</v>
      </c>
      <c r="C722" s="95">
        <v>0</v>
      </c>
      <c r="D722" s="95">
        <v>197</v>
      </c>
      <c r="E722" s="95"/>
      <c r="F722" s="95"/>
      <c r="G722" s="95">
        <v>6429</v>
      </c>
      <c r="H722" s="138">
        <v>29600</v>
      </c>
      <c r="I722" s="138"/>
      <c r="J722" s="126">
        <f t="shared" si="90"/>
        <v>29600</v>
      </c>
      <c r="K722" s="318">
        <v>43851</v>
      </c>
      <c r="L722" s="95">
        <v>0</v>
      </c>
      <c r="M722" s="313">
        <f t="shared" si="91"/>
        <v>43851</v>
      </c>
      <c r="N722" s="2" t="str">
        <f t="shared" si="92"/>
        <v>Pagado</v>
      </c>
      <c r="O722" s="318">
        <v>43852</v>
      </c>
      <c r="P722" s="138">
        <v>29600</v>
      </c>
      <c r="Q722" s="2" t="s">
        <v>1070</v>
      </c>
      <c r="R722" s="2" t="s">
        <v>1478</v>
      </c>
      <c r="S722" s="95">
        <v>197</v>
      </c>
      <c r="T722" s="313"/>
      <c r="U722" s="393"/>
      <c r="V722" s="95"/>
      <c r="W722" s="129"/>
      <c r="X722" s="318"/>
      <c r="Y722" s="95"/>
      <c r="Z722" s="131"/>
      <c r="AA722" s="108" t="str">
        <f t="shared" si="89"/>
        <v/>
      </c>
      <c r="AB722" s="2"/>
      <c r="AC722" s="131">
        <f t="shared" si="93"/>
        <v>24873.949579831933</v>
      </c>
      <c r="AD722" s="108">
        <f t="shared" si="94"/>
        <v>4726.0504201680669</v>
      </c>
      <c r="AE722" s="95" t="s">
        <v>1501</v>
      </c>
      <c r="AF722" s="498" t="s">
        <v>3487</v>
      </c>
      <c r="AG722" s="2" t="str">
        <f t="shared" si="95"/>
        <v>SI</v>
      </c>
      <c r="AH722" s="284"/>
      <c r="AI722" s="498"/>
      <c r="AJ722" s="2" t="str">
        <f t="shared" si="96"/>
        <v>NV</v>
      </c>
      <c r="AK722" s="303"/>
    </row>
    <row r="723" spans="1:37" x14ac:dyDescent="0.25">
      <c r="A723" s="542" t="s">
        <v>1192</v>
      </c>
      <c r="B723" s="317" t="s">
        <v>1061</v>
      </c>
      <c r="C723" s="95">
        <v>3078</v>
      </c>
      <c r="D723" s="95">
        <v>0</v>
      </c>
      <c r="E723" s="95"/>
      <c r="F723" s="95"/>
      <c r="G723" s="95" t="s">
        <v>4786</v>
      </c>
      <c r="H723" s="138">
        <v>91718</v>
      </c>
      <c r="I723" s="138"/>
      <c r="J723" s="126">
        <f t="shared" si="90"/>
        <v>91718</v>
      </c>
      <c r="K723" s="318">
        <v>43852</v>
      </c>
      <c r="L723" s="95">
        <v>0</v>
      </c>
      <c r="M723" s="313">
        <f t="shared" si="91"/>
        <v>43852</v>
      </c>
      <c r="N723" s="2" t="str">
        <f t="shared" si="92"/>
        <v>Pagado</v>
      </c>
      <c r="O723" s="318">
        <v>43859</v>
      </c>
      <c r="P723" s="138">
        <v>91718</v>
      </c>
      <c r="Q723" s="2" t="s">
        <v>1484</v>
      </c>
      <c r="R723" s="2"/>
      <c r="S723" s="95"/>
      <c r="T723" s="313" t="s">
        <v>1488</v>
      </c>
      <c r="U723" s="393"/>
      <c r="V723" s="95"/>
      <c r="W723" s="129"/>
      <c r="X723" s="318"/>
      <c r="Y723" s="95"/>
      <c r="Z723" s="310">
        <v>43833</v>
      </c>
      <c r="AA723" s="108" t="str">
        <f t="shared" si="89"/>
        <v/>
      </c>
      <c r="AB723" s="2"/>
      <c r="AC723" s="131">
        <f t="shared" si="93"/>
        <v>77073.94957983194</v>
      </c>
      <c r="AD723" s="108">
        <f t="shared" si="94"/>
        <v>14644.05042016806</v>
      </c>
      <c r="AE723" s="95" t="s">
        <v>1501</v>
      </c>
      <c r="AF723" s="541" t="s">
        <v>3490</v>
      </c>
      <c r="AG723" s="2" t="str">
        <f t="shared" si="95"/>
        <v>SI</v>
      </c>
      <c r="AH723" s="284"/>
      <c r="AI723" s="541"/>
      <c r="AJ723" s="2" t="str">
        <f t="shared" si="96"/>
        <v>Factura</v>
      </c>
      <c r="AK723" s="303"/>
    </row>
    <row r="724" spans="1:37" x14ac:dyDescent="0.25">
      <c r="A724" s="542" t="s">
        <v>1192</v>
      </c>
      <c r="B724" s="317" t="s">
        <v>1061</v>
      </c>
      <c r="C724" s="95">
        <v>3078</v>
      </c>
      <c r="D724" s="95">
        <v>0</v>
      </c>
      <c r="E724" s="95"/>
      <c r="F724" s="95"/>
      <c r="G724" s="95" t="s">
        <v>4844</v>
      </c>
      <c r="H724" s="138">
        <v>228312</v>
      </c>
      <c r="I724" s="138"/>
      <c r="J724" s="126">
        <f t="shared" si="90"/>
        <v>228312</v>
      </c>
      <c r="K724" s="318">
        <v>43852</v>
      </c>
      <c r="L724" s="95">
        <v>0</v>
      </c>
      <c r="M724" s="313">
        <f t="shared" si="91"/>
        <v>43852</v>
      </c>
      <c r="N724" s="2" t="str">
        <f t="shared" si="92"/>
        <v>Pagado</v>
      </c>
      <c r="O724" s="318">
        <v>43859</v>
      </c>
      <c r="P724" s="138">
        <v>228312</v>
      </c>
      <c r="Q724" s="2" t="s">
        <v>1484</v>
      </c>
      <c r="R724" s="2"/>
      <c r="S724" s="95"/>
      <c r="T724" s="313" t="s">
        <v>1488</v>
      </c>
      <c r="U724" s="393"/>
      <c r="V724" s="95"/>
      <c r="W724" s="129"/>
      <c r="X724" s="318"/>
      <c r="Y724" s="95"/>
      <c r="Z724" s="318">
        <v>43836</v>
      </c>
      <c r="AA724" s="108" t="str">
        <f t="shared" si="89"/>
        <v/>
      </c>
      <c r="AB724" s="2"/>
      <c r="AC724" s="131">
        <f t="shared" si="93"/>
        <v>191858.82352941178</v>
      </c>
      <c r="AD724" s="108">
        <f t="shared" si="94"/>
        <v>36453.176470588223</v>
      </c>
      <c r="AE724" s="95" t="s">
        <v>1501</v>
      </c>
      <c r="AF724" s="541" t="s">
        <v>3490</v>
      </c>
      <c r="AG724" s="2" t="str">
        <f t="shared" si="95"/>
        <v>SI</v>
      </c>
      <c r="AH724" s="284"/>
      <c r="AI724" s="541"/>
      <c r="AJ724" s="2" t="str">
        <f t="shared" si="96"/>
        <v>Factura</v>
      </c>
      <c r="AK724" s="303"/>
    </row>
    <row r="725" spans="1:37" x14ac:dyDescent="0.25">
      <c r="A725" s="542" t="s">
        <v>1192</v>
      </c>
      <c r="B725" s="317" t="s">
        <v>1061</v>
      </c>
      <c r="C725" s="95">
        <v>3078</v>
      </c>
      <c r="D725" s="95">
        <v>0</v>
      </c>
      <c r="E725" s="95"/>
      <c r="F725" s="95"/>
      <c r="G725" s="95" t="s">
        <v>4845</v>
      </c>
      <c r="H725" s="138">
        <v>53778</v>
      </c>
      <c r="I725" s="138"/>
      <c r="J725" s="126">
        <f t="shared" si="90"/>
        <v>53778</v>
      </c>
      <c r="K725" s="318">
        <v>43852</v>
      </c>
      <c r="L725" s="95">
        <v>0</v>
      </c>
      <c r="M725" s="313">
        <f t="shared" si="91"/>
        <v>43852</v>
      </c>
      <c r="N725" s="2" t="str">
        <f t="shared" si="92"/>
        <v>Pagado</v>
      </c>
      <c r="O725" s="318">
        <v>43859</v>
      </c>
      <c r="P725" s="138">
        <v>53778</v>
      </c>
      <c r="Q725" s="2" t="s">
        <v>1484</v>
      </c>
      <c r="R725" s="2"/>
      <c r="S725" s="95"/>
      <c r="T725" s="313" t="s">
        <v>1488</v>
      </c>
      <c r="U725" s="393"/>
      <c r="V725" s="95"/>
      <c r="W725" s="129"/>
      <c r="X725" s="318"/>
      <c r="Y725" s="95"/>
      <c r="Z725" s="310">
        <v>43836</v>
      </c>
      <c r="AA725" s="108" t="str">
        <f t="shared" ref="AA725:AA788" si="97">+IF(LEFT(Q725,6)="Cheque",IF(T725="Chile","Chile","Otros"),"")</f>
        <v/>
      </c>
      <c r="AB725" s="2"/>
      <c r="AC725" s="131">
        <f t="shared" si="93"/>
        <v>45191.596638655465</v>
      </c>
      <c r="AD725" s="108">
        <f t="shared" si="94"/>
        <v>8586.4033613445354</v>
      </c>
      <c r="AE725" s="95" t="s">
        <v>1501</v>
      </c>
      <c r="AF725" s="541" t="s">
        <v>3490</v>
      </c>
      <c r="AG725" s="2" t="str">
        <f t="shared" si="95"/>
        <v>SI</v>
      </c>
      <c r="AH725" s="284"/>
      <c r="AI725" s="541"/>
      <c r="AJ725" s="2" t="str">
        <f t="shared" si="96"/>
        <v>Factura</v>
      </c>
      <c r="AK725" s="303"/>
    </row>
    <row r="726" spans="1:37" x14ac:dyDescent="0.25">
      <c r="A726" s="542" t="s">
        <v>1192</v>
      </c>
      <c r="B726" s="317" t="s">
        <v>1061</v>
      </c>
      <c r="C726" s="95">
        <v>3078</v>
      </c>
      <c r="D726" s="95">
        <v>0</v>
      </c>
      <c r="E726" s="95"/>
      <c r="F726" s="95"/>
      <c r="G726" s="95" t="s">
        <v>4429</v>
      </c>
      <c r="H726" s="138">
        <v>64750</v>
      </c>
      <c r="I726" s="138"/>
      <c r="J726" s="126">
        <f t="shared" si="90"/>
        <v>64750</v>
      </c>
      <c r="K726" s="318">
        <v>43852</v>
      </c>
      <c r="L726" s="95">
        <v>0</v>
      </c>
      <c r="M726" s="313">
        <f t="shared" si="91"/>
        <v>43852</v>
      </c>
      <c r="N726" s="2" t="str">
        <f t="shared" si="92"/>
        <v>Pagado</v>
      </c>
      <c r="O726" s="318">
        <v>43859</v>
      </c>
      <c r="P726" s="138">
        <v>64750</v>
      </c>
      <c r="Q726" s="2" t="s">
        <v>1484</v>
      </c>
      <c r="R726" s="2"/>
      <c r="S726" s="95"/>
      <c r="T726" s="313" t="s">
        <v>1488</v>
      </c>
      <c r="U726" s="393"/>
      <c r="V726" s="95"/>
      <c r="W726" s="129"/>
      <c r="X726" s="318"/>
      <c r="Y726" s="95"/>
      <c r="Z726" s="310">
        <v>43838</v>
      </c>
      <c r="AA726" s="108" t="str">
        <f t="shared" si="97"/>
        <v/>
      </c>
      <c r="AB726" s="2"/>
      <c r="AC726" s="131">
        <f t="shared" si="93"/>
        <v>54411.764705882357</v>
      </c>
      <c r="AD726" s="108">
        <f t="shared" si="94"/>
        <v>10338.235294117643</v>
      </c>
      <c r="AE726" s="95" t="s">
        <v>1501</v>
      </c>
      <c r="AF726" s="541" t="s">
        <v>3490</v>
      </c>
      <c r="AG726" s="2" t="str">
        <f t="shared" si="95"/>
        <v>SI</v>
      </c>
      <c r="AH726" s="284"/>
      <c r="AI726" s="541"/>
      <c r="AJ726" s="2" t="str">
        <f t="shared" si="96"/>
        <v>Factura</v>
      </c>
      <c r="AK726" s="303"/>
    </row>
    <row r="727" spans="1:37" x14ac:dyDescent="0.25">
      <c r="A727" s="542" t="s">
        <v>1192</v>
      </c>
      <c r="B727" s="317" t="s">
        <v>1061</v>
      </c>
      <c r="C727" s="95">
        <v>3078</v>
      </c>
      <c r="D727" s="95">
        <v>0</v>
      </c>
      <c r="E727" s="95"/>
      <c r="F727" s="95"/>
      <c r="G727" s="95" t="s">
        <v>4759</v>
      </c>
      <c r="H727" s="138">
        <v>61366</v>
      </c>
      <c r="I727" s="138"/>
      <c r="J727" s="126">
        <f t="shared" si="90"/>
        <v>61366</v>
      </c>
      <c r="K727" s="318">
        <v>43852</v>
      </c>
      <c r="L727" s="95">
        <v>0</v>
      </c>
      <c r="M727" s="313">
        <f t="shared" si="91"/>
        <v>43852</v>
      </c>
      <c r="N727" s="2" t="str">
        <f t="shared" si="92"/>
        <v>Pagado</v>
      </c>
      <c r="O727" s="318">
        <v>43859</v>
      </c>
      <c r="P727" s="138">
        <v>61366</v>
      </c>
      <c r="Q727" s="2" t="s">
        <v>1484</v>
      </c>
      <c r="R727" s="2"/>
      <c r="S727" s="95"/>
      <c r="T727" s="313" t="s">
        <v>1488</v>
      </c>
      <c r="U727" s="393"/>
      <c r="V727" s="95"/>
      <c r="W727" s="129"/>
      <c r="X727" s="318"/>
      <c r="Y727" s="95"/>
      <c r="Z727" s="310">
        <v>43839</v>
      </c>
      <c r="AA727" s="108" t="str">
        <f t="shared" si="97"/>
        <v/>
      </c>
      <c r="AB727" s="2"/>
      <c r="AC727" s="131">
        <f t="shared" si="93"/>
        <v>51568.067226890758</v>
      </c>
      <c r="AD727" s="108">
        <f t="shared" si="94"/>
        <v>9797.9327731092417</v>
      </c>
      <c r="AE727" s="95" t="s">
        <v>1501</v>
      </c>
      <c r="AF727" s="541" t="s">
        <v>3490</v>
      </c>
      <c r="AG727" s="2" t="str">
        <f t="shared" si="95"/>
        <v>SI</v>
      </c>
      <c r="AH727" s="284"/>
      <c r="AI727" s="541"/>
      <c r="AJ727" s="2" t="str">
        <f t="shared" si="96"/>
        <v>Factura</v>
      </c>
      <c r="AK727" s="303"/>
    </row>
    <row r="728" spans="1:37" x14ac:dyDescent="0.25">
      <c r="A728" s="542" t="s">
        <v>1178</v>
      </c>
      <c r="B728" s="317" t="s">
        <v>950</v>
      </c>
      <c r="C728" s="95">
        <v>3081</v>
      </c>
      <c r="D728" s="95">
        <v>0</v>
      </c>
      <c r="E728" s="95"/>
      <c r="F728" s="95"/>
      <c r="G728" s="95" t="s">
        <v>2528</v>
      </c>
      <c r="H728" s="138">
        <v>138398</v>
      </c>
      <c r="I728" s="138"/>
      <c r="J728" s="126">
        <f t="shared" si="90"/>
        <v>138398</v>
      </c>
      <c r="K728" s="318">
        <v>43852</v>
      </c>
      <c r="L728" s="95">
        <v>7</v>
      </c>
      <c r="M728" s="313">
        <f t="shared" si="91"/>
        <v>43859</v>
      </c>
      <c r="N728" s="2" t="str">
        <f t="shared" si="92"/>
        <v>Pagado</v>
      </c>
      <c r="O728" s="318">
        <v>43852</v>
      </c>
      <c r="P728" s="138">
        <v>138398</v>
      </c>
      <c r="Q728" s="2" t="s">
        <v>2131</v>
      </c>
      <c r="R728" s="2"/>
      <c r="S728" s="95">
        <v>1116274</v>
      </c>
      <c r="T728" s="313" t="s">
        <v>1496</v>
      </c>
      <c r="U728" s="393">
        <v>43860</v>
      </c>
      <c r="V728" s="95">
        <v>7675284</v>
      </c>
      <c r="W728" s="129">
        <v>138398</v>
      </c>
      <c r="X728" s="318">
        <v>43860</v>
      </c>
      <c r="Y728" s="95" t="s">
        <v>1488</v>
      </c>
      <c r="Z728" s="131"/>
      <c r="AA728" s="108" t="str">
        <f t="shared" si="97"/>
        <v>Otros</v>
      </c>
      <c r="AB728" s="2"/>
      <c r="AC728" s="131">
        <f t="shared" si="93"/>
        <v>116300.84033613445</v>
      </c>
      <c r="AD728" s="108">
        <f t="shared" si="94"/>
        <v>22097.159663865546</v>
      </c>
      <c r="AE728" s="95" t="s">
        <v>2050</v>
      </c>
      <c r="AF728" s="541" t="s">
        <v>3490</v>
      </c>
      <c r="AG728" s="2" t="str">
        <f t="shared" si="95"/>
        <v>SI</v>
      </c>
      <c r="AH728" s="284"/>
      <c r="AI728" s="541"/>
      <c r="AJ728" s="2" t="str">
        <f t="shared" si="96"/>
        <v>Factura</v>
      </c>
      <c r="AK728" s="303"/>
    </row>
    <row r="729" spans="1:37" x14ac:dyDescent="0.25">
      <c r="A729" s="499" t="s">
        <v>3460</v>
      </c>
      <c r="B729" s="317" t="s">
        <v>3461</v>
      </c>
      <c r="C729" s="95">
        <v>3077</v>
      </c>
      <c r="D729" s="95">
        <v>0</v>
      </c>
      <c r="E729" s="95"/>
      <c r="F729" s="95"/>
      <c r="G729" s="95" t="s">
        <v>2528</v>
      </c>
      <c r="H729" s="138">
        <v>39557</v>
      </c>
      <c r="I729" s="138"/>
      <c r="J729" s="126">
        <f t="shared" si="90"/>
        <v>39557</v>
      </c>
      <c r="K729" s="318">
        <v>43852</v>
      </c>
      <c r="L729" s="95">
        <v>0</v>
      </c>
      <c r="M729" s="313">
        <f t="shared" si="91"/>
        <v>43852</v>
      </c>
      <c r="N729" s="2" t="str">
        <f t="shared" si="92"/>
        <v>Pagado</v>
      </c>
      <c r="O729" s="318">
        <v>43865</v>
      </c>
      <c r="P729" s="138">
        <v>39557</v>
      </c>
      <c r="Q729" s="2" t="s">
        <v>1484</v>
      </c>
      <c r="R729" s="2"/>
      <c r="S729" s="95"/>
      <c r="T729" s="313" t="s">
        <v>1496</v>
      </c>
      <c r="U729" s="393"/>
      <c r="V729" s="95"/>
      <c r="W729" s="129"/>
      <c r="X729" s="318"/>
      <c r="Y729" s="95"/>
      <c r="Z729" s="131"/>
      <c r="AA729" s="108" t="str">
        <f t="shared" si="97"/>
        <v/>
      </c>
      <c r="AB729" s="2"/>
      <c r="AC729" s="131">
        <f t="shared" si="93"/>
        <v>33241.176470588238</v>
      </c>
      <c r="AD729" s="108">
        <f t="shared" si="94"/>
        <v>6315.8235294117621</v>
      </c>
      <c r="AE729" s="95" t="s">
        <v>1501</v>
      </c>
      <c r="AF729" s="498" t="s">
        <v>3490</v>
      </c>
      <c r="AG729" s="2" t="str">
        <f t="shared" si="95"/>
        <v>SI</v>
      </c>
      <c r="AH729" s="284"/>
      <c r="AI729" s="498"/>
      <c r="AJ729" s="2" t="str">
        <f t="shared" si="96"/>
        <v>Factura</v>
      </c>
      <c r="AK729" s="303"/>
    </row>
    <row r="730" spans="1:37" x14ac:dyDescent="0.25">
      <c r="A730" s="499" t="s">
        <v>1179</v>
      </c>
      <c r="B730" s="317" t="s">
        <v>952</v>
      </c>
      <c r="C730" s="95">
        <v>3079</v>
      </c>
      <c r="D730" s="95">
        <v>0</v>
      </c>
      <c r="E730" s="95"/>
      <c r="F730" s="95"/>
      <c r="G730" s="95" t="s">
        <v>2528</v>
      </c>
      <c r="H730" s="138">
        <v>50000</v>
      </c>
      <c r="I730" s="138"/>
      <c r="J730" s="126">
        <f t="shared" si="90"/>
        <v>50000</v>
      </c>
      <c r="K730" s="318">
        <v>43852</v>
      </c>
      <c r="L730" s="95">
        <v>7</v>
      </c>
      <c r="M730" s="313">
        <f t="shared" si="91"/>
        <v>43859</v>
      </c>
      <c r="N730" s="2" t="str">
        <f t="shared" si="92"/>
        <v>Pagado</v>
      </c>
      <c r="O730" s="318">
        <v>43859</v>
      </c>
      <c r="P730" s="138">
        <v>50000</v>
      </c>
      <c r="Q730" s="2" t="s">
        <v>1481</v>
      </c>
      <c r="R730" s="2"/>
      <c r="S730" s="95"/>
      <c r="T730" s="313"/>
      <c r="U730" s="393"/>
      <c r="V730" s="95">
        <v>7675294</v>
      </c>
      <c r="W730" s="129">
        <v>50000</v>
      </c>
      <c r="X730" s="318">
        <v>43864</v>
      </c>
      <c r="Y730" s="95" t="s">
        <v>1488</v>
      </c>
      <c r="Z730" s="131"/>
      <c r="AA730" s="108" t="str">
        <f t="shared" si="97"/>
        <v/>
      </c>
      <c r="AB730" s="2"/>
      <c r="AC730" s="131">
        <f t="shared" si="93"/>
        <v>42016.806722689078</v>
      </c>
      <c r="AD730" s="108">
        <f t="shared" si="94"/>
        <v>7983.193277310922</v>
      </c>
      <c r="AE730" s="95" t="s">
        <v>2050</v>
      </c>
      <c r="AF730" s="498" t="s">
        <v>3490</v>
      </c>
      <c r="AG730" s="2" t="str">
        <f t="shared" si="95"/>
        <v>SI</v>
      </c>
      <c r="AH730" s="284"/>
      <c r="AI730" s="498"/>
      <c r="AJ730" s="2" t="str">
        <f t="shared" si="96"/>
        <v>Factura</v>
      </c>
      <c r="AK730" s="303"/>
    </row>
    <row r="731" spans="1:37" x14ac:dyDescent="0.25">
      <c r="A731" s="499" t="s">
        <v>1179</v>
      </c>
      <c r="B731" s="317" t="s">
        <v>952</v>
      </c>
      <c r="C731" s="95">
        <v>3079</v>
      </c>
      <c r="D731" s="95">
        <v>0</v>
      </c>
      <c r="E731" s="95"/>
      <c r="F731" s="95"/>
      <c r="G731" s="95" t="s">
        <v>2528</v>
      </c>
      <c r="H731" s="138">
        <v>49412</v>
      </c>
      <c r="I731" s="138"/>
      <c r="J731" s="126">
        <f t="shared" si="90"/>
        <v>49412</v>
      </c>
      <c r="K731" s="318">
        <v>43852</v>
      </c>
      <c r="L731" s="95">
        <v>7</v>
      </c>
      <c r="M731" s="313">
        <f t="shared" si="91"/>
        <v>43859</v>
      </c>
      <c r="N731" s="2" t="str">
        <f t="shared" si="92"/>
        <v>Pagado</v>
      </c>
      <c r="O731" s="318">
        <v>43501</v>
      </c>
      <c r="P731" s="138">
        <v>55000</v>
      </c>
      <c r="Q731" s="2" t="s">
        <v>1481</v>
      </c>
      <c r="R731" s="2"/>
      <c r="S731" s="95"/>
      <c r="T731" s="313"/>
      <c r="U731" s="393">
        <v>43866</v>
      </c>
      <c r="V731" s="95">
        <v>7675298</v>
      </c>
      <c r="W731" s="129">
        <v>55000</v>
      </c>
      <c r="X731" s="318">
        <v>43867</v>
      </c>
      <c r="Y731" s="95" t="s">
        <v>1488</v>
      </c>
      <c r="Z731" s="131"/>
      <c r="AA731" s="108" t="str">
        <f t="shared" si="97"/>
        <v/>
      </c>
      <c r="AB731" s="2"/>
      <c r="AC731" s="131">
        <f t="shared" si="93"/>
        <v>41522.689075630253</v>
      </c>
      <c r="AD731" s="108">
        <f t="shared" si="94"/>
        <v>7889.3109243697472</v>
      </c>
      <c r="AE731" s="95" t="s">
        <v>2050</v>
      </c>
      <c r="AF731" s="498" t="s">
        <v>3490</v>
      </c>
      <c r="AG731" s="2" t="str">
        <f t="shared" si="95"/>
        <v>SI</v>
      </c>
      <c r="AH731" s="284"/>
      <c r="AI731" s="498"/>
      <c r="AJ731" s="2" t="str">
        <f t="shared" si="96"/>
        <v>Factura</v>
      </c>
      <c r="AK731" s="303"/>
    </row>
    <row r="732" spans="1:37" x14ac:dyDescent="0.25">
      <c r="A732" s="542" t="s">
        <v>1175</v>
      </c>
      <c r="B732" s="317" t="s">
        <v>1144</v>
      </c>
      <c r="C732" s="95">
        <v>3080</v>
      </c>
      <c r="D732" s="95">
        <v>0</v>
      </c>
      <c r="E732" s="95"/>
      <c r="F732" s="95"/>
      <c r="G732" s="95" t="s">
        <v>2528</v>
      </c>
      <c r="H732" s="138">
        <v>76586</v>
      </c>
      <c r="I732" s="138"/>
      <c r="J732" s="126">
        <f t="shared" si="90"/>
        <v>76586</v>
      </c>
      <c r="K732" s="318">
        <v>43852</v>
      </c>
      <c r="L732" s="95">
        <v>30</v>
      </c>
      <c r="M732" s="313">
        <f t="shared" si="91"/>
        <v>43882</v>
      </c>
      <c r="N732" s="2" t="str">
        <f t="shared" si="92"/>
        <v>Pagado</v>
      </c>
      <c r="O732" s="318">
        <v>43889</v>
      </c>
      <c r="P732" s="138">
        <v>76586</v>
      </c>
      <c r="Q732" s="2" t="s">
        <v>1484</v>
      </c>
      <c r="R732" s="2"/>
      <c r="S732" s="95"/>
      <c r="T732" s="313" t="s">
        <v>1496</v>
      </c>
      <c r="U732" s="393"/>
      <c r="V732" s="95"/>
      <c r="W732" s="129"/>
      <c r="X732" s="318"/>
      <c r="Y732" s="95"/>
      <c r="Z732" s="131"/>
      <c r="AA732" s="108" t="str">
        <f t="shared" si="97"/>
        <v/>
      </c>
      <c r="AB732" s="2"/>
      <c r="AC732" s="131">
        <f t="shared" si="93"/>
        <v>64357.983193277316</v>
      </c>
      <c r="AD732" s="108">
        <f t="shared" si="94"/>
        <v>12228.016806722684</v>
      </c>
      <c r="AE732" s="95" t="s">
        <v>2050</v>
      </c>
      <c r="AF732" s="541" t="s">
        <v>3490</v>
      </c>
      <c r="AG732" s="2" t="str">
        <f t="shared" si="95"/>
        <v>SI</v>
      </c>
      <c r="AH732" s="284"/>
      <c r="AI732" s="541"/>
      <c r="AJ732" s="2" t="str">
        <f t="shared" si="96"/>
        <v>Factura</v>
      </c>
      <c r="AK732" s="303"/>
    </row>
    <row r="733" spans="1:37" s="507" customFormat="1" x14ac:dyDescent="0.25">
      <c r="A733" s="547" t="s">
        <v>1175</v>
      </c>
      <c r="B733" s="550" t="s">
        <v>1144</v>
      </c>
      <c r="C733" s="551">
        <v>3082</v>
      </c>
      <c r="D733" s="551">
        <v>0</v>
      </c>
      <c r="E733" s="551"/>
      <c r="F733" s="551"/>
      <c r="G733" s="551" t="s">
        <v>2528</v>
      </c>
      <c r="H733" s="555">
        <v>143479</v>
      </c>
      <c r="I733" s="555">
        <v>-27643</v>
      </c>
      <c r="J733" s="332">
        <f t="shared" si="90"/>
        <v>115836</v>
      </c>
      <c r="K733" s="557">
        <v>43852</v>
      </c>
      <c r="L733" s="551">
        <v>30</v>
      </c>
      <c r="M733" s="505">
        <f t="shared" si="91"/>
        <v>43882</v>
      </c>
      <c r="N733" s="195" t="str">
        <f t="shared" si="92"/>
        <v>Pagado</v>
      </c>
      <c r="O733" s="557">
        <v>43889</v>
      </c>
      <c r="P733" s="555">
        <v>115836</v>
      </c>
      <c r="Q733" s="195" t="s">
        <v>1484</v>
      </c>
      <c r="R733" s="195"/>
      <c r="S733" s="551"/>
      <c r="T733" s="505" t="s">
        <v>1496</v>
      </c>
      <c r="U733" s="559"/>
      <c r="V733" s="551"/>
      <c r="W733" s="561"/>
      <c r="X733" s="557"/>
      <c r="Y733" s="551"/>
      <c r="Z733" s="506"/>
      <c r="AA733" s="363" t="str">
        <f t="shared" si="97"/>
        <v/>
      </c>
      <c r="AB733" s="195"/>
      <c r="AC733" s="506">
        <f t="shared" si="93"/>
        <v>120570.58823529413</v>
      </c>
      <c r="AD733" s="363">
        <f t="shared" si="94"/>
        <v>22908.411764705874</v>
      </c>
      <c r="AE733" s="551" t="s">
        <v>2050</v>
      </c>
      <c r="AF733" s="563" t="s">
        <v>3490</v>
      </c>
      <c r="AG733" s="195" t="str">
        <f t="shared" si="95"/>
        <v>SI</v>
      </c>
      <c r="AH733" s="565"/>
      <c r="AI733" s="563"/>
      <c r="AJ733" s="195" t="str">
        <f t="shared" si="96"/>
        <v>Factura</v>
      </c>
      <c r="AK733" s="567"/>
    </row>
    <row r="734" spans="1:37" x14ac:dyDescent="0.25">
      <c r="A734" s="499" t="s">
        <v>1209</v>
      </c>
      <c r="B734" s="317" t="s">
        <v>974</v>
      </c>
      <c r="C734" s="95">
        <v>0</v>
      </c>
      <c r="D734" s="95" t="s">
        <v>2528</v>
      </c>
      <c r="E734" s="95"/>
      <c r="F734" s="95"/>
      <c r="G734" s="95">
        <v>6434</v>
      </c>
      <c r="H734" s="138">
        <v>34500</v>
      </c>
      <c r="I734" s="138"/>
      <c r="J734" s="126">
        <f t="shared" si="90"/>
        <v>34500</v>
      </c>
      <c r="K734" s="318">
        <v>43852</v>
      </c>
      <c r="L734" s="95">
        <v>0</v>
      </c>
      <c r="M734" s="313">
        <f t="shared" si="91"/>
        <v>43852</v>
      </c>
      <c r="N734" s="2" t="str">
        <f t="shared" si="92"/>
        <v>Pagado</v>
      </c>
      <c r="O734" s="318">
        <v>43857</v>
      </c>
      <c r="P734" s="138">
        <v>34500</v>
      </c>
      <c r="Q734" s="2" t="s">
        <v>1484</v>
      </c>
      <c r="R734" s="2"/>
      <c r="S734" s="95"/>
      <c r="T734" s="313" t="s">
        <v>1490</v>
      </c>
      <c r="U734" s="393"/>
      <c r="V734" s="95"/>
      <c r="W734" s="129"/>
      <c r="X734" s="318"/>
      <c r="Y734" s="95"/>
      <c r="Z734" s="131"/>
      <c r="AA734" s="108" t="str">
        <f t="shared" si="97"/>
        <v/>
      </c>
      <c r="AB734" s="2"/>
      <c r="AC734" s="131">
        <f t="shared" si="93"/>
        <v>28991.596638655465</v>
      </c>
      <c r="AD734" s="108">
        <f t="shared" si="94"/>
        <v>5508.4033613445354</v>
      </c>
      <c r="AE734" s="95" t="s">
        <v>2050</v>
      </c>
      <c r="AF734" s="498" t="s">
        <v>3487</v>
      </c>
      <c r="AG734" s="2" t="str">
        <f t="shared" si="95"/>
        <v>SI</v>
      </c>
      <c r="AH734" s="284"/>
      <c r="AI734" s="498"/>
      <c r="AJ734" s="2" t="str">
        <f t="shared" si="96"/>
        <v>NV</v>
      </c>
      <c r="AK734" s="303"/>
    </row>
    <row r="735" spans="1:37" x14ac:dyDescent="0.25">
      <c r="A735" s="542" t="s">
        <v>5538</v>
      </c>
      <c r="B735" s="549" t="s">
        <v>5539</v>
      </c>
      <c r="C735" s="95">
        <v>0</v>
      </c>
      <c r="D735" s="95">
        <v>2879</v>
      </c>
      <c r="E735" s="95"/>
      <c r="F735" s="95"/>
      <c r="G735" s="95">
        <v>6435</v>
      </c>
      <c r="H735" s="138">
        <v>19700</v>
      </c>
      <c r="I735" s="138"/>
      <c r="J735" s="126">
        <f t="shared" si="90"/>
        <v>19700</v>
      </c>
      <c r="K735" s="318">
        <v>43853</v>
      </c>
      <c r="L735" s="95">
        <v>0</v>
      </c>
      <c r="M735" s="313">
        <f t="shared" si="91"/>
        <v>43853</v>
      </c>
      <c r="N735" s="2" t="str">
        <f t="shared" si="92"/>
        <v>Pagado</v>
      </c>
      <c r="O735" s="318">
        <v>43854</v>
      </c>
      <c r="P735" s="138">
        <v>19700</v>
      </c>
      <c r="Q735" s="2" t="s">
        <v>1484</v>
      </c>
      <c r="R735" s="2"/>
      <c r="S735" s="95"/>
      <c r="T735" s="313" t="s">
        <v>1488</v>
      </c>
      <c r="U735" s="393"/>
      <c r="V735" s="95"/>
      <c r="W735" s="129"/>
      <c r="X735" s="318"/>
      <c r="Y735" s="95"/>
      <c r="Z735" s="131"/>
      <c r="AA735" s="108" t="str">
        <f t="shared" si="97"/>
        <v/>
      </c>
      <c r="AB735" s="2"/>
      <c r="AC735" s="131">
        <f t="shared" si="93"/>
        <v>16554.621848739498</v>
      </c>
      <c r="AD735" s="108">
        <f t="shared" si="94"/>
        <v>3145.3781512605019</v>
      </c>
      <c r="AE735" s="95" t="s">
        <v>1501</v>
      </c>
      <c r="AF735" s="541" t="s">
        <v>3487</v>
      </c>
      <c r="AG735" s="2" t="str">
        <f t="shared" si="95"/>
        <v>SI</v>
      </c>
      <c r="AH735" s="284"/>
      <c r="AI735" s="541"/>
      <c r="AJ735" s="2" t="str">
        <f t="shared" si="96"/>
        <v>NV</v>
      </c>
      <c r="AK735" s="303"/>
    </row>
    <row r="736" spans="1:37" x14ac:dyDescent="0.25">
      <c r="A736" s="542" t="s">
        <v>5288</v>
      </c>
      <c r="B736" s="317" t="s">
        <v>5289</v>
      </c>
      <c r="C736" s="95">
        <v>0</v>
      </c>
      <c r="D736" s="95">
        <v>2877</v>
      </c>
      <c r="E736" s="95"/>
      <c r="F736" s="95"/>
      <c r="G736" s="95">
        <v>6437</v>
      </c>
      <c r="H736" s="138">
        <v>60400</v>
      </c>
      <c r="I736" s="138"/>
      <c r="J736" s="126">
        <f t="shared" si="90"/>
        <v>60400</v>
      </c>
      <c r="K736" s="318">
        <v>43853</v>
      </c>
      <c r="L736" s="95">
        <v>0</v>
      </c>
      <c r="M736" s="313">
        <f t="shared" si="91"/>
        <v>43853</v>
      </c>
      <c r="N736" s="2" t="str">
        <f t="shared" si="92"/>
        <v>Pagado</v>
      </c>
      <c r="O736" s="318">
        <v>43853</v>
      </c>
      <c r="P736" s="138">
        <v>60400</v>
      </c>
      <c r="Q736" s="2" t="s">
        <v>1484</v>
      </c>
      <c r="R736" s="2"/>
      <c r="S736" s="95"/>
      <c r="T736" s="313" t="s">
        <v>1462</v>
      </c>
      <c r="U736" s="393"/>
      <c r="V736" s="95"/>
      <c r="W736" s="129"/>
      <c r="X736" s="318"/>
      <c r="Y736" s="95"/>
      <c r="Z736" s="131"/>
      <c r="AA736" s="108" t="str">
        <f t="shared" si="97"/>
        <v/>
      </c>
      <c r="AB736" s="2"/>
      <c r="AC736" s="131">
        <f t="shared" si="93"/>
        <v>50756.302521008409</v>
      </c>
      <c r="AD736" s="108">
        <f t="shared" si="94"/>
        <v>9643.6974789915912</v>
      </c>
      <c r="AE736" s="95" t="s">
        <v>1501</v>
      </c>
      <c r="AF736" s="541" t="s">
        <v>5291</v>
      </c>
      <c r="AG736" s="2" t="str">
        <f t="shared" si="95"/>
        <v>SI</v>
      </c>
      <c r="AH736" s="284"/>
      <c r="AI736" s="541"/>
      <c r="AJ736" s="2" t="str">
        <f t="shared" si="96"/>
        <v>NV</v>
      </c>
      <c r="AK736" s="303"/>
    </row>
    <row r="737" spans="1:37" x14ac:dyDescent="0.25">
      <c r="A737" s="499" t="s">
        <v>4804</v>
      </c>
      <c r="B737" s="317" t="s">
        <v>4805</v>
      </c>
      <c r="C737" s="95">
        <v>0</v>
      </c>
      <c r="D737" s="95">
        <v>0</v>
      </c>
      <c r="E737" s="95"/>
      <c r="F737" s="95"/>
      <c r="G737" s="95">
        <v>6438</v>
      </c>
      <c r="H737" s="138">
        <v>22700</v>
      </c>
      <c r="I737" s="138"/>
      <c r="J737" s="126">
        <f t="shared" si="90"/>
        <v>22700</v>
      </c>
      <c r="K737" s="318">
        <v>43853</v>
      </c>
      <c r="L737" s="95">
        <v>0</v>
      </c>
      <c r="M737" s="313">
        <f t="shared" si="91"/>
        <v>43853</v>
      </c>
      <c r="N737" s="2" t="str">
        <f t="shared" si="92"/>
        <v>Pagado</v>
      </c>
      <c r="O737" s="318">
        <v>43853</v>
      </c>
      <c r="P737" s="138">
        <v>22700</v>
      </c>
      <c r="Q737" s="2" t="s">
        <v>1484</v>
      </c>
      <c r="R737" s="2"/>
      <c r="S737" s="95"/>
      <c r="T737" s="313" t="s">
        <v>1492</v>
      </c>
      <c r="U737" s="393"/>
      <c r="V737" s="95"/>
      <c r="W737" s="129"/>
      <c r="X737" s="318"/>
      <c r="Y737" s="95"/>
      <c r="Z737" s="131"/>
      <c r="AA737" s="108" t="str">
        <f t="shared" si="97"/>
        <v/>
      </c>
      <c r="AB737" s="2"/>
      <c r="AC737" s="131">
        <f t="shared" si="93"/>
        <v>19075.63025210084</v>
      </c>
      <c r="AD737" s="108">
        <f t="shared" si="94"/>
        <v>3624.3697478991598</v>
      </c>
      <c r="AE737" s="95" t="s">
        <v>1501</v>
      </c>
      <c r="AF737" s="498" t="s">
        <v>3487</v>
      </c>
      <c r="AG737" s="2" t="str">
        <f t="shared" si="95"/>
        <v>SI</v>
      </c>
      <c r="AH737" s="284"/>
      <c r="AI737" s="498"/>
      <c r="AJ737" s="2" t="str">
        <f t="shared" si="96"/>
        <v>NV</v>
      </c>
      <c r="AK737" s="303"/>
    </row>
    <row r="738" spans="1:37" x14ac:dyDescent="0.25">
      <c r="A738" s="499" t="s">
        <v>1250</v>
      </c>
      <c r="B738" s="317" t="s">
        <v>3398</v>
      </c>
      <c r="C738" s="95">
        <v>0</v>
      </c>
      <c r="D738" s="95">
        <v>2881</v>
      </c>
      <c r="E738" s="95"/>
      <c r="F738" s="95"/>
      <c r="G738" s="95">
        <v>6442</v>
      </c>
      <c r="H738" s="138">
        <v>27300</v>
      </c>
      <c r="I738" s="138"/>
      <c r="J738" s="126">
        <f t="shared" si="90"/>
        <v>27300</v>
      </c>
      <c r="K738" s="318">
        <v>43853</v>
      </c>
      <c r="L738" s="95">
        <v>0</v>
      </c>
      <c r="M738" s="313">
        <f t="shared" si="91"/>
        <v>43853</v>
      </c>
      <c r="N738" s="2" t="str">
        <f t="shared" si="92"/>
        <v>Pagado</v>
      </c>
      <c r="O738" s="318">
        <v>43853</v>
      </c>
      <c r="P738" s="138">
        <v>27300</v>
      </c>
      <c r="Q738" s="2" t="s">
        <v>1481</v>
      </c>
      <c r="R738" s="2"/>
      <c r="S738" s="95"/>
      <c r="T738" s="313"/>
      <c r="U738" s="393"/>
      <c r="V738" s="95">
        <v>7675290</v>
      </c>
      <c r="W738" s="129">
        <v>27300</v>
      </c>
      <c r="X738" s="318"/>
      <c r="Y738" s="95"/>
      <c r="Z738" s="131"/>
      <c r="AA738" s="108" t="str">
        <f t="shared" si="97"/>
        <v/>
      </c>
      <c r="AB738" s="2"/>
      <c r="AC738" s="131">
        <f t="shared" si="93"/>
        <v>22941.176470588238</v>
      </c>
      <c r="AD738" s="108">
        <f t="shared" si="94"/>
        <v>4358.8235294117621</v>
      </c>
      <c r="AE738" s="95" t="s">
        <v>1501</v>
      </c>
      <c r="AF738" s="498" t="s">
        <v>3489</v>
      </c>
      <c r="AG738" s="2" t="str">
        <f t="shared" si="95"/>
        <v>SI</v>
      </c>
      <c r="AH738" s="284"/>
      <c r="AI738" s="498"/>
      <c r="AJ738" s="2" t="str">
        <f t="shared" si="96"/>
        <v>NV</v>
      </c>
      <c r="AK738" s="303"/>
    </row>
    <row r="739" spans="1:37" x14ac:dyDescent="0.25">
      <c r="A739" s="499" t="s">
        <v>5535</v>
      </c>
      <c r="B739" s="317" t="s">
        <v>5536</v>
      </c>
      <c r="C739" s="95">
        <v>0</v>
      </c>
      <c r="D739" s="95">
        <v>2878</v>
      </c>
      <c r="E739" s="95"/>
      <c r="F739" s="95"/>
      <c r="G739" s="95">
        <v>6436</v>
      </c>
      <c r="H739" s="138">
        <v>84800</v>
      </c>
      <c r="I739" s="138"/>
      <c r="J739" s="126">
        <f t="shared" si="90"/>
        <v>84800</v>
      </c>
      <c r="K739" s="318">
        <v>43853</v>
      </c>
      <c r="L739" s="95">
        <v>0</v>
      </c>
      <c r="M739" s="313">
        <f t="shared" si="91"/>
        <v>43853</v>
      </c>
      <c r="N739" s="2" t="str">
        <f t="shared" si="92"/>
        <v>Pagado</v>
      </c>
      <c r="O739" s="318">
        <v>43854</v>
      </c>
      <c r="P739" s="138">
        <v>84800</v>
      </c>
      <c r="Q739" s="2" t="s">
        <v>1484</v>
      </c>
      <c r="R739" s="2"/>
      <c r="S739" s="95"/>
      <c r="T739" s="313" t="s">
        <v>1492</v>
      </c>
      <c r="U739" s="393"/>
      <c r="V739" s="95"/>
      <c r="W739" s="129"/>
      <c r="X739" s="318"/>
      <c r="Y739" s="95"/>
      <c r="Z739" s="131"/>
      <c r="AA739" s="108" t="str">
        <f t="shared" si="97"/>
        <v/>
      </c>
      <c r="AB739" s="2"/>
      <c r="AC739" s="131">
        <f t="shared" si="93"/>
        <v>71260.504201680669</v>
      </c>
      <c r="AD739" s="108">
        <f t="shared" si="94"/>
        <v>13539.495798319331</v>
      </c>
      <c r="AE739" s="95" t="s">
        <v>1501</v>
      </c>
      <c r="AF739" s="498" t="s">
        <v>3489</v>
      </c>
      <c r="AG739" s="2" t="str">
        <f t="shared" si="95"/>
        <v>SI</v>
      </c>
      <c r="AH739" s="284"/>
      <c r="AI739" s="498"/>
      <c r="AJ739" s="2" t="str">
        <f t="shared" si="96"/>
        <v>NV</v>
      </c>
      <c r="AK739" s="303"/>
    </row>
    <row r="740" spans="1:37" x14ac:dyDescent="0.25">
      <c r="A740" s="499" t="s">
        <v>2656</v>
      </c>
      <c r="B740" s="317" t="s">
        <v>3362</v>
      </c>
      <c r="C740" s="95">
        <v>0</v>
      </c>
      <c r="D740" s="95">
        <v>2776</v>
      </c>
      <c r="E740" s="95"/>
      <c r="F740" s="95"/>
      <c r="G740" s="95">
        <v>6439</v>
      </c>
      <c r="H740" s="138">
        <v>21300</v>
      </c>
      <c r="I740" s="138"/>
      <c r="J740" s="126">
        <f t="shared" si="90"/>
        <v>21300</v>
      </c>
      <c r="K740" s="318">
        <v>43853</v>
      </c>
      <c r="L740" s="95">
        <v>0</v>
      </c>
      <c r="M740" s="313">
        <f t="shared" si="91"/>
        <v>43853</v>
      </c>
      <c r="N740" s="2" t="str">
        <f t="shared" si="92"/>
        <v>Pagado</v>
      </c>
      <c r="O740" s="318">
        <v>43853</v>
      </c>
      <c r="P740" s="138">
        <v>21300</v>
      </c>
      <c r="Q740" s="2" t="s">
        <v>1484</v>
      </c>
      <c r="R740" s="2"/>
      <c r="S740" s="95"/>
      <c r="T740" s="313" t="s">
        <v>1462</v>
      </c>
      <c r="U740" s="393"/>
      <c r="V740" s="95"/>
      <c r="W740" s="129"/>
      <c r="X740" s="318"/>
      <c r="Y740" s="95"/>
      <c r="Z740" s="131"/>
      <c r="AA740" s="108" t="str">
        <f t="shared" si="97"/>
        <v/>
      </c>
      <c r="AB740" s="2"/>
      <c r="AC740" s="131">
        <f t="shared" si="93"/>
        <v>17899.159663865546</v>
      </c>
      <c r="AD740" s="108">
        <f t="shared" si="94"/>
        <v>3400.8403361344535</v>
      </c>
      <c r="AE740" s="95" t="s">
        <v>1501</v>
      </c>
      <c r="AF740" s="498" t="s">
        <v>3489</v>
      </c>
      <c r="AG740" s="2" t="str">
        <f t="shared" si="95"/>
        <v>SI</v>
      </c>
      <c r="AH740" s="284"/>
      <c r="AI740" s="498"/>
      <c r="AJ740" s="2" t="str">
        <f t="shared" si="96"/>
        <v>NV</v>
      </c>
      <c r="AK740" s="303"/>
    </row>
    <row r="741" spans="1:37" x14ac:dyDescent="0.25">
      <c r="A741" s="499" t="s">
        <v>2011</v>
      </c>
      <c r="B741" s="317" t="s">
        <v>2162</v>
      </c>
      <c r="C741" s="95">
        <v>0</v>
      </c>
      <c r="D741" s="95">
        <v>2882</v>
      </c>
      <c r="E741" s="95"/>
      <c r="F741" s="95"/>
      <c r="G741" s="95">
        <v>6443</v>
      </c>
      <c r="H741" s="138">
        <v>28800</v>
      </c>
      <c r="I741" s="138"/>
      <c r="J741" s="126">
        <f t="shared" si="90"/>
        <v>28800</v>
      </c>
      <c r="K741" s="318">
        <v>43853</v>
      </c>
      <c r="L741" s="95">
        <v>0</v>
      </c>
      <c r="M741" s="313">
        <f t="shared" si="91"/>
        <v>43853</v>
      </c>
      <c r="N741" s="2" t="str">
        <f t="shared" si="92"/>
        <v>Pagado</v>
      </c>
      <c r="O741" s="318">
        <v>43853</v>
      </c>
      <c r="P741" s="138">
        <v>28800</v>
      </c>
      <c r="Q741" s="2" t="s">
        <v>1484</v>
      </c>
      <c r="R741" s="2"/>
      <c r="S741" s="95"/>
      <c r="T741" s="313" t="s">
        <v>1496</v>
      </c>
      <c r="U741" s="393"/>
      <c r="V741" s="95"/>
      <c r="W741" s="129"/>
      <c r="X741" s="318"/>
      <c r="Y741" s="95"/>
      <c r="Z741" s="131"/>
      <c r="AA741" s="108" t="str">
        <f t="shared" si="97"/>
        <v/>
      </c>
      <c r="AB741" s="2"/>
      <c r="AC741" s="131">
        <f t="shared" si="93"/>
        <v>24201.680672268907</v>
      </c>
      <c r="AD741" s="108">
        <f t="shared" si="94"/>
        <v>4598.3193277310929</v>
      </c>
      <c r="AE741" s="95" t="s">
        <v>1501</v>
      </c>
      <c r="AF741" s="498" t="s">
        <v>3487</v>
      </c>
      <c r="AG741" s="2" t="str">
        <f t="shared" si="95"/>
        <v>SI</v>
      </c>
      <c r="AH741" s="284"/>
      <c r="AI741" s="498"/>
      <c r="AJ741" s="2" t="str">
        <f t="shared" si="96"/>
        <v>NV</v>
      </c>
      <c r="AK741" s="303"/>
    </row>
    <row r="742" spans="1:37" x14ac:dyDescent="0.25">
      <c r="A742" s="499" t="s">
        <v>5185</v>
      </c>
      <c r="B742" s="317" t="s">
        <v>5186</v>
      </c>
      <c r="C742" s="95">
        <v>3083</v>
      </c>
      <c r="D742" s="95">
        <v>0</v>
      </c>
      <c r="E742" s="95"/>
      <c r="F742" s="95"/>
      <c r="G742" s="95" t="s">
        <v>2528</v>
      </c>
      <c r="H742" s="138">
        <v>59185</v>
      </c>
      <c r="I742" s="138"/>
      <c r="J742" s="126">
        <f t="shared" si="90"/>
        <v>59185</v>
      </c>
      <c r="K742" s="318">
        <v>43853</v>
      </c>
      <c r="L742" s="95">
        <v>30</v>
      </c>
      <c r="M742" s="313">
        <f t="shared" si="91"/>
        <v>43883</v>
      </c>
      <c r="N742" s="2" t="str">
        <f t="shared" si="92"/>
        <v>Pagado</v>
      </c>
      <c r="O742" s="318">
        <v>43900</v>
      </c>
      <c r="P742" s="138">
        <v>59185</v>
      </c>
      <c r="Q742" s="2" t="s">
        <v>1484</v>
      </c>
      <c r="R742" s="2"/>
      <c r="S742" s="95"/>
      <c r="T742" s="313" t="s">
        <v>1490</v>
      </c>
      <c r="U742" s="393"/>
      <c r="V742" s="95"/>
      <c r="W742" s="129"/>
      <c r="X742" s="318"/>
      <c r="Y742" s="95"/>
      <c r="Z742" s="131"/>
      <c r="AA742" s="108" t="str">
        <f t="shared" si="97"/>
        <v/>
      </c>
      <c r="AB742" s="2"/>
      <c r="AC742" s="131">
        <f t="shared" si="93"/>
        <v>49735.294117647063</v>
      </c>
      <c r="AD742" s="108">
        <f t="shared" si="94"/>
        <v>9449.7058823529369</v>
      </c>
      <c r="AE742" s="95" t="s">
        <v>1501</v>
      </c>
      <c r="AF742" s="498" t="s">
        <v>3490</v>
      </c>
      <c r="AG742" s="2" t="str">
        <f t="shared" si="95"/>
        <v>SI</v>
      </c>
      <c r="AH742" s="284"/>
      <c r="AI742" s="498"/>
      <c r="AJ742" s="2" t="str">
        <f t="shared" si="96"/>
        <v>Factura</v>
      </c>
      <c r="AK742" s="303"/>
    </row>
    <row r="743" spans="1:37" x14ac:dyDescent="0.25">
      <c r="A743" s="499" t="s">
        <v>1244</v>
      </c>
      <c r="B743" s="317" t="s">
        <v>971</v>
      </c>
      <c r="C743" s="95">
        <v>0</v>
      </c>
      <c r="D743" s="95">
        <v>2875</v>
      </c>
      <c r="E743" s="95"/>
      <c r="F743" s="95"/>
      <c r="G743" s="95">
        <v>6440</v>
      </c>
      <c r="H743" s="138">
        <v>19200</v>
      </c>
      <c r="I743" s="138"/>
      <c r="J743" s="126">
        <f t="shared" si="90"/>
        <v>19200</v>
      </c>
      <c r="K743" s="318">
        <v>43853</v>
      </c>
      <c r="L743" s="95">
        <v>0</v>
      </c>
      <c r="M743" s="313">
        <f t="shared" si="91"/>
        <v>43853</v>
      </c>
      <c r="N743" s="2" t="str">
        <f t="shared" si="92"/>
        <v>Pagado</v>
      </c>
      <c r="O743" s="318">
        <v>43853</v>
      </c>
      <c r="P743" s="138">
        <v>19200</v>
      </c>
      <c r="Q743" s="2" t="s">
        <v>1481</v>
      </c>
      <c r="R743" s="2"/>
      <c r="S743" s="95"/>
      <c r="T743" s="313"/>
      <c r="U743" s="393"/>
      <c r="V743" s="95">
        <v>7675290</v>
      </c>
      <c r="W743" s="129">
        <v>19200</v>
      </c>
      <c r="X743" s="318">
        <v>43859</v>
      </c>
      <c r="Y743" s="95" t="s">
        <v>1488</v>
      </c>
      <c r="Z743" s="131"/>
      <c r="AA743" s="108" t="str">
        <f t="shared" si="97"/>
        <v/>
      </c>
      <c r="AB743" s="2"/>
      <c r="AC743" s="131">
        <f t="shared" si="93"/>
        <v>16134.453781512606</v>
      </c>
      <c r="AD743" s="108">
        <f t="shared" si="94"/>
        <v>3065.5462184873941</v>
      </c>
      <c r="AE743" s="95" t="s">
        <v>1501</v>
      </c>
      <c r="AF743" s="498" t="s">
        <v>3489</v>
      </c>
      <c r="AG743" s="2" t="str">
        <f t="shared" si="95"/>
        <v>SI</v>
      </c>
      <c r="AH743" s="284"/>
      <c r="AI743" s="498"/>
      <c r="AJ743" s="2" t="str">
        <f t="shared" si="96"/>
        <v>NV</v>
      </c>
      <c r="AK743" s="303"/>
    </row>
    <row r="744" spans="1:37" x14ac:dyDescent="0.25">
      <c r="A744" s="499" t="s">
        <v>1234</v>
      </c>
      <c r="B744" s="317" t="s">
        <v>970</v>
      </c>
      <c r="C744" s="95">
        <v>0</v>
      </c>
      <c r="D744" s="95">
        <v>2880</v>
      </c>
      <c r="E744" s="95"/>
      <c r="F744" s="95"/>
      <c r="G744" s="95">
        <v>6441</v>
      </c>
      <c r="H744" s="138">
        <v>10200</v>
      </c>
      <c r="I744" s="138"/>
      <c r="J744" s="126">
        <f t="shared" si="90"/>
        <v>10200</v>
      </c>
      <c r="K744" s="318">
        <v>43853</v>
      </c>
      <c r="L744" s="95">
        <v>0</v>
      </c>
      <c r="M744" s="313">
        <f t="shared" si="91"/>
        <v>43853</v>
      </c>
      <c r="N744" s="2" t="str">
        <f t="shared" si="92"/>
        <v>Pagado</v>
      </c>
      <c r="O744" s="318">
        <v>43853</v>
      </c>
      <c r="P744" s="138">
        <v>10200</v>
      </c>
      <c r="Q744" s="2" t="s">
        <v>1484</v>
      </c>
      <c r="R744" s="2"/>
      <c r="S744" s="95"/>
      <c r="T744" s="313" t="s">
        <v>1462</v>
      </c>
      <c r="U744" s="393"/>
      <c r="V744" s="95"/>
      <c r="W744" s="129"/>
      <c r="X744" s="318">
        <v>43859</v>
      </c>
      <c r="Y744" s="95" t="s">
        <v>1488</v>
      </c>
      <c r="Z744" s="131"/>
      <c r="AA744" s="108" t="str">
        <f t="shared" si="97"/>
        <v/>
      </c>
      <c r="AB744" s="2"/>
      <c r="AC744" s="131">
        <f t="shared" si="93"/>
        <v>8571.4285714285725</v>
      </c>
      <c r="AD744" s="108">
        <f t="shared" si="94"/>
        <v>1628.5714285714275</v>
      </c>
      <c r="AE744" s="95" t="s">
        <v>1501</v>
      </c>
      <c r="AF744" s="498" t="s">
        <v>3489</v>
      </c>
      <c r="AG744" s="2" t="str">
        <f t="shared" si="95"/>
        <v>SI</v>
      </c>
      <c r="AH744" s="284"/>
      <c r="AI744" s="498"/>
      <c r="AJ744" s="2" t="str">
        <f t="shared" si="96"/>
        <v>NV</v>
      </c>
      <c r="AK744" s="303"/>
    </row>
    <row r="745" spans="1:37" x14ac:dyDescent="0.25">
      <c r="A745" s="542" t="s">
        <v>1275</v>
      </c>
      <c r="B745" s="317" t="s">
        <v>2218</v>
      </c>
      <c r="C745" s="95">
        <v>3085</v>
      </c>
      <c r="D745" s="95">
        <v>0</v>
      </c>
      <c r="E745" s="95"/>
      <c r="F745" s="95"/>
      <c r="G745" s="95" t="s">
        <v>2528</v>
      </c>
      <c r="H745" s="138">
        <v>14500</v>
      </c>
      <c r="I745" s="138"/>
      <c r="J745" s="126">
        <f t="shared" si="90"/>
        <v>14500</v>
      </c>
      <c r="K745" s="318">
        <v>43854</v>
      </c>
      <c r="L745" s="95">
        <v>0</v>
      </c>
      <c r="M745" s="313">
        <f t="shared" si="91"/>
        <v>43854</v>
      </c>
      <c r="N745" s="2" t="str">
        <f t="shared" si="92"/>
        <v>Pagado</v>
      </c>
      <c r="O745" s="318">
        <v>43854</v>
      </c>
      <c r="P745" s="138">
        <v>14500</v>
      </c>
      <c r="Q745" s="2" t="s">
        <v>1481</v>
      </c>
      <c r="R745" s="2"/>
      <c r="S745" s="95"/>
      <c r="T745" s="313"/>
      <c r="U745" s="393"/>
      <c r="V745" s="95">
        <v>7675288</v>
      </c>
      <c r="W745" s="129">
        <v>14500</v>
      </c>
      <c r="X745" s="318">
        <v>43857</v>
      </c>
      <c r="Y745" s="95" t="s">
        <v>1488</v>
      </c>
      <c r="Z745" s="131"/>
      <c r="AA745" s="108" t="str">
        <f t="shared" si="97"/>
        <v/>
      </c>
      <c r="AB745" s="2"/>
      <c r="AC745" s="131">
        <f t="shared" si="93"/>
        <v>12184.873949579833</v>
      </c>
      <c r="AD745" s="108">
        <f t="shared" si="94"/>
        <v>2315.1260504201673</v>
      </c>
      <c r="AE745" s="95" t="s">
        <v>1445</v>
      </c>
      <c r="AF745" s="541" t="s">
        <v>3490</v>
      </c>
      <c r="AG745" s="2" t="str">
        <f t="shared" si="95"/>
        <v>SI</v>
      </c>
      <c r="AH745" s="284"/>
      <c r="AI745" s="541"/>
      <c r="AJ745" s="2" t="str">
        <f t="shared" si="96"/>
        <v>Factura</v>
      </c>
      <c r="AK745" s="303"/>
    </row>
    <row r="746" spans="1:37" x14ac:dyDescent="0.25">
      <c r="A746" s="499" t="s">
        <v>1189</v>
      </c>
      <c r="B746" s="317" t="s">
        <v>940</v>
      </c>
      <c r="C746" s="95">
        <v>3084</v>
      </c>
      <c r="D746" s="95">
        <v>0</v>
      </c>
      <c r="E746" s="95"/>
      <c r="F746" s="95"/>
      <c r="G746" s="95" t="s">
        <v>2528</v>
      </c>
      <c r="H746" s="138">
        <v>71326</v>
      </c>
      <c r="I746" s="138"/>
      <c r="J746" s="126">
        <f t="shared" si="90"/>
        <v>71326</v>
      </c>
      <c r="K746" s="318">
        <v>43854</v>
      </c>
      <c r="L746" s="95">
        <v>0</v>
      </c>
      <c r="M746" s="313">
        <f t="shared" si="91"/>
        <v>43854</v>
      </c>
      <c r="N746" s="2" t="str">
        <f t="shared" si="92"/>
        <v>Pagado</v>
      </c>
      <c r="O746" s="318">
        <v>43854</v>
      </c>
      <c r="P746" s="138">
        <v>71326</v>
      </c>
      <c r="Q746" s="2" t="s">
        <v>1481</v>
      </c>
      <c r="R746" s="2"/>
      <c r="S746" s="95"/>
      <c r="T746" s="313"/>
      <c r="U746" s="393"/>
      <c r="V746" s="95">
        <v>7675288</v>
      </c>
      <c r="W746" s="129">
        <v>71326</v>
      </c>
      <c r="X746" s="318">
        <v>43857</v>
      </c>
      <c r="Y746" s="95" t="s">
        <v>1488</v>
      </c>
      <c r="Z746" s="131"/>
      <c r="AA746" s="108" t="str">
        <f t="shared" si="97"/>
        <v/>
      </c>
      <c r="AB746" s="2"/>
      <c r="AC746" s="131">
        <f t="shared" si="93"/>
        <v>59937.815126050424</v>
      </c>
      <c r="AD746" s="108">
        <f t="shared" si="94"/>
        <v>11388.184873949576</v>
      </c>
      <c r="AE746" s="95" t="s">
        <v>1445</v>
      </c>
      <c r="AF746" s="498" t="s">
        <v>3490</v>
      </c>
      <c r="AG746" s="2" t="str">
        <f t="shared" si="95"/>
        <v>SI</v>
      </c>
      <c r="AH746" s="284"/>
      <c r="AI746" s="498"/>
      <c r="AJ746" s="2" t="str">
        <f t="shared" si="96"/>
        <v>Factura</v>
      </c>
      <c r="AK746" s="303"/>
    </row>
    <row r="747" spans="1:37" x14ac:dyDescent="0.25">
      <c r="A747" s="499" t="s">
        <v>1189</v>
      </c>
      <c r="B747" s="317" t="s">
        <v>940</v>
      </c>
      <c r="C747" s="95">
        <v>3086</v>
      </c>
      <c r="D747" s="95">
        <v>0</v>
      </c>
      <c r="E747" s="95"/>
      <c r="F747" s="95"/>
      <c r="G747" s="95" t="s">
        <v>2528</v>
      </c>
      <c r="H747" s="138">
        <v>16269</v>
      </c>
      <c r="I747" s="138"/>
      <c r="J747" s="126">
        <f t="shared" si="90"/>
        <v>16269</v>
      </c>
      <c r="K747" s="318">
        <v>43854</v>
      </c>
      <c r="L747" s="95">
        <v>0</v>
      </c>
      <c r="M747" s="313">
        <f t="shared" si="91"/>
        <v>43854</v>
      </c>
      <c r="N747" s="2" t="str">
        <f t="shared" si="92"/>
        <v>Pagado</v>
      </c>
      <c r="O747" s="318">
        <v>43854</v>
      </c>
      <c r="P747" s="138">
        <v>16269</v>
      </c>
      <c r="Q747" s="2" t="s">
        <v>1481</v>
      </c>
      <c r="R747" s="2"/>
      <c r="S747" s="95"/>
      <c r="T747" s="313"/>
      <c r="U747" s="393"/>
      <c r="V747" s="95">
        <v>7675288</v>
      </c>
      <c r="W747" s="129">
        <v>16269</v>
      </c>
      <c r="X747" s="318">
        <v>43857</v>
      </c>
      <c r="Y747" s="95" t="s">
        <v>1488</v>
      </c>
      <c r="Z747" s="131"/>
      <c r="AA747" s="108" t="str">
        <f t="shared" si="97"/>
        <v/>
      </c>
      <c r="AB747" s="2"/>
      <c r="AC747" s="131">
        <f t="shared" si="93"/>
        <v>13671.428571428572</v>
      </c>
      <c r="AD747" s="108">
        <f t="shared" si="94"/>
        <v>2597.5714285714275</v>
      </c>
      <c r="AE747" s="95" t="s">
        <v>1445</v>
      </c>
      <c r="AF747" s="498" t="s">
        <v>3490</v>
      </c>
      <c r="AG747" s="2" t="str">
        <f t="shared" si="95"/>
        <v>SI</v>
      </c>
      <c r="AH747" s="284"/>
      <c r="AI747" s="498"/>
      <c r="AJ747" s="2" t="str">
        <f t="shared" si="96"/>
        <v>Factura</v>
      </c>
      <c r="AK747" s="303"/>
    </row>
    <row r="748" spans="1:37" x14ac:dyDescent="0.25">
      <c r="A748" s="542" t="s">
        <v>1276</v>
      </c>
      <c r="B748" s="317" t="s">
        <v>1064</v>
      </c>
      <c r="C748" s="95">
        <v>0</v>
      </c>
      <c r="D748" s="95">
        <v>2884</v>
      </c>
      <c r="E748" s="95"/>
      <c r="F748" s="95"/>
      <c r="G748" s="95">
        <v>6449</v>
      </c>
      <c r="H748" s="138">
        <v>19700</v>
      </c>
      <c r="I748" s="138"/>
      <c r="J748" s="126">
        <f t="shared" si="90"/>
        <v>19700</v>
      </c>
      <c r="K748" s="318">
        <v>43855</v>
      </c>
      <c r="L748" s="95">
        <v>0</v>
      </c>
      <c r="M748" s="313">
        <f t="shared" si="91"/>
        <v>43855</v>
      </c>
      <c r="N748" s="2" t="str">
        <f t="shared" si="92"/>
        <v>Pagado</v>
      </c>
      <c r="O748" s="318">
        <v>43855</v>
      </c>
      <c r="P748" s="138">
        <v>19700</v>
      </c>
      <c r="Q748" s="2" t="s">
        <v>1481</v>
      </c>
      <c r="R748" s="2"/>
      <c r="S748" s="95"/>
      <c r="T748" s="313"/>
      <c r="U748" s="393"/>
      <c r="V748" s="95"/>
      <c r="W748" s="129"/>
      <c r="X748" s="318"/>
      <c r="Y748" s="95"/>
      <c r="Z748" s="131"/>
      <c r="AA748" s="108" t="str">
        <f t="shared" si="97"/>
        <v/>
      </c>
      <c r="AB748" s="2"/>
      <c r="AC748" s="131">
        <f t="shared" si="93"/>
        <v>16554.621848739498</v>
      </c>
      <c r="AD748" s="108">
        <f t="shared" si="94"/>
        <v>3145.3781512605019</v>
      </c>
      <c r="AE748" s="95" t="s">
        <v>1501</v>
      </c>
      <c r="AF748" s="541" t="s">
        <v>3489</v>
      </c>
      <c r="AG748" s="2" t="str">
        <f t="shared" si="95"/>
        <v>SI</v>
      </c>
      <c r="AH748" s="284"/>
      <c r="AI748" s="541"/>
      <c r="AJ748" s="2" t="str">
        <f t="shared" si="96"/>
        <v>NV</v>
      </c>
      <c r="AK748" s="303"/>
    </row>
    <row r="749" spans="1:37" x14ac:dyDescent="0.25">
      <c r="A749" s="499" t="s">
        <v>5603</v>
      </c>
      <c r="B749" s="317" t="s">
        <v>5604</v>
      </c>
      <c r="C749" s="95">
        <v>0</v>
      </c>
      <c r="D749" s="95">
        <v>2885</v>
      </c>
      <c r="E749" s="95"/>
      <c r="F749" s="95"/>
      <c r="G749" s="95">
        <v>6446</v>
      </c>
      <c r="H749" s="138">
        <v>23000</v>
      </c>
      <c r="I749" s="138"/>
      <c r="J749" s="126">
        <f t="shared" si="90"/>
        <v>23000</v>
      </c>
      <c r="K749" s="318">
        <v>43855</v>
      </c>
      <c r="L749" s="95">
        <v>0</v>
      </c>
      <c r="M749" s="313">
        <f t="shared" si="91"/>
        <v>43855</v>
      </c>
      <c r="N749" s="2" t="str">
        <f t="shared" si="92"/>
        <v>Pagado</v>
      </c>
      <c r="O749" s="318">
        <v>43855</v>
      </c>
      <c r="P749" s="138">
        <v>23000</v>
      </c>
      <c r="Q749" s="2" t="s">
        <v>1481</v>
      </c>
      <c r="R749" s="2"/>
      <c r="S749" s="95"/>
      <c r="T749" s="313"/>
      <c r="U749" s="393"/>
      <c r="V749" s="95">
        <v>7675289</v>
      </c>
      <c r="W749" s="129">
        <v>23000</v>
      </c>
      <c r="X749" s="318">
        <v>43859</v>
      </c>
      <c r="Y749" s="95" t="s">
        <v>1488</v>
      </c>
      <c r="Z749" s="131"/>
      <c r="AA749" s="108" t="str">
        <f t="shared" si="97"/>
        <v/>
      </c>
      <c r="AB749" s="2"/>
      <c r="AC749" s="131">
        <f t="shared" si="93"/>
        <v>19327.731092436974</v>
      </c>
      <c r="AD749" s="108">
        <f t="shared" si="94"/>
        <v>3672.268907563026</v>
      </c>
      <c r="AE749" s="95" t="s">
        <v>1501</v>
      </c>
      <c r="AF749" s="498" t="s">
        <v>3487</v>
      </c>
      <c r="AG749" s="2" t="str">
        <f t="shared" si="95"/>
        <v>SI</v>
      </c>
      <c r="AH749" s="284"/>
      <c r="AI749" s="498"/>
      <c r="AJ749" s="2" t="str">
        <f t="shared" si="96"/>
        <v>NV</v>
      </c>
      <c r="AK749" s="303"/>
    </row>
    <row r="750" spans="1:37" x14ac:dyDescent="0.25">
      <c r="A750" s="499" t="s">
        <v>2344</v>
      </c>
      <c r="B750" s="317" t="s">
        <v>2345</v>
      </c>
      <c r="C750" s="95">
        <v>0</v>
      </c>
      <c r="D750" s="95">
        <v>2883</v>
      </c>
      <c r="E750" s="95"/>
      <c r="F750" s="95"/>
      <c r="G750" s="95">
        <v>6445</v>
      </c>
      <c r="H750" s="138">
        <v>26700</v>
      </c>
      <c r="I750" s="138"/>
      <c r="J750" s="126">
        <f t="shared" si="90"/>
        <v>26700</v>
      </c>
      <c r="K750" s="318">
        <v>43855</v>
      </c>
      <c r="L750" s="95">
        <v>0</v>
      </c>
      <c r="M750" s="313">
        <f t="shared" si="91"/>
        <v>43855</v>
      </c>
      <c r="N750" s="2" t="str">
        <f t="shared" si="92"/>
        <v>Pagado</v>
      </c>
      <c r="O750" s="318">
        <v>43855</v>
      </c>
      <c r="P750" s="138">
        <v>26700</v>
      </c>
      <c r="Q750" s="2" t="s">
        <v>1484</v>
      </c>
      <c r="R750" s="2"/>
      <c r="S750" s="95"/>
      <c r="T750" s="313" t="s">
        <v>1496</v>
      </c>
      <c r="U750" s="393"/>
      <c r="V750" s="95"/>
      <c r="W750" s="129"/>
      <c r="X750" s="318"/>
      <c r="Y750" s="95"/>
      <c r="Z750" s="131"/>
      <c r="AA750" s="108" t="str">
        <f t="shared" si="97"/>
        <v/>
      </c>
      <c r="AB750" s="2"/>
      <c r="AC750" s="131">
        <f t="shared" si="93"/>
        <v>22436.974789915967</v>
      </c>
      <c r="AD750" s="108">
        <f t="shared" si="94"/>
        <v>4263.0252100840335</v>
      </c>
      <c r="AE750" s="95" t="s">
        <v>1501</v>
      </c>
      <c r="AF750" s="498" t="s">
        <v>3487</v>
      </c>
      <c r="AG750" s="2" t="str">
        <f t="shared" si="95"/>
        <v>SI</v>
      </c>
      <c r="AH750" s="284"/>
      <c r="AI750" s="498"/>
      <c r="AJ750" s="2" t="str">
        <f t="shared" si="96"/>
        <v>NV</v>
      </c>
      <c r="AK750" s="303"/>
    </row>
    <row r="751" spans="1:37" x14ac:dyDescent="0.25">
      <c r="A751" s="534" t="s">
        <v>4040</v>
      </c>
      <c r="B751" s="317" t="s">
        <v>4038</v>
      </c>
      <c r="C751" s="95">
        <v>0</v>
      </c>
      <c r="D751" s="95">
        <v>201</v>
      </c>
      <c r="E751" s="95"/>
      <c r="F751" s="95"/>
      <c r="G751" s="95">
        <v>6444</v>
      </c>
      <c r="H751" s="138">
        <v>22800</v>
      </c>
      <c r="I751" s="138"/>
      <c r="J751" s="126">
        <f t="shared" si="90"/>
        <v>22800</v>
      </c>
      <c r="K751" s="318">
        <v>43855</v>
      </c>
      <c r="L751" s="95">
        <v>0</v>
      </c>
      <c r="M751" s="313">
        <f t="shared" si="91"/>
        <v>43855</v>
      </c>
      <c r="N751" s="2" t="str">
        <f t="shared" si="92"/>
        <v>Pagado</v>
      </c>
      <c r="O751" s="318">
        <v>43855</v>
      </c>
      <c r="P751" s="138">
        <v>22800</v>
      </c>
      <c r="Q751" s="2" t="s">
        <v>1070</v>
      </c>
      <c r="R751" s="2" t="s">
        <v>1478</v>
      </c>
      <c r="S751" s="95">
        <v>201</v>
      </c>
      <c r="T751" s="313"/>
      <c r="U751" s="393"/>
      <c r="V751" s="95"/>
      <c r="W751" s="129"/>
      <c r="X751" s="318"/>
      <c r="Y751" s="95"/>
      <c r="Z751" s="131"/>
      <c r="AA751" s="108" t="str">
        <f t="shared" si="97"/>
        <v/>
      </c>
      <c r="AB751" s="2"/>
      <c r="AC751" s="131">
        <f t="shared" si="93"/>
        <v>19159.663865546219</v>
      </c>
      <c r="AD751" s="108">
        <f t="shared" si="94"/>
        <v>3640.3361344537807</v>
      </c>
      <c r="AE751" s="95" t="s">
        <v>1501</v>
      </c>
      <c r="AF751" s="533" t="s">
        <v>3489</v>
      </c>
      <c r="AG751" s="2" t="str">
        <f t="shared" si="95"/>
        <v>SI</v>
      </c>
      <c r="AH751" s="284"/>
      <c r="AI751" s="533"/>
      <c r="AJ751" s="2" t="str">
        <f t="shared" si="96"/>
        <v>NV</v>
      </c>
      <c r="AK751" s="303"/>
    </row>
    <row r="752" spans="1:37" x14ac:dyDescent="0.25">
      <c r="A752" s="499" t="s">
        <v>1204</v>
      </c>
      <c r="B752" s="317" t="s">
        <v>1052</v>
      </c>
      <c r="C752" s="95">
        <v>0</v>
      </c>
      <c r="D752" s="95">
        <v>0</v>
      </c>
      <c r="E752" s="95"/>
      <c r="F752" s="95"/>
      <c r="G752" s="95">
        <v>6452</v>
      </c>
      <c r="H752" s="138">
        <v>49000</v>
      </c>
      <c r="I752" s="138"/>
      <c r="J752" s="126">
        <f t="shared" si="90"/>
        <v>49000</v>
      </c>
      <c r="K752" s="318">
        <v>43855</v>
      </c>
      <c r="L752" s="95">
        <v>0</v>
      </c>
      <c r="M752" s="313">
        <f t="shared" si="91"/>
        <v>43855</v>
      </c>
      <c r="N752" s="2" t="str">
        <f t="shared" si="92"/>
        <v>Pagado</v>
      </c>
      <c r="O752" s="318">
        <v>43859</v>
      </c>
      <c r="P752" s="138">
        <v>49000</v>
      </c>
      <c r="Q752" s="2" t="s">
        <v>1484</v>
      </c>
      <c r="R752" s="2"/>
      <c r="S752" s="95"/>
      <c r="T752" s="313" t="s">
        <v>1492</v>
      </c>
      <c r="U752" s="393"/>
      <c r="V752" s="95"/>
      <c r="W752" s="129"/>
      <c r="X752" s="318"/>
      <c r="Y752" s="95"/>
      <c r="Z752" s="131"/>
      <c r="AA752" s="108" t="str">
        <f t="shared" si="97"/>
        <v/>
      </c>
      <c r="AB752" s="2"/>
      <c r="AC752" s="131">
        <f t="shared" si="93"/>
        <v>41176.470588235294</v>
      </c>
      <c r="AD752" s="108">
        <f t="shared" si="94"/>
        <v>7823.5294117647063</v>
      </c>
      <c r="AE752" s="95" t="s">
        <v>1501</v>
      </c>
      <c r="AF752" s="498" t="s">
        <v>3489</v>
      </c>
      <c r="AG752" s="2" t="str">
        <f t="shared" si="95"/>
        <v>SI</v>
      </c>
      <c r="AH752" s="284"/>
      <c r="AI752" s="498"/>
      <c r="AJ752" s="2" t="str">
        <f t="shared" si="96"/>
        <v>NV</v>
      </c>
      <c r="AK752" s="303"/>
    </row>
    <row r="753" spans="1:37" x14ac:dyDescent="0.25">
      <c r="A753" s="542" t="s">
        <v>3200</v>
      </c>
      <c r="B753" s="317" t="s">
        <v>3201</v>
      </c>
      <c r="C753" s="95">
        <v>0</v>
      </c>
      <c r="D753" s="95">
        <v>202</v>
      </c>
      <c r="E753" s="95"/>
      <c r="F753" s="95"/>
      <c r="G753" s="95">
        <v>6447</v>
      </c>
      <c r="H753" s="138">
        <v>19700</v>
      </c>
      <c r="I753" s="138"/>
      <c r="J753" s="126">
        <f t="shared" si="90"/>
        <v>19700</v>
      </c>
      <c r="K753" s="318">
        <v>43855</v>
      </c>
      <c r="L753" s="95">
        <v>0</v>
      </c>
      <c r="M753" s="313">
        <f t="shared" si="91"/>
        <v>43855</v>
      </c>
      <c r="N753" s="2" t="str">
        <f t="shared" si="92"/>
        <v>Pagado</v>
      </c>
      <c r="O753" s="318">
        <v>43855</v>
      </c>
      <c r="P753" s="138">
        <v>19700</v>
      </c>
      <c r="Q753" s="2" t="s">
        <v>1070</v>
      </c>
      <c r="R753" s="2" t="s">
        <v>2243</v>
      </c>
      <c r="S753" s="95">
        <v>202</v>
      </c>
      <c r="T753" s="313"/>
      <c r="U753" s="393"/>
      <c r="V753" s="95">
        <v>7675289</v>
      </c>
      <c r="W753" s="129">
        <v>19700</v>
      </c>
      <c r="X753" s="318">
        <v>43859</v>
      </c>
      <c r="Y753" s="95" t="s">
        <v>1488</v>
      </c>
      <c r="Z753" s="131"/>
      <c r="AA753" s="108" t="str">
        <f t="shared" si="97"/>
        <v/>
      </c>
      <c r="AB753" s="2"/>
      <c r="AC753" s="131">
        <f t="shared" si="93"/>
        <v>16554.621848739498</v>
      </c>
      <c r="AD753" s="108">
        <f t="shared" si="94"/>
        <v>3145.3781512605019</v>
      </c>
      <c r="AE753" s="95" t="s">
        <v>1501</v>
      </c>
      <c r="AF753" s="541" t="s">
        <v>3487</v>
      </c>
      <c r="AG753" s="2" t="str">
        <f t="shared" si="95"/>
        <v>SI</v>
      </c>
      <c r="AH753" s="284"/>
      <c r="AI753" s="541"/>
      <c r="AJ753" s="2" t="str">
        <f t="shared" si="96"/>
        <v>NV</v>
      </c>
      <c r="AK753" s="303"/>
    </row>
    <row r="754" spans="1:37" x14ac:dyDescent="0.25">
      <c r="A754" s="534" t="s">
        <v>4486</v>
      </c>
      <c r="B754" s="317" t="s">
        <v>4346</v>
      </c>
      <c r="C754" s="95">
        <v>0</v>
      </c>
      <c r="D754" s="95">
        <v>2886</v>
      </c>
      <c r="E754" s="95"/>
      <c r="F754" s="95"/>
      <c r="G754" s="95">
        <v>6448</v>
      </c>
      <c r="H754" s="138">
        <v>57500</v>
      </c>
      <c r="I754" s="138"/>
      <c r="J754" s="126">
        <f t="shared" si="90"/>
        <v>57500</v>
      </c>
      <c r="K754" s="318">
        <v>43855</v>
      </c>
      <c r="L754" s="95">
        <v>0</v>
      </c>
      <c r="M754" s="313">
        <f t="shared" si="91"/>
        <v>43855</v>
      </c>
      <c r="N754" s="2" t="str">
        <f t="shared" ca="1" si="92"/>
        <v>Vencido</v>
      </c>
      <c r="O754" s="318"/>
      <c r="P754" s="138"/>
      <c r="Q754" s="2"/>
      <c r="R754" s="2"/>
      <c r="S754" s="95"/>
      <c r="T754" s="313"/>
      <c r="U754" s="393"/>
      <c r="V754" s="95"/>
      <c r="W754" s="129"/>
      <c r="X754" s="318"/>
      <c r="Y754" s="95"/>
      <c r="Z754" s="131"/>
      <c r="AA754" s="108" t="str">
        <f t="shared" si="97"/>
        <v/>
      </c>
      <c r="AB754" s="2"/>
      <c r="AC754" s="131">
        <f t="shared" si="93"/>
        <v>48319.327731092439</v>
      </c>
      <c r="AD754" s="108">
        <f t="shared" si="94"/>
        <v>9180.6722689075614</v>
      </c>
      <c r="AE754" s="95" t="s">
        <v>1501</v>
      </c>
      <c r="AF754" s="533" t="s">
        <v>3487</v>
      </c>
      <c r="AG754" s="2" t="str">
        <f t="shared" ca="1" si="95"/>
        <v>NO</v>
      </c>
      <c r="AH754" s="284"/>
      <c r="AI754" s="533"/>
      <c r="AJ754" s="2" t="str">
        <f t="shared" si="96"/>
        <v>NV</v>
      </c>
      <c r="AK754" s="303"/>
    </row>
    <row r="755" spans="1:37" x14ac:dyDescent="0.25">
      <c r="A755" s="499" t="s">
        <v>4486</v>
      </c>
      <c r="B755" s="317" t="s">
        <v>4346</v>
      </c>
      <c r="C755" s="95">
        <v>0</v>
      </c>
      <c r="D755" s="95">
        <v>2886</v>
      </c>
      <c r="E755" s="95"/>
      <c r="F755" s="95"/>
      <c r="G755" s="95">
        <v>6448</v>
      </c>
      <c r="H755" s="138">
        <v>8660</v>
      </c>
      <c r="I755" s="138"/>
      <c r="J755" s="126">
        <f t="shared" si="90"/>
        <v>8660</v>
      </c>
      <c r="K755" s="318">
        <v>43855</v>
      </c>
      <c r="L755" s="95">
        <v>0</v>
      </c>
      <c r="M755" s="313">
        <f t="shared" si="91"/>
        <v>43855</v>
      </c>
      <c r="N755" s="2" t="str">
        <f t="shared" ca="1" si="92"/>
        <v>Vencido</v>
      </c>
      <c r="O755" s="318"/>
      <c r="P755" s="138"/>
      <c r="Q755" s="2"/>
      <c r="R755" s="2"/>
      <c r="S755" s="95"/>
      <c r="T755" s="313"/>
      <c r="U755" s="393"/>
      <c r="V755" s="95"/>
      <c r="W755" s="129"/>
      <c r="X755" s="318"/>
      <c r="Y755" s="95"/>
      <c r="Z755" s="131"/>
      <c r="AA755" s="108" t="str">
        <f t="shared" si="97"/>
        <v/>
      </c>
      <c r="AB755" s="2"/>
      <c r="AC755" s="131">
        <f t="shared" si="93"/>
        <v>7277.3109243697481</v>
      </c>
      <c r="AD755" s="108">
        <f t="shared" si="94"/>
        <v>1382.6890756302519</v>
      </c>
      <c r="AE755" s="95" t="s">
        <v>1501</v>
      </c>
      <c r="AF755" s="498" t="s">
        <v>3487</v>
      </c>
      <c r="AG755" s="2" t="str">
        <f t="shared" ca="1" si="95"/>
        <v>NO</v>
      </c>
      <c r="AH755" s="284"/>
      <c r="AI755" s="498"/>
      <c r="AJ755" s="2" t="str">
        <f t="shared" si="96"/>
        <v>NV</v>
      </c>
      <c r="AK755" s="303"/>
    </row>
    <row r="756" spans="1:37" x14ac:dyDescent="0.25">
      <c r="A756" s="542" t="s">
        <v>1236</v>
      </c>
      <c r="B756" s="317" t="s">
        <v>1920</v>
      </c>
      <c r="C756" s="95">
        <v>0</v>
      </c>
      <c r="D756" s="95">
        <v>2887</v>
      </c>
      <c r="E756" s="95"/>
      <c r="F756" s="95"/>
      <c r="G756" s="95">
        <v>6453</v>
      </c>
      <c r="H756" s="138">
        <v>36000</v>
      </c>
      <c r="I756" s="138"/>
      <c r="J756" s="126">
        <f t="shared" si="90"/>
        <v>36000</v>
      </c>
      <c r="K756" s="318">
        <v>43857</v>
      </c>
      <c r="L756" s="95">
        <v>0</v>
      </c>
      <c r="M756" s="313">
        <f t="shared" si="91"/>
        <v>43857</v>
      </c>
      <c r="N756" s="2" t="str">
        <f t="shared" si="92"/>
        <v>Pagado</v>
      </c>
      <c r="O756" s="318">
        <v>43857</v>
      </c>
      <c r="P756" s="138">
        <v>36000</v>
      </c>
      <c r="Q756" s="2" t="s">
        <v>2131</v>
      </c>
      <c r="R756" s="2"/>
      <c r="S756" s="95">
        <v>2874817</v>
      </c>
      <c r="T756" s="313" t="s">
        <v>1491</v>
      </c>
      <c r="U756" s="393">
        <v>43866</v>
      </c>
      <c r="V756" s="95">
        <v>7675297</v>
      </c>
      <c r="W756" s="129">
        <v>36000</v>
      </c>
      <c r="X756" s="318">
        <v>43867</v>
      </c>
      <c r="Y756" s="95" t="s">
        <v>1488</v>
      </c>
      <c r="Z756" s="131"/>
      <c r="AA756" s="108" t="str">
        <f t="shared" si="97"/>
        <v>Otros</v>
      </c>
      <c r="AB756" s="2"/>
      <c r="AC756" s="131">
        <f t="shared" si="93"/>
        <v>30252.100840336137</v>
      </c>
      <c r="AD756" s="108">
        <f t="shared" si="94"/>
        <v>5747.8991596638625</v>
      </c>
      <c r="AE756" s="95" t="s">
        <v>1501</v>
      </c>
      <c r="AF756" s="541" t="s">
        <v>3489</v>
      </c>
      <c r="AG756" s="2" t="str">
        <f t="shared" si="95"/>
        <v>SI</v>
      </c>
      <c r="AH756" s="284"/>
      <c r="AI756" s="541"/>
      <c r="AJ756" s="2" t="str">
        <f t="shared" si="96"/>
        <v>NV</v>
      </c>
      <c r="AK756" s="303"/>
    </row>
    <row r="757" spans="1:37" x14ac:dyDescent="0.25">
      <c r="A757" s="499" t="s">
        <v>2360</v>
      </c>
      <c r="B757" s="317" t="s">
        <v>4296</v>
      </c>
      <c r="C757" s="95">
        <v>0</v>
      </c>
      <c r="D757" s="95">
        <v>2888</v>
      </c>
      <c r="E757" s="95"/>
      <c r="F757" s="95"/>
      <c r="G757" s="95">
        <v>6454</v>
      </c>
      <c r="H757" s="138">
        <v>31500</v>
      </c>
      <c r="I757" s="138"/>
      <c r="J757" s="126">
        <f t="shared" si="90"/>
        <v>31500</v>
      </c>
      <c r="K757" s="318">
        <v>43857</v>
      </c>
      <c r="L757" s="95">
        <v>0</v>
      </c>
      <c r="M757" s="313">
        <f t="shared" si="91"/>
        <v>43857</v>
      </c>
      <c r="N757" s="2" t="str">
        <f t="shared" si="92"/>
        <v>Pagado</v>
      </c>
      <c r="O757" s="318">
        <v>43857</v>
      </c>
      <c r="P757" s="138">
        <v>31500</v>
      </c>
      <c r="Q757" s="2" t="s">
        <v>1484</v>
      </c>
      <c r="R757" s="2"/>
      <c r="S757" s="95"/>
      <c r="T757" s="313" t="s">
        <v>1490</v>
      </c>
      <c r="U757" s="393"/>
      <c r="V757" s="95"/>
      <c r="W757" s="129"/>
      <c r="X757" s="318"/>
      <c r="Y757" s="95"/>
      <c r="Z757" s="131"/>
      <c r="AA757" s="108" t="str">
        <f t="shared" si="97"/>
        <v/>
      </c>
      <c r="AB757" s="2"/>
      <c r="AC757" s="131">
        <f t="shared" si="93"/>
        <v>26470.588235294119</v>
      </c>
      <c r="AD757" s="108">
        <f t="shared" si="94"/>
        <v>5029.4117647058811</v>
      </c>
      <c r="AE757" s="95" t="s">
        <v>1501</v>
      </c>
      <c r="AF757" s="498" t="s">
        <v>3487</v>
      </c>
      <c r="AG757" s="2" t="str">
        <f t="shared" si="95"/>
        <v>SI</v>
      </c>
      <c r="AH757" s="284"/>
      <c r="AI757" s="498"/>
      <c r="AJ757" s="2" t="str">
        <f t="shared" si="96"/>
        <v>NV</v>
      </c>
      <c r="AK757" s="303"/>
    </row>
    <row r="758" spans="1:37" x14ac:dyDescent="0.25">
      <c r="A758" s="499" t="s">
        <v>4580</v>
      </c>
      <c r="B758" s="317" t="s">
        <v>4581</v>
      </c>
      <c r="C758" s="95">
        <v>0</v>
      </c>
      <c r="D758" s="95">
        <v>2889</v>
      </c>
      <c r="E758" s="95"/>
      <c r="F758" s="95"/>
      <c r="G758" s="95">
        <v>6451</v>
      </c>
      <c r="H758" s="138">
        <v>96500</v>
      </c>
      <c r="I758" s="138"/>
      <c r="J758" s="126">
        <f t="shared" si="90"/>
        <v>96500</v>
      </c>
      <c r="K758" s="318">
        <v>43857</v>
      </c>
      <c r="L758" s="95">
        <v>0</v>
      </c>
      <c r="M758" s="313">
        <f t="shared" si="91"/>
        <v>43857</v>
      </c>
      <c r="N758" s="2" t="str">
        <f t="shared" si="92"/>
        <v>Pagado</v>
      </c>
      <c r="O758" s="318">
        <v>43857</v>
      </c>
      <c r="P758" s="138">
        <v>96500</v>
      </c>
      <c r="Q758" s="2" t="s">
        <v>1484</v>
      </c>
      <c r="R758" s="2"/>
      <c r="S758" s="95"/>
      <c r="T758" s="313" t="s">
        <v>1462</v>
      </c>
      <c r="U758" s="393"/>
      <c r="V758" s="95"/>
      <c r="W758" s="129"/>
      <c r="X758" s="318"/>
      <c r="Y758" s="95"/>
      <c r="Z758" s="131"/>
      <c r="AA758" s="108" t="str">
        <f t="shared" si="97"/>
        <v/>
      </c>
      <c r="AB758" s="2"/>
      <c r="AC758" s="131">
        <f t="shared" si="93"/>
        <v>81092.436974789918</v>
      </c>
      <c r="AD758" s="108">
        <f t="shared" si="94"/>
        <v>15407.563025210082</v>
      </c>
      <c r="AE758" s="95" t="s">
        <v>1501</v>
      </c>
      <c r="AF758" s="498" t="s">
        <v>3487</v>
      </c>
      <c r="AG758" s="2" t="str">
        <f t="shared" si="95"/>
        <v>SI</v>
      </c>
      <c r="AH758" s="284"/>
      <c r="AI758" s="498"/>
      <c r="AJ758" s="2" t="str">
        <f t="shared" si="96"/>
        <v>NV</v>
      </c>
      <c r="AK758" s="303"/>
    </row>
    <row r="759" spans="1:37" x14ac:dyDescent="0.25">
      <c r="A759" s="499" t="s">
        <v>3683</v>
      </c>
      <c r="B759" s="317" t="s">
        <v>3684</v>
      </c>
      <c r="C759" s="95">
        <v>0</v>
      </c>
      <c r="D759" s="95">
        <v>203</v>
      </c>
      <c r="E759" s="95"/>
      <c r="F759" s="95"/>
      <c r="G759" s="95">
        <v>6455</v>
      </c>
      <c r="H759" s="138">
        <v>33500</v>
      </c>
      <c r="I759" s="138"/>
      <c r="J759" s="126">
        <f t="shared" si="90"/>
        <v>33500</v>
      </c>
      <c r="K759" s="318">
        <v>43857</v>
      </c>
      <c r="L759" s="95">
        <v>0</v>
      </c>
      <c r="M759" s="313">
        <f t="shared" si="91"/>
        <v>43857</v>
      </c>
      <c r="N759" s="2" t="str">
        <f t="shared" si="92"/>
        <v>Pagado</v>
      </c>
      <c r="O759" s="318">
        <v>43857</v>
      </c>
      <c r="P759" s="138">
        <v>33500</v>
      </c>
      <c r="Q759" s="2" t="s">
        <v>1070</v>
      </c>
      <c r="R759" s="2" t="s">
        <v>2243</v>
      </c>
      <c r="S759" s="95">
        <v>203</v>
      </c>
      <c r="T759" s="313"/>
      <c r="U759" s="393"/>
      <c r="V759" s="95"/>
      <c r="W759" s="129"/>
      <c r="X759" s="318"/>
      <c r="Y759" s="95"/>
      <c r="Z759" s="131"/>
      <c r="AA759" s="108" t="str">
        <f t="shared" si="97"/>
        <v/>
      </c>
      <c r="AB759" s="2"/>
      <c r="AC759" s="131">
        <f t="shared" si="93"/>
        <v>28151.26050420168</v>
      </c>
      <c r="AD759" s="108">
        <f t="shared" si="94"/>
        <v>5348.7394957983197</v>
      </c>
      <c r="AE759" s="95" t="s">
        <v>1501</v>
      </c>
      <c r="AF759" s="498" t="s">
        <v>3487</v>
      </c>
      <c r="AG759" s="2" t="str">
        <f t="shared" si="95"/>
        <v>SI</v>
      </c>
      <c r="AH759" s="284"/>
      <c r="AI759" s="498"/>
      <c r="AJ759" s="2" t="str">
        <f t="shared" si="96"/>
        <v>NV</v>
      </c>
      <c r="AK759" s="303"/>
    </row>
    <row r="760" spans="1:37" x14ac:dyDescent="0.25">
      <c r="A760" s="534" t="s">
        <v>5359</v>
      </c>
      <c r="B760" s="317" t="s">
        <v>5360</v>
      </c>
      <c r="C760" s="95">
        <v>0</v>
      </c>
      <c r="D760" s="95">
        <v>204</v>
      </c>
      <c r="E760" s="95"/>
      <c r="F760" s="95"/>
      <c r="G760" s="95">
        <v>6460</v>
      </c>
      <c r="H760" s="138">
        <v>53100</v>
      </c>
      <c r="I760" s="138"/>
      <c r="J760" s="126">
        <f t="shared" si="90"/>
        <v>53100</v>
      </c>
      <c r="K760" s="318">
        <v>43858</v>
      </c>
      <c r="L760" s="95">
        <v>0</v>
      </c>
      <c r="M760" s="313">
        <f t="shared" si="91"/>
        <v>43858</v>
      </c>
      <c r="N760" s="2" t="str">
        <f t="shared" si="92"/>
        <v>Pagado</v>
      </c>
      <c r="O760" s="318">
        <v>43858</v>
      </c>
      <c r="P760" s="138">
        <v>53100</v>
      </c>
      <c r="Q760" s="2" t="s">
        <v>1070</v>
      </c>
      <c r="R760" s="2" t="s">
        <v>2243</v>
      </c>
      <c r="S760" s="95">
        <v>204</v>
      </c>
      <c r="T760" s="313"/>
      <c r="U760" s="393"/>
      <c r="V760" s="95"/>
      <c r="W760" s="129"/>
      <c r="X760" s="318"/>
      <c r="Y760" s="95"/>
      <c r="Z760" s="131"/>
      <c r="AA760" s="108" t="str">
        <f t="shared" si="97"/>
        <v/>
      </c>
      <c r="AB760" s="2"/>
      <c r="AC760" s="131">
        <f t="shared" si="93"/>
        <v>44621.848739495799</v>
      </c>
      <c r="AD760" s="108">
        <f t="shared" si="94"/>
        <v>8478.1512605042008</v>
      </c>
      <c r="AE760" s="95" t="s">
        <v>1501</v>
      </c>
      <c r="AF760" s="533" t="s">
        <v>3487</v>
      </c>
      <c r="AG760" s="2" t="str">
        <f t="shared" si="95"/>
        <v>SI</v>
      </c>
      <c r="AH760" s="284"/>
      <c r="AI760" s="533"/>
      <c r="AJ760" s="2" t="str">
        <f t="shared" si="96"/>
        <v>NV</v>
      </c>
      <c r="AK760" s="303"/>
    </row>
    <row r="761" spans="1:37" x14ac:dyDescent="0.25">
      <c r="A761" s="534" t="s">
        <v>4465</v>
      </c>
      <c r="B761" s="317" t="s">
        <v>4466</v>
      </c>
      <c r="C761" s="95">
        <v>0</v>
      </c>
      <c r="D761" s="95">
        <v>0</v>
      </c>
      <c r="E761" s="95"/>
      <c r="F761" s="95"/>
      <c r="G761" s="95">
        <v>6456</v>
      </c>
      <c r="H761" s="138">
        <v>7600</v>
      </c>
      <c r="I761" s="138"/>
      <c r="J761" s="126">
        <f t="shared" si="90"/>
        <v>7600</v>
      </c>
      <c r="K761" s="318">
        <v>43858</v>
      </c>
      <c r="L761" s="95">
        <v>0</v>
      </c>
      <c r="M761" s="313">
        <f t="shared" si="91"/>
        <v>43858</v>
      </c>
      <c r="N761" s="2" t="str">
        <f t="shared" si="92"/>
        <v>Pagado</v>
      </c>
      <c r="O761" s="318">
        <v>43858</v>
      </c>
      <c r="P761" s="138">
        <v>7600</v>
      </c>
      <c r="Q761" s="2" t="s">
        <v>1484</v>
      </c>
      <c r="R761" s="2"/>
      <c r="S761" s="95"/>
      <c r="T761" s="313" t="s">
        <v>1493</v>
      </c>
      <c r="U761" s="393"/>
      <c r="V761" s="95"/>
      <c r="W761" s="129"/>
      <c r="X761" s="318"/>
      <c r="Y761" s="95"/>
      <c r="Z761" s="131"/>
      <c r="AA761" s="108" t="str">
        <f t="shared" si="97"/>
        <v/>
      </c>
      <c r="AB761" s="2"/>
      <c r="AC761" s="131">
        <f t="shared" si="93"/>
        <v>6386.5546218487398</v>
      </c>
      <c r="AD761" s="108">
        <f t="shared" si="94"/>
        <v>1213.4453781512602</v>
      </c>
      <c r="AE761" s="95" t="s">
        <v>1501</v>
      </c>
      <c r="AF761" s="533" t="s">
        <v>3487</v>
      </c>
      <c r="AG761" s="2" t="str">
        <f t="shared" si="95"/>
        <v>SI</v>
      </c>
      <c r="AH761" s="284"/>
      <c r="AI761" s="533"/>
      <c r="AJ761" s="2" t="str">
        <f t="shared" si="96"/>
        <v>NV</v>
      </c>
      <c r="AK761" s="303"/>
    </row>
    <row r="762" spans="1:37" x14ac:dyDescent="0.25">
      <c r="A762" s="499" t="s">
        <v>1216</v>
      </c>
      <c r="B762" s="317" t="s">
        <v>2209</v>
      </c>
      <c r="C762" s="95">
        <v>0</v>
      </c>
      <c r="D762" s="95">
        <v>2891</v>
      </c>
      <c r="E762" s="95"/>
      <c r="F762" s="95"/>
      <c r="G762" s="95">
        <v>6459</v>
      </c>
      <c r="H762" s="138">
        <v>47800</v>
      </c>
      <c r="I762" s="138"/>
      <c r="J762" s="126">
        <f t="shared" si="90"/>
        <v>47800</v>
      </c>
      <c r="K762" s="318">
        <v>43858</v>
      </c>
      <c r="L762" s="95">
        <v>0</v>
      </c>
      <c r="M762" s="313">
        <f t="shared" si="91"/>
        <v>43858</v>
      </c>
      <c r="N762" s="2" t="str">
        <f t="shared" si="92"/>
        <v>Pagado</v>
      </c>
      <c r="O762" s="318">
        <v>43858</v>
      </c>
      <c r="P762" s="138">
        <v>47800</v>
      </c>
      <c r="Q762" s="2" t="s">
        <v>1484</v>
      </c>
      <c r="R762" s="2"/>
      <c r="S762" s="95"/>
      <c r="T762" s="313" t="s">
        <v>1488</v>
      </c>
      <c r="U762" s="393"/>
      <c r="V762" s="95"/>
      <c r="W762" s="129"/>
      <c r="X762" s="318"/>
      <c r="Y762" s="95"/>
      <c r="Z762" s="131"/>
      <c r="AA762" s="108" t="str">
        <f t="shared" si="97"/>
        <v/>
      </c>
      <c r="AB762" s="2"/>
      <c r="AC762" s="131">
        <f t="shared" si="93"/>
        <v>40168.067226890758</v>
      </c>
      <c r="AD762" s="108">
        <f t="shared" si="94"/>
        <v>7631.9327731092417</v>
      </c>
      <c r="AE762" s="95" t="s">
        <v>1501</v>
      </c>
      <c r="AF762" s="498" t="s">
        <v>3489</v>
      </c>
      <c r="AG762" s="2" t="str">
        <f t="shared" si="95"/>
        <v>SI</v>
      </c>
      <c r="AH762" s="284"/>
      <c r="AI762" s="498"/>
      <c r="AJ762" s="2" t="str">
        <f t="shared" si="96"/>
        <v>NV</v>
      </c>
      <c r="AK762" s="303"/>
    </row>
    <row r="763" spans="1:37" x14ac:dyDescent="0.25">
      <c r="A763" s="499" t="s">
        <v>1257</v>
      </c>
      <c r="B763" s="317" t="s">
        <v>2145</v>
      </c>
      <c r="C763" s="95">
        <v>0</v>
      </c>
      <c r="D763" s="95">
        <v>2892</v>
      </c>
      <c r="E763" s="95"/>
      <c r="F763" s="95"/>
      <c r="G763" s="95">
        <v>6458</v>
      </c>
      <c r="H763" s="138">
        <v>11400</v>
      </c>
      <c r="I763" s="138"/>
      <c r="J763" s="126">
        <f t="shared" si="90"/>
        <v>11400</v>
      </c>
      <c r="K763" s="318">
        <v>43858</v>
      </c>
      <c r="L763" s="95">
        <v>0</v>
      </c>
      <c r="M763" s="313">
        <f t="shared" si="91"/>
        <v>43858</v>
      </c>
      <c r="N763" s="2" t="str">
        <f t="shared" si="92"/>
        <v>Pagado</v>
      </c>
      <c r="O763" s="318">
        <v>43859</v>
      </c>
      <c r="P763" s="138">
        <v>11400</v>
      </c>
      <c r="Q763" s="2" t="s">
        <v>1484</v>
      </c>
      <c r="R763" s="2"/>
      <c r="S763" s="95"/>
      <c r="T763" s="313" t="s">
        <v>1488</v>
      </c>
      <c r="U763" s="393"/>
      <c r="V763" s="95"/>
      <c r="W763" s="129"/>
      <c r="X763" s="318"/>
      <c r="Y763" s="95"/>
      <c r="Z763" s="131"/>
      <c r="AA763" s="108" t="str">
        <f t="shared" si="97"/>
        <v/>
      </c>
      <c r="AB763" s="2"/>
      <c r="AC763" s="131">
        <f t="shared" si="93"/>
        <v>9579.8319327731097</v>
      </c>
      <c r="AD763" s="108">
        <f t="shared" si="94"/>
        <v>1820.1680672268903</v>
      </c>
      <c r="AE763" s="95" t="s">
        <v>1501</v>
      </c>
      <c r="AF763" s="498" t="s">
        <v>3489</v>
      </c>
      <c r="AG763" s="2" t="str">
        <f t="shared" si="95"/>
        <v>SI</v>
      </c>
      <c r="AH763" s="284"/>
      <c r="AI763" s="498"/>
      <c r="AJ763" s="2" t="str">
        <f t="shared" si="96"/>
        <v>NV</v>
      </c>
      <c r="AK763" s="303"/>
    </row>
    <row r="764" spans="1:37" x14ac:dyDescent="0.25">
      <c r="A764" s="499" t="s">
        <v>4953</v>
      </c>
      <c r="B764" s="317" t="s">
        <v>4954</v>
      </c>
      <c r="C764" s="95">
        <v>0</v>
      </c>
      <c r="D764" s="95">
        <v>2890</v>
      </c>
      <c r="E764" s="95"/>
      <c r="F764" s="95"/>
      <c r="G764" s="95">
        <v>6461</v>
      </c>
      <c r="H764" s="138">
        <v>19700</v>
      </c>
      <c r="I764" s="138"/>
      <c r="J764" s="126">
        <f t="shared" si="90"/>
        <v>19700</v>
      </c>
      <c r="K764" s="318">
        <v>43858</v>
      </c>
      <c r="L764" s="95">
        <v>0</v>
      </c>
      <c r="M764" s="313">
        <f t="shared" si="91"/>
        <v>43858</v>
      </c>
      <c r="N764" s="2" t="str">
        <f t="shared" si="92"/>
        <v>Pagado</v>
      </c>
      <c r="O764" s="318">
        <v>43858</v>
      </c>
      <c r="P764" s="138">
        <v>19700</v>
      </c>
      <c r="Q764" s="2" t="s">
        <v>1481</v>
      </c>
      <c r="R764" s="2"/>
      <c r="S764" s="95"/>
      <c r="T764" s="313"/>
      <c r="U764" s="393"/>
      <c r="V764" s="95"/>
      <c r="W764" s="129"/>
      <c r="X764" s="318"/>
      <c r="Y764" s="95"/>
      <c r="Z764" s="131"/>
      <c r="AA764" s="108" t="str">
        <f t="shared" si="97"/>
        <v/>
      </c>
      <c r="AB764" s="2"/>
      <c r="AC764" s="131">
        <f t="shared" si="93"/>
        <v>16554.621848739498</v>
      </c>
      <c r="AD764" s="108">
        <f t="shared" si="94"/>
        <v>3145.3781512605019</v>
      </c>
      <c r="AE764" s="95" t="s">
        <v>1501</v>
      </c>
      <c r="AF764" s="498" t="s">
        <v>3487</v>
      </c>
      <c r="AG764" s="2" t="str">
        <f t="shared" si="95"/>
        <v>SI</v>
      </c>
      <c r="AH764" s="284"/>
      <c r="AI764" s="498"/>
      <c r="AJ764" s="2" t="str">
        <f t="shared" si="96"/>
        <v>NV</v>
      </c>
      <c r="AK764" s="303"/>
    </row>
    <row r="765" spans="1:37" x14ac:dyDescent="0.25">
      <c r="A765" s="499" t="s">
        <v>5154</v>
      </c>
      <c r="B765" s="317" t="s">
        <v>5155</v>
      </c>
      <c r="C765" s="95">
        <v>0</v>
      </c>
      <c r="D765" s="95">
        <v>2893</v>
      </c>
      <c r="E765" s="95"/>
      <c r="F765" s="95"/>
      <c r="G765" s="95">
        <v>6457</v>
      </c>
      <c r="H765" s="138">
        <v>16500</v>
      </c>
      <c r="I765" s="138"/>
      <c r="J765" s="126">
        <f t="shared" si="90"/>
        <v>16500</v>
      </c>
      <c r="K765" s="318">
        <v>43858</v>
      </c>
      <c r="L765" s="95">
        <v>0</v>
      </c>
      <c r="M765" s="313">
        <f t="shared" si="91"/>
        <v>43858</v>
      </c>
      <c r="N765" s="2" t="str">
        <f t="shared" si="92"/>
        <v>Pagado</v>
      </c>
      <c r="O765" s="318">
        <v>43858</v>
      </c>
      <c r="P765" s="138">
        <v>16500</v>
      </c>
      <c r="Q765" s="2" t="s">
        <v>1481</v>
      </c>
      <c r="R765" s="2"/>
      <c r="S765" s="95"/>
      <c r="T765" s="313"/>
      <c r="U765" s="393"/>
      <c r="V765" s="95"/>
      <c r="W765" s="129"/>
      <c r="X765" s="318"/>
      <c r="Y765" s="95"/>
      <c r="Z765" s="131"/>
      <c r="AA765" s="108" t="str">
        <f t="shared" si="97"/>
        <v/>
      </c>
      <c r="AB765" s="2"/>
      <c r="AC765" s="131">
        <f t="shared" si="93"/>
        <v>13865.546218487396</v>
      </c>
      <c r="AD765" s="108">
        <f t="shared" si="94"/>
        <v>2634.4537815126041</v>
      </c>
      <c r="AE765" s="95" t="s">
        <v>1501</v>
      </c>
      <c r="AF765" s="498" t="s">
        <v>3487</v>
      </c>
      <c r="AG765" s="2" t="str">
        <f t="shared" si="95"/>
        <v>SI</v>
      </c>
      <c r="AH765" s="284"/>
      <c r="AI765" s="498"/>
      <c r="AJ765" s="2" t="str">
        <f t="shared" si="96"/>
        <v>NV</v>
      </c>
      <c r="AK765" s="303"/>
    </row>
    <row r="766" spans="1:37" x14ac:dyDescent="0.25">
      <c r="A766" s="542" t="s">
        <v>5668</v>
      </c>
      <c r="B766" s="317" t="s">
        <v>5669</v>
      </c>
      <c r="C766" s="95">
        <v>0</v>
      </c>
      <c r="D766" s="95">
        <v>0</v>
      </c>
      <c r="E766" s="95"/>
      <c r="F766" s="95"/>
      <c r="G766" s="95" t="s">
        <v>2528</v>
      </c>
      <c r="H766" s="138">
        <v>9881</v>
      </c>
      <c r="I766" s="138"/>
      <c r="J766" s="126">
        <f t="shared" si="90"/>
        <v>9881</v>
      </c>
      <c r="K766" s="318">
        <v>43859</v>
      </c>
      <c r="L766" s="95">
        <v>0</v>
      </c>
      <c r="M766" s="313">
        <f t="shared" si="91"/>
        <v>43859</v>
      </c>
      <c r="N766" s="2" t="str">
        <f t="shared" si="92"/>
        <v>Pagado</v>
      </c>
      <c r="O766" s="318">
        <v>43859</v>
      </c>
      <c r="P766" s="138">
        <v>9881</v>
      </c>
      <c r="Q766" s="2" t="s">
        <v>1481</v>
      </c>
      <c r="R766" s="2"/>
      <c r="S766" s="95"/>
      <c r="T766" s="313"/>
      <c r="U766" s="393"/>
      <c r="V766" s="95">
        <v>7675294</v>
      </c>
      <c r="W766" s="129">
        <v>9881</v>
      </c>
      <c r="X766" s="318">
        <v>43864</v>
      </c>
      <c r="Y766" s="95" t="s">
        <v>1488</v>
      </c>
      <c r="Z766" s="131"/>
      <c r="AA766" s="108" t="str">
        <f t="shared" si="97"/>
        <v/>
      </c>
      <c r="AB766" s="2"/>
      <c r="AC766" s="131">
        <f t="shared" si="93"/>
        <v>8303.361344537816</v>
      </c>
      <c r="AD766" s="108">
        <f t="shared" si="94"/>
        <v>1577.638655462184</v>
      </c>
      <c r="AE766" s="95" t="s">
        <v>2050</v>
      </c>
      <c r="AF766" s="541" t="s">
        <v>3489</v>
      </c>
      <c r="AG766" s="2" t="str">
        <f t="shared" si="95"/>
        <v>SI</v>
      </c>
      <c r="AH766" s="284"/>
      <c r="AI766" s="541"/>
      <c r="AJ766" s="2" t="str">
        <f t="shared" si="96"/>
        <v>NV</v>
      </c>
      <c r="AK766" s="303"/>
    </row>
    <row r="767" spans="1:37" x14ac:dyDescent="0.25">
      <c r="A767" s="534" t="s">
        <v>5399</v>
      </c>
      <c r="B767" s="317" t="s">
        <v>5400</v>
      </c>
      <c r="C767" s="95">
        <v>0</v>
      </c>
      <c r="D767" s="95">
        <v>2894</v>
      </c>
      <c r="E767" s="95"/>
      <c r="F767" s="95"/>
      <c r="G767" s="95">
        <v>6463</v>
      </c>
      <c r="H767" s="138">
        <v>33000</v>
      </c>
      <c r="I767" s="138"/>
      <c r="J767" s="126">
        <f t="shared" si="90"/>
        <v>33000</v>
      </c>
      <c r="K767" s="318">
        <v>43859</v>
      </c>
      <c r="L767" s="95">
        <v>0</v>
      </c>
      <c r="M767" s="313">
        <f t="shared" si="91"/>
        <v>43859</v>
      </c>
      <c r="N767" s="2" t="str">
        <f t="shared" si="92"/>
        <v>Pagado</v>
      </c>
      <c r="O767" s="318">
        <v>43859</v>
      </c>
      <c r="P767" s="138">
        <v>33000</v>
      </c>
      <c r="Q767" s="2" t="s">
        <v>1484</v>
      </c>
      <c r="R767" s="2"/>
      <c r="S767" s="95"/>
      <c r="T767" s="313" t="s">
        <v>1488</v>
      </c>
      <c r="U767" s="393"/>
      <c r="V767" s="95"/>
      <c r="W767" s="129"/>
      <c r="X767" s="318"/>
      <c r="Y767" s="95"/>
      <c r="Z767" s="131"/>
      <c r="AA767" s="108" t="str">
        <f t="shared" si="97"/>
        <v/>
      </c>
      <c r="AB767" s="2"/>
      <c r="AC767" s="131">
        <f t="shared" si="93"/>
        <v>27731.092436974792</v>
      </c>
      <c r="AD767" s="108">
        <f t="shared" si="94"/>
        <v>5268.9075630252082</v>
      </c>
      <c r="AE767" s="95" t="s">
        <v>1501</v>
      </c>
      <c r="AF767" s="533" t="s">
        <v>3487</v>
      </c>
      <c r="AG767" s="2" t="str">
        <f t="shared" si="95"/>
        <v>SI</v>
      </c>
      <c r="AH767" s="284"/>
      <c r="AI767" s="533"/>
      <c r="AJ767" s="2" t="str">
        <f t="shared" si="96"/>
        <v>NV</v>
      </c>
      <c r="AK767" s="303"/>
    </row>
    <row r="768" spans="1:37" x14ac:dyDescent="0.25">
      <c r="A768" s="534" t="s">
        <v>4800</v>
      </c>
      <c r="B768" s="317" t="s">
        <v>4801</v>
      </c>
      <c r="C768" s="95">
        <v>0</v>
      </c>
      <c r="D768" s="95">
        <v>0</v>
      </c>
      <c r="E768" s="95"/>
      <c r="F768" s="95"/>
      <c r="G768" s="95">
        <v>6466</v>
      </c>
      <c r="H768" s="138">
        <v>119600</v>
      </c>
      <c r="I768" s="138"/>
      <c r="J768" s="126">
        <f t="shared" si="90"/>
        <v>119600</v>
      </c>
      <c r="K768" s="318">
        <v>43859</v>
      </c>
      <c r="L768" s="95">
        <v>0</v>
      </c>
      <c r="M768" s="313">
        <f t="shared" si="91"/>
        <v>43859</v>
      </c>
      <c r="N768" s="2" t="str">
        <f t="shared" si="92"/>
        <v>Pagado</v>
      </c>
      <c r="O768" s="318">
        <v>43861</v>
      </c>
      <c r="P768" s="138">
        <v>119600</v>
      </c>
      <c r="Q768" s="2" t="s">
        <v>1484</v>
      </c>
      <c r="R768" s="2"/>
      <c r="S768" s="95"/>
      <c r="T768" s="313" t="s">
        <v>1496</v>
      </c>
      <c r="U768" s="393"/>
      <c r="V768" s="95"/>
      <c r="W768" s="129"/>
      <c r="X768" s="318"/>
      <c r="Y768" s="95"/>
      <c r="Z768" s="131"/>
      <c r="AA768" s="108" t="str">
        <f t="shared" si="97"/>
        <v/>
      </c>
      <c r="AB768" s="2"/>
      <c r="AC768" s="131">
        <f t="shared" si="93"/>
        <v>100504.20168067227</v>
      </c>
      <c r="AD768" s="108">
        <f t="shared" si="94"/>
        <v>19095.798319327732</v>
      </c>
      <c r="AE768" s="95" t="s">
        <v>1501</v>
      </c>
      <c r="AF768" s="533" t="s">
        <v>4803</v>
      </c>
      <c r="AG768" s="2" t="str">
        <f t="shared" si="95"/>
        <v>SI</v>
      </c>
      <c r="AH768" s="284"/>
      <c r="AI768" s="533"/>
      <c r="AJ768" s="2" t="str">
        <f t="shared" si="96"/>
        <v>NV</v>
      </c>
      <c r="AK768" s="303"/>
    </row>
    <row r="769" spans="1:37" x14ac:dyDescent="0.25">
      <c r="A769" s="429" t="s">
        <v>5665</v>
      </c>
      <c r="B769" s="317" t="s">
        <v>5666</v>
      </c>
      <c r="C769" s="95">
        <v>0</v>
      </c>
      <c r="D769" s="95">
        <v>2896</v>
      </c>
      <c r="E769" s="95"/>
      <c r="F769" s="95"/>
      <c r="G769" s="95">
        <v>6464</v>
      </c>
      <c r="H769" s="138">
        <v>23900</v>
      </c>
      <c r="I769" s="138"/>
      <c r="J769" s="126">
        <f t="shared" si="90"/>
        <v>23900</v>
      </c>
      <c r="K769" s="318">
        <v>43859</v>
      </c>
      <c r="L769" s="95">
        <v>0</v>
      </c>
      <c r="M769" s="313">
        <f t="shared" si="91"/>
        <v>43859</v>
      </c>
      <c r="N769" s="2" t="str">
        <f t="shared" si="92"/>
        <v>Pagado</v>
      </c>
      <c r="O769" s="318">
        <v>43859</v>
      </c>
      <c r="P769" s="138">
        <v>23900</v>
      </c>
      <c r="Q769" s="2" t="s">
        <v>1484</v>
      </c>
      <c r="R769" s="2"/>
      <c r="S769" s="95"/>
      <c r="T769" s="313" t="s">
        <v>1494</v>
      </c>
      <c r="U769" s="393"/>
      <c r="V769" s="95"/>
      <c r="W769" s="129"/>
      <c r="X769" s="318"/>
      <c r="Y769" s="95"/>
      <c r="Z769" s="131"/>
      <c r="AA769" s="108" t="str">
        <f t="shared" si="97"/>
        <v/>
      </c>
      <c r="AB769" s="2"/>
      <c r="AC769" s="131">
        <f t="shared" si="93"/>
        <v>20084.033613445379</v>
      </c>
      <c r="AD769" s="108">
        <f t="shared" si="94"/>
        <v>3815.9663865546208</v>
      </c>
      <c r="AE769" s="95" t="s">
        <v>1501</v>
      </c>
      <c r="AF769" s="428" t="s">
        <v>3487</v>
      </c>
      <c r="AG769" s="2" t="str">
        <f t="shared" si="95"/>
        <v>SI</v>
      </c>
      <c r="AH769" s="284"/>
      <c r="AI769" s="428"/>
      <c r="AJ769" s="2" t="str">
        <f t="shared" si="96"/>
        <v>NV</v>
      </c>
      <c r="AK769" s="303"/>
    </row>
    <row r="770" spans="1:37" x14ac:dyDescent="0.25">
      <c r="A770" s="429" t="s">
        <v>4791</v>
      </c>
      <c r="B770" s="317" t="s">
        <v>4792</v>
      </c>
      <c r="C770" s="95">
        <v>0</v>
      </c>
      <c r="D770" s="95">
        <v>202</v>
      </c>
      <c r="E770" s="95"/>
      <c r="F770" s="95"/>
      <c r="G770" s="95">
        <v>6450</v>
      </c>
      <c r="H770" s="138">
        <v>71000</v>
      </c>
      <c r="I770" s="138"/>
      <c r="J770" s="126">
        <f t="shared" si="90"/>
        <v>71000</v>
      </c>
      <c r="K770" s="318">
        <v>43859</v>
      </c>
      <c r="L770" s="95">
        <v>0</v>
      </c>
      <c r="M770" s="313">
        <f t="shared" si="91"/>
        <v>43859</v>
      </c>
      <c r="N770" s="2" t="str">
        <f t="shared" si="92"/>
        <v>Pagado</v>
      </c>
      <c r="O770" s="318">
        <v>43859</v>
      </c>
      <c r="P770" s="138">
        <v>71000</v>
      </c>
      <c r="Q770" s="2" t="s">
        <v>1070</v>
      </c>
      <c r="R770" s="2" t="s">
        <v>2243</v>
      </c>
      <c r="S770" s="95">
        <v>202</v>
      </c>
      <c r="T770" s="313"/>
      <c r="U770" s="393"/>
      <c r="V770" s="95"/>
      <c r="W770" s="129"/>
      <c r="X770" s="318"/>
      <c r="Y770" s="95"/>
      <c r="Z770" s="131"/>
      <c r="AA770" s="108" t="str">
        <f t="shared" si="97"/>
        <v/>
      </c>
      <c r="AB770" s="2"/>
      <c r="AC770" s="131">
        <f t="shared" si="93"/>
        <v>59663.865546218491</v>
      </c>
      <c r="AD770" s="108">
        <f t="shared" si="94"/>
        <v>11336.134453781509</v>
      </c>
      <c r="AE770" s="95" t="s">
        <v>1501</v>
      </c>
      <c r="AF770" s="428" t="s">
        <v>3487</v>
      </c>
      <c r="AG770" s="2" t="str">
        <f t="shared" si="95"/>
        <v>SI</v>
      </c>
      <c r="AH770" s="284"/>
      <c r="AI770" s="428"/>
      <c r="AJ770" s="2" t="str">
        <f t="shared" si="96"/>
        <v>NV</v>
      </c>
      <c r="AK770" s="303"/>
    </row>
    <row r="771" spans="1:37" x14ac:dyDescent="0.25">
      <c r="A771" s="429" t="s">
        <v>5591</v>
      </c>
      <c r="B771" s="317" t="s">
        <v>5592</v>
      </c>
      <c r="C771" s="95">
        <v>0</v>
      </c>
      <c r="D771" s="95">
        <v>0</v>
      </c>
      <c r="E771" s="95"/>
      <c r="F771" s="95"/>
      <c r="G771" s="95">
        <v>6462</v>
      </c>
      <c r="H771" s="138">
        <v>16500</v>
      </c>
      <c r="I771" s="138"/>
      <c r="J771" s="126">
        <f t="shared" ref="J771:J834" si="98">+H771+I771</f>
        <v>16500</v>
      </c>
      <c r="K771" s="318">
        <v>43859</v>
      </c>
      <c r="L771" s="95">
        <v>0</v>
      </c>
      <c r="M771" s="313">
        <f t="shared" ref="M771:M834" si="99">+L771+K771</f>
        <v>43859</v>
      </c>
      <c r="N771" s="2" t="str">
        <f t="shared" ref="N771:N834" si="100">+IF(J771=0,"Nulo",IF(P771&gt;=J771,"Pagado",IF(P771&gt;0,"Abonado",IF(M771&lt;$M$1,"Vencido",IF(J771&gt;P771,"Pendiente","Vencido")))))</f>
        <v>Pagado</v>
      </c>
      <c r="O771" s="318">
        <v>43859</v>
      </c>
      <c r="P771" s="138">
        <v>16500</v>
      </c>
      <c r="Q771" s="2" t="s">
        <v>1481</v>
      </c>
      <c r="R771" s="2"/>
      <c r="S771" s="95"/>
      <c r="T771" s="313"/>
      <c r="U771" s="393"/>
      <c r="V771" s="95">
        <v>7675294</v>
      </c>
      <c r="W771" s="129">
        <v>16500</v>
      </c>
      <c r="X771" s="318">
        <v>43864</v>
      </c>
      <c r="Y771" s="95" t="s">
        <v>1488</v>
      </c>
      <c r="Z771" s="131"/>
      <c r="AA771" s="108" t="str">
        <f t="shared" si="97"/>
        <v/>
      </c>
      <c r="AB771" s="2"/>
      <c r="AC771" s="131">
        <f t="shared" ref="AC771:AC834" si="101">+IF(C771="","",H771/1.19)</f>
        <v>13865.546218487396</v>
      </c>
      <c r="AD771" s="108">
        <f t="shared" ref="AD771:AD834" si="102">+IF(C771="","",H771-AC771)</f>
        <v>2634.4537815126041</v>
      </c>
      <c r="AE771" s="95" t="s">
        <v>2050</v>
      </c>
      <c r="AF771" s="428" t="s">
        <v>3487</v>
      </c>
      <c r="AG771" s="2" t="str">
        <f t="shared" ref="AG771:AG834" si="103">+IF(N771="Pagado","SI",IF(N771="NULO","SI","NO"))</f>
        <v>SI</v>
      </c>
      <c r="AH771" s="284"/>
      <c r="AI771" s="428"/>
      <c r="AJ771" s="2" t="str">
        <f t="shared" ref="AJ771:AJ834" si="104">+IF(C771=0,"NV","Factura")</f>
        <v>NV</v>
      </c>
      <c r="AK771" s="303"/>
    </row>
    <row r="772" spans="1:37" x14ac:dyDescent="0.25">
      <c r="A772" s="429" t="s">
        <v>3990</v>
      </c>
      <c r="B772" s="317" t="s">
        <v>3993</v>
      </c>
      <c r="C772" s="95">
        <v>0</v>
      </c>
      <c r="D772" s="95">
        <v>2895</v>
      </c>
      <c r="E772" s="95"/>
      <c r="F772" s="95"/>
      <c r="G772" s="95">
        <v>6465</v>
      </c>
      <c r="H772" s="138">
        <v>15800</v>
      </c>
      <c r="I772" s="138"/>
      <c r="J772" s="126">
        <f t="shared" si="98"/>
        <v>15800</v>
      </c>
      <c r="K772" s="318">
        <v>43859</v>
      </c>
      <c r="L772" s="95">
        <v>0</v>
      </c>
      <c r="M772" s="313">
        <f t="shared" si="99"/>
        <v>43859</v>
      </c>
      <c r="N772" s="2" t="str">
        <f t="shared" si="100"/>
        <v>Pagado</v>
      </c>
      <c r="O772" s="318">
        <v>43859</v>
      </c>
      <c r="P772" s="138">
        <v>15800</v>
      </c>
      <c r="Q772" s="2" t="s">
        <v>1481</v>
      </c>
      <c r="R772" s="2"/>
      <c r="S772" s="95"/>
      <c r="T772" s="313"/>
      <c r="U772" s="393"/>
      <c r="V772" s="95"/>
      <c r="W772" s="129"/>
      <c r="X772" s="318"/>
      <c r="Y772" s="95"/>
      <c r="Z772" s="131"/>
      <c r="AA772" s="108" t="str">
        <f t="shared" si="97"/>
        <v/>
      </c>
      <c r="AB772" s="2"/>
      <c r="AC772" s="131">
        <f t="shared" si="101"/>
        <v>13277.310924369749</v>
      </c>
      <c r="AD772" s="108">
        <f t="shared" si="102"/>
        <v>2522.689075630251</v>
      </c>
      <c r="AE772" s="95" t="s">
        <v>1501</v>
      </c>
      <c r="AF772" s="428" t="s">
        <v>3487</v>
      </c>
      <c r="AG772" s="2" t="str">
        <f t="shared" si="103"/>
        <v>SI</v>
      </c>
      <c r="AH772" s="284"/>
      <c r="AI772" s="428"/>
      <c r="AJ772" s="2" t="str">
        <f t="shared" si="104"/>
        <v>NV</v>
      </c>
      <c r="AK772" s="303"/>
    </row>
    <row r="773" spans="1:37" x14ac:dyDescent="0.25">
      <c r="A773" s="542" t="s">
        <v>1239</v>
      </c>
      <c r="B773" s="317" t="s">
        <v>3501</v>
      </c>
      <c r="C773" s="95">
        <v>3091</v>
      </c>
      <c r="D773" s="95">
        <v>0</v>
      </c>
      <c r="E773" s="95"/>
      <c r="F773" s="95"/>
      <c r="G773" s="95" t="s">
        <v>2528</v>
      </c>
      <c r="H773" s="138">
        <v>19461</v>
      </c>
      <c r="I773" s="138"/>
      <c r="J773" s="126">
        <f t="shared" si="98"/>
        <v>19461</v>
      </c>
      <c r="K773" s="318">
        <v>43860</v>
      </c>
      <c r="L773" s="95">
        <v>30</v>
      </c>
      <c r="M773" s="313">
        <f t="shared" si="99"/>
        <v>43890</v>
      </c>
      <c r="N773" s="2" t="str">
        <f t="shared" si="100"/>
        <v>Pagado</v>
      </c>
      <c r="O773" s="318">
        <v>43901</v>
      </c>
      <c r="P773" s="138">
        <v>19500</v>
      </c>
      <c r="Q773" s="2" t="s">
        <v>1484</v>
      </c>
      <c r="R773" s="2"/>
      <c r="S773" s="95"/>
      <c r="T773" s="313" t="s">
        <v>1462</v>
      </c>
      <c r="U773" s="393"/>
      <c r="V773" s="95"/>
      <c r="W773" s="129"/>
      <c r="X773" s="318"/>
      <c r="Y773" s="95"/>
      <c r="Z773" s="131"/>
      <c r="AA773" s="108" t="str">
        <f t="shared" si="97"/>
        <v/>
      </c>
      <c r="AB773" s="2"/>
      <c r="AC773" s="131">
        <f t="shared" si="101"/>
        <v>16353.781512605043</v>
      </c>
      <c r="AD773" s="108">
        <f t="shared" si="102"/>
        <v>3107.2184873949573</v>
      </c>
      <c r="AE773" s="95" t="s">
        <v>1849</v>
      </c>
      <c r="AF773" s="541" t="s">
        <v>3489</v>
      </c>
      <c r="AG773" s="2" t="str">
        <f t="shared" si="103"/>
        <v>SI</v>
      </c>
      <c r="AH773" s="284"/>
      <c r="AI773" s="541"/>
      <c r="AJ773" s="2" t="str">
        <f t="shared" si="104"/>
        <v>Factura</v>
      </c>
      <c r="AK773" s="303"/>
    </row>
    <row r="774" spans="1:37" x14ac:dyDescent="0.25">
      <c r="A774" s="534" t="s">
        <v>5402</v>
      </c>
      <c r="B774" s="317" t="s">
        <v>5403</v>
      </c>
      <c r="C774" s="95">
        <v>0</v>
      </c>
      <c r="D774" s="95">
        <v>2900</v>
      </c>
      <c r="E774" s="95"/>
      <c r="F774" s="95"/>
      <c r="G774" s="95">
        <v>6471</v>
      </c>
      <c r="H774" s="138">
        <v>19900</v>
      </c>
      <c r="I774" s="138"/>
      <c r="J774" s="126">
        <f t="shared" si="98"/>
        <v>19900</v>
      </c>
      <c r="K774" s="318">
        <v>43860</v>
      </c>
      <c r="L774" s="95">
        <v>0</v>
      </c>
      <c r="M774" s="313">
        <f t="shared" si="99"/>
        <v>43860</v>
      </c>
      <c r="N774" s="2" t="str">
        <f t="shared" si="100"/>
        <v>Pagado</v>
      </c>
      <c r="O774" s="318">
        <v>43860</v>
      </c>
      <c r="P774" s="138">
        <v>19900</v>
      </c>
      <c r="Q774" s="2" t="s">
        <v>1484</v>
      </c>
      <c r="R774" s="2"/>
      <c r="S774" s="95"/>
      <c r="T774" s="313" t="s">
        <v>1462</v>
      </c>
      <c r="U774" s="393"/>
      <c r="V774" s="95"/>
      <c r="W774" s="129"/>
      <c r="X774" s="318"/>
      <c r="Y774" s="95"/>
      <c r="Z774" s="131"/>
      <c r="AA774" s="108" t="str">
        <f t="shared" si="97"/>
        <v/>
      </c>
      <c r="AB774" s="2"/>
      <c r="AC774" s="131">
        <f t="shared" si="101"/>
        <v>16722.689075630253</v>
      </c>
      <c r="AD774" s="108">
        <f t="shared" si="102"/>
        <v>3177.3109243697472</v>
      </c>
      <c r="AE774" s="95" t="s">
        <v>1501</v>
      </c>
      <c r="AF774" s="533" t="s">
        <v>3489</v>
      </c>
      <c r="AG774" s="2" t="str">
        <f t="shared" si="103"/>
        <v>SI</v>
      </c>
      <c r="AH774" s="284"/>
      <c r="AI774" s="533"/>
      <c r="AJ774" s="2" t="str">
        <f t="shared" si="104"/>
        <v>NV</v>
      </c>
      <c r="AK774" s="303"/>
    </row>
    <row r="775" spans="1:37" x14ac:dyDescent="0.25">
      <c r="A775" s="476" t="s">
        <v>1399</v>
      </c>
      <c r="B775" s="317" t="s">
        <v>1004</v>
      </c>
      <c r="C775" s="95">
        <v>0</v>
      </c>
      <c r="D775" s="95">
        <v>0</v>
      </c>
      <c r="E775" s="95"/>
      <c r="F775" s="95"/>
      <c r="G775" s="95">
        <v>6472</v>
      </c>
      <c r="H775" s="138">
        <v>10200</v>
      </c>
      <c r="I775" s="138"/>
      <c r="J775" s="126">
        <f t="shared" si="98"/>
        <v>10200</v>
      </c>
      <c r="K775" s="318">
        <v>43860</v>
      </c>
      <c r="L775" s="95">
        <v>0</v>
      </c>
      <c r="M775" s="313">
        <f t="shared" si="99"/>
        <v>43860</v>
      </c>
      <c r="N775" s="2" t="str">
        <f t="shared" si="100"/>
        <v>Pagado</v>
      </c>
      <c r="O775" s="318">
        <v>43860</v>
      </c>
      <c r="P775" s="138">
        <v>10200</v>
      </c>
      <c r="Q775" s="2" t="s">
        <v>1481</v>
      </c>
      <c r="R775" s="2"/>
      <c r="S775" s="95"/>
      <c r="T775" s="313"/>
      <c r="U775" s="393"/>
      <c r="V775" s="95"/>
      <c r="W775" s="129"/>
      <c r="X775" s="318"/>
      <c r="Y775" s="95"/>
      <c r="Z775" s="131"/>
      <c r="AA775" s="108" t="str">
        <f t="shared" si="97"/>
        <v/>
      </c>
      <c r="AB775" s="2"/>
      <c r="AC775" s="131">
        <f t="shared" si="101"/>
        <v>8571.4285714285725</v>
      </c>
      <c r="AD775" s="108">
        <f t="shared" si="102"/>
        <v>1628.5714285714275</v>
      </c>
      <c r="AE775" s="95" t="s">
        <v>1501</v>
      </c>
      <c r="AF775" s="475" t="s">
        <v>3487</v>
      </c>
      <c r="AG775" s="2" t="str">
        <f t="shared" si="103"/>
        <v>SI</v>
      </c>
      <c r="AH775" s="284"/>
      <c r="AI775" s="475"/>
      <c r="AJ775" s="2" t="str">
        <f t="shared" si="104"/>
        <v>NV</v>
      </c>
      <c r="AK775" s="303"/>
    </row>
    <row r="776" spans="1:37" x14ac:dyDescent="0.25">
      <c r="A776" s="429" t="s">
        <v>1301</v>
      </c>
      <c r="B776" s="317" t="s">
        <v>968</v>
      </c>
      <c r="C776" s="95">
        <v>0</v>
      </c>
      <c r="D776" s="95">
        <v>2897</v>
      </c>
      <c r="E776" s="95"/>
      <c r="F776" s="95"/>
      <c r="G776" s="95">
        <v>6469</v>
      </c>
      <c r="H776" s="138">
        <v>31600</v>
      </c>
      <c r="I776" s="138"/>
      <c r="J776" s="126">
        <f t="shared" si="98"/>
        <v>31600</v>
      </c>
      <c r="K776" s="318">
        <v>43860</v>
      </c>
      <c r="L776" s="95">
        <v>0</v>
      </c>
      <c r="M776" s="313">
        <f t="shared" si="99"/>
        <v>43860</v>
      </c>
      <c r="N776" s="2" t="str">
        <f t="shared" si="100"/>
        <v>Pagado</v>
      </c>
      <c r="O776" s="318">
        <v>43861</v>
      </c>
      <c r="P776" s="138">
        <v>31600</v>
      </c>
      <c r="Q776" s="2" t="s">
        <v>1484</v>
      </c>
      <c r="R776" s="2"/>
      <c r="S776" s="95"/>
      <c r="T776" s="313" t="s">
        <v>1496</v>
      </c>
      <c r="U776" s="393"/>
      <c r="V776" s="95"/>
      <c r="W776" s="129"/>
      <c r="X776" s="318"/>
      <c r="Y776" s="95"/>
      <c r="Z776" s="131"/>
      <c r="AA776" s="108" t="str">
        <f t="shared" si="97"/>
        <v/>
      </c>
      <c r="AB776" s="2"/>
      <c r="AC776" s="131">
        <f t="shared" si="101"/>
        <v>26554.621848739498</v>
      </c>
      <c r="AD776" s="108">
        <f t="shared" si="102"/>
        <v>5045.3781512605019</v>
      </c>
      <c r="AE776" s="95" t="s">
        <v>1501</v>
      </c>
      <c r="AF776" s="428" t="s">
        <v>3489</v>
      </c>
      <c r="AG776" s="2" t="str">
        <f t="shared" si="103"/>
        <v>SI</v>
      </c>
      <c r="AH776" s="284"/>
      <c r="AI776" s="428"/>
      <c r="AJ776" s="2" t="str">
        <f t="shared" si="104"/>
        <v>NV</v>
      </c>
      <c r="AK776" s="303"/>
    </row>
    <row r="777" spans="1:37" x14ac:dyDescent="0.25">
      <c r="A777" s="429" t="s">
        <v>1320</v>
      </c>
      <c r="B777" s="317" t="s">
        <v>3394</v>
      </c>
      <c r="C777" s="95">
        <v>0</v>
      </c>
      <c r="D777" s="95">
        <v>206</v>
      </c>
      <c r="E777" s="95"/>
      <c r="F777" s="95"/>
      <c r="G777" s="95">
        <v>6473</v>
      </c>
      <c r="H777" s="138">
        <v>35500</v>
      </c>
      <c r="I777" s="138"/>
      <c r="J777" s="126">
        <f t="shared" si="98"/>
        <v>35500</v>
      </c>
      <c r="K777" s="318">
        <v>43860</v>
      </c>
      <c r="L777" s="95">
        <v>0</v>
      </c>
      <c r="M777" s="313">
        <f t="shared" si="99"/>
        <v>43860</v>
      </c>
      <c r="N777" s="2" t="str">
        <f t="shared" si="100"/>
        <v>Pagado</v>
      </c>
      <c r="O777" s="318">
        <v>43860</v>
      </c>
      <c r="P777" s="138">
        <v>35500</v>
      </c>
      <c r="Q777" s="2" t="s">
        <v>1070</v>
      </c>
      <c r="R777" s="2" t="s">
        <v>2243</v>
      </c>
      <c r="S777" s="95">
        <v>206</v>
      </c>
      <c r="T777" s="313"/>
      <c r="U777" s="393"/>
      <c r="V777" s="95"/>
      <c r="W777" s="129"/>
      <c r="X777" s="318"/>
      <c r="Y777" s="95"/>
      <c r="Z777" s="131"/>
      <c r="AA777" s="108" t="str">
        <f t="shared" si="97"/>
        <v/>
      </c>
      <c r="AB777" s="2"/>
      <c r="AC777" s="131">
        <f t="shared" si="101"/>
        <v>29831.932773109245</v>
      </c>
      <c r="AD777" s="108">
        <f t="shared" si="102"/>
        <v>5668.0672268907547</v>
      </c>
      <c r="AE777" s="95" t="s">
        <v>1501</v>
      </c>
      <c r="AF777" s="428" t="s">
        <v>3489</v>
      </c>
      <c r="AG777" s="2" t="str">
        <f t="shared" si="103"/>
        <v>SI</v>
      </c>
      <c r="AH777" s="284"/>
      <c r="AI777" s="428"/>
      <c r="AJ777" s="2" t="str">
        <f t="shared" si="104"/>
        <v>NV</v>
      </c>
      <c r="AK777" s="303"/>
    </row>
    <row r="778" spans="1:37" x14ac:dyDescent="0.25">
      <c r="A778" s="458" t="s">
        <v>4542</v>
      </c>
      <c r="B778" s="317" t="s">
        <v>4543</v>
      </c>
      <c r="C778" s="95">
        <v>0</v>
      </c>
      <c r="D778" s="95">
        <v>2899</v>
      </c>
      <c r="E778" s="95"/>
      <c r="F778" s="95"/>
      <c r="G778" s="95">
        <v>6467</v>
      </c>
      <c r="H778" s="138">
        <v>49500</v>
      </c>
      <c r="I778" s="138"/>
      <c r="J778" s="126">
        <f t="shared" si="98"/>
        <v>49500</v>
      </c>
      <c r="K778" s="318">
        <v>43860</v>
      </c>
      <c r="L778" s="95">
        <v>0</v>
      </c>
      <c r="M778" s="313">
        <f t="shared" si="99"/>
        <v>43860</v>
      </c>
      <c r="N778" s="2" t="str">
        <f t="shared" si="100"/>
        <v>Pagado</v>
      </c>
      <c r="O778" s="318">
        <v>43860</v>
      </c>
      <c r="P778" s="138">
        <v>49500</v>
      </c>
      <c r="Q778" s="2" t="s">
        <v>1484</v>
      </c>
      <c r="R778" s="2"/>
      <c r="S778" s="95"/>
      <c r="T778" s="313" t="s">
        <v>1490</v>
      </c>
      <c r="U778" s="393"/>
      <c r="V778" s="95"/>
      <c r="W778" s="129"/>
      <c r="X778" s="318"/>
      <c r="Y778" s="95"/>
      <c r="Z778" s="131"/>
      <c r="AA778" s="108" t="str">
        <f t="shared" si="97"/>
        <v/>
      </c>
      <c r="AB778" s="2"/>
      <c r="AC778" s="131">
        <f t="shared" si="101"/>
        <v>41596.638655462186</v>
      </c>
      <c r="AD778" s="108">
        <f t="shared" si="102"/>
        <v>7903.3613445378141</v>
      </c>
      <c r="AE778" s="95" t="s">
        <v>1501</v>
      </c>
      <c r="AF778" s="457" t="s">
        <v>3489</v>
      </c>
      <c r="AG778" s="2" t="str">
        <f t="shared" si="103"/>
        <v>SI</v>
      </c>
      <c r="AH778" s="284"/>
      <c r="AI778" s="457"/>
      <c r="AJ778" s="2" t="str">
        <f t="shared" si="104"/>
        <v>NV</v>
      </c>
      <c r="AK778" s="303"/>
    </row>
    <row r="779" spans="1:37" x14ac:dyDescent="0.25">
      <c r="A779" s="534" t="s">
        <v>1285</v>
      </c>
      <c r="B779" s="317" t="s">
        <v>1071</v>
      </c>
      <c r="C779" s="95">
        <v>0</v>
      </c>
      <c r="D779" s="95">
        <v>205</v>
      </c>
      <c r="E779" s="95"/>
      <c r="F779" s="95"/>
      <c r="G779" s="95">
        <v>6468</v>
      </c>
      <c r="H779" s="138">
        <v>15800</v>
      </c>
      <c r="I779" s="138"/>
      <c r="J779" s="126">
        <f t="shared" si="98"/>
        <v>15800</v>
      </c>
      <c r="K779" s="318">
        <v>43860</v>
      </c>
      <c r="L779" s="95">
        <v>0</v>
      </c>
      <c r="M779" s="313">
        <f t="shared" si="99"/>
        <v>43860</v>
      </c>
      <c r="N779" s="2" t="str">
        <f t="shared" si="100"/>
        <v>Pagado</v>
      </c>
      <c r="O779" s="318">
        <v>43860</v>
      </c>
      <c r="P779" s="138">
        <v>15800</v>
      </c>
      <c r="Q779" s="2" t="s">
        <v>1070</v>
      </c>
      <c r="R779" s="2" t="s">
        <v>2243</v>
      </c>
      <c r="S779" s="95">
        <v>205</v>
      </c>
      <c r="T779" s="313"/>
      <c r="U779" s="393"/>
      <c r="V779" s="95"/>
      <c r="W779" s="129"/>
      <c r="X779" s="318"/>
      <c r="Y779" s="95"/>
      <c r="Z779" s="131"/>
      <c r="AA779" s="108" t="str">
        <f t="shared" si="97"/>
        <v/>
      </c>
      <c r="AB779" s="2"/>
      <c r="AC779" s="131">
        <f t="shared" si="101"/>
        <v>13277.310924369749</v>
      </c>
      <c r="AD779" s="108">
        <f t="shared" si="102"/>
        <v>2522.689075630251</v>
      </c>
      <c r="AE779" s="95" t="s">
        <v>1501</v>
      </c>
      <c r="AF779" s="533" t="s">
        <v>3487</v>
      </c>
      <c r="AG779" s="2" t="str">
        <f t="shared" si="103"/>
        <v>SI</v>
      </c>
      <c r="AH779" s="284"/>
      <c r="AI779" s="533"/>
      <c r="AJ779" s="2" t="str">
        <f t="shared" si="104"/>
        <v>NV</v>
      </c>
      <c r="AK779" s="303"/>
    </row>
    <row r="780" spans="1:37" x14ac:dyDescent="0.25">
      <c r="A780" s="499" t="s">
        <v>5228</v>
      </c>
      <c r="B780" s="317" t="s">
        <v>5229</v>
      </c>
      <c r="C780" s="95">
        <v>0</v>
      </c>
      <c r="D780" s="95">
        <v>2898</v>
      </c>
      <c r="E780" s="95"/>
      <c r="F780" s="95"/>
      <c r="G780" s="95">
        <v>6470</v>
      </c>
      <c r="H780" s="138">
        <v>35500</v>
      </c>
      <c r="I780" s="138"/>
      <c r="J780" s="126">
        <f t="shared" si="98"/>
        <v>35500</v>
      </c>
      <c r="K780" s="318">
        <v>43860</v>
      </c>
      <c r="L780" s="95">
        <v>0</v>
      </c>
      <c r="M780" s="313">
        <f t="shared" si="99"/>
        <v>43860</v>
      </c>
      <c r="N780" s="2" t="str">
        <f t="shared" si="100"/>
        <v>Pagado</v>
      </c>
      <c r="O780" s="318">
        <v>43860</v>
      </c>
      <c r="P780" s="138">
        <v>35500</v>
      </c>
      <c r="Q780" s="2" t="s">
        <v>2132</v>
      </c>
      <c r="R780" s="2"/>
      <c r="S780" s="95"/>
      <c r="T780" s="313" t="s">
        <v>1489</v>
      </c>
      <c r="U780" s="393"/>
      <c r="V780" s="95">
        <v>7675295</v>
      </c>
      <c r="W780" s="129">
        <v>35500</v>
      </c>
      <c r="X780" s="318">
        <v>43864</v>
      </c>
      <c r="Y780" s="95" t="s">
        <v>1488</v>
      </c>
      <c r="Z780" s="131"/>
      <c r="AA780" s="108" t="str">
        <f t="shared" si="97"/>
        <v>Otros</v>
      </c>
      <c r="AB780" s="2"/>
      <c r="AC780" s="131">
        <f t="shared" si="101"/>
        <v>29831.932773109245</v>
      </c>
      <c r="AD780" s="108">
        <f t="shared" si="102"/>
        <v>5668.0672268907547</v>
      </c>
      <c r="AE780" s="95" t="s">
        <v>1501</v>
      </c>
      <c r="AF780" s="498" t="s">
        <v>3487</v>
      </c>
      <c r="AG780" s="2" t="str">
        <f t="shared" si="103"/>
        <v>SI</v>
      </c>
      <c r="AH780" s="284"/>
      <c r="AI780" s="498"/>
      <c r="AJ780" s="2" t="str">
        <f t="shared" si="104"/>
        <v>NV</v>
      </c>
      <c r="AK780" s="303"/>
    </row>
    <row r="781" spans="1:37" x14ac:dyDescent="0.25">
      <c r="A781" s="542" t="s">
        <v>1213</v>
      </c>
      <c r="B781" s="317" t="s">
        <v>985</v>
      </c>
      <c r="C781" s="95">
        <v>0</v>
      </c>
      <c r="D781" s="95">
        <v>0</v>
      </c>
      <c r="E781" s="95"/>
      <c r="F781" s="95"/>
      <c r="G781" s="95">
        <v>6479</v>
      </c>
      <c r="H781" s="138">
        <v>31800</v>
      </c>
      <c r="I781" s="138"/>
      <c r="J781" s="126">
        <f t="shared" si="98"/>
        <v>31800</v>
      </c>
      <c r="K781" s="318">
        <v>43861</v>
      </c>
      <c r="L781" s="95">
        <v>0</v>
      </c>
      <c r="M781" s="313">
        <f t="shared" si="99"/>
        <v>43861</v>
      </c>
      <c r="N781" s="2" t="str">
        <f t="shared" ca="1" si="100"/>
        <v>Vencido</v>
      </c>
      <c r="O781" s="318"/>
      <c r="P781" s="138"/>
      <c r="Q781" s="2"/>
      <c r="R781" s="2"/>
      <c r="S781" s="95"/>
      <c r="T781" s="313"/>
      <c r="U781" s="393"/>
      <c r="V781" s="95"/>
      <c r="W781" s="129"/>
      <c r="X781" s="318"/>
      <c r="Y781" s="95"/>
      <c r="Z781" s="131"/>
      <c r="AA781" s="108" t="str">
        <f t="shared" si="97"/>
        <v/>
      </c>
      <c r="AB781" s="2"/>
      <c r="AC781" s="131">
        <f t="shared" si="101"/>
        <v>26722.689075630253</v>
      </c>
      <c r="AD781" s="108">
        <f t="shared" si="102"/>
        <v>5077.3109243697472</v>
      </c>
      <c r="AE781" s="95" t="s">
        <v>1501</v>
      </c>
      <c r="AF781" s="541" t="s">
        <v>3489</v>
      </c>
      <c r="AG781" s="2" t="str">
        <f t="shared" ca="1" si="103"/>
        <v>NO</v>
      </c>
      <c r="AH781" s="284"/>
      <c r="AI781" s="541"/>
      <c r="AJ781" s="2" t="str">
        <f t="shared" si="104"/>
        <v>NV</v>
      </c>
      <c r="AK781" s="303"/>
    </row>
    <row r="782" spans="1:37" x14ac:dyDescent="0.25">
      <c r="A782" s="542" t="s">
        <v>1253</v>
      </c>
      <c r="B782" s="317" t="s">
        <v>990</v>
      </c>
      <c r="C782" s="95">
        <v>0</v>
      </c>
      <c r="D782" s="95">
        <v>2902</v>
      </c>
      <c r="E782" s="95"/>
      <c r="F782" s="95"/>
      <c r="G782" s="95">
        <v>6478</v>
      </c>
      <c r="H782" s="138">
        <v>10800</v>
      </c>
      <c r="I782" s="138"/>
      <c r="J782" s="126">
        <f t="shared" si="98"/>
        <v>10800</v>
      </c>
      <c r="K782" s="318">
        <v>43861</v>
      </c>
      <c r="L782" s="95">
        <v>0</v>
      </c>
      <c r="M782" s="313">
        <f t="shared" si="99"/>
        <v>43861</v>
      </c>
      <c r="N782" s="2" t="str">
        <f t="shared" si="100"/>
        <v>Pagado</v>
      </c>
      <c r="O782" s="318">
        <v>43861</v>
      </c>
      <c r="P782" s="138">
        <v>10800</v>
      </c>
      <c r="Q782" s="2" t="s">
        <v>1481</v>
      </c>
      <c r="R782" s="2"/>
      <c r="S782" s="95"/>
      <c r="T782" s="313"/>
      <c r="U782" s="393"/>
      <c r="V782" s="95"/>
      <c r="W782" s="129"/>
      <c r="X782" s="318"/>
      <c r="Y782" s="95"/>
      <c r="Z782" s="426"/>
      <c r="AA782" s="108" t="str">
        <f t="shared" si="97"/>
        <v/>
      </c>
      <c r="AB782" s="2"/>
      <c r="AC782" s="131">
        <f t="shared" si="101"/>
        <v>9075.6302521008402</v>
      </c>
      <c r="AD782" s="108">
        <f t="shared" si="102"/>
        <v>1724.3697478991598</v>
      </c>
      <c r="AE782" s="95" t="s">
        <v>1501</v>
      </c>
      <c r="AF782" s="541" t="s">
        <v>3489</v>
      </c>
      <c r="AG782" s="2" t="str">
        <f t="shared" si="103"/>
        <v>SI</v>
      </c>
      <c r="AH782" s="284"/>
      <c r="AI782" s="541"/>
      <c r="AJ782" s="2" t="str">
        <f t="shared" si="104"/>
        <v>NV</v>
      </c>
      <c r="AK782" s="303"/>
    </row>
    <row r="783" spans="1:37" x14ac:dyDescent="0.25">
      <c r="A783" s="542" t="s">
        <v>1256</v>
      </c>
      <c r="B783" s="317" t="s">
        <v>976</v>
      </c>
      <c r="C783" s="95">
        <v>3089</v>
      </c>
      <c r="D783" s="95">
        <v>0</v>
      </c>
      <c r="E783" s="95"/>
      <c r="F783" s="95"/>
      <c r="G783" s="95" t="s">
        <v>2528</v>
      </c>
      <c r="H783" s="138">
        <v>48265</v>
      </c>
      <c r="I783" s="138"/>
      <c r="J783" s="126">
        <f t="shared" si="98"/>
        <v>48265</v>
      </c>
      <c r="K783" s="318">
        <v>43861</v>
      </c>
      <c r="L783" s="95">
        <v>0</v>
      </c>
      <c r="M783" s="313">
        <f t="shared" si="99"/>
        <v>43861</v>
      </c>
      <c r="N783" s="2" t="str">
        <f t="shared" si="100"/>
        <v>Pagado</v>
      </c>
      <c r="O783" s="318">
        <v>43861</v>
      </c>
      <c r="P783" s="138">
        <v>48265</v>
      </c>
      <c r="Q783" s="2" t="s">
        <v>1481</v>
      </c>
      <c r="R783" s="2"/>
      <c r="S783" s="95"/>
      <c r="T783" s="313"/>
      <c r="U783" s="393"/>
      <c r="V783" s="95">
        <v>7675292</v>
      </c>
      <c r="W783" s="129">
        <v>48265</v>
      </c>
      <c r="X783" s="318">
        <v>43864</v>
      </c>
      <c r="Y783" s="95" t="s">
        <v>1488</v>
      </c>
      <c r="Z783" s="426"/>
      <c r="AA783" s="108" t="str">
        <f t="shared" si="97"/>
        <v/>
      </c>
      <c r="AB783" s="2"/>
      <c r="AC783" s="131">
        <f t="shared" si="101"/>
        <v>40558.823529411769</v>
      </c>
      <c r="AD783" s="108">
        <f t="shared" si="102"/>
        <v>7706.1764705882306</v>
      </c>
      <c r="AE783" s="95" t="s">
        <v>1445</v>
      </c>
      <c r="AF783" s="541" t="s">
        <v>3490</v>
      </c>
      <c r="AG783" s="2" t="str">
        <f t="shared" si="103"/>
        <v>SI</v>
      </c>
      <c r="AH783" s="284"/>
      <c r="AI783" s="541"/>
      <c r="AJ783" s="2" t="str">
        <f t="shared" si="104"/>
        <v>Factura</v>
      </c>
      <c r="AK783" s="303"/>
    </row>
    <row r="784" spans="1:37" x14ac:dyDescent="0.25">
      <c r="A784" s="542" t="s">
        <v>1256</v>
      </c>
      <c r="B784" s="317" t="s">
        <v>976</v>
      </c>
      <c r="C784" s="95">
        <v>3092</v>
      </c>
      <c r="D784" s="95">
        <v>0</v>
      </c>
      <c r="E784" s="95"/>
      <c r="F784" s="95"/>
      <c r="G784" s="95" t="s">
        <v>2528</v>
      </c>
      <c r="H784" s="138">
        <v>14591</v>
      </c>
      <c r="I784" s="138"/>
      <c r="J784" s="126">
        <f t="shared" si="98"/>
        <v>14591</v>
      </c>
      <c r="K784" s="318">
        <v>43861</v>
      </c>
      <c r="L784" s="95">
        <v>0</v>
      </c>
      <c r="M784" s="313">
        <f t="shared" si="99"/>
        <v>43861</v>
      </c>
      <c r="N784" s="2" t="str">
        <f t="shared" si="100"/>
        <v>Pagado</v>
      </c>
      <c r="O784" s="318">
        <v>43861</v>
      </c>
      <c r="P784" s="138">
        <v>14591</v>
      </c>
      <c r="Q784" s="2" t="s">
        <v>1481</v>
      </c>
      <c r="R784" s="2"/>
      <c r="S784" s="95"/>
      <c r="T784" s="313"/>
      <c r="U784" s="393"/>
      <c r="V784" s="95">
        <v>7675292</v>
      </c>
      <c r="W784" s="129">
        <v>14591</v>
      </c>
      <c r="X784" s="318">
        <v>43864</v>
      </c>
      <c r="Y784" s="95" t="s">
        <v>1488</v>
      </c>
      <c r="Z784" s="426"/>
      <c r="AA784" s="108" t="str">
        <f t="shared" si="97"/>
        <v/>
      </c>
      <c r="AB784" s="2"/>
      <c r="AC784" s="131">
        <f t="shared" si="101"/>
        <v>12261.344537815126</v>
      </c>
      <c r="AD784" s="108">
        <f t="shared" si="102"/>
        <v>2329.6554621848736</v>
      </c>
      <c r="AE784" s="95" t="s">
        <v>1445</v>
      </c>
      <c r="AF784" s="541" t="s">
        <v>3490</v>
      </c>
      <c r="AG784" s="2" t="str">
        <f t="shared" si="103"/>
        <v>SI</v>
      </c>
      <c r="AH784" s="284"/>
      <c r="AI784" s="541"/>
      <c r="AJ784" s="2" t="str">
        <f t="shared" si="104"/>
        <v>Factura</v>
      </c>
      <c r="AK784" s="303"/>
    </row>
    <row r="785" spans="1:37" x14ac:dyDescent="0.25">
      <c r="A785" s="542" t="s">
        <v>1275</v>
      </c>
      <c r="B785" s="317" t="s">
        <v>2218</v>
      </c>
      <c r="C785" s="95">
        <v>3094</v>
      </c>
      <c r="D785" s="95">
        <v>0</v>
      </c>
      <c r="E785" s="95"/>
      <c r="F785" s="95"/>
      <c r="G785" s="95" t="s">
        <v>2528</v>
      </c>
      <c r="H785" s="138">
        <v>29003</v>
      </c>
      <c r="I785" s="138"/>
      <c r="J785" s="126">
        <f t="shared" si="98"/>
        <v>29003</v>
      </c>
      <c r="K785" s="318">
        <v>43861</v>
      </c>
      <c r="L785" s="95">
        <v>0</v>
      </c>
      <c r="M785" s="313">
        <f t="shared" si="99"/>
        <v>43861</v>
      </c>
      <c r="N785" s="2" t="str">
        <f t="shared" si="100"/>
        <v>Abonado</v>
      </c>
      <c r="O785" s="318">
        <v>43861</v>
      </c>
      <c r="P785" s="138">
        <v>29000</v>
      </c>
      <c r="Q785" s="2" t="s">
        <v>1481</v>
      </c>
      <c r="R785" s="2"/>
      <c r="S785" s="95"/>
      <c r="T785" s="313"/>
      <c r="U785" s="393"/>
      <c r="V785" s="95">
        <v>7675292</v>
      </c>
      <c r="W785" s="129">
        <v>29000</v>
      </c>
      <c r="X785" s="318">
        <v>43864</v>
      </c>
      <c r="Y785" s="95" t="s">
        <v>1488</v>
      </c>
      <c r="Z785" s="426"/>
      <c r="AA785" s="108" t="str">
        <f t="shared" si="97"/>
        <v/>
      </c>
      <c r="AB785" s="2"/>
      <c r="AC785" s="131">
        <f t="shared" si="101"/>
        <v>24372.268907563026</v>
      </c>
      <c r="AD785" s="108">
        <f t="shared" si="102"/>
        <v>4630.731092436974</v>
      </c>
      <c r="AE785" s="95" t="s">
        <v>1445</v>
      </c>
      <c r="AF785" s="541" t="s">
        <v>3490</v>
      </c>
      <c r="AG785" s="2" t="str">
        <f t="shared" si="103"/>
        <v>NO</v>
      </c>
      <c r="AH785" s="284"/>
      <c r="AI785" s="541"/>
      <c r="AJ785" s="2" t="str">
        <f t="shared" si="104"/>
        <v>Factura</v>
      </c>
      <c r="AK785" s="303"/>
    </row>
    <row r="786" spans="1:37" x14ac:dyDescent="0.25">
      <c r="A786" s="542" t="s">
        <v>4947</v>
      </c>
      <c r="B786" s="317" t="s">
        <v>4948</v>
      </c>
      <c r="C786" s="95">
        <v>0</v>
      </c>
      <c r="D786" s="95">
        <v>2901</v>
      </c>
      <c r="E786" s="95"/>
      <c r="F786" s="95"/>
      <c r="G786" s="95">
        <v>6477</v>
      </c>
      <c r="H786" s="138">
        <v>15800</v>
      </c>
      <c r="I786" s="138"/>
      <c r="J786" s="126">
        <f t="shared" si="98"/>
        <v>15800</v>
      </c>
      <c r="K786" s="318">
        <v>43861</v>
      </c>
      <c r="L786" s="95">
        <v>0</v>
      </c>
      <c r="M786" s="313">
        <f t="shared" si="99"/>
        <v>43861</v>
      </c>
      <c r="N786" s="2" t="str">
        <f t="shared" si="100"/>
        <v>Pagado</v>
      </c>
      <c r="O786" s="318">
        <v>43861</v>
      </c>
      <c r="P786" s="138">
        <v>15800</v>
      </c>
      <c r="Q786" s="2" t="s">
        <v>1484</v>
      </c>
      <c r="R786" s="2"/>
      <c r="S786" s="95"/>
      <c r="T786" s="313" t="s">
        <v>1488</v>
      </c>
      <c r="U786" s="393"/>
      <c r="V786" s="95"/>
      <c r="W786" s="129"/>
      <c r="X786" s="318"/>
      <c r="Y786" s="95"/>
      <c r="Z786" s="426"/>
      <c r="AA786" s="108" t="str">
        <f t="shared" si="97"/>
        <v/>
      </c>
      <c r="AB786" s="2"/>
      <c r="AC786" s="131">
        <f t="shared" si="101"/>
        <v>13277.310924369749</v>
      </c>
      <c r="AD786" s="108">
        <f t="shared" si="102"/>
        <v>2522.689075630251</v>
      </c>
      <c r="AE786" s="95" t="s">
        <v>1501</v>
      </c>
      <c r="AF786" s="541" t="s">
        <v>3487</v>
      </c>
      <c r="AG786" s="2" t="str">
        <f t="shared" si="103"/>
        <v>SI</v>
      </c>
      <c r="AH786" s="284"/>
      <c r="AI786" s="541"/>
      <c r="AJ786" s="2" t="str">
        <f t="shared" si="104"/>
        <v>NV</v>
      </c>
      <c r="AK786" s="303"/>
    </row>
    <row r="787" spans="1:37" x14ac:dyDescent="0.25">
      <c r="A787" s="499" t="s">
        <v>3303</v>
      </c>
      <c r="B787" s="317" t="s">
        <v>3304</v>
      </c>
      <c r="C787" s="95">
        <v>0</v>
      </c>
      <c r="D787" s="95">
        <v>0</v>
      </c>
      <c r="E787" s="95"/>
      <c r="F787" s="95"/>
      <c r="G787" s="95">
        <v>6476</v>
      </c>
      <c r="H787" s="138">
        <v>15800</v>
      </c>
      <c r="I787" s="138"/>
      <c r="J787" s="126">
        <f t="shared" si="98"/>
        <v>15800</v>
      </c>
      <c r="K787" s="318">
        <v>43861</v>
      </c>
      <c r="L787" s="95">
        <v>0</v>
      </c>
      <c r="M787" s="313">
        <f t="shared" si="99"/>
        <v>43861</v>
      </c>
      <c r="N787" s="2" t="str">
        <f t="shared" si="100"/>
        <v>Pagado</v>
      </c>
      <c r="O787" s="318">
        <v>43861</v>
      </c>
      <c r="P787" s="138">
        <v>15800</v>
      </c>
      <c r="Q787" s="2" t="s">
        <v>1481</v>
      </c>
      <c r="R787" s="2"/>
      <c r="S787" s="95"/>
      <c r="T787" s="313"/>
      <c r="U787" s="393"/>
      <c r="V787" s="95"/>
      <c r="W787" s="129"/>
      <c r="X787" s="318"/>
      <c r="Y787" s="95"/>
      <c r="Z787" s="426"/>
      <c r="AA787" s="108" t="str">
        <f t="shared" si="97"/>
        <v/>
      </c>
      <c r="AB787" s="2"/>
      <c r="AC787" s="131">
        <f t="shared" si="101"/>
        <v>13277.310924369749</v>
      </c>
      <c r="AD787" s="108">
        <f t="shared" si="102"/>
        <v>2522.689075630251</v>
      </c>
      <c r="AE787" s="95" t="s">
        <v>1501</v>
      </c>
      <c r="AF787" s="498" t="s">
        <v>3487</v>
      </c>
      <c r="AG787" s="2" t="str">
        <f t="shared" si="103"/>
        <v>SI</v>
      </c>
      <c r="AH787" s="284"/>
      <c r="AI787" s="498"/>
      <c r="AJ787" s="2" t="str">
        <f t="shared" si="104"/>
        <v>NV</v>
      </c>
      <c r="AK787" s="303"/>
    </row>
    <row r="788" spans="1:37" x14ac:dyDescent="0.25">
      <c r="A788" s="499" t="s">
        <v>4907</v>
      </c>
      <c r="B788" s="317" t="s">
        <v>4908</v>
      </c>
      <c r="C788" s="95">
        <v>3087</v>
      </c>
      <c r="D788" s="95">
        <v>0</v>
      </c>
      <c r="E788" s="95"/>
      <c r="F788" s="95"/>
      <c r="G788" s="95" t="s">
        <v>2528</v>
      </c>
      <c r="H788" s="138">
        <v>65289</v>
      </c>
      <c r="I788" s="138"/>
      <c r="J788" s="126">
        <f t="shared" si="98"/>
        <v>65289</v>
      </c>
      <c r="K788" s="318">
        <v>43861</v>
      </c>
      <c r="L788" s="95">
        <v>30</v>
      </c>
      <c r="M788" s="313">
        <f t="shared" si="99"/>
        <v>43891</v>
      </c>
      <c r="N788" s="2" t="str">
        <f t="shared" si="100"/>
        <v>Pagado</v>
      </c>
      <c r="O788" s="318">
        <v>43889</v>
      </c>
      <c r="P788" s="138">
        <v>65289</v>
      </c>
      <c r="Q788" s="2" t="s">
        <v>2131</v>
      </c>
      <c r="R788" s="2"/>
      <c r="S788" s="95">
        <v>1075</v>
      </c>
      <c r="T788" s="313" t="s">
        <v>1494</v>
      </c>
      <c r="U788" s="393">
        <v>43905</v>
      </c>
      <c r="V788" s="95">
        <v>4955377</v>
      </c>
      <c r="W788" s="129"/>
      <c r="X788" s="318"/>
      <c r="Y788" s="95"/>
      <c r="Z788" s="426"/>
      <c r="AA788" s="108" t="str">
        <f t="shared" si="97"/>
        <v>Otros</v>
      </c>
      <c r="AB788" s="2"/>
      <c r="AC788" s="131">
        <f t="shared" si="101"/>
        <v>54864.705882352944</v>
      </c>
      <c r="AD788" s="108">
        <f t="shared" si="102"/>
        <v>10424.294117647056</v>
      </c>
      <c r="AE788" s="95" t="s">
        <v>1445</v>
      </c>
      <c r="AF788" s="498" t="s">
        <v>3490</v>
      </c>
      <c r="AG788" s="2" t="str">
        <f t="shared" si="103"/>
        <v>SI</v>
      </c>
      <c r="AH788" s="284"/>
      <c r="AI788" s="498"/>
      <c r="AJ788" s="2" t="str">
        <f t="shared" si="104"/>
        <v>Factura</v>
      </c>
      <c r="AK788" s="303"/>
    </row>
    <row r="789" spans="1:37" x14ac:dyDescent="0.25">
      <c r="A789" s="499" t="s">
        <v>4406</v>
      </c>
      <c r="B789" s="317" t="s">
        <v>4407</v>
      </c>
      <c r="C789" s="95">
        <v>0</v>
      </c>
      <c r="D789" s="95">
        <v>0</v>
      </c>
      <c r="E789" s="95"/>
      <c r="F789" s="95"/>
      <c r="G789" s="95">
        <v>6474</v>
      </c>
      <c r="H789" s="138">
        <v>284000</v>
      </c>
      <c r="I789" s="138"/>
      <c r="J789" s="126">
        <f t="shared" si="98"/>
        <v>284000</v>
      </c>
      <c r="K789" s="318">
        <v>43861</v>
      </c>
      <c r="L789" s="95">
        <v>0</v>
      </c>
      <c r="M789" s="313">
        <f t="shared" si="99"/>
        <v>43861</v>
      </c>
      <c r="N789" s="2" t="str">
        <f t="shared" si="100"/>
        <v>Pagado</v>
      </c>
      <c r="O789" s="318">
        <v>43861</v>
      </c>
      <c r="P789" s="138">
        <v>284000</v>
      </c>
      <c r="Q789" s="2" t="s">
        <v>1484</v>
      </c>
      <c r="R789" s="2"/>
      <c r="S789" s="95"/>
      <c r="T789" s="313" t="s">
        <v>1488</v>
      </c>
      <c r="U789" s="393"/>
      <c r="V789" s="95"/>
      <c r="W789" s="129"/>
      <c r="X789" s="318"/>
      <c r="Y789" s="95"/>
      <c r="Z789" s="426"/>
      <c r="AA789" s="108" t="str">
        <f t="shared" ref="AA789:AA852" si="105">+IF(LEFT(Q789,6)="Cheque",IF(T789="Chile","Chile","Otros"),"")</f>
        <v/>
      </c>
      <c r="AB789" s="2"/>
      <c r="AC789" s="131">
        <f t="shared" si="101"/>
        <v>238655.46218487396</v>
      </c>
      <c r="AD789" s="108">
        <f t="shared" si="102"/>
        <v>45344.537815126037</v>
      </c>
      <c r="AE789" s="95" t="s">
        <v>1445</v>
      </c>
      <c r="AF789" s="498" t="s">
        <v>4409</v>
      </c>
      <c r="AG789" s="2" t="str">
        <f t="shared" si="103"/>
        <v>SI</v>
      </c>
      <c r="AH789" s="284"/>
      <c r="AI789" s="498"/>
      <c r="AJ789" s="2" t="str">
        <f t="shared" si="104"/>
        <v>NV</v>
      </c>
      <c r="AK789" s="303"/>
    </row>
    <row r="790" spans="1:37" x14ac:dyDescent="0.25">
      <c r="A790" s="534" t="s">
        <v>5273</v>
      </c>
      <c r="B790" s="317" t="s">
        <v>5274</v>
      </c>
      <c r="C790" s="95">
        <v>0</v>
      </c>
      <c r="D790" s="95">
        <v>2903</v>
      </c>
      <c r="E790" s="95"/>
      <c r="F790" s="95"/>
      <c r="G790" s="95">
        <v>6475</v>
      </c>
      <c r="H790" s="138">
        <v>19700</v>
      </c>
      <c r="I790" s="138"/>
      <c r="J790" s="126">
        <f t="shared" si="98"/>
        <v>19700</v>
      </c>
      <c r="K790" s="318">
        <v>43861</v>
      </c>
      <c r="L790" s="95">
        <v>0</v>
      </c>
      <c r="M790" s="313">
        <f t="shared" si="99"/>
        <v>43861</v>
      </c>
      <c r="N790" s="2" t="str">
        <f t="shared" si="100"/>
        <v>Pagado</v>
      </c>
      <c r="O790" s="318">
        <v>43861</v>
      </c>
      <c r="P790" s="138">
        <v>19700</v>
      </c>
      <c r="Q790" s="2" t="s">
        <v>1484</v>
      </c>
      <c r="R790" s="2"/>
      <c r="S790" s="95"/>
      <c r="T790" s="313" t="s">
        <v>1462</v>
      </c>
      <c r="U790" s="393"/>
      <c r="V790" s="95"/>
      <c r="W790" s="129"/>
      <c r="X790" s="318"/>
      <c r="Y790" s="95"/>
      <c r="Z790" s="426"/>
      <c r="AA790" s="108" t="str">
        <f t="shared" si="105"/>
        <v/>
      </c>
      <c r="AB790" s="2"/>
      <c r="AC790" s="131">
        <f t="shared" si="101"/>
        <v>16554.621848739498</v>
      </c>
      <c r="AD790" s="108">
        <f t="shared" si="102"/>
        <v>3145.3781512605019</v>
      </c>
      <c r="AE790" s="95" t="s">
        <v>1501</v>
      </c>
      <c r="AF790" s="533" t="s">
        <v>3487</v>
      </c>
      <c r="AG790" s="2" t="str">
        <f t="shared" si="103"/>
        <v>SI</v>
      </c>
      <c r="AH790" s="284"/>
      <c r="AI790" s="533"/>
      <c r="AJ790" s="2" t="str">
        <f t="shared" si="104"/>
        <v>NV</v>
      </c>
      <c r="AK790" s="303"/>
    </row>
    <row r="791" spans="1:37" x14ac:dyDescent="0.25">
      <c r="A791" s="534" t="s">
        <v>1207</v>
      </c>
      <c r="B791" s="317" t="s">
        <v>963</v>
      </c>
      <c r="C791" s="95">
        <v>3088</v>
      </c>
      <c r="D791" s="95">
        <v>0</v>
      </c>
      <c r="E791" s="95"/>
      <c r="F791" s="95"/>
      <c r="G791" s="95" t="s">
        <v>2528</v>
      </c>
      <c r="H791" s="138">
        <v>21103</v>
      </c>
      <c r="I791" s="138"/>
      <c r="J791" s="126">
        <f t="shared" si="98"/>
        <v>21103</v>
      </c>
      <c r="K791" s="318">
        <v>43861</v>
      </c>
      <c r="L791" s="95">
        <v>0</v>
      </c>
      <c r="M791" s="313">
        <f t="shared" si="99"/>
        <v>43861</v>
      </c>
      <c r="N791" s="2" t="str">
        <f t="shared" si="100"/>
        <v>Pagado</v>
      </c>
      <c r="O791" s="318">
        <v>43861</v>
      </c>
      <c r="P791" s="138">
        <v>21103</v>
      </c>
      <c r="Q791" s="2" t="s">
        <v>1481</v>
      </c>
      <c r="R791" s="2"/>
      <c r="S791" s="95"/>
      <c r="T791" s="313"/>
      <c r="U791" s="393"/>
      <c r="V791" s="95">
        <v>7675292</v>
      </c>
      <c r="W791" s="129">
        <v>21103</v>
      </c>
      <c r="X791" s="318">
        <v>43864</v>
      </c>
      <c r="Y791" s="95" t="s">
        <v>1488</v>
      </c>
      <c r="Z791" s="426"/>
      <c r="AA791" s="108" t="str">
        <f t="shared" si="105"/>
        <v/>
      </c>
      <c r="AB791" s="2"/>
      <c r="AC791" s="131">
        <f t="shared" si="101"/>
        <v>17733.613445378152</v>
      </c>
      <c r="AD791" s="108">
        <f t="shared" si="102"/>
        <v>3369.3865546218476</v>
      </c>
      <c r="AE791" s="95" t="s">
        <v>1445</v>
      </c>
      <c r="AF791" s="533" t="s">
        <v>3490</v>
      </c>
      <c r="AG791" s="2" t="str">
        <f t="shared" si="103"/>
        <v>SI</v>
      </c>
      <c r="AH791" s="284"/>
      <c r="AI791" s="533"/>
      <c r="AJ791" s="2" t="str">
        <f t="shared" si="104"/>
        <v>Factura</v>
      </c>
      <c r="AK791" s="303"/>
    </row>
    <row r="792" spans="1:37" x14ac:dyDescent="0.25">
      <c r="A792" s="534" t="s">
        <v>1193</v>
      </c>
      <c r="B792" s="317" t="s">
        <v>1017</v>
      </c>
      <c r="C792" s="95">
        <v>3093</v>
      </c>
      <c r="D792" s="95">
        <v>0</v>
      </c>
      <c r="E792" s="95">
        <v>288</v>
      </c>
      <c r="F792" s="95"/>
      <c r="G792" s="95" t="s">
        <v>2528</v>
      </c>
      <c r="H792" s="138">
        <v>99565</v>
      </c>
      <c r="I792" s="138">
        <v>-29453</v>
      </c>
      <c r="J792" s="126">
        <f t="shared" si="98"/>
        <v>70112</v>
      </c>
      <c r="K792" s="318">
        <v>43861</v>
      </c>
      <c r="L792" s="95">
        <v>0</v>
      </c>
      <c r="M792" s="313">
        <f t="shared" si="99"/>
        <v>43861</v>
      </c>
      <c r="N792" s="2" t="str">
        <f t="shared" si="100"/>
        <v>Pagado</v>
      </c>
      <c r="O792" s="318">
        <v>43861</v>
      </c>
      <c r="P792" s="138">
        <v>70112</v>
      </c>
      <c r="Q792" s="2" t="s">
        <v>1481</v>
      </c>
      <c r="R792" s="2"/>
      <c r="S792" s="95"/>
      <c r="T792" s="313"/>
      <c r="U792" s="393"/>
      <c r="V792" s="95">
        <v>7675292</v>
      </c>
      <c r="W792" s="129">
        <v>70112</v>
      </c>
      <c r="X792" s="318">
        <v>43864</v>
      </c>
      <c r="Y792" s="95" t="s">
        <v>1488</v>
      </c>
      <c r="Z792" s="426"/>
      <c r="AA792" s="108" t="str">
        <f t="shared" si="105"/>
        <v/>
      </c>
      <c r="AB792" s="2"/>
      <c r="AC792" s="131">
        <f t="shared" si="101"/>
        <v>83668.067226890766</v>
      </c>
      <c r="AD792" s="108">
        <f t="shared" si="102"/>
        <v>15896.932773109234</v>
      </c>
      <c r="AE792" s="95" t="s">
        <v>1445</v>
      </c>
      <c r="AF792" s="533" t="s">
        <v>3490</v>
      </c>
      <c r="AG792" s="2" t="str">
        <f t="shared" si="103"/>
        <v>SI</v>
      </c>
      <c r="AH792" s="284"/>
      <c r="AI792" s="533"/>
      <c r="AJ792" s="2" t="str">
        <f t="shared" si="104"/>
        <v>Factura</v>
      </c>
      <c r="AK792" s="303"/>
    </row>
    <row r="793" spans="1:37" x14ac:dyDescent="0.25">
      <c r="A793" s="499" t="s">
        <v>1193</v>
      </c>
      <c r="B793" s="317" t="s">
        <v>1017</v>
      </c>
      <c r="C793" s="95">
        <v>3095</v>
      </c>
      <c r="D793" s="95">
        <v>0</v>
      </c>
      <c r="E793" s="95"/>
      <c r="F793" s="95"/>
      <c r="G793" s="95" t="s">
        <v>2528</v>
      </c>
      <c r="H793" s="138">
        <v>23981</v>
      </c>
      <c r="I793" s="138"/>
      <c r="J793" s="126">
        <f t="shared" si="98"/>
        <v>23981</v>
      </c>
      <c r="K793" s="318">
        <v>43861</v>
      </c>
      <c r="L793" s="95">
        <v>0</v>
      </c>
      <c r="M793" s="313">
        <f t="shared" si="99"/>
        <v>43861</v>
      </c>
      <c r="N793" s="2" t="str">
        <f t="shared" si="100"/>
        <v>Pagado</v>
      </c>
      <c r="O793" s="318">
        <v>43861</v>
      </c>
      <c r="P793" s="138">
        <v>23981</v>
      </c>
      <c r="Q793" s="2" t="s">
        <v>1481</v>
      </c>
      <c r="R793" s="2"/>
      <c r="S793" s="95"/>
      <c r="T793" s="313"/>
      <c r="U793" s="393"/>
      <c r="V793" s="95">
        <v>7675292</v>
      </c>
      <c r="W793" s="129">
        <v>23981</v>
      </c>
      <c r="X793" s="318">
        <v>43864</v>
      </c>
      <c r="Y793" s="95" t="s">
        <v>1488</v>
      </c>
      <c r="Z793" s="426"/>
      <c r="AA793" s="108" t="str">
        <f t="shared" si="105"/>
        <v/>
      </c>
      <c r="AB793" s="2"/>
      <c r="AC793" s="131">
        <f t="shared" si="101"/>
        <v>20152.100840336134</v>
      </c>
      <c r="AD793" s="108">
        <f t="shared" si="102"/>
        <v>3828.8991596638662</v>
      </c>
      <c r="AE793" s="95" t="s">
        <v>1445</v>
      </c>
      <c r="AF793" s="498" t="s">
        <v>3490</v>
      </c>
      <c r="AG793" s="2" t="str">
        <f t="shared" si="103"/>
        <v>SI</v>
      </c>
      <c r="AH793" s="284"/>
      <c r="AI793" s="498"/>
      <c r="AJ793" s="2" t="str">
        <f t="shared" si="104"/>
        <v>Factura</v>
      </c>
      <c r="AK793" s="303"/>
    </row>
    <row r="794" spans="1:37" x14ac:dyDescent="0.25">
      <c r="A794" s="542" t="s">
        <v>1192</v>
      </c>
      <c r="B794" s="317" t="s">
        <v>1061</v>
      </c>
      <c r="C794" s="95">
        <v>3096</v>
      </c>
      <c r="D794" s="95">
        <v>0</v>
      </c>
      <c r="E794" s="95"/>
      <c r="F794" s="95"/>
      <c r="G794" s="95" t="s">
        <v>5641</v>
      </c>
      <c r="H794" s="138">
        <v>299946</v>
      </c>
      <c r="I794" s="138"/>
      <c r="J794" s="126">
        <f t="shared" si="98"/>
        <v>299946</v>
      </c>
      <c r="K794" s="318">
        <v>43864</v>
      </c>
      <c r="L794" s="95">
        <v>0</v>
      </c>
      <c r="M794" s="313">
        <f t="shared" si="99"/>
        <v>43864</v>
      </c>
      <c r="N794" s="2" t="str">
        <f t="shared" si="100"/>
        <v>Pagado</v>
      </c>
      <c r="O794" s="318">
        <v>43865</v>
      </c>
      <c r="P794" s="138">
        <v>299946</v>
      </c>
      <c r="Q794" s="2" t="s">
        <v>1484</v>
      </c>
      <c r="R794" s="2"/>
      <c r="S794" s="95"/>
      <c r="T794" s="313" t="s">
        <v>1488</v>
      </c>
      <c r="U794" s="393"/>
      <c r="V794" s="95"/>
      <c r="W794" s="129"/>
      <c r="X794" s="318"/>
      <c r="Y794" s="95"/>
      <c r="Z794" s="318">
        <v>43845</v>
      </c>
      <c r="AA794" s="108" t="str">
        <f t="shared" si="105"/>
        <v/>
      </c>
      <c r="AB794" s="2"/>
      <c r="AC794" s="131">
        <f t="shared" si="101"/>
        <v>252055.46218487396</v>
      </c>
      <c r="AD794" s="108">
        <f t="shared" si="102"/>
        <v>47890.537815126037</v>
      </c>
      <c r="AE794" s="95" t="s">
        <v>1501</v>
      </c>
      <c r="AF794" s="541" t="s">
        <v>3490</v>
      </c>
      <c r="AG794" s="2" t="str">
        <f t="shared" si="103"/>
        <v>SI</v>
      </c>
      <c r="AH794" s="284"/>
      <c r="AI794" s="541"/>
      <c r="AJ794" s="2" t="str">
        <f t="shared" si="104"/>
        <v>Factura</v>
      </c>
      <c r="AK794" s="303"/>
    </row>
    <row r="795" spans="1:37" x14ac:dyDescent="0.25">
      <c r="A795" s="542" t="s">
        <v>1192</v>
      </c>
      <c r="B795" s="317" t="s">
        <v>1061</v>
      </c>
      <c r="C795" s="95">
        <v>3096</v>
      </c>
      <c r="D795" s="95">
        <v>0</v>
      </c>
      <c r="E795" s="95"/>
      <c r="F795" s="95"/>
      <c r="G795" s="95" t="s">
        <v>5662</v>
      </c>
      <c r="H795" s="138">
        <v>181076</v>
      </c>
      <c r="I795" s="138"/>
      <c r="J795" s="126">
        <f t="shared" si="98"/>
        <v>181076</v>
      </c>
      <c r="K795" s="318">
        <v>43864</v>
      </c>
      <c r="L795" s="95">
        <v>0</v>
      </c>
      <c r="M795" s="313">
        <f t="shared" si="99"/>
        <v>43864</v>
      </c>
      <c r="N795" s="2" t="str">
        <f t="shared" si="100"/>
        <v>Pagado</v>
      </c>
      <c r="O795" s="318">
        <v>43865</v>
      </c>
      <c r="P795" s="138">
        <v>181076</v>
      </c>
      <c r="Q795" s="2" t="s">
        <v>1484</v>
      </c>
      <c r="R795" s="2"/>
      <c r="S795" s="95"/>
      <c r="T795" s="313" t="s">
        <v>1488</v>
      </c>
      <c r="U795" s="393"/>
      <c r="V795" s="95"/>
      <c r="W795" s="129"/>
      <c r="X795" s="318"/>
      <c r="Y795" s="95"/>
      <c r="Z795" s="318">
        <v>43851</v>
      </c>
      <c r="AA795" s="108" t="str">
        <f t="shared" si="105"/>
        <v/>
      </c>
      <c r="AB795" s="2"/>
      <c r="AC795" s="131">
        <f t="shared" si="101"/>
        <v>152164.70588235295</v>
      </c>
      <c r="AD795" s="108">
        <f t="shared" si="102"/>
        <v>28911.294117647049</v>
      </c>
      <c r="AE795" s="95" t="s">
        <v>1501</v>
      </c>
      <c r="AF795" s="541" t="s">
        <v>3490</v>
      </c>
      <c r="AG795" s="2" t="str">
        <f t="shared" si="103"/>
        <v>SI</v>
      </c>
      <c r="AH795" s="284"/>
      <c r="AI795" s="541"/>
      <c r="AJ795" s="2" t="str">
        <f t="shared" si="104"/>
        <v>Factura</v>
      </c>
      <c r="AK795" s="303"/>
    </row>
    <row r="796" spans="1:37" x14ac:dyDescent="0.25">
      <c r="A796" s="542" t="s">
        <v>1192</v>
      </c>
      <c r="B796" s="317" t="s">
        <v>1061</v>
      </c>
      <c r="C796" s="95">
        <v>3096</v>
      </c>
      <c r="D796" s="95">
        <v>0</v>
      </c>
      <c r="E796" s="95"/>
      <c r="F796" s="95"/>
      <c r="G796" s="95" t="s">
        <v>5672</v>
      </c>
      <c r="H796" s="138">
        <v>181076</v>
      </c>
      <c r="I796" s="138"/>
      <c r="J796" s="126">
        <f t="shared" si="98"/>
        <v>181076</v>
      </c>
      <c r="K796" s="318">
        <v>43864</v>
      </c>
      <c r="L796" s="95">
        <v>0</v>
      </c>
      <c r="M796" s="313">
        <f t="shared" si="99"/>
        <v>43864</v>
      </c>
      <c r="N796" s="2" t="str">
        <f t="shared" si="100"/>
        <v>Pagado</v>
      </c>
      <c r="O796" s="318">
        <v>43865</v>
      </c>
      <c r="P796" s="138">
        <v>181076</v>
      </c>
      <c r="Q796" s="2" t="s">
        <v>1484</v>
      </c>
      <c r="R796" s="2"/>
      <c r="S796" s="95"/>
      <c r="T796" s="313" t="s">
        <v>1488</v>
      </c>
      <c r="U796" s="393"/>
      <c r="V796" s="95"/>
      <c r="W796" s="129"/>
      <c r="X796" s="318"/>
      <c r="Y796" s="95"/>
      <c r="Z796" s="318">
        <v>43860</v>
      </c>
      <c r="AA796" s="108" t="str">
        <f t="shared" si="105"/>
        <v/>
      </c>
      <c r="AB796" s="2"/>
      <c r="AC796" s="131">
        <f t="shared" si="101"/>
        <v>152164.70588235295</v>
      </c>
      <c r="AD796" s="108">
        <f t="shared" si="102"/>
        <v>28911.294117647049</v>
      </c>
      <c r="AE796" s="95" t="s">
        <v>1501</v>
      </c>
      <c r="AF796" s="541" t="s">
        <v>3490</v>
      </c>
      <c r="AG796" s="2" t="str">
        <f t="shared" si="103"/>
        <v>SI</v>
      </c>
      <c r="AH796" s="284"/>
      <c r="AI796" s="541"/>
      <c r="AJ796" s="2" t="str">
        <f t="shared" si="104"/>
        <v>Factura</v>
      </c>
      <c r="AK796" s="303"/>
    </row>
    <row r="797" spans="1:37" x14ac:dyDescent="0.25">
      <c r="A797" s="476" t="s">
        <v>2619</v>
      </c>
      <c r="B797" s="317" t="s">
        <v>3361</v>
      </c>
      <c r="C797" s="95">
        <v>0</v>
      </c>
      <c r="D797" s="95">
        <v>2908</v>
      </c>
      <c r="E797" s="95"/>
      <c r="F797" s="95"/>
      <c r="G797" s="95">
        <v>6487</v>
      </c>
      <c r="H797" s="138">
        <v>29900</v>
      </c>
      <c r="I797" s="138"/>
      <c r="J797" s="126">
        <f t="shared" si="98"/>
        <v>29900</v>
      </c>
      <c r="K797" s="318">
        <v>43864</v>
      </c>
      <c r="L797" s="95">
        <v>0</v>
      </c>
      <c r="M797" s="313">
        <f t="shared" si="99"/>
        <v>43864</v>
      </c>
      <c r="N797" s="2" t="str">
        <f t="shared" si="100"/>
        <v>Pagado</v>
      </c>
      <c r="O797" s="318">
        <v>43867</v>
      </c>
      <c r="P797" s="138">
        <v>29900</v>
      </c>
      <c r="Q797" s="2" t="s">
        <v>1484</v>
      </c>
      <c r="R797" s="2"/>
      <c r="S797" s="95"/>
      <c r="T797" s="313" t="s">
        <v>1496</v>
      </c>
      <c r="U797" s="393"/>
      <c r="V797" s="95"/>
      <c r="W797" s="129"/>
      <c r="X797" s="318"/>
      <c r="Y797" s="95"/>
      <c r="Z797" s="131"/>
      <c r="AA797" s="108" t="str">
        <f t="shared" si="105"/>
        <v/>
      </c>
      <c r="AB797" s="2"/>
      <c r="AC797" s="131">
        <f t="shared" si="101"/>
        <v>25126.050420168067</v>
      </c>
      <c r="AD797" s="108">
        <f t="shared" si="102"/>
        <v>4773.9495798319331</v>
      </c>
      <c r="AE797" s="95" t="s">
        <v>1501</v>
      </c>
      <c r="AF797" s="475" t="s">
        <v>3489</v>
      </c>
      <c r="AG797" s="2" t="str">
        <f t="shared" si="103"/>
        <v>SI</v>
      </c>
      <c r="AH797" s="284"/>
      <c r="AI797" s="475"/>
      <c r="AJ797" s="2" t="str">
        <f t="shared" si="104"/>
        <v>NV</v>
      </c>
      <c r="AK797" s="303"/>
    </row>
    <row r="798" spans="1:37" x14ac:dyDescent="0.25">
      <c r="A798" s="476" t="s">
        <v>4310</v>
      </c>
      <c r="B798" s="317" t="s">
        <v>4311</v>
      </c>
      <c r="C798" s="95">
        <v>0</v>
      </c>
      <c r="D798" s="95">
        <v>2907</v>
      </c>
      <c r="E798" s="95"/>
      <c r="F798" s="95"/>
      <c r="G798" s="95">
        <v>6486</v>
      </c>
      <c r="H798" s="138">
        <v>30400</v>
      </c>
      <c r="I798" s="138"/>
      <c r="J798" s="126">
        <f t="shared" si="98"/>
        <v>30400</v>
      </c>
      <c r="K798" s="318">
        <v>43864</v>
      </c>
      <c r="L798" s="95">
        <v>0</v>
      </c>
      <c r="M798" s="313">
        <f t="shared" si="99"/>
        <v>43864</v>
      </c>
      <c r="N798" s="2" t="str">
        <f t="shared" si="100"/>
        <v>Pagado</v>
      </c>
      <c r="O798" s="318">
        <v>43864</v>
      </c>
      <c r="P798" s="138">
        <v>30400</v>
      </c>
      <c r="Q798" s="2" t="s">
        <v>1484</v>
      </c>
      <c r="R798" s="2"/>
      <c r="S798" s="95"/>
      <c r="T798" s="326" t="s">
        <v>1496</v>
      </c>
      <c r="U798" s="393"/>
      <c r="V798" s="95"/>
      <c r="W798" s="129"/>
      <c r="X798" s="318"/>
      <c r="Y798" s="95"/>
      <c r="Z798" s="131"/>
      <c r="AA798" s="108" t="str">
        <f t="shared" si="105"/>
        <v/>
      </c>
      <c r="AB798" s="2"/>
      <c r="AC798" s="131">
        <f t="shared" si="101"/>
        <v>25546.218487394959</v>
      </c>
      <c r="AD798" s="108">
        <f t="shared" si="102"/>
        <v>4853.7815126050409</v>
      </c>
      <c r="AE798" s="95" t="s">
        <v>1501</v>
      </c>
      <c r="AF798" s="475" t="s">
        <v>3487</v>
      </c>
      <c r="AG798" s="2" t="str">
        <f t="shared" si="103"/>
        <v>SI</v>
      </c>
      <c r="AH798" s="284"/>
      <c r="AI798" s="475"/>
      <c r="AJ798" s="2" t="str">
        <f t="shared" si="104"/>
        <v>NV</v>
      </c>
      <c r="AK798" s="303"/>
    </row>
    <row r="799" spans="1:37" x14ac:dyDescent="0.25">
      <c r="A799" s="476" t="s">
        <v>5558</v>
      </c>
      <c r="B799" s="317" t="s">
        <v>5559</v>
      </c>
      <c r="C799" s="95">
        <v>0</v>
      </c>
      <c r="D799" s="95">
        <v>204</v>
      </c>
      <c r="E799" s="95"/>
      <c r="F799" s="95"/>
      <c r="G799" s="95">
        <v>6484</v>
      </c>
      <c r="H799" s="138">
        <v>24800</v>
      </c>
      <c r="I799" s="138"/>
      <c r="J799" s="126">
        <f t="shared" si="98"/>
        <v>24800</v>
      </c>
      <c r="K799" s="318">
        <v>43864</v>
      </c>
      <c r="L799" s="95">
        <v>0</v>
      </c>
      <c r="M799" s="313">
        <f t="shared" si="99"/>
        <v>43864</v>
      </c>
      <c r="N799" s="2" t="str">
        <f t="shared" si="100"/>
        <v>Pagado</v>
      </c>
      <c r="O799" s="318">
        <v>43864</v>
      </c>
      <c r="P799" s="138">
        <v>24800</v>
      </c>
      <c r="Q799" s="2" t="s">
        <v>1070</v>
      </c>
      <c r="R799" s="2" t="s">
        <v>1478</v>
      </c>
      <c r="S799" s="95">
        <v>204</v>
      </c>
      <c r="T799" s="313"/>
      <c r="U799" s="393"/>
      <c r="V799" s="95"/>
      <c r="W799" s="129"/>
      <c r="X799" s="318"/>
      <c r="Y799" s="95"/>
      <c r="Z799" s="131"/>
      <c r="AA799" s="108" t="str">
        <f t="shared" si="105"/>
        <v/>
      </c>
      <c r="AB799" s="2"/>
      <c r="AC799" s="131">
        <f t="shared" si="101"/>
        <v>20840.336134453781</v>
      </c>
      <c r="AD799" s="108">
        <f t="shared" si="102"/>
        <v>3959.6638655462193</v>
      </c>
      <c r="AE799" s="95" t="s">
        <v>1501</v>
      </c>
      <c r="AF799" s="475" t="s">
        <v>3487</v>
      </c>
      <c r="AG799" s="2" t="str">
        <f t="shared" si="103"/>
        <v>SI</v>
      </c>
      <c r="AH799" s="284"/>
      <c r="AI799" s="475"/>
      <c r="AJ799" s="2" t="str">
        <f t="shared" si="104"/>
        <v>NV</v>
      </c>
      <c r="AK799" s="303"/>
    </row>
    <row r="800" spans="1:37" x14ac:dyDescent="0.25">
      <c r="A800" s="458" t="s">
        <v>2437</v>
      </c>
      <c r="B800" s="317" t="s">
        <v>2438</v>
      </c>
      <c r="C800" s="95">
        <v>0</v>
      </c>
      <c r="D800" s="95">
        <v>2906</v>
      </c>
      <c r="E800" s="95"/>
      <c r="F800" s="95"/>
      <c r="G800" s="95">
        <v>6485</v>
      </c>
      <c r="H800" s="138">
        <v>23000</v>
      </c>
      <c r="I800" s="138"/>
      <c r="J800" s="126">
        <f t="shared" si="98"/>
        <v>23000</v>
      </c>
      <c r="K800" s="318">
        <v>43864</v>
      </c>
      <c r="L800" s="95">
        <v>0</v>
      </c>
      <c r="M800" s="313">
        <f t="shared" si="99"/>
        <v>43864</v>
      </c>
      <c r="N800" s="2" t="str">
        <f t="shared" si="100"/>
        <v>Pagado</v>
      </c>
      <c r="O800" s="318">
        <v>43864</v>
      </c>
      <c r="P800" s="138">
        <v>30000</v>
      </c>
      <c r="Q800" s="2" t="s">
        <v>1481</v>
      </c>
      <c r="R800" s="2"/>
      <c r="S800" s="95"/>
      <c r="T800" s="313"/>
      <c r="U800" s="393"/>
      <c r="V800" s="95">
        <v>7675296</v>
      </c>
      <c r="W800" s="129">
        <v>30000</v>
      </c>
      <c r="X800" s="318">
        <v>43867</v>
      </c>
      <c r="Y800" s="95" t="s">
        <v>1488</v>
      </c>
      <c r="Z800" s="131"/>
      <c r="AA800" s="108" t="str">
        <f t="shared" si="105"/>
        <v/>
      </c>
      <c r="AB800" s="2"/>
      <c r="AC800" s="131">
        <f t="shared" si="101"/>
        <v>19327.731092436974</v>
      </c>
      <c r="AD800" s="108">
        <f t="shared" si="102"/>
        <v>3672.268907563026</v>
      </c>
      <c r="AE800" s="95" t="s">
        <v>1501</v>
      </c>
      <c r="AF800" s="457" t="s">
        <v>3489</v>
      </c>
      <c r="AG800" s="2" t="str">
        <f t="shared" si="103"/>
        <v>SI</v>
      </c>
      <c r="AH800" s="284"/>
      <c r="AI800" s="457"/>
      <c r="AJ800" s="2" t="str">
        <f t="shared" si="104"/>
        <v>NV</v>
      </c>
      <c r="AK800" s="303"/>
    </row>
    <row r="801" spans="1:37" x14ac:dyDescent="0.25">
      <c r="A801" s="429" t="s">
        <v>3562</v>
      </c>
      <c r="B801" s="317" t="s">
        <v>3563</v>
      </c>
      <c r="C801" s="95">
        <v>0</v>
      </c>
      <c r="D801" s="95">
        <v>2904</v>
      </c>
      <c r="E801" s="95"/>
      <c r="F801" s="95"/>
      <c r="G801" s="95">
        <v>6481</v>
      </c>
      <c r="H801" s="138">
        <v>28500</v>
      </c>
      <c r="I801" s="138"/>
      <c r="J801" s="126">
        <f t="shared" si="98"/>
        <v>28500</v>
      </c>
      <c r="K801" s="318">
        <v>43864</v>
      </c>
      <c r="L801" s="95">
        <v>0</v>
      </c>
      <c r="M801" s="313">
        <f t="shared" si="99"/>
        <v>43864</v>
      </c>
      <c r="N801" s="2" t="str">
        <f t="shared" si="100"/>
        <v>Pagado</v>
      </c>
      <c r="O801" s="318">
        <v>43864</v>
      </c>
      <c r="P801" s="138">
        <v>40000</v>
      </c>
      <c r="Q801" s="2" t="s">
        <v>1481</v>
      </c>
      <c r="R801" s="2"/>
      <c r="S801" s="95"/>
      <c r="T801" s="313"/>
      <c r="U801" s="393"/>
      <c r="V801" s="95"/>
      <c r="W801" s="129"/>
      <c r="X801" s="318"/>
      <c r="Y801" s="95"/>
      <c r="Z801" s="131"/>
      <c r="AA801" s="108" t="str">
        <f t="shared" si="105"/>
        <v/>
      </c>
      <c r="AB801" s="2"/>
      <c r="AC801" s="131">
        <f t="shared" si="101"/>
        <v>23949.579831932773</v>
      </c>
      <c r="AD801" s="108">
        <f t="shared" si="102"/>
        <v>4550.4201680672268</v>
      </c>
      <c r="AE801" s="95" t="s">
        <v>1501</v>
      </c>
      <c r="AF801" s="428" t="s">
        <v>3489</v>
      </c>
      <c r="AG801" s="2" t="str">
        <f t="shared" si="103"/>
        <v>SI</v>
      </c>
      <c r="AH801" s="284"/>
      <c r="AI801" s="428"/>
      <c r="AJ801" s="2" t="str">
        <f t="shared" si="104"/>
        <v>NV</v>
      </c>
      <c r="AK801" s="303"/>
    </row>
    <row r="802" spans="1:37" x14ac:dyDescent="0.25">
      <c r="A802" s="499" t="s">
        <v>1322</v>
      </c>
      <c r="B802" s="317" t="s">
        <v>2317</v>
      </c>
      <c r="C802" s="95">
        <v>0</v>
      </c>
      <c r="D802" s="95">
        <v>2905</v>
      </c>
      <c r="E802" s="95"/>
      <c r="F802" s="95"/>
      <c r="G802" s="95">
        <v>6488</v>
      </c>
      <c r="H802" s="138">
        <v>19700</v>
      </c>
      <c r="I802" s="138"/>
      <c r="J802" s="126">
        <f t="shared" si="98"/>
        <v>19700</v>
      </c>
      <c r="K802" s="318">
        <v>43864</v>
      </c>
      <c r="L802" s="95">
        <v>0</v>
      </c>
      <c r="M802" s="313">
        <f t="shared" si="99"/>
        <v>43864</v>
      </c>
      <c r="N802" s="2" t="str">
        <f t="shared" si="100"/>
        <v>Pagado</v>
      </c>
      <c r="O802" s="318">
        <v>43900</v>
      </c>
      <c r="P802" s="138">
        <v>19700</v>
      </c>
      <c r="Q802" s="2" t="s">
        <v>1484</v>
      </c>
      <c r="R802" s="2"/>
      <c r="S802" s="95"/>
      <c r="T802" s="313" t="s">
        <v>1493</v>
      </c>
      <c r="U802" s="393"/>
      <c r="V802" s="95"/>
      <c r="W802" s="129"/>
      <c r="X802" s="318"/>
      <c r="Y802" s="95"/>
      <c r="Z802" s="131"/>
      <c r="AA802" s="108" t="str">
        <f t="shared" si="105"/>
        <v/>
      </c>
      <c r="AB802" s="2"/>
      <c r="AC802" s="131">
        <f t="shared" si="101"/>
        <v>16554.621848739498</v>
      </c>
      <c r="AD802" s="108">
        <f t="shared" si="102"/>
        <v>3145.3781512605019</v>
      </c>
      <c r="AE802" s="95" t="s">
        <v>1501</v>
      </c>
      <c r="AF802" s="498" t="s">
        <v>3489</v>
      </c>
      <c r="AG802" s="2" t="str">
        <f t="shared" si="103"/>
        <v>SI</v>
      </c>
      <c r="AH802" s="284"/>
      <c r="AI802" s="498"/>
      <c r="AJ802" s="2" t="str">
        <f t="shared" si="104"/>
        <v>NV</v>
      </c>
      <c r="AK802" s="303"/>
    </row>
    <row r="803" spans="1:37" x14ac:dyDescent="0.25">
      <c r="A803" s="534" t="s">
        <v>1293</v>
      </c>
      <c r="B803" s="317" t="s">
        <v>1081</v>
      </c>
      <c r="C803" s="95">
        <v>0</v>
      </c>
      <c r="D803" s="95">
        <v>203</v>
      </c>
      <c r="E803" s="95"/>
      <c r="F803" s="95"/>
      <c r="G803" s="95">
        <v>6480</v>
      </c>
      <c r="H803" s="138">
        <v>43500</v>
      </c>
      <c r="I803" s="138"/>
      <c r="J803" s="126">
        <f t="shared" si="98"/>
        <v>43500</v>
      </c>
      <c r="K803" s="318">
        <v>43864</v>
      </c>
      <c r="L803" s="95">
        <v>0</v>
      </c>
      <c r="M803" s="313">
        <f t="shared" si="99"/>
        <v>43864</v>
      </c>
      <c r="N803" s="2" t="str">
        <f t="shared" si="100"/>
        <v>Pagado</v>
      </c>
      <c r="O803" s="318">
        <v>43864</v>
      </c>
      <c r="P803" s="138">
        <v>43500</v>
      </c>
      <c r="Q803" s="2" t="s">
        <v>1070</v>
      </c>
      <c r="R803" s="2" t="s">
        <v>2243</v>
      </c>
      <c r="S803" s="95">
        <v>203</v>
      </c>
      <c r="T803" s="313"/>
      <c r="U803" s="393"/>
      <c r="V803" s="95"/>
      <c r="W803" s="129"/>
      <c r="X803" s="318"/>
      <c r="Y803" s="95"/>
      <c r="Z803" s="131"/>
      <c r="AA803" s="108" t="str">
        <f t="shared" si="105"/>
        <v/>
      </c>
      <c r="AB803" s="2"/>
      <c r="AC803" s="131">
        <f t="shared" si="101"/>
        <v>36554.621848739494</v>
      </c>
      <c r="AD803" s="108">
        <f t="shared" si="102"/>
        <v>6945.3781512605055</v>
      </c>
      <c r="AE803" s="95" t="s">
        <v>1501</v>
      </c>
      <c r="AF803" s="533" t="s">
        <v>3487</v>
      </c>
      <c r="AG803" s="2" t="str">
        <f t="shared" si="103"/>
        <v>SI</v>
      </c>
      <c r="AH803" s="284"/>
      <c r="AI803" s="533"/>
      <c r="AJ803" s="2" t="str">
        <f t="shared" si="104"/>
        <v>NV</v>
      </c>
      <c r="AK803" s="303"/>
    </row>
    <row r="804" spans="1:37" x14ac:dyDescent="0.25">
      <c r="A804" s="534" t="s">
        <v>1204</v>
      </c>
      <c r="B804" s="317" t="s">
        <v>1052</v>
      </c>
      <c r="C804" s="95">
        <v>0</v>
      </c>
      <c r="D804" s="95">
        <v>0</v>
      </c>
      <c r="E804" s="95"/>
      <c r="F804" s="95"/>
      <c r="G804" s="95">
        <v>6488</v>
      </c>
      <c r="H804" s="138">
        <v>38600</v>
      </c>
      <c r="I804" s="138"/>
      <c r="J804" s="126">
        <f t="shared" si="98"/>
        <v>38600</v>
      </c>
      <c r="K804" s="318">
        <v>43864</v>
      </c>
      <c r="L804" s="95">
        <v>0</v>
      </c>
      <c r="M804" s="313">
        <f t="shared" si="99"/>
        <v>43864</v>
      </c>
      <c r="N804" s="2" t="str">
        <f t="shared" ca="1" si="100"/>
        <v>Vencido</v>
      </c>
      <c r="O804" s="318"/>
      <c r="P804" s="138"/>
      <c r="Q804" s="2"/>
      <c r="R804" s="2"/>
      <c r="S804" s="95"/>
      <c r="T804" s="313"/>
      <c r="U804" s="393"/>
      <c r="V804" s="95"/>
      <c r="W804" s="129"/>
      <c r="X804" s="318"/>
      <c r="Y804" s="95"/>
      <c r="Z804" s="131"/>
      <c r="AA804" s="108" t="str">
        <f t="shared" si="105"/>
        <v/>
      </c>
      <c r="AB804" s="2"/>
      <c r="AC804" s="131">
        <f t="shared" si="101"/>
        <v>32436.974789915967</v>
      </c>
      <c r="AD804" s="108">
        <f t="shared" si="102"/>
        <v>6163.0252100840335</v>
      </c>
      <c r="AE804" s="95" t="s">
        <v>1501</v>
      </c>
      <c r="AF804" s="533" t="s">
        <v>3489</v>
      </c>
      <c r="AG804" s="2" t="str">
        <f t="shared" ca="1" si="103"/>
        <v>NO</v>
      </c>
      <c r="AH804" s="284"/>
      <c r="AI804" s="533"/>
      <c r="AJ804" s="2" t="str">
        <f t="shared" si="104"/>
        <v>NV</v>
      </c>
      <c r="AK804" s="303"/>
    </row>
    <row r="805" spans="1:37" x14ac:dyDescent="0.25">
      <c r="A805" s="542" t="s">
        <v>3200</v>
      </c>
      <c r="B805" s="317" t="s">
        <v>3201</v>
      </c>
      <c r="C805" s="95">
        <v>0</v>
      </c>
      <c r="D805" s="95">
        <v>205</v>
      </c>
      <c r="E805" s="95"/>
      <c r="F805" s="95"/>
      <c r="G805" s="95">
        <v>6482</v>
      </c>
      <c r="H805" s="138">
        <v>10200</v>
      </c>
      <c r="I805" s="138"/>
      <c r="J805" s="126">
        <f t="shared" si="98"/>
        <v>10200</v>
      </c>
      <c r="K805" s="318">
        <v>43864</v>
      </c>
      <c r="L805" s="95">
        <v>0</v>
      </c>
      <c r="M805" s="313">
        <f t="shared" si="99"/>
        <v>43864</v>
      </c>
      <c r="N805" s="2" t="str">
        <f t="shared" si="100"/>
        <v>Pagado</v>
      </c>
      <c r="O805" s="318">
        <v>43864</v>
      </c>
      <c r="P805" s="138">
        <v>10200</v>
      </c>
      <c r="Q805" s="2" t="s">
        <v>1070</v>
      </c>
      <c r="R805" s="2" t="s">
        <v>2243</v>
      </c>
      <c r="S805" s="95">
        <v>205</v>
      </c>
      <c r="T805" s="313"/>
      <c r="U805" s="393"/>
      <c r="V805" s="95"/>
      <c r="W805" s="129"/>
      <c r="X805" s="318"/>
      <c r="Y805" s="95"/>
      <c r="Z805" s="131"/>
      <c r="AA805" s="108" t="str">
        <f t="shared" si="105"/>
        <v/>
      </c>
      <c r="AB805" s="2"/>
      <c r="AC805" s="131">
        <f t="shared" si="101"/>
        <v>8571.4285714285725</v>
      </c>
      <c r="AD805" s="108">
        <f t="shared" si="102"/>
        <v>1628.5714285714275</v>
      </c>
      <c r="AE805" s="95" t="s">
        <v>1501</v>
      </c>
      <c r="AF805" s="541" t="s">
        <v>3487</v>
      </c>
      <c r="AG805" s="2" t="str">
        <f t="shared" si="103"/>
        <v>SI</v>
      </c>
      <c r="AH805" s="284"/>
      <c r="AI805" s="541"/>
      <c r="AJ805" s="2" t="str">
        <f t="shared" si="104"/>
        <v>NV</v>
      </c>
      <c r="AK805" s="303"/>
    </row>
    <row r="806" spans="1:37" x14ac:dyDescent="0.25">
      <c r="A806" s="476" t="s">
        <v>1419</v>
      </c>
      <c r="B806" s="317" t="s">
        <v>1119</v>
      </c>
      <c r="C806" s="95">
        <v>0</v>
      </c>
      <c r="D806" s="95">
        <v>2911</v>
      </c>
      <c r="E806" s="95"/>
      <c r="F806" s="95"/>
      <c r="G806" s="95">
        <v>6492</v>
      </c>
      <c r="H806" s="138">
        <v>23500</v>
      </c>
      <c r="I806" s="138"/>
      <c r="J806" s="126">
        <f t="shared" si="98"/>
        <v>23500</v>
      </c>
      <c r="K806" s="318">
        <v>43865</v>
      </c>
      <c r="L806" s="95">
        <v>0</v>
      </c>
      <c r="M806" s="313">
        <f t="shared" si="99"/>
        <v>43865</v>
      </c>
      <c r="N806" s="2" t="str">
        <f t="shared" si="100"/>
        <v>Pagado</v>
      </c>
      <c r="O806" s="318">
        <v>43865</v>
      </c>
      <c r="P806" s="138">
        <v>23500</v>
      </c>
      <c r="Q806" s="2" t="s">
        <v>1481</v>
      </c>
      <c r="R806" s="2"/>
      <c r="S806" s="95"/>
      <c r="T806" s="313"/>
      <c r="U806" s="393"/>
      <c r="V806" s="95"/>
      <c r="W806" s="129"/>
      <c r="X806" s="318"/>
      <c r="Y806" s="95"/>
      <c r="Z806" s="131"/>
      <c r="AA806" s="108" t="str">
        <f t="shared" si="105"/>
        <v/>
      </c>
      <c r="AB806" s="2"/>
      <c r="AC806" s="131">
        <f t="shared" si="101"/>
        <v>19747.899159663866</v>
      </c>
      <c r="AD806" s="108">
        <f t="shared" si="102"/>
        <v>3752.1008403361338</v>
      </c>
      <c r="AE806" s="95" t="s">
        <v>1501</v>
      </c>
      <c r="AF806" s="475" t="s">
        <v>3489</v>
      </c>
      <c r="AG806" s="2" t="str">
        <f t="shared" si="103"/>
        <v>SI</v>
      </c>
      <c r="AH806" s="284"/>
      <c r="AI806" s="475"/>
      <c r="AJ806" s="2" t="str">
        <f t="shared" si="104"/>
        <v>NV</v>
      </c>
      <c r="AK806" s="303"/>
    </row>
    <row r="807" spans="1:37" x14ac:dyDescent="0.25">
      <c r="A807" s="429" t="s">
        <v>4471</v>
      </c>
      <c r="B807" s="317" t="s">
        <v>4873</v>
      </c>
      <c r="C807" s="95">
        <v>0</v>
      </c>
      <c r="D807" s="95">
        <v>2912</v>
      </c>
      <c r="E807" s="95"/>
      <c r="F807" s="95"/>
      <c r="G807" s="95">
        <v>6491</v>
      </c>
      <c r="H807" s="138">
        <v>36500</v>
      </c>
      <c r="I807" s="138"/>
      <c r="J807" s="126">
        <f t="shared" si="98"/>
        <v>36500</v>
      </c>
      <c r="K807" s="318">
        <v>43865</v>
      </c>
      <c r="L807" s="95">
        <v>0</v>
      </c>
      <c r="M807" s="313">
        <f t="shared" si="99"/>
        <v>43865</v>
      </c>
      <c r="N807" s="2" t="str">
        <f t="shared" si="100"/>
        <v>Pagado</v>
      </c>
      <c r="O807" s="318">
        <v>43865</v>
      </c>
      <c r="P807" s="138">
        <v>36500</v>
      </c>
      <c r="Q807" s="2" t="s">
        <v>1484</v>
      </c>
      <c r="R807" s="2"/>
      <c r="S807" s="95"/>
      <c r="T807" s="313" t="s">
        <v>1492</v>
      </c>
      <c r="U807" s="393"/>
      <c r="V807" s="95"/>
      <c r="W807" s="129"/>
      <c r="X807" s="318"/>
      <c r="Y807" s="95"/>
      <c r="Z807" s="131"/>
      <c r="AA807" s="108" t="str">
        <f t="shared" si="105"/>
        <v/>
      </c>
      <c r="AB807" s="2"/>
      <c r="AC807" s="131">
        <f t="shared" si="101"/>
        <v>30672.268907563026</v>
      </c>
      <c r="AD807" s="108">
        <f t="shared" si="102"/>
        <v>5827.731092436974</v>
      </c>
      <c r="AE807" s="95" t="s">
        <v>1501</v>
      </c>
      <c r="AF807" s="428" t="s">
        <v>3487</v>
      </c>
      <c r="AG807" s="2" t="str">
        <f t="shared" si="103"/>
        <v>SI</v>
      </c>
      <c r="AH807" s="284"/>
      <c r="AI807" s="428"/>
      <c r="AJ807" s="2" t="str">
        <f t="shared" si="104"/>
        <v>NV</v>
      </c>
      <c r="AK807" s="303"/>
    </row>
    <row r="808" spans="1:37" x14ac:dyDescent="0.25">
      <c r="A808" s="429" t="s">
        <v>1257</v>
      </c>
      <c r="B808" s="317" t="s">
        <v>2145</v>
      </c>
      <c r="C808" s="95">
        <v>0</v>
      </c>
      <c r="D808" s="95">
        <v>2909</v>
      </c>
      <c r="E808" s="95"/>
      <c r="F808" s="95"/>
      <c r="G808" s="95">
        <v>6490</v>
      </c>
      <c r="H808" s="138">
        <v>16300</v>
      </c>
      <c r="I808" s="138"/>
      <c r="J808" s="126">
        <f t="shared" si="98"/>
        <v>16300</v>
      </c>
      <c r="K808" s="318">
        <v>43865</v>
      </c>
      <c r="L808" s="95">
        <v>0</v>
      </c>
      <c r="M808" s="313">
        <f t="shared" si="99"/>
        <v>43865</v>
      </c>
      <c r="N808" s="2" t="str">
        <f t="shared" si="100"/>
        <v>Pagado</v>
      </c>
      <c r="O808" s="318">
        <v>43869</v>
      </c>
      <c r="P808" s="138">
        <v>16300</v>
      </c>
      <c r="Q808" s="2" t="s">
        <v>1484</v>
      </c>
      <c r="R808" s="2"/>
      <c r="S808" s="95"/>
      <c r="T808" s="313" t="s">
        <v>1488</v>
      </c>
      <c r="U808" s="393"/>
      <c r="V808" s="95"/>
      <c r="W808" s="129"/>
      <c r="X808" s="318"/>
      <c r="Y808" s="95"/>
      <c r="Z808" s="131"/>
      <c r="AA808" s="108" t="str">
        <f t="shared" si="105"/>
        <v/>
      </c>
      <c r="AB808" s="2"/>
      <c r="AC808" s="131">
        <f t="shared" si="101"/>
        <v>13697.478991596639</v>
      </c>
      <c r="AD808" s="108">
        <f t="shared" si="102"/>
        <v>2602.5210084033606</v>
      </c>
      <c r="AE808" s="95" t="s">
        <v>1501</v>
      </c>
      <c r="AF808" s="428" t="s">
        <v>3489</v>
      </c>
      <c r="AG808" s="2" t="str">
        <f t="shared" si="103"/>
        <v>SI</v>
      </c>
      <c r="AH808" s="284"/>
      <c r="AI808" s="428"/>
      <c r="AJ808" s="2" t="str">
        <f t="shared" si="104"/>
        <v>NV</v>
      </c>
      <c r="AK808" s="303"/>
    </row>
    <row r="809" spans="1:37" x14ac:dyDescent="0.25">
      <c r="A809" s="534" t="s">
        <v>2226</v>
      </c>
      <c r="B809" s="317" t="s">
        <v>2227</v>
      </c>
      <c r="C809" s="95">
        <v>0</v>
      </c>
      <c r="D809" s="95">
        <v>2910</v>
      </c>
      <c r="E809" s="95"/>
      <c r="F809" s="95"/>
      <c r="G809" s="95">
        <v>6489</v>
      </c>
      <c r="H809" s="138">
        <v>81000</v>
      </c>
      <c r="I809" s="138"/>
      <c r="J809" s="126">
        <f t="shared" si="98"/>
        <v>81000</v>
      </c>
      <c r="K809" s="318">
        <v>43865</v>
      </c>
      <c r="L809" s="95">
        <v>0</v>
      </c>
      <c r="M809" s="313">
        <f t="shared" si="99"/>
        <v>43865</v>
      </c>
      <c r="N809" s="2" t="str">
        <f t="shared" si="100"/>
        <v>Pagado</v>
      </c>
      <c r="O809" s="318">
        <v>43865</v>
      </c>
      <c r="P809" s="138">
        <v>81000</v>
      </c>
      <c r="Q809" s="2" t="s">
        <v>1484</v>
      </c>
      <c r="R809" s="2"/>
      <c r="S809" s="95"/>
      <c r="T809" s="313" t="s">
        <v>1496</v>
      </c>
      <c r="U809" s="393"/>
      <c r="V809" s="95"/>
      <c r="W809" s="129"/>
      <c r="X809" s="318"/>
      <c r="Y809" s="95"/>
      <c r="Z809" s="131"/>
      <c r="AA809" s="108" t="str">
        <f t="shared" si="105"/>
        <v/>
      </c>
      <c r="AB809" s="2"/>
      <c r="AC809" s="131">
        <f t="shared" si="101"/>
        <v>68067.226890756312</v>
      </c>
      <c r="AD809" s="108">
        <f t="shared" si="102"/>
        <v>12932.773109243688</v>
      </c>
      <c r="AE809" s="95" t="s">
        <v>1501</v>
      </c>
      <c r="AF809" s="533" t="s">
        <v>3487</v>
      </c>
      <c r="AG809" s="2" t="str">
        <f t="shared" si="103"/>
        <v>SI</v>
      </c>
      <c r="AH809" s="284"/>
      <c r="AI809" s="533"/>
      <c r="AJ809" s="2" t="str">
        <f t="shared" si="104"/>
        <v>NV</v>
      </c>
      <c r="AK809" s="303"/>
    </row>
    <row r="810" spans="1:37" x14ac:dyDescent="0.25">
      <c r="A810" s="542" t="s">
        <v>1178</v>
      </c>
      <c r="B810" s="317" t="s">
        <v>950</v>
      </c>
      <c r="C810" s="95">
        <v>3097</v>
      </c>
      <c r="D810" s="95">
        <v>0</v>
      </c>
      <c r="E810" s="95"/>
      <c r="F810" s="95"/>
      <c r="G810" s="95" t="s">
        <v>2528</v>
      </c>
      <c r="H810" s="138">
        <v>35873</v>
      </c>
      <c r="I810" s="138"/>
      <c r="J810" s="126">
        <f t="shared" si="98"/>
        <v>35873</v>
      </c>
      <c r="K810" s="318">
        <v>43866</v>
      </c>
      <c r="L810" s="95">
        <v>7</v>
      </c>
      <c r="M810" s="313">
        <f t="shared" si="99"/>
        <v>43873</v>
      </c>
      <c r="N810" s="2" t="str">
        <f t="shared" si="100"/>
        <v>Pagado</v>
      </c>
      <c r="O810" s="318">
        <v>43880</v>
      </c>
      <c r="P810" s="138">
        <v>35873</v>
      </c>
      <c r="Q810" s="2" t="s">
        <v>2131</v>
      </c>
      <c r="R810" s="2"/>
      <c r="S810" s="95"/>
      <c r="T810" s="313"/>
      <c r="U810" s="393"/>
      <c r="V810" s="95"/>
      <c r="W810" s="129"/>
      <c r="X810" s="318"/>
      <c r="Y810" s="95"/>
      <c r="Z810" s="131"/>
      <c r="AA810" s="108" t="str">
        <f t="shared" si="105"/>
        <v>Otros</v>
      </c>
      <c r="AB810" s="2"/>
      <c r="AC810" s="131">
        <f t="shared" si="101"/>
        <v>30145.378151260506</v>
      </c>
      <c r="AD810" s="108">
        <f t="shared" si="102"/>
        <v>5727.6218487394945</v>
      </c>
      <c r="AE810" s="95" t="s">
        <v>2050</v>
      </c>
      <c r="AF810" s="541" t="s">
        <v>3490</v>
      </c>
      <c r="AG810" s="2" t="str">
        <f t="shared" si="103"/>
        <v>SI</v>
      </c>
      <c r="AH810" s="284"/>
      <c r="AI810" s="541"/>
      <c r="AJ810" s="2" t="str">
        <f t="shared" si="104"/>
        <v>Factura</v>
      </c>
      <c r="AK810" s="303"/>
    </row>
    <row r="811" spans="1:37" x14ac:dyDescent="0.25">
      <c r="A811" s="499" t="s">
        <v>1179</v>
      </c>
      <c r="B811" s="317" t="s">
        <v>952</v>
      </c>
      <c r="C811" s="95">
        <v>3101</v>
      </c>
      <c r="D811" s="95">
        <v>0</v>
      </c>
      <c r="E811" s="95"/>
      <c r="F811" s="95"/>
      <c r="G811" s="95" t="s">
        <v>2528</v>
      </c>
      <c r="H811" s="138">
        <v>21103</v>
      </c>
      <c r="I811" s="138"/>
      <c r="J811" s="126">
        <f t="shared" si="98"/>
        <v>21103</v>
      </c>
      <c r="K811" s="318">
        <v>43866</v>
      </c>
      <c r="L811" s="95">
        <v>7</v>
      </c>
      <c r="M811" s="313">
        <f t="shared" si="99"/>
        <v>43873</v>
      </c>
      <c r="N811" s="2" t="str">
        <f t="shared" si="100"/>
        <v>Abonado</v>
      </c>
      <c r="O811" s="318">
        <v>43873</v>
      </c>
      <c r="P811" s="138">
        <v>20000</v>
      </c>
      <c r="Q811" s="2" t="s">
        <v>1481</v>
      </c>
      <c r="R811" s="2"/>
      <c r="S811" s="95"/>
      <c r="T811" s="313"/>
      <c r="U811" s="393"/>
      <c r="V811" s="95"/>
      <c r="W811" s="129"/>
      <c r="X811" s="318"/>
      <c r="Y811" s="95"/>
      <c r="Z811" s="131"/>
      <c r="AA811" s="108" t="str">
        <f t="shared" si="105"/>
        <v/>
      </c>
      <c r="AB811" s="2"/>
      <c r="AC811" s="131">
        <f t="shared" si="101"/>
        <v>17733.613445378152</v>
      </c>
      <c r="AD811" s="108">
        <f t="shared" si="102"/>
        <v>3369.3865546218476</v>
      </c>
      <c r="AE811" s="95" t="s">
        <v>2050</v>
      </c>
      <c r="AF811" s="498" t="s">
        <v>3490</v>
      </c>
      <c r="AG811" s="2" t="str">
        <f t="shared" si="103"/>
        <v>NO</v>
      </c>
      <c r="AH811" s="284"/>
      <c r="AI811" s="498"/>
      <c r="AJ811" s="2" t="str">
        <f t="shared" si="104"/>
        <v>Factura</v>
      </c>
      <c r="AK811" s="303"/>
    </row>
    <row r="812" spans="1:37" x14ac:dyDescent="0.25">
      <c r="A812" s="499" t="s">
        <v>1214</v>
      </c>
      <c r="B812" s="317" t="s">
        <v>2143</v>
      </c>
      <c r="C812" s="95">
        <v>0</v>
      </c>
      <c r="D812" s="95">
        <v>2913</v>
      </c>
      <c r="E812" s="95"/>
      <c r="F812" s="95"/>
      <c r="G812" s="95">
        <v>6493</v>
      </c>
      <c r="H812" s="138">
        <v>19700</v>
      </c>
      <c r="I812" s="138"/>
      <c r="J812" s="126">
        <f t="shared" si="98"/>
        <v>19700</v>
      </c>
      <c r="K812" s="318">
        <v>43866</v>
      </c>
      <c r="L812" s="95">
        <v>0</v>
      </c>
      <c r="M812" s="313">
        <f t="shared" si="99"/>
        <v>43866</v>
      </c>
      <c r="N812" s="2" t="str">
        <f t="shared" si="100"/>
        <v>Pagado</v>
      </c>
      <c r="O812" s="318">
        <v>43868</v>
      </c>
      <c r="P812" s="138">
        <v>19700</v>
      </c>
      <c r="Q812" s="2" t="s">
        <v>1484</v>
      </c>
      <c r="R812" s="2"/>
      <c r="S812" s="95"/>
      <c r="T812" s="313" t="s">
        <v>1494</v>
      </c>
      <c r="U812" s="393"/>
      <c r="V812" s="95"/>
      <c r="W812" s="129"/>
      <c r="X812" s="318"/>
      <c r="Y812" s="95"/>
      <c r="Z812" s="131"/>
      <c r="AA812" s="108" t="str">
        <f t="shared" si="105"/>
        <v/>
      </c>
      <c r="AB812" s="2"/>
      <c r="AC812" s="131">
        <f t="shared" si="101"/>
        <v>16554.621848739498</v>
      </c>
      <c r="AD812" s="108">
        <f t="shared" si="102"/>
        <v>3145.3781512605019</v>
      </c>
      <c r="AE812" s="95" t="s">
        <v>1501</v>
      </c>
      <c r="AF812" s="498" t="s">
        <v>3487</v>
      </c>
      <c r="AG812" s="2" t="str">
        <f t="shared" si="103"/>
        <v>SI</v>
      </c>
      <c r="AH812" s="284"/>
      <c r="AI812" s="498"/>
      <c r="AJ812" s="2" t="str">
        <f t="shared" si="104"/>
        <v>NV</v>
      </c>
      <c r="AK812" s="303"/>
    </row>
    <row r="813" spans="1:37" x14ac:dyDescent="0.25">
      <c r="A813" s="542" t="s">
        <v>1175</v>
      </c>
      <c r="B813" s="317" t="s">
        <v>1144</v>
      </c>
      <c r="C813" s="95">
        <v>3098</v>
      </c>
      <c r="D813" s="95">
        <v>0</v>
      </c>
      <c r="E813" s="95"/>
      <c r="F813" s="95"/>
      <c r="G813" s="95" t="s">
        <v>2528</v>
      </c>
      <c r="H813" s="138">
        <v>146838</v>
      </c>
      <c r="I813" s="138"/>
      <c r="J813" s="126">
        <f t="shared" si="98"/>
        <v>146838</v>
      </c>
      <c r="K813" s="318">
        <v>43866</v>
      </c>
      <c r="L813" s="95">
        <v>30</v>
      </c>
      <c r="M813" s="313">
        <f t="shared" si="99"/>
        <v>43896</v>
      </c>
      <c r="N813" s="2" t="str">
        <f t="shared" si="100"/>
        <v>Pagado</v>
      </c>
      <c r="O813" s="318">
        <v>43903</v>
      </c>
      <c r="P813" s="138">
        <v>146838</v>
      </c>
      <c r="Q813" s="2" t="s">
        <v>1484</v>
      </c>
      <c r="R813" s="2"/>
      <c r="S813" s="95"/>
      <c r="T813" s="313" t="s">
        <v>1496</v>
      </c>
      <c r="U813" s="393"/>
      <c r="V813" s="95"/>
      <c r="W813" s="129"/>
      <c r="X813" s="318"/>
      <c r="Y813" s="95"/>
      <c r="Z813" s="131"/>
      <c r="AA813" s="108" t="str">
        <f t="shared" si="105"/>
        <v/>
      </c>
      <c r="AB813" s="2"/>
      <c r="AC813" s="131">
        <f t="shared" si="101"/>
        <v>123393.27731092437</v>
      </c>
      <c r="AD813" s="108">
        <f t="shared" si="102"/>
        <v>23444.722689075628</v>
      </c>
      <c r="AE813" s="95" t="s">
        <v>2050</v>
      </c>
      <c r="AF813" s="541" t="s">
        <v>3490</v>
      </c>
      <c r="AG813" s="2" t="str">
        <f t="shared" si="103"/>
        <v>SI</v>
      </c>
      <c r="AH813" s="284"/>
      <c r="AI813" s="541"/>
      <c r="AJ813" s="2" t="str">
        <f t="shared" si="104"/>
        <v>Factura</v>
      </c>
      <c r="AK813" s="303"/>
    </row>
    <row r="814" spans="1:37" x14ac:dyDescent="0.25">
      <c r="A814" s="542" t="s">
        <v>1175</v>
      </c>
      <c r="B814" s="317" t="s">
        <v>1144</v>
      </c>
      <c r="C814" s="95">
        <v>3100</v>
      </c>
      <c r="D814" s="95">
        <v>0</v>
      </c>
      <c r="E814" s="95">
        <v>289</v>
      </c>
      <c r="F814" s="95"/>
      <c r="G814" s="95" t="s">
        <v>2528</v>
      </c>
      <c r="H814" s="138">
        <v>211217</v>
      </c>
      <c r="I814" s="138">
        <v>-16268</v>
      </c>
      <c r="J814" s="126">
        <f t="shared" si="98"/>
        <v>194949</v>
      </c>
      <c r="K814" s="318">
        <v>43866</v>
      </c>
      <c r="L814" s="95">
        <v>30</v>
      </c>
      <c r="M814" s="313">
        <f t="shared" si="99"/>
        <v>43896</v>
      </c>
      <c r="N814" s="2" t="str">
        <f t="shared" si="100"/>
        <v>Pagado</v>
      </c>
      <c r="O814" s="318">
        <v>43903</v>
      </c>
      <c r="P814" s="138">
        <v>194949</v>
      </c>
      <c r="Q814" s="2" t="s">
        <v>1484</v>
      </c>
      <c r="R814" s="2"/>
      <c r="S814" s="95"/>
      <c r="T814" s="313" t="s">
        <v>1496</v>
      </c>
      <c r="U814" s="393"/>
      <c r="V814" s="95"/>
      <c r="W814" s="129"/>
      <c r="X814" s="318"/>
      <c r="Y814" s="95"/>
      <c r="Z814" s="131"/>
      <c r="AA814" s="108" t="str">
        <f t="shared" si="105"/>
        <v/>
      </c>
      <c r="AB814" s="2"/>
      <c r="AC814" s="131">
        <f t="shared" si="101"/>
        <v>177493.27731092437</v>
      </c>
      <c r="AD814" s="108">
        <f t="shared" si="102"/>
        <v>33723.722689075628</v>
      </c>
      <c r="AE814" s="95" t="s">
        <v>2050</v>
      </c>
      <c r="AF814" s="541" t="s">
        <v>3490</v>
      </c>
      <c r="AG814" s="2" t="str">
        <f t="shared" si="103"/>
        <v>SI</v>
      </c>
      <c r="AH814" s="284"/>
      <c r="AI814" s="541"/>
      <c r="AJ814" s="2" t="str">
        <f t="shared" si="104"/>
        <v>Factura</v>
      </c>
      <c r="AK814" s="303"/>
    </row>
    <row r="815" spans="1:37" x14ac:dyDescent="0.25">
      <c r="A815" s="542" t="s">
        <v>1175</v>
      </c>
      <c r="B815" s="317" t="s">
        <v>1144</v>
      </c>
      <c r="C815" s="95">
        <v>3099</v>
      </c>
      <c r="D815" s="95">
        <v>0</v>
      </c>
      <c r="E815" s="95"/>
      <c r="F815" s="95"/>
      <c r="G815" s="95" t="s">
        <v>2528</v>
      </c>
      <c r="H815" s="138">
        <v>340471</v>
      </c>
      <c r="I815" s="138"/>
      <c r="J815" s="126">
        <f t="shared" si="98"/>
        <v>340471</v>
      </c>
      <c r="K815" s="318">
        <v>43866</v>
      </c>
      <c r="L815" s="95">
        <v>30</v>
      </c>
      <c r="M815" s="313">
        <f t="shared" si="99"/>
        <v>43896</v>
      </c>
      <c r="N815" s="2" t="str">
        <f t="shared" si="100"/>
        <v>Pagado</v>
      </c>
      <c r="O815" s="318">
        <v>43903</v>
      </c>
      <c r="P815" s="138">
        <v>340471</v>
      </c>
      <c r="Q815" s="2" t="s">
        <v>1484</v>
      </c>
      <c r="R815" s="2"/>
      <c r="S815" s="95"/>
      <c r="T815" s="326" t="s">
        <v>1496</v>
      </c>
      <c r="U815" s="393"/>
      <c r="V815" s="95"/>
      <c r="W815" s="129"/>
      <c r="X815" s="318"/>
      <c r="Y815" s="95"/>
      <c r="Z815" s="131"/>
      <c r="AA815" s="108" t="str">
        <f t="shared" si="105"/>
        <v/>
      </c>
      <c r="AB815" s="2"/>
      <c r="AC815" s="131">
        <f t="shared" si="101"/>
        <v>286110.08403361344</v>
      </c>
      <c r="AD815" s="108">
        <f t="shared" si="102"/>
        <v>54360.915966386558</v>
      </c>
      <c r="AE815" s="95" t="s">
        <v>2050</v>
      </c>
      <c r="AF815" s="541" t="s">
        <v>3490</v>
      </c>
      <c r="AG815" s="2" t="str">
        <f t="shared" si="103"/>
        <v>SI</v>
      </c>
      <c r="AH815" s="284"/>
      <c r="AI815" s="541"/>
      <c r="AJ815" s="2" t="str">
        <f t="shared" si="104"/>
        <v>Factura</v>
      </c>
      <c r="AK815" s="303"/>
    </row>
    <row r="816" spans="1:37" x14ac:dyDescent="0.25">
      <c r="A816" s="542">
        <v>0</v>
      </c>
      <c r="B816" s="317" t="s">
        <v>4405</v>
      </c>
      <c r="C816" s="95">
        <v>0</v>
      </c>
      <c r="D816" s="95">
        <v>2915</v>
      </c>
      <c r="E816" s="95"/>
      <c r="F816" s="95"/>
      <c r="G816" s="95">
        <v>6496</v>
      </c>
      <c r="H816" s="138">
        <v>51200</v>
      </c>
      <c r="I816" s="138"/>
      <c r="J816" s="126">
        <f t="shared" si="98"/>
        <v>51200</v>
      </c>
      <c r="K816" s="318">
        <v>43867</v>
      </c>
      <c r="L816" s="95">
        <v>0</v>
      </c>
      <c r="M816" s="313">
        <f t="shared" si="99"/>
        <v>43867</v>
      </c>
      <c r="N816" s="2" t="str">
        <f t="shared" si="100"/>
        <v>Pagado</v>
      </c>
      <c r="O816" s="318">
        <v>43868</v>
      </c>
      <c r="P816" s="138">
        <v>51200</v>
      </c>
      <c r="Q816" s="2" t="s">
        <v>1484</v>
      </c>
      <c r="R816" s="2"/>
      <c r="S816" s="95"/>
      <c r="T816" s="313" t="s">
        <v>1488</v>
      </c>
      <c r="U816" s="393"/>
      <c r="V816" s="95"/>
      <c r="W816" s="129"/>
      <c r="X816" s="318"/>
      <c r="Y816" s="95"/>
      <c r="Z816" s="131"/>
      <c r="AA816" s="108" t="str">
        <f t="shared" si="105"/>
        <v/>
      </c>
      <c r="AB816" s="2"/>
      <c r="AC816" s="131">
        <f t="shared" si="101"/>
        <v>43025.210084033613</v>
      </c>
      <c r="AD816" s="108">
        <f t="shared" si="102"/>
        <v>8174.7899159663866</v>
      </c>
      <c r="AE816" s="95" t="s">
        <v>1501</v>
      </c>
      <c r="AF816" s="541" t="s">
        <v>3487</v>
      </c>
      <c r="AG816" s="2" t="str">
        <f t="shared" si="103"/>
        <v>SI</v>
      </c>
      <c r="AH816" s="284"/>
      <c r="AI816" s="541"/>
      <c r="AJ816" s="2" t="str">
        <f t="shared" si="104"/>
        <v>NV</v>
      </c>
      <c r="AK816" s="303"/>
    </row>
    <row r="817" spans="1:37" x14ac:dyDescent="0.25">
      <c r="A817" s="542" t="s">
        <v>3998</v>
      </c>
      <c r="B817" s="317" t="s">
        <v>3999</v>
      </c>
      <c r="C817" s="95">
        <v>0</v>
      </c>
      <c r="D817" s="95">
        <v>2916</v>
      </c>
      <c r="E817" s="95"/>
      <c r="F817" s="95"/>
      <c r="G817" s="95">
        <v>6497</v>
      </c>
      <c r="H817" s="138">
        <v>23900</v>
      </c>
      <c r="I817" s="138"/>
      <c r="J817" s="126">
        <f t="shared" si="98"/>
        <v>23900</v>
      </c>
      <c r="K817" s="318">
        <v>43867</v>
      </c>
      <c r="L817" s="95">
        <v>0</v>
      </c>
      <c r="M817" s="313">
        <f t="shared" si="99"/>
        <v>43867</v>
      </c>
      <c r="N817" s="2" t="str">
        <f t="shared" si="100"/>
        <v>Pagado</v>
      </c>
      <c r="O817" s="318">
        <v>43867</v>
      </c>
      <c r="P817" s="138">
        <v>23900</v>
      </c>
      <c r="Q817" s="2" t="s">
        <v>1481</v>
      </c>
      <c r="R817" s="2"/>
      <c r="S817" s="95"/>
      <c r="T817" s="313"/>
      <c r="U817" s="393"/>
      <c r="V817" s="95"/>
      <c r="W817" s="129"/>
      <c r="X817" s="318"/>
      <c r="Y817" s="95"/>
      <c r="Z817" s="131"/>
      <c r="AA817" s="108" t="str">
        <f t="shared" si="105"/>
        <v/>
      </c>
      <c r="AB817" s="2"/>
      <c r="AC817" s="131">
        <f t="shared" si="101"/>
        <v>20084.033613445379</v>
      </c>
      <c r="AD817" s="108">
        <f t="shared" si="102"/>
        <v>3815.9663865546208</v>
      </c>
      <c r="AE817" s="95" t="s">
        <v>1501</v>
      </c>
      <c r="AF817" s="541" t="s">
        <v>3489</v>
      </c>
      <c r="AG817" s="2" t="str">
        <f t="shared" si="103"/>
        <v>SI</v>
      </c>
      <c r="AH817" s="284"/>
      <c r="AI817" s="541"/>
      <c r="AJ817" s="2" t="str">
        <f t="shared" si="104"/>
        <v>NV</v>
      </c>
      <c r="AK817" s="303"/>
    </row>
    <row r="818" spans="1:37" x14ac:dyDescent="0.25">
      <c r="A818" s="542" t="s">
        <v>4545</v>
      </c>
      <c r="B818" s="317" t="s">
        <v>4546</v>
      </c>
      <c r="C818" s="95">
        <v>0</v>
      </c>
      <c r="D818" s="95">
        <v>2914</v>
      </c>
      <c r="E818" s="95"/>
      <c r="F818" s="95"/>
      <c r="G818" s="95">
        <v>6500</v>
      </c>
      <c r="H818" s="138">
        <v>78400</v>
      </c>
      <c r="I818" s="138"/>
      <c r="J818" s="126">
        <f t="shared" si="98"/>
        <v>78400</v>
      </c>
      <c r="K818" s="318">
        <v>43867</v>
      </c>
      <c r="L818" s="95">
        <v>0</v>
      </c>
      <c r="M818" s="313">
        <f t="shared" si="99"/>
        <v>43867</v>
      </c>
      <c r="N818" s="2" t="str">
        <f t="shared" si="100"/>
        <v>Pagado</v>
      </c>
      <c r="O818" s="318">
        <v>43871</v>
      </c>
      <c r="P818" s="138">
        <v>78400</v>
      </c>
      <c r="Q818" s="2" t="s">
        <v>1484</v>
      </c>
      <c r="R818" s="2"/>
      <c r="S818" s="95"/>
      <c r="T818" s="313" t="s">
        <v>1488</v>
      </c>
      <c r="U818" s="393"/>
      <c r="V818" s="95"/>
      <c r="W818" s="129"/>
      <c r="X818" s="318"/>
      <c r="Y818" s="95"/>
      <c r="Z818" s="131"/>
      <c r="AA818" s="108" t="str">
        <f t="shared" si="105"/>
        <v/>
      </c>
      <c r="AB818" s="2"/>
      <c r="AC818" s="131">
        <f t="shared" si="101"/>
        <v>65882.352941176476</v>
      </c>
      <c r="AD818" s="108">
        <f t="shared" si="102"/>
        <v>12517.647058823524</v>
      </c>
      <c r="AE818" s="95" t="s">
        <v>1501</v>
      </c>
      <c r="AF818" s="541" t="s">
        <v>3487</v>
      </c>
      <c r="AG818" s="2" t="str">
        <f t="shared" si="103"/>
        <v>SI</v>
      </c>
      <c r="AH818" s="284"/>
      <c r="AI818" s="541"/>
      <c r="AJ818" s="2" t="str">
        <f t="shared" si="104"/>
        <v>NV</v>
      </c>
      <c r="AK818" s="303"/>
    </row>
    <row r="819" spans="1:37" x14ac:dyDescent="0.25">
      <c r="A819" s="476" t="s">
        <v>5402</v>
      </c>
      <c r="B819" s="317" t="s">
        <v>5403</v>
      </c>
      <c r="C819" s="95">
        <v>0</v>
      </c>
      <c r="D819" s="95">
        <v>2919</v>
      </c>
      <c r="E819" s="95"/>
      <c r="F819" s="95"/>
      <c r="G819" s="95">
        <v>6502</v>
      </c>
      <c r="H819" s="138">
        <v>39600</v>
      </c>
      <c r="I819" s="138"/>
      <c r="J819" s="126">
        <f t="shared" si="98"/>
        <v>39600</v>
      </c>
      <c r="K819" s="318">
        <v>43867</v>
      </c>
      <c r="L819" s="95">
        <v>0</v>
      </c>
      <c r="M819" s="313">
        <f t="shared" si="99"/>
        <v>43867</v>
      </c>
      <c r="N819" s="2" t="str">
        <f t="shared" si="100"/>
        <v>Pagado</v>
      </c>
      <c r="O819" s="318">
        <v>43876</v>
      </c>
      <c r="P819" s="138">
        <v>39600</v>
      </c>
      <c r="Q819" s="2" t="s">
        <v>1484</v>
      </c>
      <c r="R819" s="2"/>
      <c r="S819" s="95"/>
      <c r="T819" s="313" t="s">
        <v>1462</v>
      </c>
      <c r="U819" s="393"/>
      <c r="V819" s="95"/>
      <c r="W819" s="129"/>
      <c r="X819" s="318"/>
      <c r="Y819" s="95"/>
      <c r="Z819" s="131"/>
      <c r="AA819" s="108" t="str">
        <f t="shared" si="105"/>
        <v/>
      </c>
      <c r="AB819" s="2"/>
      <c r="AC819" s="131">
        <f t="shared" si="101"/>
        <v>33277.310924369747</v>
      </c>
      <c r="AD819" s="108">
        <f t="shared" si="102"/>
        <v>6322.6890756302528</v>
      </c>
      <c r="AE819" s="95" t="s">
        <v>1501</v>
      </c>
      <c r="AF819" s="475" t="s">
        <v>3489</v>
      </c>
      <c r="AG819" s="2" t="str">
        <f t="shared" si="103"/>
        <v>SI</v>
      </c>
      <c r="AH819" s="284"/>
      <c r="AI819" s="475"/>
      <c r="AJ819" s="2" t="str">
        <f t="shared" si="104"/>
        <v>NV</v>
      </c>
      <c r="AK819" s="303"/>
    </row>
    <row r="820" spans="1:37" x14ac:dyDescent="0.25">
      <c r="A820" s="476" t="s">
        <v>5699</v>
      </c>
      <c r="B820" s="317" t="s">
        <v>5700</v>
      </c>
      <c r="C820" s="95">
        <v>0</v>
      </c>
      <c r="D820" s="95">
        <v>2918</v>
      </c>
      <c r="E820" s="95"/>
      <c r="F820" s="95"/>
      <c r="G820" s="95">
        <v>6501</v>
      </c>
      <c r="H820" s="138">
        <v>19700</v>
      </c>
      <c r="I820" s="138"/>
      <c r="J820" s="126">
        <f t="shared" si="98"/>
        <v>19700</v>
      </c>
      <c r="K820" s="318">
        <v>43867</v>
      </c>
      <c r="L820" s="95">
        <v>0</v>
      </c>
      <c r="M820" s="313">
        <f t="shared" si="99"/>
        <v>43867</v>
      </c>
      <c r="N820" s="2" t="str">
        <f t="shared" si="100"/>
        <v>Pagado</v>
      </c>
      <c r="O820" s="318">
        <v>43867</v>
      </c>
      <c r="P820" s="138">
        <v>19700</v>
      </c>
      <c r="Q820" s="2" t="s">
        <v>1481</v>
      </c>
      <c r="R820" s="2"/>
      <c r="S820" s="95"/>
      <c r="T820" s="313"/>
      <c r="U820" s="393"/>
      <c r="V820" s="95">
        <v>7675303</v>
      </c>
      <c r="W820" s="129">
        <v>19700</v>
      </c>
      <c r="X820" s="318">
        <v>43872</v>
      </c>
      <c r="Y820" s="95" t="s">
        <v>1488</v>
      </c>
      <c r="Z820" s="131"/>
      <c r="AA820" s="108" t="str">
        <f t="shared" si="105"/>
        <v/>
      </c>
      <c r="AB820" s="2"/>
      <c r="AC820" s="131">
        <f t="shared" si="101"/>
        <v>16554.621848739498</v>
      </c>
      <c r="AD820" s="108">
        <f t="shared" si="102"/>
        <v>3145.3781512605019</v>
      </c>
      <c r="AE820" s="95" t="s">
        <v>1501</v>
      </c>
      <c r="AF820" s="475" t="s">
        <v>3487</v>
      </c>
      <c r="AG820" s="2" t="str">
        <f t="shared" si="103"/>
        <v>SI</v>
      </c>
      <c r="AH820" s="284"/>
      <c r="AI820" s="475"/>
      <c r="AJ820" s="2" t="str">
        <f t="shared" si="104"/>
        <v>NV</v>
      </c>
      <c r="AK820" s="303"/>
    </row>
    <row r="821" spans="1:37" x14ac:dyDescent="0.25">
      <c r="A821" s="476" t="s">
        <v>4794</v>
      </c>
      <c r="B821" s="317" t="s">
        <v>4795</v>
      </c>
      <c r="C821" s="95">
        <v>0</v>
      </c>
      <c r="D821" s="95">
        <v>2917</v>
      </c>
      <c r="E821" s="95"/>
      <c r="F821" s="95"/>
      <c r="G821" s="95">
        <v>6495</v>
      </c>
      <c r="H821" s="138">
        <v>45400</v>
      </c>
      <c r="I821" s="138"/>
      <c r="J821" s="126">
        <f t="shared" si="98"/>
        <v>45400</v>
      </c>
      <c r="K821" s="318">
        <v>43867</v>
      </c>
      <c r="L821" s="95">
        <v>0</v>
      </c>
      <c r="M821" s="313">
        <f t="shared" si="99"/>
        <v>43867</v>
      </c>
      <c r="N821" s="2" t="str">
        <f t="shared" si="100"/>
        <v>Pagado</v>
      </c>
      <c r="O821" s="318">
        <v>43868</v>
      </c>
      <c r="P821" s="138">
        <v>45400</v>
      </c>
      <c r="Q821" s="2" t="s">
        <v>1484</v>
      </c>
      <c r="R821" s="2"/>
      <c r="S821" s="95"/>
      <c r="T821" s="313" t="s">
        <v>1492</v>
      </c>
      <c r="U821" s="393"/>
      <c r="V821" s="95"/>
      <c r="W821" s="129"/>
      <c r="X821" s="318"/>
      <c r="Y821" s="95"/>
      <c r="Z821" s="131"/>
      <c r="AA821" s="108" t="str">
        <f t="shared" si="105"/>
        <v/>
      </c>
      <c r="AB821" s="2"/>
      <c r="AC821" s="131">
        <f t="shared" si="101"/>
        <v>38151.26050420168</v>
      </c>
      <c r="AD821" s="108">
        <f t="shared" si="102"/>
        <v>7248.7394957983197</v>
      </c>
      <c r="AE821" s="95" t="s">
        <v>1501</v>
      </c>
      <c r="AF821" s="475" t="s">
        <v>3487</v>
      </c>
      <c r="AG821" s="2" t="str">
        <f t="shared" si="103"/>
        <v>SI</v>
      </c>
      <c r="AH821" s="284"/>
      <c r="AI821" s="475"/>
      <c r="AJ821" s="2" t="str">
        <f t="shared" si="104"/>
        <v>NV</v>
      </c>
      <c r="AK821" s="303"/>
    </row>
    <row r="822" spans="1:37" x14ac:dyDescent="0.25">
      <c r="A822" s="476" t="s">
        <v>3236</v>
      </c>
      <c r="B822" s="317" t="s">
        <v>3237</v>
      </c>
      <c r="C822" s="95">
        <v>0</v>
      </c>
      <c r="D822" s="95">
        <v>206</v>
      </c>
      <c r="E822" s="95"/>
      <c r="F822" s="95"/>
      <c r="G822" s="95">
        <v>6494</v>
      </c>
      <c r="H822" s="138">
        <v>15800</v>
      </c>
      <c r="I822" s="138"/>
      <c r="J822" s="126">
        <f t="shared" si="98"/>
        <v>15800</v>
      </c>
      <c r="K822" s="318">
        <v>43867</v>
      </c>
      <c r="L822" s="95">
        <v>0</v>
      </c>
      <c r="M822" s="313">
        <f t="shared" si="99"/>
        <v>43867</v>
      </c>
      <c r="N822" s="2" t="str">
        <f t="shared" si="100"/>
        <v>Pagado</v>
      </c>
      <c r="O822" s="318">
        <v>43867</v>
      </c>
      <c r="P822" s="138">
        <v>15800</v>
      </c>
      <c r="Q822" s="2" t="s">
        <v>1481</v>
      </c>
      <c r="R822" s="2"/>
      <c r="S822" s="95">
        <v>206</v>
      </c>
      <c r="T822" s="313"/>
      <c r="U822" s="393"/>
      <c r="V822" s="95"/>
      <c r="W822" s="129"/>
      <c r="X822" s="318"/>
      <c r="Y822" s="95"/>
      <c r="Z822" s="131"/>
      <c r="AA822" s="108" t="str">
        <f t="shared" si="105"/>
        <v/>
      </c>
      <c r="AB822" s="2"/>
      <c r="AC822" s="131">
        <f t="shared" si="101"/>
        <v>13277.310924369749</v>
      </c>
      <c r="AD822" s="108">
        <f t="shared" si="102"/>
        <v>2522.689075630251</v>
      </c>
      <c r="AE822" s="95" t="s">
        <v>1501</v>
      </c>
      <c r="AF822" s="475" t="s">
        <v>3489</v>
      </c>
      <c r="AG822" s="2" t="str">
        <f t="shared" si="103"/>
        <v>SI</v>
      </c>
      <c r="AH822" s="284"/>
      <c r="AI822" s="475"/>
      <c r="AJ822" s="2" t="str">
        <f t="shared" si="104"/>
        <v>NV</v>
      </c>
      <c r="AK822" s="303"/>
    </row>
    <row r="823" spans="1:37" x14ac:dyDescent="0.25">
      <c r="A823" s="476" t="s">
        <v>5564</v>
      </c>
      <c r="B823" s="317" t="s">
        <v>5565</v>
      </c>
      <c r="C823" s="95">
        <v>0</v>
      </c>
      <c r="D823" s="95">
        <v>207</v>
      </c>
      <c r="E823" s="95"/>
      <c r="F823" s="95"/>
      <c r="G823" s="95">
        <v>6498</v>
      </c>
      <c r="H823" s="138">
        <v>23000</v>
      </c>
      <c r="I823" s="138"/>
      <c r="J823" s="126">
        <f t="shared" si="98"/>
        <v>23000</v>
      </c>
      <c r="K823" s="318">
        <v>43867</v>
      </c>
      <c r="L823" s="95">
        <v>0</v>
      </c>
      <c r="M823" s="313">
        <f t="shared" si="99"/>
        <v>43867</v>
      </c>
      <c r="N823" s="2" t="str">
        <f t="shared" si="100"/>
        <v>Pagado</v>
      </c>
      <c r="O823" s="318">
        <v>43867</v>
      </c>
      <c r="P823" s="138">
        <v>23000</v>
      </c>
      <c r="Q823" s="2" t="s">
        <v>1070</v>
      </c>
      <c r="R823" s="2" t="s">
        <v>2243</v>
      </c>
      <c r="S823" s="95">
        <v>207</v>
      </c>
      <c r="T823" s="313"/>
      <c r="U823" s="393"/>
      <c r="V823" s="95"/>
      <c r="W823" s="129"/>
      <c r="X823" s="318"/>
      <c r="Y823" s="95"/>
      <c r="Z823" s="131"/>
      <c r="AA823" s="108" t="str">
        <f t="shared" si="105"/>
        <v/>
      </c>
      <c r="AB823" s="2"/>
      <c r="AC823" s="131">
        <f t="shared" si="101"/>
        <v>19327.731092436974</v>
      </c>
      <c r="AD823" s="108">
        <f t="shared" si="102"/>
        <v>3672.268907563026</v>
      </c>
      <c r="AE823" s="95" t="s">
        <v>1501</v>
      </c>
      <c r="AF823" s="475" t="s">
        <v>3487</v>
      </c>
      <c r="AG823" s="2" t="str">
        <f t="shared" si="103"/>
        <v>SI</v>
      </c>
      <c r="AH823" s="284"/>
      <c r="AI823" s="475"/>
      <c r="AJ823" s="2" t="str">
        <f t="shared" si="104"/>
        <v>NV</v>
      </c>
      <c r="AK823" s="303"/>
    </row>
    <row r="824" spans="1:37" x14ac:dyDescent="0.25">
      <c r="A824" s="542" t="s">
        <v>1182</v>
      </c>
      <c r="B824" s="317" t="s">
        <v>1044</v>
      </c>
      <c r="C824" s="95">
        <v>3102</v>
      </c>
      <c r="D824" s="95">
        <v>0</v>
      </c>
      <c r="E824" s="95">
        <v>290</v>
      </c>
      <c r="F824" s="95"/>
      <c r="G824" s="95" t="s">
        <v>2528</v>
      </c>
      <c r="H824" s="138">
        <v>142669</v>
      </c>
      <c r="I824" s="138">
        <v>-2478</v>
      </c>
      <c r="J824" s="126">
        <f t="shared" si="98"/>
        <v>140191</v>
      </c>
      <c r="K824" s="318">
        <v>43868</v>
      </c>
      <c r="L824" s="95">
        <v>7</v>
      </c>
      <c r="M824" s="313">
        <f t="shared" si="99"/>
        <v>43875</v>
      </c>
      <c r="N824" s="2" t="str">
        <f t="shared" si="100"/>
        <v>Pagado</v>
      </c>
      <c r="O824" s="318">
        <v>43868</v>
      </c>
      <c r="P824" s="138">
        <v>140191</v>
      </c>
      <c r="Q824" s="2" t="s">
        <v>2131</v>
      </c>
      <c r="R824" s="2"/>
      <c r="S824" s="95">
        <v>2490488</v>
      </c>
      <c r="T824" s="313" t="s">
        <v>1493</v>
      </c>
      <c r="U824" s="393">
        <v>43876</v>
      </c>
      <c r="V824" s="95"/>
      <c r="W824" s="129"/>
      <c r="X824" s="318"/>
      <c r="Y824" s="95"/>
      <c r="Z824" s="131"/>
      <c r="AA824" s="108" t="str">
        <f t="shared" si="105"/>
        <v>Otros</v>
      </c>
      <c r="AB824" s="2"/>
      <c r="AC824" s="131">
        <f t="shared" si="101"/>
        <v>119889.91596638656</v>
      </c>
      <c r="AD824" s="108">
        <f t="shared" si="102"/>
        <v>22779.084033613442</v>
      </c>
      <c r="AE824" s="95" t="s">
        <v>1445</v>
      </c>
      <c r="AF824" s="541" t="s">
        <v>3490</v>
      </c>
      <c r="AG824" s="2" t="str">
        <f t="shared" si="103"/>
        <v>SI</v>
      </c>
      <c r="AH824" s="284"/>
      <c r="AI824" s="541"/>
      <c r="AJ824" s="2" t="str">
        <f t="shared" si="104"/>
        <v>Factura</v>
      </c>
      <c r="AK824" s="303"/>
    </row>
    <row r="825" spans="1:37" x14ac:dyDescent="0.25">
      <c r="A825" s="499" t="s">
        <v>1200</v>
      </c>
      <c r="B825" s="317" t="s">
        <v>2316</v>
      </c>
      <c r="C825" s="95">
        <v>0</v>
      </c>
      <c r="D825" s="95" t="s">
        <v>2528</v>
      </c>
      <c r="E825" s="95"/>
      <c r="F825" s="95"/>
      <c r="G825" s="95">
        <v>6504</v>
      </c>
      <c r="H825" s="138">
        <v>45200</v>
      </c>
      <c r="I825" s="138"/>
      <c r="J825" s="126">
        <f t="shared" si="98"/>
        <v>45200</v>
      </c>
      <c r="K825" s="318">
        <v>43868</v>
      </c>
      <c r="L825" s="95">
        <v>0</v>
      </c>
      <c r="M825" s="313">
        <f t="shared" si="99"/>
        <v>43868</v>
      </c>
      <c r="N825" s="2" t="str">
        <f t="shared" si="100"/>
        <v>Pagado</v>
      </c>
      <c r="O825" s="318">
        <v>43899</v>
      </c>
      <c r="P825" s="138">
        <v>45200</v>
      </c>
      <c r="Q825" s="2" t="s">
        <v>1484</v>
      </c>
      <c r="R825" s="2"/>
      <c r="S825" s="95"/>
      <c r="T825" s="313" t="s">
        <v>1493</v>
      </c>
      <c r="U825" s="393"/>
      <c r="V825" s="95"/>
      <c r="W825" s="129"/>
      <c r="X825" s="318"/>
      <c r="Y825" s="95"/>
      <c r="Z825" s="131"/>
      <c r="AA825" s="108" t="str">
        <f t="shared" si="105"/>
        <v/>
      </c>
      <c r="AB825" s="2"/>
      <c r="AC825" s="131">
        <f t="shared" si="101"/>
        <v>37983.193277310929</v>
      </c>
      <c r="AD825" s="108">
        <f t="shared" si="102"/>
        <v>7216.8067226890707</v>
      </c>
      <c r="AE825" s="95" t="s">
        <v>1445</v>
      </c>
      <c r="AF825" s="498" t="s">
        <v>3489</v>
      </c>
      <c r="AG825" s="2" t="str">
        <f t="shared" si="103"/>
        <v>SI</v>
      </c>
      <c r="AH825" s="284"/>
      <c r="AI825" s="498"/>
      <c r="AJ825" s="2" t="str">
        <f t="shared" si="104"/>
        <v>NV</v>
      </c>
      <c r="AK825" s="303"/>
    </row>
    <row r="826" spans="1:37" x14ac:dyDescent="0.25">
      <c r="A826" s="499" t="s">
        <v>1207</v>
      </c>
      <c r="B826" s="317" t="s">
        <v>963</v>
      </c>
      <c r="C826" s="95">
        <v>3103</v>
      </c>
      <c r="D826" s="95">
        <v>0</v>
      </c>
      <c r="E826" s="95"/>
      <c r="F826" s="95"/>
      <c r="G826" s="95" t="s">
        <v>2528</v>
      </c>
      <c r="H826" s="138">
        <v>39679</v>
      </c>
      <c r="I826" s="138"/>
      <c r="J826" s="126">
        <f t="shared" si="98"/>
        <v>39679</v>
      </c>
      <c r="K826" s="318">
        <v>43868</v>
      </c>
      <c r="L826" s="95">
        <v>0</v>
      </c>
      <c r="M826" s="313">
        <f t="shared" si="99"/>
        <v>43868</v>
      </c>
      <c r="N826" s="2" t="str">
        <f t="shared" si="100"/>
        <v>Pagado</v>
      </c>
      <c r="O826" s="318">
        <v>43868</v>
      </c>
      <c r="P826" s="138">
        <v>39679</v>
      </c>
      <c r="Q826" s="2" t="s">
        <v>1481</v>
      </c>
      <c r="R826" s="2"/>
      <c r="S826" s="95"/>
      <c r="T826" s="313"/>
      <c r="U826" s="393"/>
      <c r="V826" s="95"/>
      <c r="W826" s="129"/>
      <c r="X826" s="318"/>
      <c r="Y826" s="95"/>
      <c r="Z826" s="131"/>
      <c r="AA826" s="108" t="str">
        <f t="shared" si="105"/>
        <v/>
      </c>
      <c r="AB826" s="2"/>
      <c r="AC826" s="131">
        <f t="shared" si="101"/>
        <v>33343.697478991598</v>
      </c>
      <c r="AD826" s="108">
        <f t="shared" si="102"/>
        <v>6335.3025210084015</v>
      </c>
      <c r="AE826" s="95" t="s">
        <v>1445</v>
      </c>
      <c r="AF826" s="498" t="s">
        <v>3490</v>
      </c>
      <c r="AG826" s="2" t="str">
        <f t="shared" si="103"/>
        <v>SI</v>
      </c>
      <c r="AH826" s="284"/>
      <c r="AI826" s="498"/>
      <c r="AJ826" s="2" t="str">
        <f t="shared" si="104"/>
        <v>Factura</v>
      </c>
      <c r="AK826" s="303"/>
    </row>
    <row r="827" spans="1:37" x14ac:dyDescent="0.25">
      <c r="A827" s="499" t="s">
        <v>1205</v>
      </c>
      <c r="B827" s="317" t="s">
        <v>2171</v>
      </c>
      <c r="C827" s="95">
        <v>0</v>
      </c>
      <c r="D827" s="95">
        <v>2922</v>
      </c>
      <c r="E827" s="95"/>
      <c r="F827" s="95"/>
      <c r="G827" s="95">
        <v>6503</v>
      </c>
      <c r="H827" s="138">
        <v>17000</v>
      </c>
      <c r="I827" s="138"/>
      <c r="J827" s="126">
        <f t="shared" si="98"/>
        <v>17000</v>
      </c>
      <c r="K827" s="318">
        <v>43868</v>
      </c>
      <c r="L827" s="95">
        <v>0</v>
      </c>
      <c r="M827" s="313">
        <f t="shared" si="99"/>
        <v>43868</v>
      </c>
      <c r="N827" s="2" t="str">
        <f t="shared" si="100"/>
        <v>Pagado</v>
      </c>
      <c r="O827" s="318">
        <v>43868</v>
      </c>
      <c r="P827" s="138">
        <v>17000</v>
      </c>
      <c r="Q827" s="2" t="s">
        <v>1484</v>
      </c>
      <c r="R827" s="2"/>
      <c r="S827" s="95"/>
      <c r="T827" s="313" t="s">
        <v>1490</v>
      </c>
      <c r="U827" s="393"/>
      <c r="V827" s="95"/>
      <c r="W827" s="129"/>
      <c r="X827" s="318"/>
      <c r="Y827" s="95"/>
      <c r="Z827" s="131"/>
      <c r="AA827" s="108" t="str">
        <f t="shared" si="105"/>
        <v/>
      </c>
      <c r="AB827" s="2"/>
      <c r="AC827" s="131">
        <f t="shared" si="101"/>
        <v>14285.714285714286</v>
      </c>
      <c r="AD827" s="108">
        <f t="shared" si="102"/>
        <v>2714.2857142857138</v>
      </c>
      <c r="AE827" s="95" t="s">
        <v>1445</v>
      </c>
      <c r="AF827" s="498" t="s">
        <v>3489</v>
      </c>
      <c r="AG827" s="2" t="str">
        <f t="shared" si="103"/>
        <v>SI</v>
      </c>
      <c r="AH827" s="284"/>
      <c r="AI827" s="498"/>
      <c r="AJ827" s="2" t="str">
        <f t="shared" si="104"/>
        <v>NV</v>
      </c>
      <c r="AK827" s="303"/>
    </row>
    <row r="828" spans="1:37" x14ac:dyDescent="0.25">
      <c r="A828" s="468" t="s">
        <v>1282</v>
      </c>
      <c r="B828" s="317" t="s">
        <v>2389</v>
      </c>
      <c r="C828" s="95">
        <v>3104</v>
      </c>
      <c r="D828" s="95">
        <v>0</v>
      </c>
      <c r="E828" s="95"/>
      <c r="F828" s="95"/>
      <c r="G828" s="95" t="s">
        <v>2528</v>
      </c>
      <c r="H828" s="138">
        <v>303974</v>
      </c>
      <c r="I828" s="138"/>
      <c r="J828" s="126">
        <f t="shared" si="98"/>
        <v>303974</v>
      </c>
      <c r="K828" s="318">
        <v>43868</v>
      </c>
      <c r="L828" s="95">
        <v>0</v>
      </c>
      <c r="M828" s="313">
        <f t="shared" si="99"/>
        <v>43868</v>
      </c>
      <c r="N828" s="2" t="str">
        <f t="shared" si="100"/>
        <v>Pagado</v>
      </c>
      <c r="O828" s="318">
        <v>43868</v>
      </c>
      <c r="P828" s="138">
        <v>303974</v>
      </c>
      <c r="Q828" s="2" t="s">
        <v>1481</v>
      </c>
      <c r="R828" s="2"/>
      <c r="S828" s="95"/>
      <c r="T828" s="313"/>
      <c r="U828" s="393"/>
      <c r="V828" s="95"/>
      <c r="W828" s="129"/>
      <c r="X828" s="318"/>
      <c r="Y828" s="95"/>
      <c r="Z828" s="131"/>
      <c r="AA828" s="108" t="str">
        <f t="shared" si="105"/>
        <v/>
      </c>
      <c r="AB828" s="2"/>
      <c r="AC828" s="131">
        <f t="shared" si="101"/>
        <v>255440.3361344538</v>
      </c>
      <c r="AD828" s="108">
        <f t="shared" si="102"/>
        <v>48533.663865546201</v>
      </c>
      <c r="AE828" s="95" t="s">
        <v>1445</v>
      </c>
      <c r="AF828" s="467" t="s">
        <v>3490</v>
      </c>
      <c r="AG828" s="2" t="str">
        <f t="shared" si="103"/>
        <v>SI</v>
      </c>
      <c r="AH828" s="284"/>
      <c r="AI828" s="467"/>
      <c r="AJ828" s="2" t="str">
        <f t="shared" si="104"/>
        <v>Factura</v>
      </c>
      <c r="AK828" s="303"/>
    </row>
    <row r="829" spans="1:37" x14ac:dyDescent="0.25">
      <c r="A829" s="542" t="s">
        <v>5335</v>
      </c>
      <c r="B829" s="317" t="s">
        <v>5336</v>
      </c>
      <c r="C829" s="95">
        <v>0</v>
      </c>
      <c r="D829" s="95">
        <v>2926</v>
      </c>
      <c r="E829" s="95"/>
      <c r="F829" s="95"/>
      <c r="G829" s="95">
        <v>6510</v>
      </c>
      <c r="H829" s="138">
        <v>19700</v>
      </c>
      <c r="I829" s="138"/>
      <c r="J829" s="126">
        <f t="shared" si="98"/>
        <v>19700</v>
      </c>
      <c r="K829" s="318">
        <v>43869</v>
      </c>
      <c r="L829" s="95">
        <v>0</v>
      </c>
      <c r="M829" s="313">
        <f t="shared" si="99"/>
        <v>43869</v>
      </c>
      <c r="N829" s="2" t="str">
        <f t="shared" si="100"/>
        <v>Pagado</v>
      </c>
      <c r="O829" s="318">
        <v>43869</v>
      </c>
      <c r="P829" s="138">
        <v>19700</v>
      </c>
      <c r="Q829" s="2" t="s">
        <v>1484</v>
      </c>
      <c r="R829" s="2"/>
      <c r="S829" s="95"/>
      <c r="T829" s="313" t="s">
        <v>1494</v>
      </c>
      <c r="U829" s="393"/>
      <c r="V829" s="95"/>
      <c r="W829" s="129"/>
      <c r="X829" s="318"/>
      <c r="Y829" s="95"/>
      <c r="Z829" s="131"/>
      <c r="AA829" s="108" t="str">
        <f t="shared" si="105"/>
        <v/>
      </c>
      <c r="AB829" s="2"/>
      <c r="AC829" s="131">
        <f t="shared" si="101"/>
        <v>16554.621848739498</v>
      </c>
      <c r="AD829" s="108">
        <f t="shared" si="102"/>
        <v>3145.3781512605019</v>
      </c>
      <c r="AE829" s="95" t="s">
        <v>1501</v>
      </c>
      <c r="AF829" s="541" t="s">
        <v>3487</v>
      </c>
      <c r="AG829" s="2" t="str">
        <f t="shared" si="103"/>
        <v>SI</v>
      </c>
      <c r="AH829" s="284"/>
      <c r="AI829" s="541"/>
      <c r="AJ829" s="2" t="str">
        <f t="shared" si="104"/>
        <v>NV</v>
      </c>
      <c r="AK829" s="303"/>
    </row>
    <row r="830" spans="1:37" x14ac:dyDescent="0.25">
      <c r="A830" s="542" t="s">
        <v>1402</v>
      </c>
      <c r="B830" s="317" t="s">
        <v>3588</v>
      </c>
      <c r="C830" s="95">
        <v>0</v>
      </c>
      <c r="D830" s="95">
        <v>2921</v>
      </c>
      <c r="E830" s="95"/>
      <c r="F830" s="95"/>
      <c r="G830" s="95">
        <v>6506</v>
      </c>
      <c r="H830" s="138">
        <v>23200</v>
      </c>
      <c r="I830" s="138"/>
      <c r="J830" s="126">
        <f t="shared" si="98"/>
        <v>23200</v>
      </c>
      <c r="K830" s="318">
        <v>43869</v>
      </c>
      <c r="L830" s="95">
        <v>0</v>
      </c>
      <c r="M830" s="313">
        <f t="shared" si="99"/>
        <v>43869</v>
      </c>
      <c r="N830" s="2" t="str">
        <f t="shared" si="100"/>
        <v>Pagado</v>
      </c>
      <c r="O830" s="318">
        <v>43869</v>
      </c>
      <c r="P830" s="138">
        <v>23200</v>
      </c>
      <c r="Q830" s="2" t="s">
        <v>1484</v>
      </c>
      <c r="R830" s="2"/>
      <c r="S830" s="95"/>
      <c r="T830" s="313" t="s">
        <v>1488</v>
      </c>
      <c r="U830" s="393"/>
      <c r="V830" s="95"/>
      <c r="W830" s="129"/>
      <c r="X830" s="318"/>
      <c r="Y830" s="95"/>
      <c r="Z830" s="131"/>
      <c r="AA830" s="108" t="str">
        <f t="shared" si="105"/>
        <v/>
      </c>
      <c r="AB830" s="2"/>
      <c r="AC830" s="131">
        <f t="shared" si="101"/>
        <v>19495.798319327732</v>
      </c>
      <c r="AD830" s="108">
        <f t="shared" si="102"/>
        <v>3704.2016806722677</v>
      </c>
      <c r="AE830" s="95" t="s">
        <v>1501</v>
      </c>
      <c r="AF830" s="541" t="s">
        <v>3489</v>
      </c>
      <c r="AG830" s="2" t="str">
        <f t="shared" si="103"/>
        <v>SI</v>
      </c>
      <c r="AH830" s="284"/>
      <c r="AI830" s="541"/>
      <c r="AJ830" s="2" t="str">
        <f t="shared" si="104"/>
        <v>NV</v>
      </c>
      <c r="AK830" s="303"/>
    </row>
    <row r="831" spans="1:37" x14ac:dyDescent="0.25">
      <c r="A831" s="542" t="s">
        <v>5737</v>
      </c>
      <c r="B831" s="317" t="s">
        <v>5738</v>
      </c>
      <c r="C831" s="95">
        <v>0</v>
      </c>
      <c r="D831" s="95" t="s">
        <v>2528</v>
      </c>
      <c r="E831" s="95"/>
      <c r="F831" s="95"/>
      <c r="G831" s="95">
        <v>6508</v>
      </c>
      <c r="H831" s="138">
        <v>19700</v>
      </c>
      <c r="I831" s="138"/>
      <c r="J831" s="126">
        <f t="shared" si="98"/>
        <v>19700</v>
      </c>
      <c r="K831" s="318">
        <v>43869</v>
      </c>
      <c r="L831" s="95">
        <v>0</v>
      </c>
      <c r="M831" s="313">
        <f t="shared" si="99"/>
        <v>43869</v>
      </c>
      <c r="N831" s="2" t="str">
        <f t="shared" si="100"/>
        <v>Pagado</v>
      </c>
      <c r="O831" s="318">
        <v>43869</v>
      </c>
      <c r="P831" s="138">
        <v>19700</v>
      </c>
      <c r="Q831" s="2" t="s">
        <v>1481</v>
      </c>
      <c r="R831" s="2"/>
      <c r="S831" s="95"/>
      <c r="T831" s="313"/>
      <c r="U831" s="393"/>
      <c r="V831" s="95"/>
      <c r="W831" s="129"/>
      <c r="X831" s="318"/>
      <c r="Y831" s="95"/>
      <c r="Z831" s="131"/>
      <c r="AA831" s="108" t="str">
        <f t="shared" si="105"/>
        <v/>
      </c>
      <c r="AB831" s="2"/>
      <c r="AC831" s="131">
        <f t="shared" si="101"/>
        <v>16554.621848739498</v>
      </c>
      <c r="AD831" s="108">
        <f t="shared" si="102"/>
        <v>3145.3781512605019</v>
      </c>
      <c r="AE831" s="95" t="s">
        <v>1501</v>
      </c>
      <c r="AF831" s="541" t="s">
        <v>3487</v>
      </c>
      <c r="AG831" s="2" t="str">
        <f t="shared" si="103"/>
        <v>SI</v>
      </c>
      <c r="AH831" s="284"/>
      <c r="AI831" s="541"/>
      <c r="AJ831" s="2" t="str">
        <f t="shared" si="104"/>
        <v>NV</v>
      </c>
      <c r="AK831" s="303"/>
    </row>
    <row r="832" spans="1:37" x14ac:dyDescent="0.25">
      <c r="A832" s="497" t="s">
        <v>1235</v>
      </c>
      <c r="B832" s="317" t="s">
        <v>989</v>
      </c>
      <c r="C832" s="95">
        <v>0</v>
      </c>
      <c r="D832" s="95" t="s">
        <v>2528</v>
      </c>
      <c r="E832" s="95"/>
      <c r="F832" s="95"/>
      <c r="G832" s="95">
        <v>6499</v>
      </c>
      <c r="H832" s="138">
        <v>4800</v>
      </c>
      <c r="I832" s="138"/>
      <c r="J832" s="126">
        <f t="shared" si="98"/>
        <v>4800</v>
      </c>
      <c r="K832" s="318">
        <v>43869</v>
      </c>
      <c r="L832" s="95">
        <v>0</v>
      </c>
      <c r="M832" s="313">
        <f t="shared" si="99"/>
        <v>43869</v>
      </c>
      <c r="N832" s="2" t="str">
        <f t="shared" si="100"/>
        <v>Pagado</v>
      </c>
      <c r="O832" s="318">
        <v>43871</v>
      </c>
      <c r="P832" s="138">
        <v>4800</v>
      </c>
      <c r="Q832" s="2" t="s">
        <v>1484</v>
      </c>
      <c r="R832" s="2"/>
      <c r="S832" s="95"/>
      <c r="T832" s="313" t="s">
        <v>1490</v>
      </c>
      <c r="U832" s="393"/>
      <c r="V832" s="95"/>
      <c r="W832" s="129"/>
      <c r="X832" s="318"/>
      <c r="Y832" s="95"/>
      <c r="Z832" s="131"/>
      <c r="AA832" s="108" t="str">
        <f t="shared" si="105"/>
        <v/>
      </c>
      <c r="AB832" s="2"/>
      <c r="AC832" s="131">
        <f t="shared" si="101"/>
        <v>4033.6134453781515</v>
      </c>
      <c r="AD832" s="108">
        <f t="shared" si="102"/>
        <v>766.38655462184852</v>
      </c>
      <c r="AE832" s="95" t="s">
        <v>1501</v>
      </c>
      <c r="AF832" s="496" t="s">
        <v>3487</v>
      </c>
      <c r="AG832" s="2" t="str">
        <f t="shared" si="103"/>
        <v>SI</v>
      </c>
      <c r="AH832" s="284"/>
      <c r="AI832" s="496"/>
      <c r="AJ832" s="2" t="str">
        <f t="shared" si="104"/>
        <v>NV</v>
      </c>
      <c r="AK832" s="303"/>
    </row>
    <row r="833" spans="1:37" x14ac:dyDescent="0.25">
      <c r="A833" s="497" t="s">
        <v>5273</v>
      </c>
      <c r="B833" s="317" t="s">
        <v>5274</v>
      </c>
      <c r="C833" s="95">
        <v>0</v>
      </c>
      <c r="D833" s="95">
        <v>2923</v>
      </c>
      <c r="E833" s="95"/>
      <c r="F833" s="95"/>
      <c r="G833" s="95">
        <v>6511</v>
      </c>
      <c r="H833" s="138">
        <v>19700</v>
      </c>
      <c r="I833" s="138"/>
      <c r="J833" s="126">
        <f t="shared" si="98"/>
        <v>19700</v>
      </c>
      <c r="K833" s="318">
        <v>43869</v>
      </c>
      <c r="L833" s="95">
        <v>0</v>
      </c>
      <c r="M833" s="313">
        <f t="shared" si="99"/>
        <v>43869</v>
      </c>
      <c r="N833" s="2" t="str">
        <f t="shared" si="100"/>
        <v>Pagado</v>
      </c>
      <c r="O833" s="318">
        <v>43869</v>
      </c>
      <c r="P833" s="138">
        <v>19700</v>
      </c>
      <c r="Q833" s="2" t="s">
        <v>1484</v>
      </c>
      <c r="R833" s="2"/>
      <c r="S833" s="95"/>
      <c r="T833" s="313" t="s">
        <v>1462</v>
      </c>
      <c r="U833" s="393"/>
      <c r="V833" s="95"/>
      <c r="W833" s="129"/>
      <c r="X833" s="318"/>
      <c r="Y833" s="95"/>
      <c r="Z833" s="131"/>
      <c r="AA833" s="108" t="str">
        <f t="shared" si="105"/>
        <v/>
      </c>
      <c r="AB833" s="2"/>
      <c r="AC833" s="131">
        <f t="shared" si="101"/>
        <v>16554.621848739498</v>
      </c>
      <c r="AD833" s="108">
        <f t="shared" si="102"/>
        <v>3145.3781512605019</v>
      </c>
      <c r="AE833" s="95" t="s">
        <v>1501</v>
      </c>
      <c r="AF833" s="496" t="s">
        <v>3487</v>
      </c>
      <c r="AG833" s="2" t="str">
        <f t="shared" si="103"/>
        <v>SI</v>
      </c>
      <c r="AH833" s="284"/>
      <c r="AI833" s="496"/>
      <c r="AJ833" s="2" t="str">
        <f t="shared" si="104"/>
        <v>NV</v>
      </c>
      <c r="AK833" s="303"/>
    </row>
    <row r="834" spans="1:37" x14ac:dyDescent="0.25">
      <c r="A834" s="501" t="s">
        <v>2656</v>
      </c>
      <c r="B834" s="317" t="s">
        <v>3362</v>
      </c>
      <c r="C834" s="95">
        <v>0</v>
      </c>
      <c r="D834" s="95">
        <v>0</v>
      </c>
      <c r="E834" s="95"/>
      <c r="F834" s="95"/>
      <c r="G834" s="95">
        <v>6512</v>
      </c>
      <c r="H834" s="138">
        <v>39300</v>
      </c>
      <c r="I834" s="138"/>
      <c r="J834" s="126">
        <f t="shared" si="98"/>
        <v>39300</v>
      </c>
      <c r="K834" s="318">
        <v>43869</v>
      </c>
      <c r="L834" s="95">
        <v>0</v>
      </c>
      <c r="M834" s="313">
        <f t="shared" si="99"/>
        <v>43869</v>
      </c>
      <c r="N834" s="2" t="str">
        <f t="shared" si="100"/>
        <v>Pagado</v>
      </c>
      <c r="O834" s="318">
        <v>43869</v>
      </c>
      <c r="P834" s="138">
        <v>39300</v>
      </c>
      <c r="Q834" s="2" t="s">
        <v>1484</v>
      </c>
      <c r="R834" s="2"/>
      <c r="S834" s="95"/>
      <c r="T834" s="313" t="s">
        <v>1462</v>
      </c>
      <c r="U834" s="393"/>
      <c r="V834" s="95"/>
      <c r="W834" s="129"/>
      <c r="X834" s="318"/>
      <c r="Y834" s="95"/>
      <c r="Z834" s="131"/>
      <c r="AA834" s="108" t="str">
        <f t="shared" si="105"/>
        <v/>
      </c>
      <c r="AB834" s="2"/>
      <c r="AC834" s="131">
        <f t="shared" si="101"/>
        <v>33025.210084033613</v>
      </c>
      <c r="AD834" s="108">
        <f t="shared" si="102"/>
        <v>6274.7899159663866</v>
      </c>
      <c r="AE834" s="95" t="s">
        <v>1501</v>
      </c>
      <c r="AF834" s="500" t="s">
        <v>3489</v>
      </c>
      <c r="AG834" s="2" t="str">
        <f t="shared" si="103"/>
        <v>SI</v>
      </c>
      <c r="AH834" s="284"/>
      <c r="AI834" s="500"/>
      <c r="AJ834" s="2" t="str">
        <f t="shared" si="104"/>
        <v>NV</v>
      </c>
      <c r="AK834" s="303"/>
    </row>
    <row r="835" spans="1:37" x14ac:dyDescent="0.25">
      <c r="A835" s="501" t="s">
        <v>3562</v>
      </c>
      <c r="B835" s="317" t="s">
        <v>3563</v>
      </c>
      <c r="C835" s="95">
        <v>0</v>
      </c>
      <c r="D835" s="95">
        <v>2924</v>
      </c>
      <c r="E835" s="95"/>
      <c r="F835" s="95"/>
      <c r="G835" s="95">
        <v>6509</v>
      </c>
      <c r="H835" s="138">
        <v>22300</v>
      </c>
      <c r="I835" s="138"/>
      <c r="J835" s="126">
        <f t="shared" ref="J835:J898" si="106">+H835+I835</f>
        <v>22300</v>
      </c>
      <c r="K835" s="318">
        <v>43869</v>
      </c>
      <c r="L835" s="95">
        <v>0</v>
      </c>
      <c r="M835" s="313">
        <f t="shared" ref="M835:M898" si="107">+L835+K835</f>
        <v>43869</v>
      </c>
      <c r="N835" s="2" t="str">
        <f t="shared" ref="N835:N898" si="108">+IF(J835=0,"Nulo",IF(P835&gt;=J835,"Pagado",IF(P835&gt;0,"Abonado",IF(M835&lt;$M$1,"Vencido",IF(J835&gt;P835,"Pendiente","Vencido")))))</f>
        <v>Pagado</v>
      </c>
      <c r="O835" s="318">
        <v>43869</v>
      </c>
      <c r="P835" s="138">
        <v>22300</v>
      </c>
      <c r="Q835" s="2" t="s">
        <v>1481</v>
      </c>
      <c r="R835" s="2"/>
      <c r="S835" s="95"/>
      <c r="T835" s="313"/>
      <c r="U835" s="393"/>
      <c r="V835" s="95"/>
      <c r="W835" s="129"/>
      <c r="X835" s="318"/>
      <c r="Y835" s="95"/>
      <c r="Z835" s="131"/>
      <c r="AA835" s="108" t="str">
        <f t="shared" si="105"/>
        <v/>
      </c>
      <c r="AB835" s="2"/>
      <c r="AC835" s="131">
        <f t="shared" ref="AC835:AC898" si="109">+IF(C835="","",H835/1.19)</f>
        <v>18739.495798319327</v>
      </c>
      <c r="AD835" s="108">
        <f t="shared" ref="AD835:AD898" si="110">+IF(C835="","",H835-AC835)</f>
        <v>3560.5042016806728</v>
      </c>
      <c r="AE835" s="95" t="s">
        <v>1501</v>
      </c>
      <c r="AF835" s="500" t="s">
        <v>3489</v>
      </c>
      <c r="AG835" s="2" t="str">
        <f t="shared" ref="AG835:AG898" si="111">+IF(N835="Pagado","SI",IF(N835="NULO","SI","NO"))</f>
        <v>SI</v>
      </c>
      <c r="AH835" s="284"/>
      <c r="AI835" s="500"/>
      <c r="AJ835" s="2" t="str">
        <f t="shared" ref="AJ835:AJ898" si="112">+IF(C835=0,"NV","Factura")</f>
        <v>NV</v>
      </c>
      <c r="AK835" s="303"/>
    </row>
    <row r="836" spans="1:37" x14ac:dyDescent="0.25">
      <c r="A836" s="534" t="s">
        <v>1234</v>
      </c>
      <c r="B836" s="317" t="s">
        <v>970</v>
      </c>
      <c r="C836" s="95">
        <v>0</v>
      </c>
      <c r="D836" s="95">
        <v>2920</v>
      </c>
      <c r="E836" s="95"/>
      <c r="F836" s="95"/>
      <c r="G836" s="95">
        <v>26505</v>
      </c>
      <c r="H836" s="138">
        <v>9000</v>
      </c>
      <c r="I836" s="138"/>
      <c r="J836" s="126">
        <f t="shared" si="106"/>
        <v>9000</v>
      </c>
      <c r="K836" s="318">
        <v>43869</v>
      </c>
      <c r="L836" s="95">
        <v>0</v>
      </c>
      <c r="M836" s="313">
        <f t="shared" si="107"/>
        <v>43869</v>
      </c>
      <c r="N836" s="2" t="str">
        <f t="shared" si="108"/>
        <v>Pagado</v>
      </c>
      <c r="O836" s="318">
        <v>43869</v>
      </c>
      <c r="P836" s="138">
        <v>9000</v>
      </c>
      <c r="Q836" s="2" t="s">
        <v>1484</v>
      </c>
      <c r="R836" s="2"/>
      <c r="S836" s="95"/>
      <c r="T836" s="313" t="s">
        <v>1462</v>
      </c>
      <c r="U836" s="393"/>
      <c r="V836" s="95"/>
      <c r="W836" s="129"/>
      <c r="X836" s="318"/>
      <c r="Y836" s="95"/>
      <c r="Z836" s="131"/>
      <c r="AA836" s="108" t="str">
        <f t="shared" si="105"/>
        <v/>
      </c>
      <c r="AB836" s="2"/>
      <c r="AC836" s="131">
        <f t="shared" si="109"/>
        <v>7563.0252100840344</v>
      </c>
      <c r="AD836" s="108">
        <f t="shared" si="110"/>
        <v>1436.9747899159656</v>
      </c>
      <c r="AE836" s="95" t="s">
        <v>1501</v>
      </c>
      <c r="AF836" s="533" t="s">
        <v>3489</v>
      </c>
      <c r="AG836" s="2" t="str">
        <f t="shared" si="111"/>
        <v>SI</v>
      </c>
      <c r="AH836" s="284"/>
      <c r="AI836" s="533"/>
      <c r="AJ836" s="2" t="str">
        <f t="shared" si="112"/>
        <v>NV</v>
      </c>
      <c r="AK836" s="303"/>
    </row>
    <row r="837" spans="1:37" x14ac:dyDescent="0.25">
      <c r="A837" s="542" t="s">
        <v>1236</v>
      </c>
      <c r="B837" s="317" t="s">
        <v>1920</v>
      </c>
      <c r="C837" s="95">
        <v>0</v>
      </c>
      <c r="D837" s="95" t="s">
        <v>2528</v>
      </c>
      <c r="E837" s="95"/>
      <c r="F837" s="95"/>
      <c r="G837" s="95">
        <v>6516</v>
      </c>
      <c r="H837" s="138">
        <v>9360</v>
      </c>
      <c r="I837" s="138"/>
      <c r="J837" s="126">
        <f t="shared" si="106"/>
        <v>9360</v>
      </c>
      <c r="K837" s="318">
        <v>43871</v>
      </c>
      <c r="L837" s="95">
        <v>0</v>
      </c>
      <c r="M837" s="313">
        <f t="shared" si="107"/>
        <v>43871</v>
      </c>
      <c r="N837" s="2" t="str">
        <f t="shared" si="108"/>
        <v>Pagado</v>
      </c>
      <c r="O837" s="318">
        <v>43907</v>
      </c>
      <c r="P837" s="138">
        <v>9360</v>
      </c>
      <c r="Q837" s="2" t="s">
        <v>2131</v>
      </c>
      <c r="R837" s="2"/>
      <c r="S837" s="95">
        <v>2874834</v>
      </c>
      <c r="T837" s="313" t="s">
        <v>1492</v>
      </c>
      <c r="U837" s="393">
        <v>43928</v>
      </c>
      <c r="V837" s="95"/>
      <c r="W837" s="129"/>
      <c r="X837" s="318"/>
      <c r="Y837" s="95"/>
      <c r="Z837" s="131"/>
      <c r="AA837" s="108" t="str">
        <f t="shared" si="105"/>
        <v>Otros</v>
      </c>
      <c r="AB837" s="2"/>
      <c r="AC837" s="131">
        <f t="shared" si="109"/>
        <v>7865.546218487395</v>
      </c>
      <c r="AD837" s="108">
        <f t="shared" si="110"/>
        <v>1494.453781512605</v>
      </c>
      <c r="AE837" s="95" t="s">
        <v>1501</v>
      </c>
      <c r="AF837" s="541" t="s">
        <v>3489</v>
      </c>
      <c r="AG837" s="2" t="str">
        <f t="shared" si="111"/>
        <v>SI</v>
      </c>
      <c r="AH837" s="284"/>
      <c r="AI837" s="541"/>
      <c r="AJ837" s="2" t="str">
        <f t="shared" si="112"/>
        <v>NV</v>
      </c>
      <c r="AK837" s="303"/>
    </row>
    <row r="838" spans="1:37" x14ac:dyDescent="0.25">
      <c r="A838" s="501" t="s">
        <v>4863</v>
      </c>
      <c r="B838" s="317" t="s">
        <v>4864</v>
      </c>
      <c r="C838" s="95">
        <v>0</v>
      </c>
      <c r="D838" s="95">
        <v>2927</v>
      </c>
      <c r="E838" s="95"/>
      <c r="F838" s="95"/>
      <c r="G838" s="95">
        <v>6513</v>
      </c>
      <c r="H838" s="138">
        <v>35500</v>
      </c>
      <c r="I838" s="138"/>
      <c r="J838" s="126">
        <f t="shared" si="106"/>
        <v>35500</v>
      </c>
      <c r="K838" s="318">
        <v>43871</v>
      </c>
      <c r="L838" s="95">
        <v>0</v>
      </c>
      <c r="M838" s="313">
        <f t="shared" si="107"/>
        <v>43871</v>
      </c>
      <c r="N838" s="2" t="str">
        <f t="shared" si="108"/>
        <v>Pagado</v>
      </c>
      <c r="O838" s="318">
        <v>43871</v>
      </c>
      <c r="P838" s="138">
        <v>35500</v>
      </c>
      <c r="Q838" s="2" t="s">
        <v>1481</v>
      </c>
      <c r="R838" s="2"/>
      <c r="S838" s="95"/>
      <c r="T838" s="313"/>
      <c r="U838" s="393"/>
      <c r="V838" s="95"/>
      <c r="W838" s="129"/>
      <c r="X838" s="318"/>
      <c r="Y838" s="95"/>
      <c r="Z838" s="131"/>
      <c r="AA838" s="108" t="str">
        <f t="shared" si="105"/>
        <v/>
      </c>
      <c r="AB838" s="2"/>
      <c r="AC838" s="131">
        <f t="shared" si="109"/>
        <v>29831.932773109245</v>
      </c>
      <c r="AD838" s="108">
        <f t="shared" si="110"/>
        <v>5668.0672268907547</v>
      </c>
      <c r="AE838" s="95" t="s">
        <v>1501</v>
      </c>
      <c r="AF838" s="500" t="s">
        <v>3487</v>
      </c>
      <c r="AG838" s="2" t="str">
        <f t="shared" si="111"/>
        <v>SI</v>
      </c>
      <c r="AH838" s="284"/>
      <c r="AI838" s="500"/>
      <c r="AJ838" s="2" t="str">
        <f t="shared" si="112"/>
        <v>NV</v>
      </c>
      <c r="AK838" s="303"/>
    </row>
    <row r="839" spans="1:37" x14ac:dyDescent="0.25">
      <c r="A839" s="534" t="s">
        <v>1235</v>
      </c>
      <c r="B839" s="317" t="s">
        <v>989</v>
      </c>
      <c r="C839" s="95">
        <v>0</v>
      </c>
      <c r="D839" s="95" t="s">
        <v>2528</v>
      </c>
      <c r="E839" s="95"/>
      <c r="F839" s="95"/>
      <c r="G839" s="95">
        <v>6519</v>
      </c>
      <c r="H839" s="138">
        <v>7300</v>
      </c>
      <c r="I839" s="138"/>
      <c r="J839" s="126">
        <f t="shared" si="106"/>
        <v>7300</v>
      </c>
      <c r="K839" s="318">
        <v>43871</v>
      </c>
      <c r="L839" s="95">
        <v>0</v>
      </c>
      <c r="M839" s="313">
        <f t="shared" si="107"/>
        <v>43871</v>
      </c>
      <c r="N839" s="2" t="str">
        <f t="shared" si="108"/>
        <v>Pagado</v>
      </c>
      <c r="O839" s="318">
        <v>43871</v>
      </c>
      <c r="P839" s="138">
        <v>7300</v>
      </c>
      <c r="Q839" s="2" t="s">
        <v>1484</v>
      </c>
      <c r="R839" s="2"/>
      <c r="S839" s="95"/>
      <c r="T839" s="313" t="s">
        <v>1490</v>
      </c>
      <c r="U839" s="393"/>
      <c r="V839" s="95"/>
      <c r="W839" s="129"/>
      <c r="X839" s="318"/>
      <c r="Y839" s="95"/>
      <c r="Z839" s="131"/>
      <c r="AA839" s="108" t="str">
        <f t="shared" si="105"/>
        <v/>
      </c>
      <c r="AB839" s="2"/>
      <c r="AC839" s="131">
        <f t="shared" si="109"/>
        <v>6134.453781512605</v>
      </c>
      <c r="AD839" s="108">
        <f t="shared" si="110"/>
        <v>1165.546218487395</v>
      </c>
      <c r="AE839" s="95" t="s">
        <v>1501</v>
      </c>
      <c r="AF839" s="533" t="s">
        <v>3487</v>
      </c>
      <c r="AG839" s="2" t="str">
        <f t="shared" si="111"/>
        <v>SI</v>
      </c>
      <c r="AH839" s="284"/>
      <c r="AI839" s="533"/>
      <c r="AJ839" s="2" t="str">
        <f t="shared" si="112"/>
        <v>NV</v>
      </c>
      <c r="AK839" s="303"/>
    </row>
    <row r="840" spans="1:37" x14ac:dyDescent="0.25">
      <c r="A840" s="501" t="s">
        <v>4807</v>
      </c>
      <c r="B840" s="317" t="s">
        <v>4808</v>
      </c>
      <c r="C840" s="95">
        <v>0</v>
      </c>
      <c r="D840" s="95">
        <v>208</v>
      </c>
      <c r="E840" s="95"/>
      <c r="F840" s="95"/>
      <c r="G840" s="95">
        <v>6515</v>
      </c>
      <c r="H840" s="138">
        <v>46400</v>
      </c>
      <c r="I840" s="138"/>
      <c r="J840" s="126">
        <f t="shared" si="106"/>
        <v>46400</v>
      </c>
      <c r="K840" s="318">
        <v>43871</v>
      </c>
      <c r="L840" s="95">
        <v>0</v>
      </c>
      <c r="M840" s="313">
        <f t="shared" si="107"/>
        <v>43871</v>
      </c>
      <c r="N840" s="2" t="str">
        <f t="shared" si="108"/>
        <v>Pagado</v>
      </c>
      <c r="O840" s="318">
        <v>43871</v>
      </c>
      <c r="P840" s="138">
        <v>46400</v>
      </c>
      <c r="Q840" s="2" t="s">
        <v>1070</v>
      </c>
      <c r="R840" s="2" t="s">
        <v>1478</v>
      </c>
      <c r="S840" s="95">
        <v>208</v>
      </c>
      <c r="T840" s="313"/>
      <c r="U840" s="393"/>
      <c r="V840" s="95"/>
      <c r="W840" s="129"/>
      <c r="X840" s="318"/>
      <c r="Y840" s="95"/>
      <c r="Z840" s="131"/>
      <c r="AA840" s="108" t="str">
        <f t="shared" si="105"/>
        <v/>
      </c>
      <c r="AB840" s="2"/>
      <c r="AC840" s="131">
        <f t="shared" si="109"/>
        <v>38991.596638655465</v>
      </c>
      <c r="AD840" s="108">
        <f t="shared" si="110"/>
        <v>7408.4033613445354</v>
      </c>
      <c r="AE840" s="95" t="s">
        <v>1501</v>
      </c>
      <c r="AF840" s="500" t="s">
        <v>3487</v>
      </c>
      <c r="AG840" s="2" t="str">
        <f t="shared" si="111"/>
        <v>SI</v>
      </c>
      <c r="AH840" s="284"/>
      <c r="AI840" s="500"/>
      <c r="AJ840" s="2" t="str">
        <f t="shared" si="112"/>
        <v>NV</v>
      </c>
      <c r="AK840" s="303"/>
    </row>
    <row r="841" spans="1:37" x14ac:dyDescent="0.25">
      <c r="A841" s="501" t="s">
        <v>5210</v>
      </c>
      <c r="B841" s="317" t="s">
        <v>5211</v>
      </c>
      <c r="C841" s="95">
        <v>0</v>
      </c>
      <c r="D841" s="95">
        <v>2925</v>
      </c>
      <c r="E841" s="95"/>
      <c r="F841" s="95"/>
      <c r="G841" s="95">
        <v>6507</v>
      </c>
      <c r="H841" s="138">
        <v>30400</v>
      </c>
      <c r="I841" s="138"/>
      <c r="J841" s="126">
        <f t="shared" si="106"/>
        <v>30400</v>
      </c>
      <c r="K841" s="318">
        <v>43871</v>
      </c>
      <c r="L841" s="95">
        <v>0</v>
      </c>
      <c r="M841" s="313">
        <f t="shared" si="107"/>
        <v>43871</v>
      </c>
      <c r="N841" s="2" t="str">
        <f t="shared" si="108"/>
        <v>Pagado</v>
      </c>
      <c r="O841" s="318">
        <v>43871</v>
      </c>
      <c r="P841" s="138">
        <v>30400</v>
      </c>
      <c r="Q841" s="2" t="s">
        <v>1484</v>
      </c>
      <c r="R841" s="2"/>
      <c r="S841" s="95"/>
      <c r="T841" s="313" t="s">
        <v>1488</v>
      </c>
      <c r="U841" s="393"/>
      <c r="V841" s="95"/>
      <c r="W841" s="129"/>
      <c r="X841" s="318"/>
      <c r="Y841" s="95"/>
      <c r="Z841" s="131"/>
      <c r="AA841" s="108" t="str">
        <f t="shared" si="105"/>
        <v/>
      </c>
      <c r="AB841" s="2"/>
      <c r="AC841" s="131">
        <f t="shared" si="109"/>
        <v>25546.218487394959</v>
      </c>
      <c r="AD841" s="108">
        <f t="shared" si="110"/>
        <v>4853.7815126050409</v>
      </c>
      <c r="AE841" s="95" t="s">
        <v>1501</v>
      </c>
      <c r="AF841" s="500" t="s">
        <v>3487</v>
      </c>
      <c r="AG841" s="2" t="str">
        <f t="shared" si="111"/>
        <v>SI</v>
      </c>
      <c r="AH841" s="284"/>
      <c r="AI841" s="500"/>
      <c r="AJ841" s="2" t="str">
        <f t="shared" si="112"/>
        <v>NV</v>
      </c>
      <c r="AK841" s="303"/>
    </row>
    <row r="842" spans="1:37" x14ac:dyDescent="0.25">
      <c r="A842" s="501" t="s">
        <v>5740</v>
      </c>
      <c r="B842" s="317" t="s">
        <v>5741</v>
      </c>
      <c r="C842" s="95">
        <v>0</v>
      </c>
      <c r="D842" s="95" t="s">
        <v>2528</v>
      </c>
      <c r="E842" s="95"/>
      <c r="F842" s="95"/>
      <c r="G842" s="95">
        <v>6518</v>
      </c>
      <c r="H842" s="138">
        <v>37700</v>
      </c>
      <c r="I842" s="138"/>
      <c r="J842" s="126">
        <f t="shared" si="106"/>
        <v>37700</v>
      </c>
      <c r="K842" s="318">
        <v>43871</v>
      </c>
      <c r="L842" s="95">
        <v>0</v>
      </c>
      <c r="M842" s="313">
        <f t="shared" si="107"/>
        <v>43871</v>
      </c>
      <c r="N842" s="2" t="str">
        <f t="shared" ca="1" si="108"/>
        <v>Vencido</v>
      </c>
      <c r="O842" s="318"/>
      <c r="P842" s="138"/>
      <c r="Q842" s="2"/>
      <c r="R842" s="2"/>
      <c r="S842" s="95"/>
      <c r="T842" s="313"/>
      <c r="U842" s="393"/>
      <c r="V842" s="95"/>
      <c r="W842" s="129"/>
      <c r="X842" s="318"/>
      <c r="Y842" s="95"/>
      <c r="Z842" s="131"/>
      <c r="AA842" s="108" t="str">
        <f t="shared" si="105"/>
        <v/>
      </c>
      <c r="AB842" s="2"/>
      <c r="AC842" s="131">
        <f t="shared" si="109"/>
        <v>31680.672268907565</v>
      </c>
      <c r="AD842" s="108">
        <f t="shared" si="110"/>
        <v>6019.327731092435</v>
      </c>
      <c r="AE842" s="95" t="s">
        <v>1501</v>
      </c>
      <c r="AF842" s="500" t="s">
        <v>3487</v>
      </c>
      <c r="AG842" s="2" t="str">
        <f t="shared" ca="1" si="111"/>
        <v>NO</v>
      </c>
      <c r="AH842" s="284"/>
      <c r="AI842" s="500"/>
      <c r="AJ842" s="2" t="str">
        <f t="shared" si="112"/>
        <v>NV</v>
      </c>
      <c r="AK842" s="303"/>
    </row>
    <row r="843" spans="1:37" x14ac:dyDescent="0.25">
      <c r="A843" s="542" t="s">
        <v>1175</v>
      </c>
      <c r="B843" s="317" t="s">
        <v>1144</v>
      </c>
      <c r="C843" s="95">
        <v>3105</v>
      </c>
      <c r="D843" s="95">
        <v>0</v>
      </c>
      <c r="E843" s="95"/>
      <c r="F843" s="95"/>
      <c r="G843" s="95" t="s">
        <v>2528</v>
      </c>
      <c r="H843" s="138">
        <v>477002</v>
      </c>
      <c r="I843" s="138"/>
      <c r="J843" s="126">
        <f t="shared" si="106"/>
        <v>477002</v>
      </c>
      <c r="K843" s="318">
        <v>43871</v>
      </c>
      <c r="L843" s="95">
        <v>30</v>
      </c>
      <c r="M843" s="313">
        <f t="shared" si="107"/>
        <v>43901</v>
      </c>
      <c r="N843" s="2" t="str">
        <f t="shared" si="108"/>
        <v>Pagado</v>
      </c>
      <c r="O843" s="318">
        <v>43907</v>
      </c>
      <c r="P843" s="138">
        <v>477002</v>
      </c>
      <c r="Q843" s="2" t="s">
        <v>1484</v>
      </c>
      <c r="R843" s="2"/>
      <c r="S843" s="95"/>
      <c r="T843" s="313"/>
      <c r="U843" s="393"/>
      <c r="V843" s="95"/>
      <c r="W843" s="129"/>
      <c r="X843" s="318"/>
      <c r="Y843" s="95"/>
      <c r="Z843" s="131"/>
      <c r="AA843" s="108" t="str">
        <f t="shared" si="105"/>
        <v/>
      </c>
      <c r="AB843" s="2"/>
      <c r="AC843" s="131">
        <f t="shared" si="109"/>
        <v>400842.01680672274</v>
      </c>
      <c r="AD843" s="108">
        <f t="shared" si="110"/>
        <v>76159.983193277265</v>
      </c>
      <c r="AE843" s="95" t="s">
        <v>2050</v>
      </c>
      <c r="AF843" s="541" t="s">
        <v>3490</v>
      </c>
      <c r="AG843" s="2" t="str">
        <f t="shared" si="111"/>
        <v>SI</v>
      </c>
      <c r="AH843" s="284"/>
      <c r="AI843" s="541"/>
      <c r="AJ843" s="2" t="str">
        <f t="shared" si="112"/>
        <v>Factura</v>
      </c>
      <c r="AK843" s="303"/>
    </row>
    <row r="844" spans="1:37" x14ac:dyDescent="0.25">
      <c r="A844" s="542" t="s">
        <v>3200</v>
      </c>
      <c r="B844" s="317" t="s">
        <v>3201</v>
      </c>
      <c r="C844" s="95">
        <v>0</v>
      </c>
      <c r="D844" s="95">
        <v>209</v>
      </c>
      <c r="E844" s="95"/>
      <c r="F844" s="95"/>
      <c r="G844" s="95">
        <v>6517</v>
      </c>
      <c r="H844" s="138">
        <v>25500</v>
      </c>
      <c r="I844" s="138"/>
      <c r="J844" s="126">
        <f t="shared" si="106"/>
        <v>25500</v>
      </c>
      <c r="K844" s="318">
        <v>43871</v>
      </c>
      <c r="L844" s="95">
        <v>0</v>
      </c>
      <c r="M844" s="313">
        <f t="shared" si="107"/>
        <v>43871</v>
      </c>
      <c r="N844" s="2" t="str">
        <f t="shared" si="108"/>
        <v>Pagado</v>
      </c>
      <c r="O844" s="318">
        <v>43871</v>
      </c>
      <c r="P844" s="138">
        <v>25500</v>
      </c>
      <c r="Q844" s="2" t="s">
        <v>1070</v>
      </c>
      <c r="R844" s="2" t="s">
        <v>1478</v>
      </c>
      <c r="S844" s="95">
        <v>209</v>
      </c>
      <c r="T844" s="313"/>
      <c r="U844" s="393"/>
      <c r="V844" s="95"/>
      <c r="W844" s="129"/>
      <c r="X844" s="318"/>
      <c r="Y844" s="95"/>
      <c r="Z844" s="131"/>
      <c r="AA844" s="108" t="str">
        <f t="shared" si="105"/>
        <v/>
      </c>
      <c r="AB844" s="2"/>
      <c r="AC844" s="131">
        <f t="shared" si="109"/>
        <v>21428.571428571431</v>
      </c>
      <c r="AD844" s="108">
        <f t="shared" si="110"/>
        <v>4071.4285714285688</v>
      </c>
      <c r="AE844" s="95" t="s">
        <v>1501</v>
      </c>
      <c r="AF844" s="541" t="s">
        <v>3487</v>
      </c>
      <c r="AG844" s="2" t="str">
        <f t="shared" si="111"/>
        <v>SI</v>
      </c>
      <c r="AH844" s="284"/>
      <c r="AI844" s="541"/>
      <c r="AJ844" s="2" t="str">
        <f t="shared" si="112"/>
        <v>NV</v>
      </c>
      <c r="AK844" s="303"/>
    </row>
    <row r="845" spans="1:37" x14ac:dyDescent="0.25">
      <c r="A845" s="501" t="s">
        <v>1234</v>
      </c>
      <c r="B845" s="317" t="s">
        <v>970</v>
      </c>
      <c r="C845" s="95">
        <v>0</v>
      </c>
      <c r="D845" s="95">
        <v>2928</v>
      </c>
      <c r="E845" s="95"/>
      <c r="F845" s="95"/>
      <c r="G845" s="95">
        <v>6514</v>
      </c>
      <c r="H845" s="138">
        <v>16500</v>
      </c>
      <c r="I845" s="138"/>
      <c r="J845" s="126">
        <f t="shared" si="106"/>
        <v>16500</v>
      </c>
      <c r="K845" s="318">
        <v>43871</v>
      </c>
      <c r="L845" s="95">
        <v>0</v>
      </c>
      <c r="M845" s="313">
        <f t="shared" si="107"/>
        <v>43871</v>
      </c>
      <c r="N845" s="2" t="str">
        <f t="shared" si="108"/>
        <v>Pagado</v>
      </c>
      <c r="O845" s="318">
        <v>43871</v>
      </c>
      <c r="P845" s="138">
        <v>16500</v>
      </c>
      <c r="Q845" s="2" t="s">
        <v>1484</v>
      </c>
      <c r="R845" s="2"/>
      <c r="S845" s="95"/>
      <c r="T845" s="313" t="s">
        <v>1462</v>
      </c>
      <c r="U845" s="393"/>
      <c r="V845" s="95"/>
      <c r="W845" s="129"/>
      <c r="X845" s="318"/>
      <c r="Y845" s="95"/>
      <c r="Z845" s="131"/>
      <c r="AA845" s="108" t="str">
        <f t="shared" si="105"/>
        <v/>
      </c>
      <c r="AB845" s="2"/>
      <c r="AC845" s="131">
        <f t="shared" si="109"/>
        <v>13865.546218487396</v>
      </c>
      <c r="AD845" s="108">
        <f t="shared" si="110"/>
        <v>2634.4537815126041</v>
      </c>
      <c r="AE845" s="95" t="s">
        <v>1501</v>
      </c>
      <c r="AF845" s="500" t="s">
        <v>3489</v>
      </c>
      <c r="AG845" s="2" t="str">
        <f t="shared" si="111"/>
        <v>SI</v>
      </c>
      <c r="AH845" s="284"/>
      <c r="AI845" s="500"/>
      <c r="AJ845" s="2" t="str">
        <f t="shared" si="112"/>
        <v>NV</v>
      </c>
      <c r="AK845" s="303"/>
    </row>
    <row r="846" spans="1:37" x14ac:dyDescent="0.25">
      <c r="A846" s="542" t="s">
        <v>2273</v>
      </c>
      <c r="B846" s="317" t="s">
        <v>2274</v>
      </c>
      <c r="C846" s="95">
        <v>0</v>
      </c>
      <c r="D846" s="95">
        <v>2931</v>
      </c>
      <c r="E846" s="95"/>
      <c r="F846" s="95"/>
      <c r="G846" s="95">
        <v>6526</v>
      </c>
      <c r="H846" s="138">
        <v>11400</v>
      </c>
      <c r="I846" s="138"/>
      <c r="J846" s="126">
        <f t="shared" si="106"/>
        <v>11400</v>
      </c>
      <c r="K846" s="318">
        <v>43872</v>
      </c>
      <c r="L846" s="95">
        <v>0</v>
      </c>
      <c r="M846" s="313">
        <f t="shared" si="107"/>
        <v>43872</v>
      </c>
      <c r="N846" s="2" t="str">
        <f t="shared" si="108"/>
        <v>Pagado</v>
      </c>
      <c r="O846" s="318">
        <v>43872</v>
      </c>
      <c r="P846" s="138">
        <v>11400</v>
      </c>
      <c r="Q846" s="2" t="s">
        <v>1481</v>
      </c>
      <c r="R846" s="2"/>
      <c r="S846" s="95"/>
      <c r="T846" s="313"/>
      <c r="U846" s="393"/>
      <c r="V846" s="95"/>
      <c r="W846" s="129"/>
      <c r="X846" s="318"/>
      <c r="Y846" s="95"/>
      <c r="Z846" s="131"/>
      <c r="AA846" s="108" t="str">
        <f t="shared" si="105"/>
        <v/>
      </c>
      <c r="AB846" s="2"/>
      <c r="AC846" s="131">
        <f t="shared" si="109"/>
        <v>9579.8319327731097</v>
      </c>
      <c r="AD846" s="108">
        <f t="shared" si="110"/>
        <v>1820.1680672268903</v>
      </c>
      <c r="AE846" s="95" t="s">
        <v>1501</v>
      </c>
      <c r="AF846" s="541" t="s">
        <v>3489</v>
      </c>
      <c r="AG846" s="2" t="str">
        <f t="shared" si="111"/>
        <v>SI</v>
      </c>
      <c r="AH846" s="284"/>
      <c r="AI846" s="541"/>
      <c r="AJ846" s="2" t="str">
        <f t="shared" si="112"/>
        <v>NV</v>
      </c>
      <c r="AK846" s="303"/>
    </row>
    <row r="847" spans="1:37" x14ac:dyDescent="0.25">
      <c r="A847" s="501" t="s">
        <v>1872</v>
      </c>
      <c r="B847" s="317" t="s">
        <v>1873</v>
      </c>
      <c r="C847" s="95">
        <v>0</v>
      </c>
      <c r="D847" s="95">
        <v>207</v>
      </c>
      <c r="E847" s="95"/>
      <c r="F847" s="95"/>
      <c r="G847" s="95">
        <v>6525</v>
      </c>
      <c r="H847" s="138">
        <v>33900</v>
      </c>
      <c r="I847" s="138"/>
      <c r="J847" s="126">
        <f t="shared" si="106"/>
        <v>33900</v>
      </c>
      <c r="K847" s="318">
        <v>43872</v>
      </c>
      <c r="L847" s="95">
        <v>0</v>
      </c>
      <c r="M847" s="313">
        <f t="shared" si="107"/>
        <v>43872</v>
      </c>
      <c r="N847" s="2" t="str">
        <f t="shared" si="108"/>
        <v>Pagado</v>
      </c>
      <c r="O847" s="318">
        <v>43872</v>
      </c>
      <c r="P847" s="138">
        <v>33900</v>
      </c>
      <c r="Q847" s="2" t="s">
        <v>1070</v>
      </c>
      <c r="R847" s="2" t="s">
        <v>2243</v>
      </c>
      <c r="S847" s="95">
        <v>207</v>
      </c>
      <c r="T847" s="313"/>
      <c r="U847" s="393"/>
      <c r="V847" s="95"/>
      <c r="W847" s="129"/>
      <c r="X847" s="318"/>
      <c r="Y847" s="95"/>
      <c r="Z847" s="131"/>
      <c r="AA847" s="108" t="str">
        <f t="shared" si="105"/>
        <v/>
      </c>
      <c r="AB847" s="2"/>
      <c r="AC847" s="131">
        <f t="shared" si="109"/>
        <v>28487.394957983193</v>
      </c>
      <c r="AD847" s="108">
        <f t="shared" si="110"/>
        <v>5412.6050420168067</v>
      </c>
      <c r="AE847" s="95" t="s">
        <v>1501</v>
      </c>
      <c r="AF847" s="500" t="s">
        <v>3487</v>
      </c>
      <c r="AG847" s="2" t="str">
        <f t="shared" si="111"/>
        <v>SI</v>
      </c>
      <c r="AH847" s="284"/>
      <c r="AI847" s="500"/>
      <c r="AJ847" s="2" t="str">
        <f t="shared" si="112"/>
        <v>NV</v>
      </c>
      <c r="AK847" s="303"/>
    </row>
    <row r="848" spans="1:37" x14ac:dyDescent="0.25">
      <c r="A848" s="501" t="s">
        <v>3175</v>
      </c>
      <c r="B848" s="317" t="s">
        <v>3176</v>
      </c>
      <c r="C848" s="95">
        <v>0</v>
      </c>
      <c r="D848" s="95" t="s">
        <v>2528</v>
      </c>
      <c r="E848" s="95"/>
      <c r="F848" s="95"/>
      <c r="G848" s="95">
        <v>6522</v>
      </c>
      <c r="H848" s="138">
        <v>31500</v>
      </c>
      <c r="I848" s="138"/>
      <c r="J848" s="126">
        <f t="shared" si="106"/>
        <v>31500</v>
      </c>
      <c r="K848" s="318">
        <v>43872</v>
      </c>
      <c r="L848" s="95">
        <v>0</v>
      </c>
      <c r="M848" s="313">
        <f t="shared" si="107"/>
        <v>43872</v>
      </c>
      <c r="N848" s="2" t="str">
        <f t="shared" si="108"/>
        <v>Pagado</v>
      </c>
      <c r="O848" s="318">
        <v>43879</v>
      </c>
      <c r="P848" s="138">
        <v>31500</v>
      </c>
      <c r="Q848" s="2" t="s">
        <v>1484</v>
      </c>
      <c r="R848" s="2"/>
      <c r="S848" s="95"/>
      <c r="T848" s="313" t="s">
        <v>2353</v>
      </c>
      <c r="U848" s="393"/>
      <c r="V848" s="95"/>
      <c r="W848" s="129"/>
      <c r="X848" s="318"/>
      <c r="Y848" s="95"/>
      <c r="Z848" s="131"/>
      <c r="AA848" s="108" t="str">
        <f t="shared" si="105"/>
        <v/>
      </c>
      <c r="AB848" s="2"/>
      <c r="AC848" s="131">
        <f t="shared" si="109"/>
        <v>26470.588235294119</v>
      </c>
      <c r="AD848" s="108">
        <f t="shared" si="110"/>
        <v>5029.4117647058811</v>
      </c>
      <c r="AE848" s="95" t="s">
        <v>1501</v>
      </c>
      <c r="AF848" s="500" t="s">
        <v>3489</v>
      </c>
      <c r="AG848" s="2" t="str">
        <f t="shared" si="111"/>
        <v>SI</v>
      </c>
      <c r="AH848" s="284"/>
      <c r="AI848" s="500"/>
      <c r="AJ848" s="2" t="str">
        <f t="shared" si="112"/>
        <v>NV</v>
      </c>
      <c r="AK848" s="303"/>
    </row>
    <row r="849" spans="1:37" x14ac:dyDescent="0.25">
      <c r="A849" s="501" t="s">
        <v>4465</v>
      </c>
      <c r="B849" s="317" t="s">
        <v>4466</v>
      </c>
      <c r="C849" s="95">
        <v>0</v>
      </c>
      <c r="D849" s="95">
        <v>2929</v>
      </c>
      <c r="E849" s="95"/>
      <c r="F849" s="95"/>
      <c r="G849" s="95">
        <v>6521</v>
      </c>
      <c r="H849" s="138">
        <v>9600</v>
      </c>
      <c r="I849" s="138"/>
      <c r="J849" s="126">
        <f t="shared" si="106"/>
        <v>9600</v>
      </c>
      <c r="K849" s="318">
        <v>43872</v>
      </c>
      <c r="L849" s="95">
        <v>0</v>
      </c>
      <c r="M849" s="313">
        <f t="shared" si="107"/>
        <v>43872</v>
      </c>
      <c r="N849" s="2" t="str">
        <f t="shared" si="108"/>
        <v>Pagado</v>
      </c>
      <c r="O849" s="318">
        <v>43872</v>
      </c>
      <c r="P849" s="138">
        <v>9600</v>
      </c>
      <c r="Q849" s="2" t="s">
        <v>1481</v>
      </c>
      <c r="R849" s="2"/>
      <c r="S849" s="95"/>
      <c r="T849" s="313"/>
      <c r="U849" s="393"/>
      <c r="V849" s="95"/>
      <c r="W849" s="129"/>
      <c r="X849" s="318"/>
      <c r="Y849" s="95"/>
      <c r="Z849" s="131"/>
      <c r="AA849" s="108" t="str">
        <f t="shared" si="105"/>
        <v/>
      </c>
      <c r="AB849" s="2"/>
      <c r="AC849" s="131">
        <f t="shared" si="109"/>
        <v>8067.226890756303</v>
      </c>
      <c r="AD849" s="108">
        <f t="shared" si="110"/>
        <v>1532.773109243697</v>
      </c>
      <c r="AE849" s="95" t="s">
        <v>1501</v>
      </c>
      <c r="AF849" s="500" t="s">
        <v>3487</v>
      </c>
      <c r="AG849" s="2" t="str">
        <f t="shared" si="111"/>
        <v>SI</v>
      </c>
      <c r="AH849" s="284"/>
      <c r="AI849" s="500"/>
      <c r="AJ849" s="2" t="str">
        <f t="shared" si="112"/>
        <v>NV</v>
      </c>
      <c r="AK849" s="303"/>
    </row>
    <row r="850" spans="1:37" x14ac:dyDescent="0.25">
      <c r="A850" s="501" t="s">
        <v>5747</v>
      </c>
      <c r="B850" s="317" t="s">
        <v>5748</v>
      </c>
      <c r="C850" s="95">
        <v>0</v>
      </c>
      <c r="D850" s="95" t="s">
        <v>2528</v>
      </c>
      <c r="E850" s="95"/>
      <c r="F850" s="95"/>
      <c r="G850" s="95">
        <v>6523</v>
      </c>
      <c r="H850" s="138">
        <v>33000</v>
      </c>
      <c r="I850" s="138"/>
      <c r="J850" s="126">
        <f t="shared" si="106"/>
        <v>33000</v>
      </c>
      <c r="K850" s="318">
        <v>43872</v>
      </c>
      <c r="L850" s="95">
        <v>0</v>
      </c>
      <c r="M850" s="313">
        <f t="shared" si="107"/>
        <v>43872</v>
      </c>
      <c r="N850" s="2" t="str">
        <f t="shared" si="108"/>
        <v>Pagado</v>
      </c>
      <c r="O850" s="318">
        <v>43872</v>
      </c>
      <c r="P850" s="138">
        <v>33000</v>
      </c>
      <c r="Q850" s="2" t="s">
        <v>1484</v>
      </c>
      <c r="R850" s="2"/>
      <c r="S850" s="95"/>
      <c r="T850" s="313" t="s">
        <v>1492</v>
      </c>
      <c r="U850" s="393"/>
      <c r="V850" s="95"/>
      <c r="W850" s="129"/>
      <c r="X850" s="318"/>
      <c r="Y850" s="95"/>
      <c r="Z850" s="131"/>
      <c r="AA850" s="108" t="str">
        <f t="shared" si="105"/>
        <v/>
      </c>
      <c r="AB850" s="2"/>
      <c r="AC850" s="131">
        <f t="shared" si="109"/>
        <v>27731.092436974792</v>
      </c>
      <c r="AD850" s="108">
        <f t="shared" si="110"/>
        <v>5268.9075630252082</v>
      </c>
      <c r="AE850" s="95" t="s">
        <v>1501</v>
      </c>
      <c r="AF850" s="500" t="s">
        <v>3487</v>
      </c>
      <c r="AG850" s="2" t="str">
        <f t="shared" si="111"/>
        <v>SI</v>
      </c>
      <c r="AH850" s="284"/>
      <c r="AI850" s="500"/>
      <c r="AJ850" s="2" t="str">
        <f t="shared" si="112"/>
        <v>NV</v>
      </c>
      <c r="AK850" s="303"/>
    </row>
    <row r="851" spans="1:37" x14ac:dyDescent="0.25">
      <c r="A851" s="501" t="s">
        <v>5743</v>
      </c>
      <c r="B851" s="317" t="s">
        <v>5744</v>
      </c>
      <c r="C851" s="95">
        <v>0</v>
      </c>
      <c r="D851" s="95" t="s">
        <v>2528</v>
      </c>
      <c r="E851" s="95"/>
      <c r="F851" s="95"/>
      <c r="G851" s="95">
        <v>6524</v>
      </c>
      <c r="H851" s="138">
        <v>16500</v>
      </c>
      <c r="I851" s="138"/>
      <c r="J851" s="126">
        <f t="shared" si="106"/>
        <v>16500</v>
      </c>
      <c r="K851" s="318">
        <v>43872</v>
      </c>
      <c r="L851" s="95">
        <v>0</v>
      </c>
      <c r="M851" s="313">
        <f t="shared" si="107"/>
        <v>43872</v>
      </c>
      <c r="N851" s="2" t="str">
        <f t="shared" si="108"/>
        <v>Pagado</v>
      </c>
      <c r="O851" s="318">
        <v>43872</v>
      </c>
      <c r="P851" s="138">
        <v>16500</v>
      </c>
      <c r="Q851" s="2" t="s">
        <v>1484</v>
      </c>
      <c r="R851" s="2"/>
      <c r="S851" s="95"/>
      <c r="T851" s="313" t="s">
        <v>1496</v>
      </c>
      <c r="U851" s="393"/>
      <c r="V851" s="95"/>
      <c r="W851" s="129"/>
      <c r="X851" s="318"/>
      <c r="Y851" s="95"/>
      <c r="Z851" s="131"/>
      <c r="AA851" s="108" t="str">
        <f t="shared" si="105"/>
        <v/>
      </c>
      <c r="AB851" s="2"/>
      <c r="AC851" s="131">
        <f t="shared" si="109"/>
        <v>13865.546218487396</v>
      </c>
      <c r="AD851" s="108">
        <f t="shared" si="110"/>
        <v>2634.4537815126041</v>
      </c>
      <c r="AE851" s="95" t="s">
        <v>1501</v>
      </c>
      <c r="AF851" s="500" t="s">
        <v>3487</v>
      </c>
      <c r="AG851" s="2" t="str">
        <f t="shared" si="111"/>
        <v>SI</v>
      </c>
      <c r="AH851" s="284"/>
      <c r="AI851" s="500"/>
      <c r="AJ851" s="2" t="str">
        <f t="shared" si="112"/>
        <v>NV</v>
      </c>
      <c r="AK851" s="303"/>
    </row>
    <row r="852" spans="1:37" x14ac:dyDescent="0.25">
      <c r="A852" s="501" t="s">
        <v>5228</v>
      </c>
      <c r="B852" s="317" t="s">
        <v>5229</v>
      </c>
      <c r="C852" s="95">
        <v>0</v>
      </c>
      <c r="D852" s="95">
        <v>2930</v>
      </c>
      <c r="E852" s="95"/>
      <c r="F852" s="95"/>
      <c r="G852" s="95">
        <v>6520</v>
      </c>
      <c r="H852" s="138">
        <v>35500</v>
      </c>
      <c r="I852" s="138"/>
      <c r="J852" s="126">
        <f t="shared" si="106"/>
        <v>35500</v>
      </c>
      <c r="K852" s="318">
        <v>43872</v>
      </c>
      <c r="L852" s="95">
        <v>0</v>
      </c>
      <c r="M852" s="313">
        <f t="shared" si="107"/>
        <v>43872</v>
      </c>
      <c r="N852" s="2" t="str">
        <f t="shared" si="108"/>
        <v>Pagado</v>
      </c>
      <c r="O852" s="318">
        <v>43872</v>
      </c>
      <c r="P852" s="138">
        <v>35500</v>
      </c>
      <c r="Q852" s="2" t="s">
        <v>2132</v>
      </c>
      <c r="R852" s="2"/>
      <c r="S852" s="95"/>
      <c r="T852" s="313" t="s">
        <v>1488</v>
      </c>
      <c r="U852" s="393"/>
      <c r="V852" s="95"/>
      <c r="W852" s="129"/>
      <c r="X852" s="318"/>
      <c r="Y852" s="95"/>
      <c r="Z852" s="131"/>
      <c r="AA852" s="108" t="str">
        <f t="shared" si="105"/>
        <v>Chile</v>
      </c>
      <c r="AB852" s="2"/>
      <c r="AC852" s="131">
        <f t="shared" si="109"/>
        <v>29831.932773109245</v>
      </c>
      <c r="AD852" s="108">
        <f t="shared" si="110"/>
        <v>5668.0672268907547</v>
      </c>
      <c r="AE852" s="95" t="s">
        <v>1501</v>
      </c>
      <c r="AF852" s="500" t="s">
        <v>3487</v>
      </c>
      <c r="AG852" s="2" t="str">
        <f t="shared" si="111"/>
        <v>SI</v>
      </c>
      <c r="AH852" s="284"/>
      <c r="AI852" s="500"/>
      <c r="AJ852" s="2" t="str">
        <f t="shared" si="112"/>
        <v>NV</v>
      </c>
      <c r="AK852" s="303"/>
    </row>
    <row r="853" spans="1:37" x14ac:dyDescent="0.25">
      <c r="A853" s="542" t="s">
        <v>1178</v>
      </c>
      <c r="B853" s="317" t="s">
        <v>950</v>
      </c>
      <c r="C853" s="95">
        <v>3111</v>
      </c>
      <c r="D853" s="95">
        <v>0</v>
      </c>
      <c r="E853" s="95"/>
      <c r="F853" s="95"/>
      <c r="G853" s="95" t="s">
        <v>2528</v>
      </c>
      <c r="H853" s="138">
        <v>36595</v>
      </c>
      <c r="I853" s="138"/>
      <c r="J853" s="126">
        <f t="shared" si="106"/>
        <v>36595</v>
      </c>
      <c r="K853" s="318">
        <v>43873</v>
      </c>
      <c r="L853" s="95">
        <v>7</v>
      </c>
      <c r="M853" s="313">
        <f t="shared" si="107"/>
        <v>43880</v>
      </c>
      <c r="N853" s="2" t="str">
        <f t="shared" si="108"/>
        <v>Pagado</v>
      </c>
      <c r="O853" s="318">
        <v>43873</v>
      </c>
      <c r="P853" s="138">
        <v>36595</v>
      </c>
      <c r="Q853" s="2" t="s">
        <v>2131</v>
      </c>
      <c r="R853" s="2"/>
      <c r="S853" s="95">
        <v>1116369</v>
      </c>
      <c r="T853" s="313" t="s">
        <v>1496</v>
      </c>
      <c r="U853" s="393">
        <v>43885</v>
      </c>
      <c r="V853" s="95"/>
      <c r="W853" s="129"/>
      <c r="X853" s="318"/>
      <c r="Y853" s="95"/>
      <c r="Z853" s="131"/>
      <c r="AA853" s="108" t="str">
        <f t="shared" ref="AA853:AA916" si="113">+IF(LEFT(Q853,6)="Cheque",IF(T853="Chile","Chile","Otros"),"")</f>
        <v>Otros</v>
      </c>
      <c r="AB853" s="2"/>
      <c r="AC853" s="131">
        <f t="shared" si="109"/>
        <v>30752.100840336137</v>
      </c>
      <c r="AD853" s="108">
        <f t="shared" si="110"/>
        <v>5842.8991596638625</v>
      </c>
      <c r="AE853" s="95" t="s">
        <v>2050</v>
      </c>
      <c r="AF853" s="541" t="s">
        <v>3490</v>
      </c>
      <c r="AG853" s="2" t="str">
        <f t="shared" si="111"/>
        <v>SI</v>
      </c>
      <c r="AH853" s="284"/>
      <c r="AI853" s="541"/>
      <c r="AJ853" s="2" t="str">
        <f t="shared" si="112"/>
        <v>Factura</v>
      </c>
      <c r="AK853" s="303"/>
    </row>
    <row r="854" spans="1:37" x14ac:dyDescent="0.25">
      <c r="A854" s="542" t="s">
        <v>3460</v>
      </c>
      <c r="B854" s="317" t="s">
        <v>3461</v>
      </c>
      <c r="C854" s="95">
        <v>3106</v>
      </c>
      <c r="D854" s="95">
        <v>0</v>
      </c>
      <c r="E854" s="95"/>
      <c r="F854" s="95"/>
      <c r="G854" s="95" t="s">
        <v>2528</v>
      </c>
      <c r="H854" s="138">
        <v>70497</v>
      </c>
      <c r="I854" s="138"/>
      <c r="J854" s="126">
        <f t="shared" si="106"/>
        <v>70497</v>
      </c>
      <c r="K854" s="318">
        <v>43873</v>
      </c>
      <c r="L854" s="95">
        <v>0</v>
      </c>
      <c r="M854" s="313">
        <f t="shared" si="107"/>
        <v>43873</v>
      </c>
      <c r="N854" s="2" t="str">
        <f t="shared" si="108"/>
        <v>Pagado</v>
      </c>
      <c r="O854" s="318">
        <v>43906</v>
      </c>
      <c r="P854" s="138">
        <v>70497</v>
      </c>
      <c r="Q854" s="2" t="s">
        <v>1484</v>
      </c>
      <c r="R854" s="2"/>
      <c r="S854" s="95"/>
      <c r="T854" s="313" t="s">
        <v>1496</v>
      </c>
      <c r="U854" s="393"/>
      <c r="V854" s="95"/>
      <c r="W854" s="129"/>
      <c r="X854" s="318"/>
      <c r="Y854" s="95"/>
      <c r="Z854" s="131"/>
      <c r="AA854" s="108" t="str">
        <f t="shared" si="113"/>
        <v/>
      </c>
      <c r="AB854" s="2"/>
      <c r="AC854" s="131">
        <f t="shared" si="109"/>
        <v>59241.176470588238</v>
      </c>
      <c r="AD854" s="108">
        <f t="shared" si="110"/>
        <v>11255.823529411762</v>
      </c>
      <c r="AE854" s="95" t="s">
        <v>1501</v>
      </c>
      <c r="AF854" s="541" t="s">
        <v>3490</v>
      </c>
      <c r="AG854" s="2" t="str">
        <f t="shared" si="111"/>
        <v>SI</v>
      </c>
      <c r="AH854" s="284"/>
      <c r="AI854" s="541"/>
      <c r="AJ854" s="2" t="str">
        <f t="shared" si="112"/>
        <v>Factura</v>
      </c>
      <c r="AK854" s="303"/>
    </row>
    <row r="855" spans="1:37" x14ac:dyDescent="0.25">
      <c r="A855" s="497" t="s">
        <v>3460</v>
      </c>
      <c r="B855" s="317" t="s">
        <v>3461</v>
      </c>
      <c r="C855" s="95">
        <v>3109</v>
      </c>
      <c r="D855" s="95">
        <v>0</v>
      </c>
      <c r="E855" s="95"/>
      <c r="F855" s="95"/>
      <c r="G855" s="95" t="s">
        <v>2528</v>
      </c>
      <c r="H855" s="138">
        <v>46580</v>
      </c>
      <c r="I855" s="138"/>
      <c r="J855" s="126">
        <f t="shared" si="106"/>
        <v>46580</v>
      </c>
      <c r="K855" s="318">
        <v>43873</v>
      </c>
      <c r="L855" s="95">
        <v>0</v>
      </c>
      <c r="M855" s="313">
        <f t="shared" si="107"/>
        <v>43873</v>
      </c>
      <c r="N855" s="2" t="str">
        <f t="shared" si="108"/>
        <v>Pagado</v>
      </c>
      <c r="O855" s="318">
        <v>43906</v>
      </c>
      <c r="P855" s="138">
        <v>46580</v>
      </c>
      <c r="Q855" s="2" t="s">
        <v>1484</v>
      </c>
      <c r="R855" s="2"/>
      <c r="S855" s="95"/>
      <c r="T855" s="313" t="s">
        <v>1496</v>
      </c>
      <c r="U855" s="393"/>
      <c r="V855" s="95"/>
      <c r="W855" s="129"/>
      <c r="X855" s="318"/>
      <c r="Y855" s="95"/>
      <c r="Z855" s="131"/>
      <c r="AA855" s="108" t="str">
        <f t="shared" si="113"/>
        <v/>
      </c>
      <c r="AB855" s="2"/>
      <c r="AC855" s="131">
        <f t="shared" si="109"/>
        <v>39142.857142857145</v>
      </c>
      <c r="AD855" s="108">
        <f t="shared" si="110"/>
        <v>7437.1428571428551</v>
      </c>
      <c r="AE855" s="95" t="s">
        <v>1501</v>
      </c>
      <c r="AF855" s="496" t="s">
        <v>3490</v>
      </c>
      <c r="AG855" s="2" t="str">
        <f t="shared" si="111"/>
        <v>SI</v>
      </c>
      <c r="AH855" s="284"/>
      <c r="AI855" s="496"/>
      <c r="AJ855" s="2" t="str">
        <f t="shared" si="112"/>
        <v>Factura</v>
      </c>
      <c r="AK855" s="303"/>
    </row>
    <row r="856" spans="1:37" x14ac:dyDescent="0.25">
      <c r="A856" s="534" t="s">
        <v>5207</v>
      </c>
      <c r="B856" s="317" t="s">
        <v>5208</v>
      </c>
      <c r="C856" s="95">
        <v>0</v>
      </c>
      <c r="D856" s="95">
        <v>2936</v>
      </c>
      <c r="E856" s="95"/>
      <c r="F856" s="95"/>
      <c r="G856" s="95">
        <v>6531</v>
      </c>
      <c r="H856" s="138">
        <v>39900</v>
      </c>
      <c r="I856" s="138"/>
      <c r="J856" s="126">
        <f t="shared" si="106"/>
        <v>39900</v>
      </c>
      <c r="K856" s="318">
        <v>43873</v>
      </c>
      <c r="L856" s="95">
        <v>0</v>
      </c>
      <c r="M856" s="313">
        <f t="shared" si="107"/>
        <v>43873</v>
      </c>
      <c r="N856" s="2" t="str">
        <f t="shared" si="108"/>
        <v>Pagado</v>
      </c>
      <c r="O856" s="318">
        <v>43873</v>
      </c>
      <c r="P856" s="138">
        <v>39900</v>
      </c>
      <c r="Q856" s="2" t="s">
        <v>1481</v>
      </c>
      <c r="R856" s="2"/>
      <c r="S856" s="95"/>
      <c r="T856" s="313"/>
      <c r="U856" s="393"/>
      <c r="V856" s="95"/>
      <c r="W856" s="129"/>
      <c r="X856" s="318"/>
      <c r="Y856" s="95"/>
      <c r="Z856" s="131"/>
      <c r="AA856" s="108" t="str">
        <f t="shared" si="113"/>
        <v/>
      </c>
      <c r="AB856" s="2"/>
      <c r="AC856" s="131">
        <f t="shared" si="109"/>
        <v>33529.411764705881</v>
      </c>
      <c r="AD856" s="108">
        <f t="shared" si="110"/>
        <v>6370.5882352941189</v>
      </c>
      <c r="AE856" s="95" t="s">
        <v>1501</v>
      </c>
      <c r="AF856" s="533" t="s">
        <v>3487</v>
      </c>
      <c r="AG856" s="2" t="str">
        <f t="shared" si="111"/>
        <v>SI</v>
      </c>
      <c r="AH856" s="284"/>
      <c r="AI856" s="533"/>
      <c r="AJ856" s="2" t="str">
        <f t="shared" si="112"/>
        <v>NV</v>
      </c>
      <c r="AK856" s="303"/>
    </row>
    <row r="857" spans="1:37" x14ac:dyDescent="0.25">
      <c r="A857" s="499" t="s">
        <v>1250</v>
      </c>
      <c r="B857" s="317" t="s">
        <v>3398</v>
      </c>
      <c r="C857" s="95">
        <v>0</v>
      </c>
      <c r="D857" s="95">
        <v>2935</v>
      </c>
      <c r="E857" s="95"/>
      <c r="F857" s="95"/>
      <c r="G857" s="95">
        <v>6532</v>
      </c>
      <c r="H857" s="138">
        <v>16500</v>
      </c>
      <c r="I857" s="138"/>
      <c r="J857" s="126">
        <f t="shared" si="106"/>
        <v>16500</v>
      </c>
      <c r="K857" s="318">
        <v>43873</v>
      </c>
      <c r="L857" s="95">
        <v>0</v>
      </c>
      <c r="M857" s="313">
        <f t="shared" si="107"/>
        <v>43873</v>
      </c>
      <c r="N857" s="2" t="str">
        <f t="shared" si="108"/>
        <v>Pagado</v>
      </c>
      <c r="O857" s="318">
        <v>43873</v>
      </c>
      <c r="P857" s="138">
        <v>16500</v>
      </c>
      <c r="Q857" s="2" t="s">
        <v>1484</v>
      </c>
      <c r="R857" s="2"/>
      <c r="S857" s="95"/>
      <c r="T857" s="313" t="s">
        <v>1488</v>
      </c>
      <c r="U857" s="393"/>
      <c r="V857" s="95"/>
      <c r="W857" s="129"/>
      <c r="X857" s="318"/>
      <c r="Y857" s="95"/>
      <c r="Z857" s="131"/>
      <c r="AA857" s="108" t="str">
        <f t="shared" si="113"/>
        <v/>
      </c>
      <c r="AB857" s="2"/>
      <c r="AC857" s="131">
        <f t="shared" si="109"/>
        <v>13865.546218487396</v>
      </c>
      <c r="AD857" s="108">
        <f t="shared" si="110"/>
        <v>2634.4537815126041</v>
      </c>
      <c r="AE857" s="95" t="s">
        <v>1501</v>
      </c>
      <c r="AF857" s="498" t="s">
        <v>3489</v>
      </c>
      <c r="AG857" s="2" t="str">
        <f t="shared" si="111"/>
        <v>SI</v>
      </c>
      <c r="AH857" s="284"/>
      <c r="AI857" s="498"/>
      <c r="AJ857" s="2" t="str">
        <f t="shared" si="112"/>
        <v>NV</v>
      </c>
      <c r="AK857" s="303"/>
    </row>
    <row r="858" spans="1:37" x14ac:dyDescent="0.25">
      <c r="A858" s="499" t="s">
        <v>1179</v>
      </c>
      <c r="B858" s="317" t="s">
        <v>952</v>
      </c>
      <c r="C858" s="95">
        <v>3110</v>
      </c>
      <c r="D858" s="95">
        <v>0</v>
      </c>
      <c r="E858" s="95"/>
      <c r="F858" s="95"/>
      <c r="G858" s="95" t="s">
        <v>2528</v>
      </c>
      <c r="H858" s="138">
        <v>101568</v>
      </c>
      <c r="I858" s="138"/>
      <c r="J858" s="126">
        <f t="shared" si="106"/>
        <v>101568</v>
      </c>
      <c r="K858" s="318">
        <v>43873</v>
      </c>
      <c r="L858" s="95">
        <v>7</v>
      </c>
      <c r="M858" s="313">
        <f t="shared" si="107"/>
        <v>43880</v>
      </c>
      <c r="N858" s="2" t="str">
        <f t="shared" si="108"/>
        <v>Pagado</v>
      </c>
      <c r="O858" s="318">
        <v>43880</v>
      </c>
      <c r="P858" s="138">
        <v>101568</v>
      </c>
      <c r="Q858" s="2" t="s">
        <v>1481</v>
      </c>
      <c r="R858" s="2"/>
      <c r="S858" s="95"/>
      <c r="T858" s="313"/>
      <c r="U858" s="393"/>
      <c r="V858" s="95">
        <v>7679369</v>
      </c>
      <c r="W858" s="129">
        <v>101568</v>
      </c>
      <c r="X858" s="318">
        <v>43886</v>
      </c>
      <c r="Y858" s="95" t="s">
        <v>1488</v>
      </c>
      <c r="Z858" s="131"/>
      <c r="AA858" s="108" t="str">
        <f t="shared" si="113"/>
        <v/>
      </c>
      <c r="AB858" s="2"/>
      <c r="AC858" s="131">
        <f t="shared" si="109"/>
        <v>85351.26050420168</v>
      </c>
      <c r="AD858" s="108">
        <f t="shared" si="110"/>
        <v>16216.73949579832</v>
      </c>
      <c r="AE858" s="95" t="s">
        <v>2050</v>
      </c>
      <c r="AF858" s="498" t="s">
        <v>3490</v>
      </c>
      <c r="AG858" s="2" t="str">
        <f t="shared" si="111"/>
        <v>SI</v>
      </c>
      <c r="AH858" s="284"/>
      <c r="AI858" s="498"/>
      <c r="AJ858" s="2" t="str">
        <f t="shared" si="112"/>
        <v>Factura</v>
      </c>
      <c r="AK858" s="303"/>
    </row>
    <row r="859" spans="1:37" x14ac:dyDescent="0.25">
      <c r="A859" s="501" t="s">
        <v>1368</v>
      </c>
      <c r="B859" s="317" t="s">
        <v>2387</v>
      </c>
      <c r="C859" s="95">
        <v>0</v>
      </c>
      <c r="D859" s="95">
        <v>2937</v>
      </c>
      <c r="E859" s="95"/>
      <c r="F859" s="95"/>
      <c r="G859" s="95">
        <v>6529</v>
      </c>
      <c r="H859" s="138">
        <v>22800</v>
      </c>
      <c r="I859" s="138"/>
      <c r="J859" s="126">
        <f t="shared" si="106"/>
        <v>22800</v>
      </c>
      <c r="K859" s="318">
        <v>43873</v>
      </c>
      <c r="L859" s="95">
        <v>0</v>
      </c>
      <c r="M859" s="313">
        <f t="shared" si="107"/>
        <v>43873</v>
      </c>
      <c r="N859" s="2" t="str">
        <f t="shared" si="108"/>
        <v>Pagado</v>
      </c>
      <c r="O859" s="318">
        <v>43873</v>
      </c>
      <c r="P859" s="138">
        <v>22800</v>
      </c>
      <c r="Q859" s="2" t="s">
        <v>1481</v>
      </c>
      <c r="R859" s="2"/>
      <c r="S859" s="95"/>
      <c r="T859" s="313"/>
      <c r="U859" s="393"/>
      <c r="V859" s="95"/>
      <c r="W859" s="129"/>
      <c r="X859" s="318"/>
      <c r="Y859" s="95"/>
      <c r="Z859" s="131"/>
      <c r="AA859" s="108" t="str">
        <f t="shared" si="113"/>
        <v/>
      </c>
      <c r="AB859" s="2"/>
      <c r="AC859" s="131">
        <f t="shared" si="109"/>
        <v>19159.663865546219</v>
      </c>
      <c r="AD859" s="108">
        <f t="shared" si="110"/>
        <v>3640.3361344537807</v>
      </c>
      <c r="AE859" s="95" t="s">
        <v>1501</v>
      </c>
      <c r="AF859" s="500" t="s">
        <v>3487</v>
      </c>
      <c r="AG859" s="2" t="str">
        <f t="shared" si="111"/>
        <v>SI</v>
      </c>
      <c r="AH859" s="284"/>
      <c r="AI859" s="500"/>
      <c r="AJ859" s="2" t="str">
        <f t="shared" si="112"/>
        <v>NV</v>
      </c>
      <c r="AK859" s="303"/>
    </row>
    <row r="860" spans="1:37" x14ac:dyDescent="0.25">
      <c r="A860" s="501" t="s">
        <v>4953</v>
      </c>
      <c r="B860" s="317" t="s">
        <v>4954</v>
      </c>
      <c r="C860" s="95">
        <v>0</v>
      </c>
      <c r="D860" s="95">
        <v>2932</v>
      </c>
      <c r="E860" s="95"/>
      <c r="F860" s="95"/>
      <c r="G860" s="95">
        <v>6528</v>
      </c>
      <c r="H860" s="138">
        <v>19700</v>
      </c>
      <c r="I860" s="138"/>
      <c r="J860" s="126">
        <f t="shared" si="106"/>
        <v>19700</v>
      </c>
      <c r="K860" s="318">
        <v>43873</v>
      </c>
      <c r="L860" s="95">
        <v>0</v>
      </c>
      <c r="M860" s="313">
        <f t="shared" si="107"/>
        <v>43873</v>
      </c>
      <c r="N860" s="2" t="str">
        <f t="shared" si="108"/>
        <v>Pagado</v>
      </c>
      <c r="O860" s="318">
        <v>43873</v>
      </c>
      <c r="P860" s="504">
        <v>19700</v>
      </c>
      <c r="Q860" s="2" t="s">
        <v>1481</v>
      </c>
      <c r="R860" s="2"/>
      <c r="S860" s="95"/>
      <c r="T860" s="313"/>
      <c r="U860" s="393"/>
      <c r="V860" s="95"/>
      <c r="W860" s="129"/>
      <c r="X860" s="318"/>
      <c r="Y860" s="95"/>
      <c r="Z860" s="131"/>
      <c r="AA860" s="108" t="str">
        <f t="shared" si="113"/>
        <v/>
      </c>
      <c r="AB860" s="2"/>
      <c r="AC860" s="131">
        <f t="shared" si="109"/>
        <v>16554.621848739498</v>
      </c>
      <c r="AD860" s="108">
        <f t="shared" si="110"/>
        <v>3145.3781512605019</v>
      </c>
      <c r="AE860" s="95" t="s">
        <v>1501</v>
      </c>
      <c r="AF860" s="500" t="s">
        <v>3487</v>
      </c>
      <c r="AG860" s="2" t="str">
        <f t="shared" si="111"/>
        <v>SI</v>
      </c>
      <c r="AH860" s="284"/>
      <c r="AI860" s="500"/>
      <c r="AJ860" s="2" t="str">
        <f t="shared" si="112"/>
        <v>NV</v>
      </c>
      <c r="AK860" s="303"/>
    </row>
    <row r="861" spans="1:37" x14ac:dyDescent="0.25">
      <c r="A861" s="542" t="s">
        <v>1175</v>
      </c>
      <c r="B861" s="317" t="s">
        <v>1144</v>
      </c>
      <c r="C861" s="95">
        <v>3107</v>
      </c>
      <c r="D861" s="95">
        <v>0</v>
      </c>
      <c r="E861" s="95"/>
      <c r="F861" s="95"/>
      <c r="G861" s="95" t="s">
        <v>2528</v>
      </c>
      <c r="H861" s="138">
        <v>174758</v>
      </c>
      <c r="I861" s="138"/>
      <c r="J861" s="126">
        <f t="shared" si="106"/>
        <v>174758</v>
      </c>
      <c r="K861" s="318">
        <v>43873</v>
      </c>
      <c r="L861" s="95">
        <v>30</v>
      </c>
      <c r="M861" s="313">
        <f t="shared" si="107"/>
        <v>43903</v>
      </c>
      <c r="N861" s="2" t="str">
        <f t="shared" si="108"/>
        <v>Pagado</v>
      </c>
      <c r="O861" s="318">
        <v>43913</v>
      </c>
      <c r="P861" s="138">
        <v>174758</v>
      </c>
      <c r="Q861" s="2" t="s">
        <v>1484</v>
      </c>
      <c r="R861" s="2"/>
      <c r="S861" s="95"/>
      <c r="T861" s="313"/>
      <c r="U861" s="393"/>
      <c r="V861" s="95"/>
      <c r="W861" s="129"/>
      <c r="X861" s="318"/>
      <c r="Y861" s="95"/>
      <c r="Z861" s="131"/>
      <c r="AA861" s="108" t="str">
        <f t="shared" si="113"/>
        <v/>
      </c>
      <c r="AB861" s="2"/>
      <c r="AC861" s="131">
        <f t="shared" si="109"/>
        <v>146855.46218487396</v>
      </c>
      <c r="AD861" s="108">
        <f t="shared" si="110"/>
        <v>27902.537815126037</v>
      </c>
      <c r="AE861" s="95" t="s">
        <v>2050</v>
      </c>
      <c r="AF861" s="541" t="s">
        <v>3490</v>
      </c>
      <c r="AG861" s="2" t="str">
        <f t="shared" si="111"/>
        <v>SI</v>
      </c>
      <c r="AH861" s="284"/>
      <c r="AI861" s="541"/>
      <c r="AJ861" s="2" t="str">
        <f t="shared" si="112"/>
        <v>Factura</v>
      </c>
      <c r="AK861" s="303"/>
    </row>
    <row r="862" spans="1:37" x14ac:dyDescent="0.25">
      <c r="A862" s="542" t="s">
        <v>1175</v>
      </c>
      <c r="B862" s="317" t="s">
        <v>1144</v>
      </c>
      <c r="C862" s="95">
        <v>3108</v>
      </c>
      <c r="D862" s="95">
        <v>0</v>
      </c>
      <c r="E862" s="95"/>
      <c r="F862" s="95"/>
      <c r="G862" s="95" t="s">
        <v>2528</v>
      </c>
      <c r="H862" s="138">
        <v>57822</v>
      </c>
      <c r="I862" s="138"/>
      <c r="J862" s="126">
        <f t="shared" si="106"/>
        <v>57822</v>
      </c>
      <c r="K862" s="318">
        <v>43873</v>
      </c>
      <c r="L862" s="95">
        <v>30</v>
      </c>
      <c r="M862" s="313">
        <f t="shared" si="107"/>
        <v>43903</v>
      </c>
      <c r="N862" s="2" t="str">
        <f t="shared" si="108"/>
        <v>Pagado</v>
      </c>
      <c r="O862" s="318">
        <v>43913</v>
      </c>
      <c r="P862" s="138">
        <v>57822</v>
      </c>
      <c r="Q862" s="2" t="s">
        <v>1484</v>
      </c>
      <c r="R862" s="2"/>
      <c r="S862" s="95"/>
      <c r="T862" s="313"/>
      <c r="U862" s="393"/>
      <c r="V862" s="95"/>
      <c r="W862" s="129"/>
      <c r="X862" s="318"/>
      <c r="Y862" s="95"/>
      <c r="Z862" s="131"/>
      <c r="AA862" s="108" t="str">
        <f t="shared" si="113"/>
        <v/>
      </c>
      <c r="AB862" s="2"/>
      <c r="AC862" s="131">
        <f t="shared" si="109"/>
        <v>48589.915966386558</v>
      </c>
      <c r="AD862" s="108">
        <f t="shared" si="110"/>
        <v>9232.0840336134424</v>
      </c>
      <c r="AE862" s="95" t="s">
        <v>2050</v>
      </c>
      <c r="AF862" s="541" t="s">
        <v>3490</v>
      </c>
      <c r="AG862" s="2" t="str">
        <f t="shared" si="111"/>
        <v>SI</v>
      </c>
      <c r="AH862" s="284"/>
      <c r="AI862" s="541"/>
      <c r="AJ862" s="2" t="str">
        <f t="shared" si="112"/>
        <v>Factura</v>
      </c>
      <c r="AK862" s="303"/>
    </row>
    <row r="863" spans="1:37" x14ac:dyDescent="0.25">
      <c r="A863" s="501" t="s">
        <v>1209</v>
      </c>
      <c r="B863" s="317" t="s">
        <v>974</v>
      </c>
      <c r="C863" s="95">
        <v>0</v>
      </c>
      <c r="D863" s="95">
        <v>2934</v>
      </c>
      <c r="E863" s="95"/>
      <c r="F863" s="95"/>
      <c r="G863" s="95">
        <v>6530</v>
      </c>
      <c r="H863" s="138">
        <v>35500</v>
      </c>
      <c r="I863" s="138"/>
      <c r="J863" s="126">
        <f t="shared" si="106"/>
        <v>35500</v>
      </c>
      <c r="K863" s="318">
        <v>43873</v>
      </c>
      <c r="L863" s="95">
        <v>0</v>
      </c>
      <c r="M863" s="313">
        <f t="shared" si="107"/>
        <v>43873</v>
      </c>
      <c r="N863" s="2" t="str">
        <f t="shared" si="108"/>
        <v>Pagado</v>
      </c>
      <c r="O863" s="318">
        <v>43894</v>
      </c>
      <c r="P863" s="138">
        <v>35500</v>
      </c>
      <c r="Q863" s="2" t="s">
        <v>1484</v>
      </c>
      <c r="R863" s="2"/>
      <c r="S863" s="95"/>
      <c r="T863" s="313" t="s">
        <v>1490</v>
      </c>
      <c r="U863" s="393"/>
      <c r="V863" s="95"/>
      <c r="W863" s="129"/>
      <c r="X863" s="318"/>
      <c r="Y863" s="95"/>
      <c r="Z863" s="131"/>
      <c r="AA863" s="108" t="str">
        <f t="shared" si="113"/>
        <v/>
      </c>
      <c r="AB863" s="2"/>
      <c r="AC863" s="131">
        <f t="shared" si="109"/>
        <v>29831.932773109245</v>
      </c>
      <c r="AD863" s="108">
        <f t="shared" si="110"/>
        <v>5668.0672268907547</v>
      </c>
      <c r="AE863" s="95" t="s">
        <v>2050</v>
      </c>
      <c r="AF863" s="500" t="s">
        <v>3487</v>
      </c>
      <c r="AG863" s="2" t="str">
        <f t="shared" si="111"/>
        <v>SI</v>
      </c>
      <c r="AH863" s="284"/>
      <c r="AI863" s="500"/>
      <c r="AJ863" s="2" t="str">
        <f t="shared" si="112"/>
        <v>NV</v>
      </c>
      <c r="AK863" s="303"/>
    </row>
    <row r="864" spans="1:37" x14ac:dyDescent="0.25">
      <c r="A864" s="499" t="s">
        <v>5154</v>
      </c>
      <c r="B864" s="317" t="s">
        <v>5155</v>
      </c>
      <c r="C864" s="95">
        <v>0</v>
      </c>
      <c r="D864" s="95">
        <v>2933</v>
      </c>
      <c r="E864" s="95"/>
      <c r="F864" s="95"/>
      <c r="G864" s="95">
        <v>6527</v>
      </c>
      <c r="H864" s="138">
        <v>16500</v>
      </c>
      <c r="I864" s="138"/>
      <c r="J864" s="126">
        <f t="shared" si="106"/>
        <v>16500</v>
      </c>
      <c r="K864" s="318">
        <v>43873</v>
      </c>
      <c r="L864" s="95">
        <v>0</v>
      </c>
      <c r="M864" s="313">
        <f t="shared" si="107"/>
        <v>43873</v>
      </c>
      <c r="N864" s="2" t="str">
        <f t="shared" si="108"/>
        <v>Abonado</v>
      </c>
      <c r="O864" s="318">
        <v>43873</v>
      </c>
      <c r="P864" s="138">
        <v>15500</v>
      </c>
      <c r="Q864" s="2" t="s">
        <v>1481</v>
      </c>
      <c r="R864" s="2"/>
      <c r="S864" s="95"/>
      <c r="T864" s="313"/>
      <c r="U864" s="393"/>
      <c r="V864" s="95"/>
      <c r="W864" s="129"/>
      <c r="X864" s="318"/>
      <c r="Y864" s="95"/>
      <c r="Z864" s="131"/>
      <c r="AA864" s="108" t="str">
        <f t="shared" si="113"/>
        <v/>
      </c>
      <c r="AB864" s="2"/>
      <c r="AC864" s="131">
        <f t="shared" si="109"/>
        <v>13865.546218487396</v>
      </c>
      <c r="AD864" s="108">
        <f t="shared" si="110"/>
        <v>2634.4537815126041</v>
      </c>
      <c r="AE864" s="95" t="s">
        <v>1501</v>
      </c>
      <c r="AF864" s="498" t="s">
        <v>3487</v>
      </c>
      <c r="AG864" s="2" t="str">
        <f t="shared" si="111"/>
        <v>NO</v>
      </c>
      <c r="AH864" s="284"/>
      <c r="AI864" s="498"/>
      <c r="AJ864" s="2" t="str">
        <f t="shared" si="112"/>
        <v>NV</v>
      </c>
      <c r="AK864" s="303"/>
    </row>
    <row r="865" spans="1:37" x14ac:dyDescent="0.25">
      <c r="A865" s="542" t="s">
        <v>4480</v>
      </c>
      <c r="B865" s="317" t="s">
        <v>4481</v>
      </c>
      <c r="C865" s="95">
        <v>0</v>
      </c>
      <c r="D865" s="95">
        <v>2942</v>
      </c>
      <c r="E865" s="95"/>
      <c r="F865" s="95"/>
      <c r="G865" s="95">
        <v>6533</v>
      </c>
      <c r="H865" s="138">
        <v>22700</v>
      </c>
      <c r="I865" s="138"/>
      <c r="J865" s="126">
        <f t="shared" si="106"/>
        <v>22700</v>
      </c>
      <c r="K865" s="318">
        <v>43874</v>
      </c>
      <c r="L865" s="95">
        <v>0</v>
      </c>
      <c r="M865" s="313">
        <f t="shared" si="107"/>
        <v>43874</v>
      </c>
      <c r="N865" s="2" t="str">
        <f t="shared" si="108"/>
        <v>Pagado</v>
      </c>
      <c r="O865" s="318">
        <v>43874</v>
      </c>
      <c r="P865" s="138">
        <v>22700</v>
      </c>
      <c r="Q865" s="2" t="s">
        <v>1481</v>
      </c>
      <c r="R865" s="2"/>
      <c r="S865" s="95"/>
      <c r="T865" s="313"/>
      <c r="U865" s="393"/>
      <c r="V865" s="95"/>
      <c r="W865" s="129"/>
      <c r="X865" s="318"/>
      <c r="Y865" s="95"/>
      <c r="Z865" s="131"/>
      <c r="AA865" s="108" t="str">
        <f t="shared" si="113"/>
        <v/>
      </c>
      <c r="AB865" s="2"/>
      <c r="AC865" s="131">
        <f t="shared" si="109"/>
        <v>19075.63025210084</v>
      </c>
      <c r="AD865" s="108">
        <f t="shared" si="110"/>
        <v>3624.3697478991598</v>
      </c>
      <c r="AE865" s="95" t="s">
        <v>1501</v>
      </c>
      <c r="AF865" s="541" t="s">
        <v>3487</v>
      </c>
      <c r="AG865" s="2" t="str">
        <f t="shared" si="111"/>
        <v>SI</v>
      </c>
      <c r="AH865" s="284"/>
      <c r="AI865" s="541"/>
      <c r="AJ865" s="2" t="str">
        <f t="shared" si="112"/>
        <v>NV</v>
      </c>
      <c r="AK865" s="303"/>
    </row>
    <row r="866" spans="1:37" x14ac:dyDescent="0.25">
      <c r="A866" s="542" t="s">
        <v>4947</v>
      </c>
      <c r="B866" s="317" t="s">
        <v>4948</v>
      </c>
      <c r="C866" s="95">
        <v>0</v>
      </c>
      <c r="D866" s="95">
        <v>2939</v>
      </c>
      <c r="E866" s="95"/>
      <c r="F866" s="95"/>
      <c r="G866" s="95">
        <v>6537</v>
      </c>
      <c r="H866" s="138">
        <v>15800</v>
      </c>
      <c r="I866" s="138"/>
      <c r="J866" s="126">
        <f t="shared" si="106"/>
        <v>15800</v>
      </c>
      <c r="K866" s="318">
        <v>43874</v>
      </c>
      <c r="L866" s="95">
        <v>0</v>
      </c>
      <c r="M866" s="313">
        <f t="shared" si="107"/>
        <v>43874</v>
      </c>
      <c r="N866" s="2" t="str">
        <f t="shared" si="108"/>
        <v>Pagado</v>
      </c>
      <c r="O866" s="318">
        <v>43874</v>
      </c>
      <c r="P866" s="138">
        <v>15800</v>
      </c>
      <c r="Q866" s="2" t="s">
        <v>1484</v>
      </c>
      <c r="R866" s="2"/>
      <c r="S866" s="95"/>
      <c r="T866" s="313" t="s">
        <v>1488</v>
      </c>
      <c r="U866" s="393"/>
      <c r="V866" s="95"/>
      <c r="W866" s="129"/>
      <c r="X866" s="318"/>
      <c r="Y866" s="95"/>
      <c r="Z866" s="131"/>
      <c r="AA866" s="108" t="str">
        <f t="shared" si="113"/>
        <v/>
      </c>
      <c r="AB866" s="2"/>
      <c r="AC866" s="131">
        <f t="shared" si="109"/>
        <v>13277.310924369749</v>
      </c>
      <c r="AD866" s="108">
        <f t="shared" si="110"/>
        <v>2522.689075630251</v>
      </c>
      <c r="AE866" s="95" t="s">
        <v>1501</v>
      </c>
      <c r="AF866" s="541" t="s">
        <v>3487</v>
      </c>
      <c r="AG866" s="2" t="str">
        <f t="shared" si="111"/>
        <v>SI</v>
      </c>
      <c r="AH866" s="284"/>
      <c r="AI866" s="541"/>
      <c r="AJ866" s="2" t="str">
        <f t="shared" si="112"/>
        <v>NV</v>
      </c>
      <c r="AK866" s="303"/>
    </row>
    <row r="867" spans="1:37" x14ac:dyDescent="0.25">
      <c r="A867" s="542" t="s">
        <v>5419</v>
      </c>
      <c r="B867" s="317" t="s">
        <v>5420</v>
      </c>
      <c r="C867" s="95">
        <v>0</v>
      </c>
      <c r="D867" s="95">
        <v>2945</v>
      </c>
      <c r="E867" s="95"/>
      <c r="F867" s="95"/>
      <c r="G867" s="95">
        <v>6545</v>
      </c>
      <c r="H867" s="138">
        <v>31600</v>
      </c>
      <c r="I867" s="138"/>
      <c r="J867" s="126">
        <f t="shared" si="106"/>
        <v>31600</v>
      </c>
      <c r="K867" s="318">
        <v>43874</v>
      </c>
      <c r="L867" s="95">
        <v>0</v>
      </c>
      <c r="M867" s="313">
        <f t="shared" si="107"/>
        <v>43874</v>
      </c>
      <c r="N867" s="2" t="str">
        <f t="shared" si="108"/>
        <v>Pagado</v>
      </c>
      <c r="O867" s="318">
        <v>43874</v>
      </c>
      <c r="P867" s="138">
        <v>31600</v>
      </c>
      <c r="Q867" s="2" t="s">
        <v>1484</v>
      </c>
      <c r="R867" s="2"/>
      <c r="S867" s="95"/>
      <c r="T867" s="313" t="s">
        <v>1492</v>
      </c>
      <c r="U867" s="393"/>
      <c r="V867" s="95"/>
      <c r="W867" s="129"/>
      <c r="X867" s="318"/>
      <c r="Y867" s="95"/>
      <c r="Z867" s="131"/>
      <c r="AA867" s="108" t="str">
        <f t="shared" si="113"/>
        <v/>
      </c>
      <c r="AB867" s="2"/>
      <c r="AC867" s="131">
        <f t="shared" si="109"/>
        <v>26554.621848739498</v>
      </c>
      <c r="AD867" s="108">
        <f t="shared" si="110"/>
        <v>5045.3781512605019</v>
      </c>
      <c r="AE867" s="95" t="s">
        <v>1501</v>
      </c>
      <c r="AF867" s="541" t="s">
        <v>3487</v>
      </c>
      <c r="AG867" s="2" t="str">
        <f t="shared" si="111"/>
        <v>SI</v>
      </c>
      <c r="AH867" s="284"/>
      <c r="AI867" s="541"/>
      <c r="AJ867" s="2" t="str">
        <f t="shared" si="112"/>
        <v>NV</v>
      </c>
      <c r="AK867" s="303"/>
    </row>
    <row r="868" spans="1:37" x14ac:dyDescent="0.25">
      <c r="A868" s="501" t="s">
        <v>1250</v>
      </c>
      <c r="B868" s="317" t="s">
        <v>3398</v>
      </c>
      <c r="C868" s="95">
        <v>0</v>
      </c>
      <c r="D868" s="95">
        <v>2938</v>
      </c>
      <c r="E868" s="95"/>
      <c r="F868" s="95"/>
      <c r="G868" s="95">
        <v>6538</v>
      </c>
      <c r="H868" s="138">
        <v>11600</v>
      </c>
      <c r="I868" s="138"/>
      <c r="J868" s="126">
        <f t="shared" si="106"/>
        <v>11600</v>
      </c>
      <c r="K868" s="318">
        <v>43874</v>
      </c>
      <c r="L868" s="95">
        <v>0</v>
      </c>
      <c r="M868" s="313">
        <f t="shared" si="107"/>
        <v>43874</v>
      </c>
      <c r="N868" s="2" t="str">
        <f t="shared" si="108"/>
        <v>Pagado</v>
      </c>
      <c r="O868" s="318">
        <v>43873</v>
      </c>
      <c r="P868" s="138">
        <v>11600</v>
      </c>
      <c r="Q868" s="2" t="s">
        <v>1484</v>
      </c>
      <c r="R868" s="2"/>
      <c r="S868" s="95"/>
      <c r="T868" s="313" t="s">
        <v>1488</v>
      </c>
      <c r="U868" s="393"/>
      <c r="V868" s="95"/>
      <c r="W868" s="129"/>
      <c r="X868" s="318"/>
      <c r="Y868" s="95"/>
      <c r="Z868" s="131"/>
      <c r="AA868" s="108" t="str">
        <f t="shared" si="113"/>
        <v/>
      </c>
      <c r="AB868" s="2"/>
      <c r="AC868" s="131">
        <f t="shared" si="109"/>
        <v>9747.8991596638662</v>
      </c>
      <c r="AD868" s="108">
        <f t="shared" si="110"/>
        <v>1852.1008403361338</v>
      </c>
      <c r="AE868" s="95" t="s">
        <v>1501</v>
      </c>
      <c r="AF868" s="500" t="s">
        <v>3489</v>
      </c>
      <c r="AG868" s="2" t="str">
        <f t="shared" si="111"/>
        <v>SI</v>
      </c>
      <c r="AH868" s="284"/>
      <c r="AI868" s="500"/>
      <c r="AJ868" s="2" t="str">
        <f t="shared" si="112"/>
        <v>NV</v>
      </c>
      <c r="AK868" s="303"/>
    </row>
    <row r="869" spans="1:37" x14ac:dyDescent="0.25">
      <c r="A869" s="501" t="s">
        <v>2437</v>
      </c>
      <c r="B869" s="317" t="s">
        <v>2438</v>
      </c>
      <c r="C869" s="95">
        <v>0</v>
      </c>
      <c r="D869" s="95">
        <v>2941</v>
      </c>
      <c r="E869" s="95"/>
      <c r="F869" s="95"/>
      <c r="G869" s="95">
        <v>6535</v>
      </c>
      <c r="H869" s="138">
        <v>23000</v>
      </c>
      <c r="I869" s="138"/>
      <c r="J869" s="126">
        <f t="shared" si="106"/>
        <v>23000</v>
      </c>
      <c r="K869" s="318">
        <v>43874</v>
      </c>
      <c r="L869" s="95">
        <v>0</v>
      </c>
      <c r="M869" s="313">
        <f t="shared" si="107"/>
        <v>43874</v>
      </c>
      <c r="N869" s="2" t="str">
        <f t="shared" si="108"/>
        <v>Pagado</v>
      </c>
      <c r="O869" s="318">
        <v>43874</v>
      </c>
      <c r="P869" s="138">
        <v>23000</v>
      </c>
      <c r="Q869" s="2" t="s">
        <v>1481</v>
      </c>
      <c r="R869" s="2"/>
      <c r="S869" s="95"/>
      <c r="T869" s="313"/>
      <c r="U869" s="393"/>
      <c r="V869" s="95"/>
      <c r="W869" s="129"/>
      <c r="X869" s="318"/>
      <c r="Y869" s="95"/>
      <c r="Z869" s="131"/>
      <c r="AA869" s="108" t="str">
        <f t="shared" si="113"/>
        <v/>
      </c>
      <c r="AB869" s="2"/>
      <c r="AC869" s="131">
        <f t="shared" si="109"/>
        <v>19327.731092436974</v>
      </c>
      <c r="AD869" s="108">
        <f t="shared" si="110"/>
        <v>3672.268907563026</v>
      </c>
      <c r="AE869" s="95" t="s">
        <v>1501</v>
      </c>
      <c r="AF869" s="500" t="s">
        <v>3489</v>
      </c>
      <c r="AG869" s="2" t="str">
        <f t="shared" si="111"/>
        <v>SI</v>
      </c>
      <c r="AH869" s="284"/>
      <c r="AI869" s="500"/>
      <c r="AJ869" s="2" t="str">
        <f t="shared" si="112"/>
        <v>NV</v>
      </c>
      <c r="AK869" s="303"/>
    </row>
    <row r="870" spans="1:37" x14ac:dyDescent="0.25">
      <c r="A870" s="501" t="s">
        <v>1278</v>
      </c>
      <c r="B870" s="317" t="s">
        <v>1942</v>
      </c>
      <c r="C870" s="95">
        <v>0</v>
      </c>
      <c r="D870" s="95">
        <v>2943</v>
      </c>
      <c r="E870" s="95"/>
      <c r="F870" s="95"/>
      <c r="G870" s="95">
        <v>6534</v>
      </c>
      <c r="H870" s="138">
        <v>33100</v>
      </c>
      <c r="I870" s="138"/>
      <c r="J870" s="126">
        <f t="shared" si="106"/>
        <v>33100</v>
      </c>
      <c r="K870" s="318">
        <v>43874</v>
      </c>
      <c r="L870" s="95">
        <v>0</v>
      </c>
      <c r="M870" s="313">
        <f t="shared" si="107"/>
        <v>43874</v>
      </c>
      <c r="N870" s="2" t="str">
        <f t="shared" si="108"/>
        <v>Pagado</v>
      </c>
      <c r="O870" s="318">
        <v>43874</v>
      </c>
      <c r="P870" s="138">
        <v>33100</v>
      </c>
      <c r="Q870" s="2" t="s">
        <v>1484</v>
      </c>
      <c r="R870" s="2"/>
      <c r="S870" s="95"/>
      <c r="T870" s="313" t="s">
        <v>1496</v>
      </c>
      <c r="U870" s="393"/>
      <c r="V870" s="95"/>
      <c r="W870" s="129"/>
      <c r="X870" s="318"/>
      <c r="Y870" s="95"/>
      <c r="Z870" s="131"/>
      <c r="AA870" s="108" t="str">
        <f t="shared" si="113"/>
        <v/>
      </c>
      <c r="AB870" s="2"/>
      <c r="AC870" s="131">
        <f t="shared" si="109"/>
        <v>27815.126050420171</v>
      </c>
      <c r="AD870" s="108">
        <f t="shared" si="110"/>
        <v>5284.8739495798291</v>
      </c>
      <c r="AE870" s="95" t="s">
        <v>1501</v>
      </c>
      <c r="AF870" s="500" t="s">
        <v>3487</v>
      </c>
      <c r="AG870" s="2" t="str">
        <f t="shared" si="111"/>
        <v>SI</v>
      </c>
      <c r="AH870" s="284"/>
      <c r="AI870" s="500"/>
      <c r="AJ870" s="2" t="str">
        <f t="shared" si="112"/>
        <v>NV</v>
      </c>
      <c r="AK870" s="303"/>
    </row>
    <row r="871" spans="1:37" x14ac:dyDescent="0.25">
      <c r="A871" s="534" t="s">
        <v>5754</v>
      </c>
      <c r="B871" s="317" t="s">
        <v>5755</v>
      </c>
      <c r="C871" s="95">
        <v>0</v>
      </c>
      <c r="D871" s="95">
        <v>2944</v>
      </c>
      <c r="E871" s="95"/>
      <c r="F871" s="95"/>
      <c r="G871" s="95">
        <v>6539</v>
      </c>
      <c r="H871" s="138">
        <v>12500</v>
      </c>
      <c r="I871" s="138"/>
      <c r="J871" s="126">
        <f t="shared" si="106"/>
        <v>12500</v>
      </c>
      <c r="K871" s="318">
        <v>43874</v>
      </c>
      <c r="L871" s="95">
        <v>0</v>
      </c>
      <c r="M871" s="313">
        <f t="shared" si="107"/>
        <v>43874</v>
      </c>
      <c r="N871" s="2" t="str">
        <f t="shared" si="108"/>
        <v>Pagado</v>
      </c>
      <c r="O871" s="318">
        <v>43874</v>
      </c>
      <c r="P871" s="138">
        <v>12500</v>
      </c>
      <c r="Q871" s="2" t="s">
        <v>1481</v>
      </c>
      <c r="R871" s="2"/>
      <c r="S871" s="95"/>
      <c r="T871" s="313"/>
      <c r="U871" s="393"/>
      <c r="V871" s="95"/>
      <c r="W871" s="129"/>
      <c r="X871" s="318"/>
      <c r="Y871" s="95"/>
      <c r="Z871" s="131"/>
      <c r="AA871" s="108" t="str">
        <f t="shared" si="113"/>
        <v/>
      </c>
      <c r="AB871" s="2"/>
      <c r="AC871" s="131">
        <f t="shared" si="109"/>
        <v>10504.20168067227</v>
      </c>
      <c r="AD871" s="108">
        <f t="shared" si="110"/>
        <v>1995.7983193277305</v>
      </c>
      <c r="AE871" s="95" t="s">
        <v>1501</v>
      </c>
      <c r="AF871" s="533" t="s">
        <v>3487</v>
      </c>
      <c r="AG871" s="2" t="str">
        <f t="shared" si="111"/>
        <v>SI</v>
      </c>
      <c r="AH871" s="284"/>
      <c r="AI871" s="533"/>
      <c r="AJ871" s="2" t="str">
        <f t="shared" si="112"/>
        <v>NV</v>
      </c>
      <c r="AK871" s="303"/>
    </row>
    <row r="872" spans="1:37" x14ac:dyDescent="0.25">
      <c r="A872" s="534" t="s">
        <v>4031</v>
      </c>
      <c r="B872" s="317" t="s">
        <v>4032</v>
      </c>
      <c r="C872" s="95">
        <v>0</v>
      </c>
      <c r="D872" s="95">
        <v>2940</v>
      </c>
      <c r="E872" s="95"/>
      <c r="F872" s="95"/>
      <c r="G872" s="95">
        <v>6536</v>
      </c>
      <c r="H872" s="138">
        <v>12500</v>
      </c>
      <c r="I872" s="138"/>
      <c r="J872" s="126">
        <f t="shared" si="106"/>
        <v>12500</v>
      </c>
      <c r="K872" s="318">
        <v>43874</v>
      </c>
      <c r="L872" s="95">
        <v>0</v>
      </c>
      <c r="M872" s="313">
        <f t="shared" si="107"/>
        <v>43874</v>
      </c>
      <c r="N872" s="2" t="str">
        <f t="shared" si="108"/>
        <v>Pagado</v>
      </c>
      <c r="O872" s="318">
        <v>43874</v>
      </c>
      <c r="P872" s="138">
        <v>12500</v>
      </c>
      <c r="Q872" s="2" t="s">
        <v>1484</v>
      </c>
      <c r="R872" s="2"/>
      <c r="S872" s="95"/>
      <c r="T872" s="313" t="s">
        <v>1492</v>
      </c>
      <c r="U872" s="393"/>
      <c r="V872" s="95"/>
      <c r="W872" s="129"/>
      <c r="X872" s="318"/>
      <c r="Y872" s="95"/>
      <c r="Z872" s="131"/>
      <c r="AA872" s="108" t="str">
        <f t="shared" si="113"/>
        <v/>
      </c>
      <c r="AB872" s="2"/>
      <c r="AC872" s="131">
        <f t="shared" si="109"/>
        <v>10504.20168067227</v>
      </c>
      <c r="AD872" s="108">
        <f t="shared" si="110"/>
        <v>1995.7983193277305</v>
      </c>
      <c r="AE872" s="95" t="s">
        <v>1501</v>
      </c>
      <c r="AF872" s="533" t="s">
        <v>3487</v>
      </c>
      <c r="AG872" s="2" t="str">
        <f t="shared" si="111"/>
        <v>SI</v>
      </c>
      <c r="AH872" s="284"/>
      <c r="AI872" s="533"/>
      <c r="AJ872" s="2" t="str">
        <f t="shared" si="112"/>
        <v>NV</v>
      </c>
      <c r="AK872" s="303"/>
    </row>
    <row r="873" spans="1:37" x14ac:dyDescent="0.25">
      <c r="A873" s="542" t="s">
        <v>1233</v>
      </c>
      <c r="B873" s="317" t="s">
        <v>1046</v>
      </c>
      <c r="C873" s="95">
        <v>0</v>
      </c>
      <c r="D873" s="95" t="s">
        <v>2528</v>
      </c>
      <c r="E873" s="95"/>
      <c r="F873" s="95"/>
      <c r="G873" s="95">
        <v>6541</v>
      </c>
      <c r="H873" s="138">
        <v>33100</v>
      </c>
      <c r="I873" s="138"/>
      <c r="J873" s="126">
        <f t="shared" si="106"/>
        <v>33100</v>
      </c>
      <c r="K873" s="318">
        <v>43875</v>
      </c>
      <c r="L873" s="95">
        <v>0</v>
      </c>
      <c r="M873" s="313">
        <f t="shared" si="107"/>
        <v>43875</v>
      </c>
      <c r="N873" s="2" t="str">
        <f t="shared" si="108"/>
        <v>Pagado</v>
      </c>
      <c r="O873" s="318">
        <v>43896</v>
      </c>
      <c r="P873" s="138">
        <v>33100</v>
      </c>
      <c r="Q873" s="2" t="s">
        <v>1484</v>
      </c>
      <c r="R873" s="2"/>
      <c r="S873" s="95"/>
      <c r="T873" s="313" t="s">
        <v>1492</v>
      </c>
      <c r="U873" s="393"/>
      <c r="V873" s="95"/>
      <c r="W873" s="129"/>
      <c r="X873" s="318"/>
      <c r="Y873" s="95"/>
      <c r="Z873" s="131"/>
      <c r="AA873" s="108" t="str">
        <f t="shared" si="113"/>
        <v/>
      </c>
      <c r="AB873" s="2"/>
      <c r="AC873" s="131">
        <f t="shared" si="109"/>
        <v>27815.126050420171</v>
      </c>
      <c r="AD873" s="108">
        <f t="shared" si="110"/>
        <v>5284.8739495798291</v>
      </c>
      <c r="AE873" s="95" t="s">
        <v>1501</v>
      </c>
      <c r="AF873" s="541" t="s">
        <v>3489</v>
      </c>
      <c r="AG873" s="2" t="str">
        <f t="shared" si="111"/>
        <v>SI</v>
      </c>
      <c r="AH873" s="284"/>
      <c r="AI873" s="541"/>
      <c r="AJ873" s="2" t="str">
        <f t="shared" si="112"/>
        <v>NV</v>
      </c>
      <c r="AK873" s="303"/>
    </row>
    <row r="874" spans="1:37" x14ac:dyDescent="0.25">
      <c r="A874" s="542" t="s">
        <v>4919</v>
      </c>
      <c r="B874" s="317" t="s">
        <v>4920</v>
      </c>
      <c r="C874" s="95">
        <v>0</v>
      </c>
      <c r="D874" s="95">
        <v>2948</v>
      </c>
      <c r="E874" s="95"/>
      <c r="F874" s="95"/>
      <c r="G874" s="95">
        <v>6546</v>
      </c>
      <c r="H874" s="138">
        <v>12500</v>
      </c>
      <c r="I874" s="138"/>
      <c r="J874" s="126">
        <f t="shared" si="106"/>
        <v>12500</v>
      </c>
      <c r="K874" s="318">
        <v>43875</v>
      </c>
      <c r="L874" s="95">
        <v>0</v>
      </c>
      <c r="M874" s="313">
        <f t="shared" si="107"/>
        <v>43875</v>
      </c>
      <c r="N874" s="2" t="str">
        <f t="shared" si="108"/>
        <v>Pagado</v>
      </c>
      <c r="O874" s="318">
        <v>43875</v>
      </c>
      <c r="P874" s="138">
        <v>12500</v>
      </c>
      <c r="Q874" s="2" t="s">
        <v>1481</v>
      </c>
      <c r="R874" s="2"/>
      <c r="S874" s="95"/>
      <c r="T874" s="326"/>
      <c r="U874" s="393"/>
      <c r="V874" s="95"/>
      <c r="W874" s="129"/>
      <c r="X874" s="318"/>
      <c r="Y874" s="95"/>
      <c r="Z874" s="131"/>
      <c r="AA874" s="108" t="str">
        <f t="shared" si="113"/>
        <v/>
      </c>
      <c r="AB874" s="2"/>
      <c r="AC874" s="131">
        <f t="shared" si="109"/>
        <v>10504.20168067227</v>
      </c>
      <c r="AD874" s="108">
        <f t="shared" si="110"/>
        <v>1995.7983193277305</v>
      </c>
      <c r="AE874" s="95" t="s">
        <v>1501</v>
      </c>
      <c r="AF874" s="541" t="s">
        <v>3487</v>
      </c>
      <c r="AG874" s="2" t="str">
        <f t="shared" si="111"/>
        <v>SI</v>
      </c>
      <c r="AH874" s="284"/>
      <c r="AI874" s="541"/>
      <c r="AJ874" s="2" t="str">
        <f t="shared" si="112"/>
        <v>NV</v>
      </c>
      <c r="AK874" s="303"/>
    </row>
    <row r="875" spans="1:37" x14ac:dyDescent="0.25">
      <c r="A875" s="534" t="s">
        <v>5443</v>
      </c>
      <c r="B875" s="317" t="s">
        <v>5909</v>
      </c>
      <c r="C875" s="95">
        <v>0</v>
      </c>
      <c r="D875" s="95">
        <v>208</v>
      </c>
      <c r="E875" s="95"/>
      <c r="F875" s="95"/>
      <c r="G875" s="95">
        <v>6542</v>
      </c>
      <c r="H875" s="138">
        <v>45600</v>
      </c>
      <c r="I875" s="138"/>
      <c r="J875" s="126">
        <f t="shared" si="106"/>
        <v>45600</v>
      </c>
      <c r="K875" s="318">
        <v>43875</v>
      </c>
      <c r="L875" s="95">
        <v>0</v>
      </c>
      <c r="M875" s="313">
        <f t="shared" si="107"/>
        <v>43875</v>
      </c>
      <c r="N875" s="2" t="str">
        <f t="shared" si="108"/>
        <v>Pagado</v>
      </c>
      <c r="O875" s="318">
        <v>43875</v>
      </c>
      <c r="P875" s="138">
        <v>45600</v>
      </c>
      <c r="Q875" s="2" t="s">
        <v>1481</v>
      </c>
      <c r="R875" s="2"/>
      <c r="S875" s="95">
        <v>208</v>
      </c>
      <c r="T875" s="313"/>
      <c r="U875" s="393"/>
      <c r="V875" s="95"/>
      <c r="W875" s="129"/>
      <c r="X875" s="318"/>
      <c r="Y875" s="95"/>
      <c r="Z875" s="131"/>
      <c r="AA875" s="108" t="str">
        <f t="shared" si="113"/>
        <v/>
      </c>
      <c r="AB875" s="2"/>
      <c r="AC875" s="131">
        <f t="shared" si="109"/>
        <v>38319.327731092439</v>
      </c>
      <c r="AD875" s="108">
        <f t="shared" si="110"/>
        <v>7280.6722689075614</v>
      </c>
      <c r="AE875" s="95" t="s">
        <v>1501</v>
      </c>
      <c r="AF875" s="533" t="s">
        <v>3487</v>
      </c>
      <c r="AG875" s="2" t="str">
        <f t="shared" si="111"/>
        <v>SI</v>
      </c>
      <c r="AH875" s="284"/>
      <c r="AI875" s="533"/>
      <c r="AJ875" s="2" t="str">
        <f t="shared" si="112"/>
        <v>NV</v>
      </c>
      <c r="AK875" s="303"/>
    </row>
    <row r="876" spans="1:37" x14ac:dyDescent="0.25">
      <c r="A876" s="534" t="s">
        <v>5258</v>
      </c>
      <c r="B876" s="317" t="s">
        <v>5259</v>
      </c>
      <c r="C876" s="95">
        <v>0</v>
      </c>
      <c r="D876" s="95">
        <v>2947</v>
      </c>
      <c r="E876" s="95"/>
      <c r="F876" s="95"/>
      <c r="G876" s="95">
        <v>6543</v>
      </c>
      <c r="H876" s="138">
        <v>39400</v>
      </c>
      <c r="I876" s="138"/>
      <c r="J876" s="126">
        <f t="shared" si="106"/>
        <v>39400</v>
      </c>
      <c r="K876" s="318">
        <v>43875</v>
      </c>
      <c r="L876" s="95">
        <v>0</v>
      </c>
      <c r="M876" s="313">
        <f t="shared" si="107"/>
        <v>43875</v>
      </c>
      <c r="N876" s="2" t="str">
        <f t="shared" si="108"/>
        <v>Pagado</v>
      </c>
      <c r="O876" s="318">
        <v>43875</v>
      </c>
      <c r="P876" s="138">
        <v>39400</v>
      </c>
      <c r="Q876" s="2" t="s">
        <v>1484</v>
      </c>
      <c r="R876" s="2"/>
      <c r="S876" s="95"/>
      <c r="T876" s="313" t="s">
        <v>1462</v>
      </c>
      <c r="U876" s="393"/>
      <c r="V876" s="95"/>
      <c r="W876" s="129"/>
      <c r="X876" s="318"/>
      <c r="Y876" s="95"/>
      <c r="Z876" s="131"/>
      <c r="AA876" s="108" t="str">
        <f t="shared" si="113"/>
        <v/>
      </c>
      <c r="AB876" s="2"/>
      <c r="AC876" s="131">
        <f t="shared" si="109"/>
        <v>33109.243697478996</v>
      </c>
      <c r="AD876" s="108">
        <f t="shared" si="110"/>
        <v>6290.7563025210038</v>
      </c>
      <c r="AE876" s="95" t="s">
        <v>1501</v>
      </c>
      <c r="AF876" s="533" t="s">
        <v>3487</v>
      </c>
      <c r="AG876" s="2" t="str">
        <f t="shared" si="111"/>
        <v>SI</v>
      </c>
      <c r="AH876" s="284"/>
      <c r="AI876" s="533"/>
      <c r="AJ876" s="2" t="str">
        <f t="shared" si="112"/>
        <v>NV</v>
      </c>
      <c r="AK876" s="303"/>
    </row>
    <row r="877" spans="1:37" x14ac:dyDescent="0.25">
      <c r="A877" s="534" t="s">
        <v>3306</v>
      </c>
      <c r="B877" s="317" t="s">
        <v>3307</v>
      </c>
      <c r="C877" s="95">
        <v>0</v>
      </c>
      <c r="D877" s="95">
        <v>209</v>
      </c>
      <c r="E877" s="95"/>
      <c r="F877" s="95"/>
      <c r="G877" s="95">
        <v>6544</v>
      </c>
      <c r="H877" s="138">
        <v>59100</v>
      </c>
      <c r="I877" s="138"/>
      <c r="J877" s="126">
        <f t="shared" si="106"/>
        <v>59100</v>
      </c>
      <c r="K877" s="318">
        <v>43875</v>
      </c>
      <c r="L877" s="95">
        <v>0</v>
      </c>
      <c r="M877" s="313">
        <f t="shared" si="107"/>
        <v>43875</v>
      </c>
      <c r="N877" s="2" t="str">
        <f t="shared" si="108"/>
        <v>Pagado</v>
      </c>
      <c r="O877" s="318">
        <v>43875</v>
      </c>
      <c r="P877" s="138">
        <v>59100</v>
      </c>
      <c r="Q877" s="2" t="s">
        <v>1070</v>
      </c>
      <c r="R877" s="2" t="s">
        <v>2243</v>
      </c>
      <c r="S877" s="95">
        <v>209</v>
      </c>
      <c r="T877" s="326"/>
      <c r="U877" s="393"/>
      <c r="V877" s="95"/>
      <c r="W877" s="129"/>
      <c r="X877" s="318"/>
      <c r="Y877" s="95"/>
      <c r="Z877" s="131"/>
      <c r="AA877" s="108" t="str">
        <f t="shared" si="113"/>
        <v/>
      </c>
      <c r="AB877" s="2"/>
      <c r="AC877" s="131">
        <f t="shared" si="109"/>
        <v>49663.865546218491</v>
      </c>
      <c r="AD877" s="108">
        <f t="shared" si="110"/>
        <v>9436.1344537815094</v>
      </c>
      <c r="AE877" s="95" t="s">
        <v>1501</v>
      </c>
      <c r="AF877" s="533" t="s">
        <v>3489</v>
      </c>
      <c r="AG877" s="2" t="str">
        <f t="shared" si="111"/>
        <v>SI</v>
      </c>
      <c r="AH877" s="284"/>
      <c r="AI877" s="533"/>
      <c r="AJ877" s="2" t="str">
        <f t="shared" si="112"/>
        <v>NV</v>
      </c>
      <c r="AK877" s="303"/>
    </row>
    <row r="878" spans="1:37" x14ac:dyDescent="0.25">
      <c r="A878" s="534" t="s">
        <v>5359</v>
      </c>
      <c r="B878" s="317" t="s">
        <v>5360</v>
      </c>
      <c r="C878" s="95">
        <v>0</v>
      </c>
      <c r="D878" s="95">
        <v>212</v>
      </c>
      <c r="E878" s="95"/>
      <c r="F878" s="95"/>
      <c r="G878" s="95">
        <v>6549</v>
      </c>
      <c r="H878" s="138">
        <v>15200</v>
      </c>
      <c r="I878" s="138"/>
      <c r="J878" s="126">
        <f t="shared" si="106"/>
        <v>15200</v>
      </c>
      <c r="K878" s="318">
        <v>43878</v>
      </c>
      <c r="L878" s="95">
        <v>0</v>
      </c>
      <c r="M878" s="313">
        <f t="shared" si="107"/>
        <v>43878</v>
      </c>
      <c r="N878" s="2" t="str">
        <f t="shared" si="108"/>
        <v>Pagado</v>
      </c>
      <c r="O878" s="318">
        <v>43878</v>
      </c>
      <c r="P878" s="138">
        <v>15200</v>
      </c>
      <c r="Q878" s="2" t="s">
        <v>1070</v>
      </c>
      <c r="R878" s="2" t="s">
        <v>2243</v>
      </c>
      <c r="S878" s="95">
        <v>212</v>
      </c>
      <c r="T878" s="326"/>
      <c r="U878" s="393"/>
      <c r="V878" s="95"/>
      <c r="W878" s="129"/>
      <c r="X878" s="318"/>
      <c r="Y878" s="95"/>
      <c r="Z878" s="131"/>
      <c r="AA878" s="108" t="str">
        <f t="shared" si="113"/>
        <v/>
      </c>
      <c r="AB878" s="2"/>
      <c r="AC878" s="131">
        <f t="shared" si="109"/>
        <v>12773.10924369748</v>
      </c>
      <c r="AD878" s="108">
        <f t="shared" si="110"/>
        <v>2426.8907563025205</v>
      </c>
      <c r="AE878" s="95" t="s">
        <v>1501</v>
      </c>
      <c r="AF878" s="533" t="s">
        <v>3487</v>
      </c>
      <c r="AG878" s="2" t="str">
        <f t="shared" si="111"/>
        <v>SI</v>
      </c>
      <c r="AH878" s="284"/>
      <c r="AI878" s="533"/>
      <c r="AJ878" s="2" t="str">
        <f t="shared" si="112"/>
        <v>NV</v>
      </c>
      <c r="AK878" s="303"/>
    </row>
    <row r="879" spans="1:37" x14ac:dyDescent="0.25">
      <c r="A879" s="534" t="s">
        <v>5402</v>
      </c>
      <c r="B879" s="317" t="s">
        <v>5403</v>
      </c>
      <c r="C879" s="95">
        <v>0</v>
      </c>
      <c r="D879" s="95">
        <v>2949</v>
      </c>
      <c r="E879" s="95"/>
      <c r="F879" s="95"/>
      <c r="G879" s="95">
        <v>6547</v>
      </c>
      <c r="H879" s="138">
        <v>19900</v>
      </c>
      <c r="I879" s="138"/>
      <c r="J879" s="126">
        <f t="shared" si="106"/>
        <v>19900</v>
      </c>
      <c r="K879" s="318">
        <v>43878</v>
      </c>
      <c r="L879" s="95">
        <v>0</v>
      </c>
      <c r="M879" s="313">
        <f t="shared" si="107"/>
        <v>43878</v>
      </c>
      <c r="N879" s="2" t="str">
        <f t="shared" si="108"/>
        <v>Pagado</v>
      </c>
      <c r="O879" s="318">
        <v>43876</v>
      </c>
      <c r="P879" s="138">
        <v>19900</v>
      </c>
      <c r="Q879" s="2" t="s">
        <v>1484</v>
      </c>
      <c r="R879" s="2"/>
      <c r="S879" s="95"/>
      <c r="T879" s="326" t="s">
        <v>1462</v>
      </c>
      <c r="U879" s="393"/>
      <c r="V879" s="95"/>
      <c r="W879" s="129"/>
      <c r="X879" s="318"/>
      <c r="Y879" s="95"/>
      <c r="Z879" s="131"/>
      <c r="AA879" s="108" t="str">
        <f t="shared" si="113"/>
        <v/>
      </c>
      <c r="AB879" s="2"/>
      <c r="AC879" s="131">
        <f t="shared" si="109"/>
        <v>16722.689075630253</v>
      </c>
      <c r="AD879" s="108">
        <f t="shared" si="110"/>
        <v>3177.3109243697472</v>
      </c>
      <c r="AE879" s="95" t="s">
        <v>1501</v>
      </c>
      <c r="AF879" s="533" t="s">
        <v>3489</v>
      </c>
      <c r="AG879" s="2" t="str">
        <f t="shared" si="111"/>
        <v>SI</v>
      </c>
      <c r="AH879" s="284"/>
      <c r="AI879" s="533"/>
      <c r="AJ879" s="2" t="str">
        <f t="shared" si="112"/>
        <v>NV</v>
      </c>
      <c r="AK879" s="303"/>
    </row>
    <row r="880" spans="1:37" x14ac:dyDescent="0.25">
      <c r="A880" s="270" t="s">
        <v>2733</v>
      </c>
      <c r="B880" s="3" t="s">
        <v>2734</v>
      </c>
      <c r="C880" s="2">
        <v>0</v>
      </c>
      <c r="D880" s="2" t="s">
        <v>2528</v>
      </c>
      <c r="E880" s="2"/>
      <c r="F880" s="2"/>
      <c r="G880" s="2">
        <v>6601</v>
      </c>
      <c r="H880" s="293">
        <v>10800</v>
      </c>
      <c r="I880" s="293"/>
      <c r="J880" s="126">
        <f t="shared" si="106"/>
        <v>10800</v>
      </c>
      <c r="K880" s="310">
        <v>43878</v>
      </c>
      <c r="L880" s="2">
        <v>0</v>
      </c>
      <c r="M880" s="313">
        <f t="shared" si="107"/>
        <v>43878</v>
      </c>
      <c r="N880" s="2" t="str">
        <f t="shared" si="108"/>
        <v>Pagado</v>
      </c>
      <c r="O880" s="310">
        <v>43895</v>
      </c>
      <c r="P880" s="293">
        <v>10800</v>
      </c>
      <c r="Q880" s="2" t="s">
        <v>1484</v>
      </c>
      <c r="R880" s="2"/>
      <c r="S880" s="2"/>
      <c r="T880" s="326" t="s">
        <v>1496</v>
      </c>
      <c r="U880" s="392"/>
      <c r="V880" s="2"/>
      <c r="W880" s="108"/>
      <c r="X880" s="310"/>
      <c r="Y880" s="2"/>
      <c r="Z880" s="131"/>
      <c r="AA880" s="108" t="str">
        <f t="shared" si="113"/>
        <v/>
      </c>
      <c r="AB880" s="2"/>
      <c r="AC880" s="131">
        <f t="shared" si="109"/>
        <v>9075.6302521008402</v>
      </c>
      <c r="AD880" s="108">
        <f t="shared" si="110"/>
        <v>1724.3697478991598</v>
      </c>
      <c r="AE880" s="2" t="s">
        <v>1501</v>
      </c>
      <c r="AF880" s="23" t="s">
        <v>3489</v>
      </c>
      <c r="AG880" s="2" t="str">
        <f t="shared" si="111"/>
        <v>SI</v>
      </c>
      <c r="AH880" s="14"/>
      <c r="AI880" s="23"/>
      <c r="AJ880" s="2" t="str">
        <f t="shared" si="112"/>
        <v>NV</v>
      </c>
      <c r="AK880" s="294"/>
    </row>
    <row r="881" spans="1:37" x14ac:dyDescent="0.25">
      <c r="A881" s="270" t="s">
        <v>5759</v>
      </c>
      <c r="B881" s="3" t="s">
        <v>5760</v>
      </c>
      <c r="C881" s="2">
        <v>0</v>
      </c>
      <c r="D881" s="2">
        <v>211</v>
      </c>
      <c r="E881" s="2"/>
      <c r="F881" s="2"/>
      <c r="G881" s="2">
        <v>6548</v>
      </c>
      <c r="H881" s="293">
        <v>88800</v>
      </c>
      <c r="I881" s="293"/>
      <c r="J881" s="126">
        <f t="shared" si="106"/>
        <v>88800</v>
      </c>
      <c r="K881" s="310">
        <v>43878</v>
      </c>
      <c r="L881" s="2">
        <v>0</v>
      </c>
      <c r="M881" s="313">
        <f t="shared" si="107"/>
        <v>43878</v>
      </c>
      <c r="N881" s="2" t="str">
        <f t="shared" si="108"/>
        <v>Pagado</v>
      </c>
      <c r="O881" s="310">
        <v>43878</v>
      </c>
      <c r="P881" s="293">
        <v>88800</v>
      </c>
      <c r="Q881" s="2" t="s">
        <v>1070</v>
      </c>
      <c r="R881" s="2" t="s">
        <v>2243</v>
      </c>
      <c r="S881" s="2">
        <v>211</v>
      </c>
      <c r="T881" s="326"/>
      <c r="U881" s="392"/>
      <c r="V881" s="2"/>
      <c r="W881" s="108"/>
      <c r="X881" s="310"/>
      <c r="Y881" s="2"/>
      <c r="Z881" s="131"/>
      <c r="AA881" s="108" t="str">
        <f t="shared" si="113"/>
        <v/>
      </c>
      <c r="AB881" s="2"/>
      <c r="AC881" s="131">
        <f t="shared" si="109"/>
        <v>74621.848739495807</v>
      </c>
      <c r="AD881" s="108">
        <f t="shared" si="110"/>
        <v>14178.151260504193</v>
      </c>
      <c r="AE881" s="2" t="s">
        <v>1501</v>
      </c>
      <c r="AF881" s="23" t="s">
        <v>3487</v>
      </c>
      <c r="AG881" s="2" t="str">
        <f t="shared" si="111"/>
        <v>SI</v>
      </c>
      <c r="AH881" s="14"/>
      <c r="AI881" s="23"/>
      <c r="AJ881" s="2" t="str">
        <f t="shared" si="112"/>
        <v>NV</v>
      </c>
      <c r="AK881" s="294"/>
    </row>
    <row r="882" spans="1:37" x14ac:dyDescent="0.25">
      <c r="A882" s="270" t="s">
        <v>1244</v>
      </c>
      <c r="B882" s="3" t="s">
        <v>971</v>
      </c>
      <c r="C882" s="2">
        <v>0</v>
      </c>
      <c r="D882" s="2">
        <v>2950</v>
      </c>
      <c r="E882" s="2"/>
      <c r="F882" s="2"/>
      <c r="G882" s="2">
        <v>6550</v>
      </c>
      <c r="H882" s="293">
        <v>15600</v>
      </c>
      <c r="I882" s="293"/>
      <c r="J882" s="126">
        <f t="shared" si="106"/>
        <v>15600</v>
      </c>
      <c r="K882" s="310">
        <v>43878</v>
      </c>
      <c r="L882" s="2">
        <v>0</v>
      </c>
      <c r="M882" s="313">
        <f t="shared" si="107"/>
        <v>43878</v>
      </c>
      <c r="N882" s="2" t="str">
        <f t="shared" si="108"/>
        <v>Pagado</v>
      </c>
      <c r="O882" s="310">
        <v>43885</v>
      </c>
      <c r="P882" s="293">
        <v>15600</v>
      </c>
      <c r="Q882" s="2" t="s">
        <v>1481</v>
      </c>
      <c r="R882" s="2"/>
      <c r="S882" s="2"/>
      <c r="T882" s="326"/>
      <c r="U882" s="392"/>
      <c r="V882" s="2">
        <v>1860668</v>
      </c>
      <c r="W882" s="108">
        <v>15600</v>
      </c>
      <c r="X882" s="310">
        <v>43886</v>
      </c>
      <c r="Y882" s="2" t="s">
        <v>1488</v>
      </c>
      <c r="Z882" s="131"/>
      <c r="AA882" s="108" t="str">
        <f t="shared" si="113"/>
        <v/>
      </c>
      <c r="AB882" s="2"/>
      <c r="AC882" s="131">
        <f t="shared" si="109"/>
        <v>13109.243697478993</v>
      </c>
      <c r="AD882" s="108">
        <f t="shared" si="110"/>
        <v>2490.7563025210075</v>
      </c>
      <c r="AE882" s="2" t="s">
        <v>1501</v>
      </c>
      <c r="AF882" s="23" t="s">
        <v>3489</v>
      </c>
      <c r="AG882" s="2" t="str">
        <f t="shared" si="111"/>
        <v>SI</v>
      </c>
      <c r="AH882" s="14"/>
      <c r="AI882" s="23"/>
      <c r="AJ882" s="2" t="str">
        <f t="shared" si="112"/>
        <v>NV</v>
      </c>
      <c r="AK882" s="294"/>
    </row>
    <row r="883" spans="1:37" x14ac:dyDescent="0.25">
      <c r="A883" s="270" t="s">
        <v>4853</v>
      </c>
      <c r="B883" s="3" t="s">
        <v>4854</v>
      </c>
      <c r="C883" s="2">
        <v>0</v>
      </c>
      <c r="D883" s="2">
        <v>213</v>
      </c>
      <c r="E883" s="2"/>
      <c r="F883" s="2"/>
      <c r="G883" s="2">
        <v>6602</v>
      </c>
      <c r="H883" s="293">
        <v>31500</v>
      </c>
      <c r="I883" s="293"/>
      <c r="J883" s="126">
        <f t="shared" si="106"/>
        <v>31500</v>
      </c>
      <c r="K883" s="310">
        <v>43878</v>
      </c>
      <c r="L883" s="2">
        <v>0</v>
      </c>
      <c r="M883" s="313">
        <f t="shared" si="107"/>
        <v>43878</v>
      </c>
      <c r="N883" s="2" t="str">
        <f t="shared" si="108"/>
        <v>Pagado</v>
      </c>
      <c r="O883" s="310">
        <v>43878</v>
      </c>
      <c r="P883" s="293">
        <v>31500</v>
      </c>
      <c r="Q883" s="2" t="s">
        <v>1070</v>
      </c>
      <c r="R883" s="2" t="s">
        <v>2243</v>
      </c>
      <c r="S883" s="2">
        <v>213</v>
      </c>
      <c r="T883" s="326"/>
      <c r="U883" s="392"/>
      <c r="V883" s="2"/>
      <c r="W883" s="108"/>
      <c r="X883" s="310"/>
      <c r="Y883" s="2"/>
      <c r="Z883" s="131"/>
      <c r="AA883" s="108" t="str">
        <f t="shared" si="113"/>
        <v/>
      </c>
      <c r="AB883" s="2"/>
      <c r="AC883" s="131">
        <f t="shared" si="109"/>
        <v>26470.588235294119</v>
      </c>
      <c r="AD883" s="108">
        <f t="shared" si="110"/>
        <v>5029.4117647058811</v>
      </c>
      <c r="AE883" s="2" t="s">
        <v>1501</v>
      </c>
      <c r="AF883" s="23" t="s">
        <v>3487</v>
      </c>
      <c r="AG883" s="2" t="str">
        <f t="shared" si="111"/>
        <v>SI</v>
      </c>
      <c r="AH883" s="14"/>
      <c r="AI883" s="23"/>
      <c r="AJ883" s="2" t="str">
        <f t="shared" si="112"/>
        <v>NV</v>
      </c>
      <c r="AK883" s="294"/>
    </row>
    <row r="884" spans="1:37" x14ac:dyDescent="0.25">
      <c r="A884" s="270" t="s">
        <v>2226</v>
      </c>
      <c r="B884" s="3" t="s">
        <v>2227</v>
      </c>
      <c r="C884" s="2">
        <v>0</v>
      </c>
      <c r="D884" s="2">
        <v>210</v>
      </c>
      <c r="E884" s="2"/>
      <c r="F884" s="2"/>
      <c r="G884" s="2">
        <v>6603</v>
      </c>
      <c r="H884" s="293">
        <v>108000</v>
      </c>
      <c r="I884" s="293"/>
      <c r="J884" s="126">
        <f t="shared" si="106"/>
        <v>108000</v>
      </c>
      <c r="K884" s="310">
        <v>43878</v>
      </c>
      <c r="L884" s="2">
        <v>0</v>
      </c>
      <c r="M884" s="313">
        <f t="shared" si="107"/>
        <v>43878</v>
      </c>
      <c r="N884" s="2" t="str">
        <f t="shared" si="108"/>
        <v>Pagado</v>
      </c>
      <c r="O884" s="310">
        <v>43878</v>
      </c>
      <c r="P884" s="293">
        <v>108800</v>
      </c>
      <c r="Q884" s="2" t="s">
        <v>1070</v>
      </c>
      <c r="R884" s="2" t="s">
        <v>2243</v>
      </c>
      <c r="S884" s="2">
        <v>210</v>
      </c>
      <c r="T884" s="326"/>
      <c r="U884" s="392"/>
      <c r="V884" s="2"/>
      <c r="W884" s="108"/>
      <c r="X884" s="310"/>
      <c r="Y884" s="2"/>
      <c r="Z884" s="131"/>
      <c r="AA884" s="108" t="str">
        <f t="shared" si="113"/>
        <v/>
      </c>
      <c r="AB884" s="2"/>
      <c r="AC884" s="131">
        <f t="shared" si="109"/>
        <v>90756.302521008402</v>
      </c>
      <c r="AD884" s="108">
        <f t="shared" si="110"/>
        <v>17243.697478991598</v>
      </c>
      <c r="AE884" s="2" t="s">
        <v>1501</v>
      </c>
      <c r="AF884" s="23" t="s">
        <v>3487</v>
      </c>
      <c r="AG884" s="2" t="str">
        <f t="shared" si="111"/>
        <v>SI</v>
      </c>
      <c r="AH884" s="14"/>
      <c r="AI884" s="23"/>
      <c r="AJ884" s="2" t="str">
        <f t="shared" si="112"/>
        <v>NV</v>
      </c>
      <c r="AK884" s="294"/>
    </row>
    <row r="885" spans="1:37" x14ac:dyDescent="0.25">
      <c r="A885" s="270" t="s">
        <v>5765</v>
      </c>
      <c r="B885" s="3" t="s">
        <v>5766</v>
      </c>
      <c r="C885" s="2">
        <v>0</v>
      </c>
      <c r="D885" s="2">
        <v>2952</v>
      </c>
      <c r="E885" s="2"/>
      <c r="F885" s="2"/>
      <c r="G885" s="2">
        <v>6606</v>
      </c>
      <c r="H885" s="293">
        <v>39800</v>
      </c>
      <c r="I885" s="293"/>
      <c r="J885" s="126">
        <f t="shared" si="106"/>
        <v>39800</v>
      </c>
      <c r="K885" s="310">
        <v>43879</v>
      </c>
      <c r="L885" s="2">
        <v>0</v>
      </c>
      <c r="M885" s="313">
        <f t="shared" si="107"/>
        <v>43879</v>
      </c>
      <c r="N885" s="2" t="str">
        <f t="shared" si="108"/>
        <v>Pagado</v>
      </c>
      <c r="O885" s="310">
        <v>43879</v>
      </c>
      <c r="P885" s="293">
        <v>39800</v>
      </c>
      <c r="Q885" s="2" t="s">
        <v>1484</v>
      </c>
      <c r="R885" s="2"/>
      <c r="S885" s="2"/>
      <c r="T885" s="326" t="s">
        <v>1488</v>
      </c>
      <c r="U885" s="392"/>
      <c r="V885" s="2"/>
      <c r="W885" s="108"/>
      <c r="X885" s="310"/>
      <c r="Y885" s="2"/>
      <c r="Z885" s="131"/>
      <c r="AA885" s="108" t="str">
        <f t="shared" si="113"/>
        <v/>
      </c>
      <c r="AB885" s="2"/>
      <c r="AC885" s="131">
        <f t="shared" si="109"/>
        <v>33445.378151260506</v>
      </c>
      <c r="AD885" s="108">
        <f t="shared" si="110"/>
        <v>6354.6218487394945</v>
      </c>
      <c r="AE885" s="2" t="s">
        <v>1501</v>
      </c>
      <c r="AF885" s="23" t="s">
        <v>3489</v>
      </c>
      <c r="AG885" s="2" t="str">
        <f t="shared" si="111"/>
        <v>SI</v>
      </c>
      <c r="AH885" s="14"/>
      <c r="AI885" s="23"/>
      <c r="AJ885" s="2" t="str">
        <f t="shared" si="112"/>
        <v>NV</v>
      </c>
      <c r="AK885" s="294"/>
    </row>
    <row r="886" spans="1:37" x14ac:dyDescent="0.25">
      <c r="A886" s="270" t="s">
        <v>1433</v>
      </c>
      <c r="B886" s="3" t="s">
        <v>1148</v>
      </c>
      <c r="C886" s="2">
        <v>0</v>
      </c>
      <c r="D886" s="2">
        <v>210</v>
      </c>
      <c r="E886" s="2"/>
      <c r="F886" s="2"/>
      <c r="G886" s="2">
        <v>6607</v>
      </c>
      <c r="H886" s="293">
        <v>23000</v>
      </c>
      <c r="I886" s="293"/>
      <c r="J886" s="126">
        <f t="shared" si="106"/>
        <v>23000</v>
      </c>
      <c r="K886" s="310">
        <v>43879</v>
      </c>
      <c r="L886" s="2">
        <v>0</v>
      </c>
      <c r="M886" s="313">
        <f t="shared" si="107"/>
        <v>43879</v>
      </c>
      <c r="N886" s="2" t="str">
        <f t="shared" si="108"/>
        <v>Pagado</v>
      </c>
      <c r="O886" s="310">
        <v>43879</v>
      </c>
      <c r="P886" s="293">
        <v>23000</v>
      </c>
      <c r="Q886" s="2" t="s">
        <v>1070</v>
      </c>
      <c r="R886" s="2" t="s">
        <v>2243</v>
      </c>
      <c r="S886" s="2">
        <v>210</v>
      </c>
      <c r="T886" s="326"/>
      <c r="U886" s="392"/>
      <c r="V886" s="2"/>
      <c r="W886" s="108"/>
      <c r="X886" s="310"/>
      <c r="Y886" s="2"/>
      <c r="Z886" s="131"/>
      <c r="AA886" s="108" t="str">
        <f t="shared" si="113"/>
        <v/>
      </c>
      <c r="AB886" s="2"/>
      <c r="AC886" s="131">
        <f t="shared" si="109"/>
        <v>19327.731092436974</v>
      </c>
      <c r="AD886" s="108">
        <f t="shared" si="110"/>
        <v>3672.268907563026</v>
      </c>
      <c r="AE886" s="2" t="s">
        <v>1501</v>
      </c>
      <c r="AF886" s="23" t="s">
        <v>3487</v>
      </c>
      <c r="AG886" s="2" t="str">
        <f t="shared" si="111"/>
        <v>SI</v>
      </c>
      <c r="AH886" s="14"/>
      <c r="AI886" s="23"/>
      <c r="AJ886" s="2" t="str">
        <f t="shared" si="112"/>
        <v>NV</v>
      </c>
      <c r="AK886" s="294"/>
    </row>
    <row r="887" spans="1:37" x14ac:dyDescent="0.25">
      <c r="A887" s="270" t="s">
        <v>2729</v>
      </c>
      <c r="B887" s="3" t="s">
        <v>2730</v>
      </c>
      <c r="C887" s="2">
        <v>0</v>
      </c>
      <c r="D887" s="2" t="s">
        <v>2528</v>
      </c>
      <c r="E887" s="2"/>
      <c r="F887" s="2"/>
      <c r="G887" s="2">
        <v>6608</v>
      </c>
      <c r="H887" s="293">
        <v>37500</v>
      </c>
      <c r="I887" s="293"/>
      <c r="J887" s="126">
        <f t="shared" si="106"/>
        <v>37500</v>
      </c>
      <c r="K887" s="310">
        <v>43879</v>
      </c>
      <c r="L887" s="2">
        <v>0</v>
      </c>
      <c r="M887" s="313">
        <f t="shared" si="107"/>
        <v>43879</v>
      </c>
      <c r="N887" s="2" t="str">
        <f t="shared" si="108"/>
        <v>Pagado</v>
      </c>
      <c r="O887" s="310">
        <v>43879</v>
      </c>
      <c r="P887" s="293">
        <v>37500</v>
      </c>
      <c r="Q887" s="2" t="s">
        <v>1484</v>
      </c>
      <c r="R887" s="2"/>
      <c r="S887" s="2"/>
      <c r="T887" s="326" t="s">
        <v>1462</v>
      </c>
      <c r="U887" s="392"/>
      <c r="V887" s="2"/>
      <c r="W887" s="108"/>
      <c r="X887" s="310"/>
      <c r="Y887" s="2"/>
      <c r="Z887" s="131"/>
      <c r="AA887" s="108" t="str">
        <f t="shared" si="113"/>
        <v/>
      </c>
      <c r="AB887" s="2"/>
      <c r="AC887" s="131">
        <f t="shared" si="109"/>
        <v>31512.605042016807</v>
      </c>
      <c r="AD887" s="108">
        <f t="shared" si="110"/>
        <v>5987.3949579831933</v>
      </c>
      <c r="AE887" s="2" t="s">
        <v>1501</v>
      </c>
      <c r="AF887" s="23" t="s">
        <v>3489</v>
      </c>
      <c r="AG887" s="2" t="str">
        <f t="shared" si="111"/>
        <v>SI</v>
      </c>
      <c r="AH887" s="14"/>
      <c r="AI887" s="23"/>
      <c r="AJ887" s="2" t="str">
        <f t="shared" si="112"/>
        <v>NV</v>
      </c>
      <c r="AK887" s="294"/>
    </row>
    <row r="888" spans="1:37" x14ac:dyDescent="0.25">
      <c r="A888" s="270" t="s">
        <v>5762</v>
      </c>
      <c r="B888" s="3" t="s">
        <v>5763</v>
      </c>
      <c r="C888" s="2">
        <v>0</v>
      </c>
      <c r="D888" s="2" t="s">
        <v>2528</v>
      </c>
      <c r="E888" s="2"/>
      <c r="F888" s="2"/>
      <c r="G888" s="2">
        <v>6605</v>
      </c>
      <c r="H888" s="293">
        <v>58600</v>
      </c>
      <c r="I888" s="293"/>
      <c r="J888" s="126">
        <f t="shared" si="106"/>
        <v>58600</v>
      </c>
      <c r="K888" s="310">
        <v>43879</v>
      </c>
      <c r="L888" s="2">
        <v>0</v>
      </c>
      <c r="M888" s="313">
        <f t="shared" si="107"/>
        <v>43879</v>
      </c>
      <c r="N888" s="2" t="str">
        <f t="shared" si="108"/>
        <v>Pagado</v>
      </c>
      <c r="O888" s="310">
        <v>43879</v>
      </c>
      <c r="P888" s="293">
        <v>58600</v>
      </c>
      <c r="Q888" s="2" t="s">
        <v>2132</v>
      </c>
      <c r="R888" s="2"/>
      <c r="S888" s="2"/>
      <c r="T888" s="326" t="s">
        <v>1488</v>
      </c>
      <c r="U888" s="392"/>
      <c r="V888" s="2">
        <v>1860655</v>
      </c>
      <c r="W888" s="108">
        <v>58600</v>
      </c>
      <c r="X888" s="310">
        <v>43879</v>
      </c>
      <c r="Y888" s="2" t="s">
        <v>1488</v>
      </c>
      <c r="Z888" s="131"/>
      <c r="AA888" s="108" t="str">
        <f t="shared" si="113"/>
        <v>Chile</v>
      </c>
      <c r="AB888" s="2"/>
      <c r="AC888" s="131">
        <f t="shared" si="109"/>
        <v>49243.697478991598</v>
      </c>
      <c r="AD888" s="108">
        <f t="shared" si="110"/>
        <v>9356.3025210084015</v>
      </c>
      <c r="AE888" s="2" t="s">
        <v>1501</v>
      </c>
      <c r="AF888" s="23" t="s">
        <v>3487</v>
      </c>
      <c r="AG888" s="2" t="str">
        <f t="shared" si="111"/>
        <v>SI</v>
      </c>
      <c r="AH888" s="14"/>
      <c r="AI888" s="23"/>
      <c r="AJ888" s="2" t="str">
        <f t="shared" si="112"/>
        <v>NV</v>
      </c>
      <c r="AK888" s="294"/>
    </row>
    <row r="889" spans="1:37" x14ac:dyDescent="0.25">
      <c r="A889" s="270" t="s">
        <v>4041</v>
      </c>
      <c r="B889" s="3" t="s">
        <v>4042</v>
      </c>
      <c r="C889" s="2">
        <v>0</v>
      </c>
      <c r="D889" s="2">
        <v>2951</v>
      </c>
      <c r="E889" s="2"/>
      <c r="F889" s="2"/>
      <c r="G889" s="2">
        <v>6604</v>
      </c>
      <c r="H889" s="293">
        <v>15800</v>
      </c>
      <c r="I889" s="293"/>
      <c r="J889" s="126">
        <f t="shared" si="106"/>
        <v>15800</v>
      </c>
      <c r="K889" s="310">
        <v>43879</v>
      </c>
      <c r="L889" s="2">
        <v>0</v>
      </c>
      <c r="M889" s="313">
        <f t="shared" si="107"/>
        <v>43879</v>
      </c>
      <c r="N889" s="2" t="str">
        <f t="shared" si="108"/>
        <v>Pagado</v>
      </c>
      <c r="O889" s="310">
        <v>43879</v>
      </c>
      <c r="P889" s="293">
        <v>15800</v>
      </c>
      <c r="Q889" s="2" t="s">
        <v>1484</v>
      </c>
      <c r="R889" s="2"/>
      <c r="S889" s="2"/>
      <c r="T889" s="326" t="s">
        <v>1462</v>
      </c>
      <c r="U889" s="392"/>
      <c r="V889" s="2"/>
      <c r="W889" s="108"/>
      <c r="X889" s="310"/>
      <c r="Y889" s="2"/>
      <c r="Z889" s="131"/>
      <c r="AA889" s="108" t="str">
        <f t="shared" si="113"/>
        <v/>
      </c>
      <c r="AB889" s="2"/>
      <c r="AC889" s="131">
        <f t="shared" si="109"/>
        <v>13277.310924369749</v>
      </c>
      <c r="AD889" s="108">
        <f t="shared" si="110"/>
        <v>2522.689075630251</v>
      </c>
      <c r="AE889" s="2" t="s">
        <v>1501</v>
      </c>
      <c r="AF889" s="23" t="s">
        <v>3489</v>
      </c>
      <c r="AG889" s="2" t="str">
        <f t="shared" si="111"/>
        <v>SI</v>
      </c>
      <c r="AH889" s="14"/>
      <c r="AI889" s="23"/>
      <c r="AJ889" s="2" t="str">
        <f t="shared" si="112"/>
        <v>NV</v>
      </c>
      <c r="AK889" s="294"/>
    </row>
    <row r="890" spans="1:37" x14ac:dyDescent="0.25">
      <c r="A890" s="270" t="s">
        <v>1178</v>
      </c>
      <c r="B890" s="3" t="s">
        <v>950</v>
      </c>
      <c r="C890" s="2">
        <v>3114</v>
      </c>
      <c r="D890" s="2">
        <v>0</v>
      </c>
      <c r="E890" s="2"/>
      <c r="F890" s="2"/>
      <c r="G890" s="2" t="s">
        <v>2528</v>
      </c>
      <c r="H890" s="293">
        <v>30314</v>
      </c>
      <c r="I890" s="293"/>
      <c r="J890" s="126">
        <f t="shared" si="106"/>
        <v>30314</v>
      </c>
      <c r="K890" s="310">
        <v>43880</v>
      </c>
      <c r="L890" s="2">
        <v>7</v>
      </c>
      <c r="M890" s="313">
        <f t="shared" si="107"/>
        <v>43887</v>
      </c>
      <c r="N890" s="2" t="str">
        <f t="shared" ca="1" si="108"/>
        <v>Vencido</v>
      </c>
      <c r="O890" s="310"/>
      <c r="P890" s="293"/>
      <c r="Q890" s="2"/>
      <c r="R890" s="2"/>
      <c r="S890" s="2"/>
      <c r="T890" s="313"/>
      <c r="U890" s="392"/>
      <c r="V890" s="2"/>
      <c r="W890" s="108"/>
      <c r="X890" s="310"/>
      <c r="Y890" s="2"/>
      <c r="Z890" s="131"/>
      <c r="AA890" s="108" t="str">
        <f t="shared" si="113"/>
        <v/>
      </c>
      <c r="AB890" s="2"/>
      <c r="AC890" s="131">
        <f t="shared" si="109"/>
        <v>25473.949579831933</v>
      </c>
      <c r="AD890" s="108">
        <f t="shared" si="110"/>
        <v>4840.0504201680669</v>
      </c>
      <c r="AE890" s="2" t="s">
        <v>2050</v>
      </c>
      <c r="AF890" s="23" t="s">
        <v>3490</v>
      </c>
      <c r="AG890" s="2" t="str">
        <f t="shared" ca="1" si="111"/>
        <v>NO</v>
      </c>
      <c r="AH890" s="14"/>
      <c r="AI890" s="23"/>
      <c r="AJ890" s="2" t="str">
        <f t="shared" si="112"/>
        <v>Factura</v>
      </c>
      <c r="AK890" s="294"/>
    </row>
    <row r="891" spans="1:37" x14ac:dyDescent="0.25">
      <c r="A891" s="270" t="s">
        <v>5377</v>
      </c>
      <c r="B891" s="3" t="s">
        <v>5378</v>
      </c>
      <c r="C891" s="2">
        <v>0</v>
      </c>
      <c r="D891" s="2">
        <v>211</v>
      </c>
      <c r="E891" s="2"/>
      <c r="F891" s="2"/>
      <c r="G891" s="2">
        <v>6611</v>
      </c>
      <c r="H891" s="293">
        <v>12500</v>
      </c>
      <c r="I891" s="293"/>
      <c r="J891" s="126">
        <f t="shared" si="106"/>
        <v>12500</v>
      </c>
      <c r="K891" s="310">
        <v>43880</v>
      </c>
      <c r="L891" s="2">
        <v>0</v>
      </c>
      <c r="M891" s="313">
        <f t="shared" si="107"/>
        <v>43880</v>
      </c>
      <c r="N891" s="2" t="str">
        <f t="shared" si="108"/>
        <v>Pagado</v>
      </c>
      <c r="O891" s="310">
        <v>43880</v>
      </c>
      <c r="P891" s="293">
        <v>12500</v>
      </c>
      <c r="Q891" s="2" t="s">
        <v>1070</v>
      </c>
      <c r="R891" s="2" t="s">
        <v>2243</v>
      </c>
      <c r="S891" s="2">
        <v>211</v>
      </c>
      <c r="T891" s="326"/>
      <c r="U891" s="392"/>
      <c r="V891" s="2"/>
      <c r="W891" s="108"/>
      <c r="X891" s="310"/>
      <c r="Y891" s="2"/>
      <c r="Z891" s="131"/>
      <c r="AA891" s="108" t="str">
        <f t="shared" si="113"/>
        <v/>
      </c>
      <c r="AB891" s="2"/>
      <c r="AC891" s="131">
        <f t="shared" si="109"/>
        <v>10504.20168067227</v>
      </c>
      <c r="AD891" s="108">
        <f t="shared" si="110"/>
        <v>1995.7983193277305</v>
      </c>
      <c r="AE891" s="2" t="s">
        <v>1501</v>
      </c>
      <c r="AF891" s="23" t="s">
        <v>3487</v>
      </c>
      <c r="AG891" s="2" t="str">
        <f t="shared" si="111"/>
        <v>SI</v>
      </c>
      <c r="AH891" s="14"/>
      <c r="AI891" s="23"/>
      <c r="AJ891" s="2" t="str">
        <f t="shared" si="112"/>
        <v>NV</v>
      </c>
      <c r="AK891" s="294"/>
    </row>
    <row r="892" spans="1:37" x14ac:dyDescent="0.25">
      <c r="A892" s="270" t="s">
        <v>3460</v>
      </c>
      <c r="B892" s="3" t="s">
        <v>3461</v>
      </c>
      <c r="C892" s="2">
        <v>3112</v>
      </c>
      <c r="D892" s="2">
        <v>0</v>
      </c>
      <c r="E892" s="2"/>
      <c r="F892" s="2"/>
      <c r="G892" s="2" t="s">
        <v>2528</v>
      </c>
      <c r="H892" s="293">
        <v>28136</v>
      </c>
      <c r="I892" s="293"/>
      <c r="J892" s="126">
        <f t="shared" si="106"/>
        <v>28136</v>
      </c>
      <c r="K892" s="310">
        <v>43880</v>
      </c>
      <c r="L892" s="2">
        <v>0</v>
      </c>
      <c r="M892" s="313">
        <f t="shared" si="107"/>
        <v>43880</v>
      </c>
      <c r="N892" s="2" t="str">
        <f t="shared" si="108"/>
        <v>Pagado</v>
      </c>
      <c r="O892" s="310">
        <v>43906</v>
      </c>
      <c r="P892" s="293">
        <v>28136</v>
      </c>
      <c r="Q892" s="2" t="s">
        <v>1484</v>
      </c>
      <c r="R892" s="2"/>
      <c r="S892" s="2"/>
      <c r="T892" s="313" t="s">
        <v>1496</v>
      </c>
      <c r="U892" s="392"/>
      <c r="V892" s="2"/>
      <c r="W892" s="108"/>
      <c r="X892" s="310"/>
      <c r="Y892" s="2"/>
      <c r="Z892" s="131"/>
      <c r="AA892" s="108" t="str">
        <f t="shared" si="113"/>
        <v/>
      </c>
      <c r="AB892" s="2"/>
      <c r="AC892" s="131">
        <f t="shared" si="109"/>
        <v>23643.697478991598</v>
      </c>
      <c r="AD892" s="108">
        <f t="shared" si="110"/>
        <v>4492.3025210084015</v>
      </c>
      <c r="AE892" s="2" t="s">
        <v>1501</v>
      </c>
      <c r="AF892" s="23" t="s">
        <v>3490</v>
      </c>
      <c r="AG892" s="2" t="str">
        <f t="shared" si="111"/>
        <v>SI</v>
      </c>
      <c r="AH892" s="14"/>
      <c r="AI892" s="23"/>
      <c r="AJ892" s="2" t="str">
        <f t="shared" si="112"/>
        <v>Factura</v>
      </c>
      <c r="AK892" s="294"/>
    </row>
    <row r="893" spans="1:37" x14ac:dyDescent="0.25">
      <c r="A893" s="270" t="s">
        <v>5128</v>
      </c>
      <c r="B893" s="3" t="s">
        <v>5129</v>
      </c>
      <c r="C893" s="2">
        <v>0</v>
      </c>
      <c r="D893" s="2">
        <v>2954</v>
      </c>
      <c r="E893" s="2"/>
      <c r="F893" s="2"/>
      <c r="G893" s="2">
        <v>6612</v>
      </c>
      <c r="H893" s="293">
        <v>39400</v>
      </c>
      <c r="I893" s="293"/>
      <c r="J893" s="126">
        <f t="shared" si="106"/>
        <v>39400</v>
      </c>
      <c r="K893" s="310">
        <v>43880</v>
      </c>
      <c r="L893" s="2">
        <v>0</v>
      </c>
      <c r="M893" s="313">
        <f t="shared" si="107"/>
        <v>43880</v>
      </c>
      <c r="N893" s="2" t="str">
        <f t="shared" si="108"/>
        <v>Pagado</v>
      </c>
      <c r="O893" s="310">
        <v>43880</v>
      </c>
      <c r="P893" s="293">
        <v>39400</v>
      </c>
      <c r="Q893" s="2" t="s">
        <v>1481</v>
      </c>
      <c r="R893" s="2"/>
      <c r="S893" s="2"/>
      <c r="T893" s="326"/>
      <c r="U893" s="392"/>
      <c r="V893" s="2">
        <v>7679370</v>
      </c>
      <c r="W893" s="108">
        <v>39400</v>
      </c>
      <c r="X893" s="310">
        <v>43886</v>
      </c>
      <c r="Y893" s="2" t="s">
        <v>1488</v>
      </c>
      <c r="Z893" s="131"/>
      <c r="AA893" s="108" t="str">
        <f t="shared" si="113"/>
        <v/>
      </c>
      <c r="AB893" s="2"/>
      <c r="AC893" s="131">
        <f t="shared" si="109"/>
        <v>33109.243697478996</v>
      </c>
      <c r="AD893" s="108">
        <f t="shared" si="110"/>
        <v>6290.7563025210038</v>
      </c>
      <c r="AE893" s="2" t="s">
        <v>1501</v>
      </c>
      <c r="AF893" s="23" t="s">
        <v>3487</v>
      </c>
      <c r="AG893" s="2" t="str">
        <f t="shared" si="111"/>
        <v>SI</v>
      </c>
      <c r="AH893" s="14"/>
      <c r="AI893" s="23"/>
      <c r="AJ893" s="2" t="str">
        <f t="shared" si="112"/>
        <v>NV</v>
      </c>
      <c r="AK893" s="294"/>
    </row>
    <row r="894" spans="1:37" x14ac:dyDescent="0.25">
      <c r="A894" s="270" t="s">
        <v>5603</v>
      </c>
      <c r="B894" s="3" t="s">
        <v>5604</v>
      </c>
      <c r="C894" s="2">
        <v>0</v>
      </c>
      <c r="D894" s="2">
        <v>2955</v>
      </c>
      <c r="E894" s="2"/>
      <c r="F894" s="2"/>
      <c r="G894" s="2">
        <v>6614</v>
      </c>
      <c r="H894" s="293">
        <v>23000</v>
      </c>
      <c r="I894" s="293"/>
      <c r="J894" s="126">
        <f t="shared" si="106"/>
        <v>23000</v>
      </c>
      <c r="K894" s="310">
        <v>43880</v>
      </c>
      <c r="L894" s="2">
        <v>0</v>
      </c>
      <c r="M894" s="313">
        <f t="shared" si="107"/>
        <v>43880</v>
      </c>
      <c r="N894" s="2" t="str">
        <f t="shared" si="108"/>
        <v>Pagado</v>
      </c>
      <c r="O894" s="310">
        <v>43880</v>
      </c>
      <c r="P894" s="293">
        <v>23000</v>
      </c>
      <c r="Q894" s="2" t="s">
        <v>1481</v>
      </c>
      <c r="R894" s="2"/>
      <c r="S894" s="2"/>
      <c r="T894" s="326"/>
      <c r="U894" s="392"/>
      <c r="V894" s="2">
        <v>7679370</v>
      </c>
      <c r="W894" s="108">
        <v>23000</v>
      </c>
      <c r="X894" s="310">
        <v>43886</v>
      </c>
      <c r="Y894" s="2" t="s">
        <v>1488</v>
      </c>
      <c r="Z894" s="131"/>
      <c r="AA894" s="108" t="str">
        <f t="shared" si="113"/>
        <v/>
      </c>
      <c r="AB894" s="2"/>
      <c r="AC894" s="131">
        <f t="shared" si="109"/>
        <v>19327.731092436974</v>
      </c>
      <c r="AD894" s="108">
        <f t="shared" si="110"/>
        <v>3672.268907563026</v>
      </c>
      <c r="AE894" s="2" t="s">
        <v>1501</v>
      </c>
      <c r="AF894" s="23" t="s">
        <v>3487</v>
      </c>
      <c r="AG894" s="2" t="str">
        <f t="shared" si="111"/>
        <v>SI</v>
      </c>
      <c r="AH894" s="14"/>
      <c r="AI894" s="23"/>
      <c r="AJ894" s="2" t="str">
        <f t="shared" si="112"/>
        <v>NV</v>
      </c>
      <c r="AK894" s="294"/>
    </row>
    <row r="895" spans="1:37" x14ac:dyDescent="0.25">
      <c r="A895" s="270" t="s">
        <v>5775</v>
      </c>
      <c r="B895" s="3" t="s">
        <v>5776</v>
      </c>
      <c r="C895" s="2">
        <v>0</v>
      </c>
      <c r="D895" s="2">
        <v>2957</v>
      </c>
      <c r="E895" s="2"/>
      <c r="F895" s="2"/>
      <c r="G895" s="2">
        <v>6615</v>
      </c>
      <c r="H895" s="293">
        <v>43200</v>
      </c>
      <c r="I895" s="293"/>
      <c r="J895" s="126">
        <f t="shared" si="106"/>
        <v>43200</v>
      </c>
      <c r="K895" s="310">
        <v>43880</v>
      </c>
      <c r="L895" s="2">
        <v>0</v>
      </c>
      <c r="M895" s="313">
        <f t="shared" si="107"/>
        <v>43880</v>
      </c>
      <c r="N895" s="2" t="str">
        <f t="shared" si="108"/>
        <v>Pagado</v>
      </c>
      <c r="O895" s="310">
        <v>43880</v>
      </c>
      <c r="P895" s="293">
        <v>43200</v>
      </c>
      <c r="Q895" s="2" t="s">
        <v>1484</v>
      </c>
      <c r="R895" s="2"/>
      <c r="S895" s="2"/>
      <c r="T895" s="326" t="s">
        <v>1492</v>
      </c>
      <c r="U895" s="392"/>
      <c r="V895" s="2"/>
      <c r="W895" s="108"/>
      <c r="X895" s="310"/>
      <c r="Y895" s="2"/>
      <c r="Z895" s="131"/>
      <c r="AA895" s="108" t="str">
        <f t="shared" si="113"/>
        <v/>
      </c>
      <c r="AB895" s="2"/>
      <c r="AC895" s="131">
        <f t="shared" si="109"/>
        <v>36302.521008403361</v>
      </c>
      <c r="AD895" s="108">
        <f t="shared" si="110"/>
        <v>6897.4789915966394</v>
      </c>
      <c r="AE895" s="2" t="s">
        <v>1501</v>
      </c>
      <c r="AF895" s="23" t="s">
        <v>3489</v>
      </c>
      <c r="AG895" s="2" t="str">
        <f t="shared" si="111"/>
        <v>SI</v>
      </c>
      <c r="AH895" s="14"/>
      <c r="AI895" s="23"/>
      <c r="AJ895" s="2" t="str">
        <f t="shared" si="112"/>
        <v>NV</v>
      </c>
      <c r="AK895" s="294"/>
    </row>
    <row r="896" spans="1:37" x14ac:dyDescent="0.25">
      <c r="A896" s="270" t="s">
        <v>1179</v>
      </c>
      <c r="B896" s="3" t="s">
        <v>952</v>
      </c>
      <c r="C896" s="2">
        <v>3113</v>
      </c>
      <c r="D896" s="2">
        <v>0</v>
      </c>
      <c r="E896" s="2"/>
      <c r="F896" s="2"/>
      <c r="G896" s="2" t="s">
        <v>2528</v>
      </c>
      <c r="H896" s="293">
        <v>126923</v>
      </c>
      <c r="I896" s="293"/>
      <c r="J896" s="126">
        <f t="shared" si="106"/>
        <v>126923</v>
      </c>
      <c r="K896" s="310">
        <v>43880</v>
      </c>
      <c r="L896" s="2">
        <v>7</v>
      </c>
      <c r="M896" s="313">
        <f t="shared" si="107"/>
        <v>43887</v>
      </c>
      <c r="N896" s="2" t="str">
        <f t="shared" si="108"/>
        <v>Pagado</v>
      </c>
      <c r="O896" s="310">
        <v>43887</v>
      </c>
      <c r="P896" s="293">
        <v>127000</v>
      </c>
      <c r="Q896" s="2" t="s">
        <v>1481</v>
      </c>
      <c r="R896" s="2"/>
      <c r="S896" s="2"/>
      <c r="T896" s="313"/>
      <c r="U896" s="392"/>
      <c r="V896" s="2">
        <v>7679360</v>
      </c>
      <c r="W896" s="108">
        <v>127000</v>
      </c>
      <c r="X896" s="310">
        <v>43892</v>
      </c>
      <c r="Y896" s="2" t="s">
        <v>1488</v>
      </c>
      <c r="Z896" s="131"/>
      <c r="AA896" s="108" t="str">
        <f t="shared" si="113"/>
        <v/>
      </c>
      <c r="AB896" s="2"/>
      <c r="AC896" s="131">
        <f t="shared" si="109"/>
        <v>106657.98319327731</v>
      </c>
      <c r="AD896" s="108">
        <f t="shared" si="110"/>
        <v>20265.016806722691</v>
      </c>
      <c r="AE896" s="2" t="s">
        <v>2050</v>
      </c>
      <c r="AF896" s="23" t="s">
        <v>3490</v>
      </c>
      <c r="AG896" s="2" t="str">
        <f t="shared" si="111"/>
        <v>SI</v>
      </c>
      <c r="AH896" s="14"/>
      <c r="AI896" s="23"/>
      <c r="AJ896" s="2" t="str">
        <f t="shared" si="112"/>
        <v>Factura</v>
      </c>
      <c r="AK896" s="294"/>
    </row>
    <row r="897" spans="1:37" x14ac:dyDescent="0.25">
      <c r="A897" s="270" t="s">
        <v>1258</v>
      </c>
      <c r="B897" s="3" t="s">
        <v>1059</v>
      </c>
      <c r="C897" s="2">
        <v>0</v>
      </c>
      <c r="D897" s="2">
        <v>2956</v>
      </c>
      <c r="E897" s="2"/>
      <c r="F897" s="2"/>
      <c r="G897" s="2">
        <v>6616</v>
      </c>
      <c r="H897" s="293">
        <v>69000</v>
      </c>
      <c r="I897" s="293"/>
      <c r="J897" s="126">
        <f t="shared" si="106"/>
        <v>69000</v>
      </c>
      <c r="K897" s="310">
        <v>43880</v>
      </c>
      <c r="L897" s="2">
        <v>0</v>
      </c>
      <c r="M897" s="313">
        <f t="shared" si="107"/>
        <v>43880</v>
      </c>
      <c r="N897" s="2" t="str">
        <f t="shared" si="108"/>
        <v>Pagado</v>
      </c>
      <c r="O897" s="310">
        <v>43880</v>
      </c>
      <c r="P897" s="293">
        <v>69000</v>
      </c>
      <c r="Q897" s="2" t="s">
        <v>1484</v>
      </c>
      <c r="R897" s="2"/>
      <c r="S897" s="2"/>
      <c r="T897" s="326" t="s">
        <v>1491</v>
      </c>
      <c r="U897" s="392"/>
      <c r="V897" s="2"/>
      <c r="W897" s="108"/>
      <c r="X897" s="310"/>
      <c r="Y897" s="2"/>
      <c r="Z897" s="131"/>
      <c r="AA897" s="108" t="str">
        <f t="shared" si="113"/>
        <v/>
      </c>
      <c r="AB897" s="2"/>
      <c r="AC897" s="131">
        <f t="shared" si="109"/>
        <v>57983.193277310929</v>
      </c>
      <c r="AD897" s="108">
        <f t="shared" si="110"/>
        <v>11016.806722689071</v>
      </c>
      <c r="AE897" s="2" t="s">
        <v>1501</v>
      </c>
      <c r="AF897" s="23" t="s">
        <v>3487</v>
      </c>
      <c r="AG897" s="2" t="str">
        <f t="shared" si="111"/>
        <v>SI</v>
      </c>
      <c r="AH897" s="14"/>
      <c r="AI897" s="23"/>
      <c r="AJ897" s="2" t="str">
        <f t="shared" si="112"/>
        <v>NV</v>
      </c>
      <c r="AK897" s="294"/>
    </row>
    <row r="898" spans="1:37" x14ac:dyDescent="0.25">
      <c r="A898" s="270" t="s">
        <v>1320</v>
      </c>
      <c r="B898" s="3" t="s">
        <v>3394</v>
      </c>
      <c r="C898" s="2">
        <v>0</v>
      </c>
      <c r="D898" s="2">
        <v>213</v>
      </c>
      <c r="E898" s="2"/>
      <c r="F898" s="2"/>
      <c r="G898" s="2">
        <v>6613</v>
      </c>
      <c r="H898" s="293">
        <v>46300</v>
      </c>
      <c r="I898" s="293"/>
      <c r="J898" s="126">
        <f t="shared" si="106"/>
        <v>46300</v>
      </c>
      <c r="K898" s="310">
        <v>43880</v>
      </c>
      <c r="L898" s="2">
        <v>0</v>
      </c>
      <c r="M898" s="313">
        <f t="shared" si="107"/>
        <v>43880</v>
      </c>
      <c r="N898" s="2" t="str">
        <f t="shared" si="108"/>
        <v>Pagado</v>
      </c>
      <c r="O898" s="310">
        <v>43880</v>
      </c>
      <c r="P898" s="293">
        <v>46300</v>
      </c>
      <c r="Q898" s="2" t="s">
        <v>1070</v>
      </c>
      <c r="R898" s="2" t="s">
        <v>2243</v>
      </c>
      <c r="S898" s="2">
        <v>213</v>
      </c>
      <c r="T898" s="313"/>
      <c r="U898" s="392"/>
      <c r="V898" s="2"/>
      <c r="W898" s="108"/>
      <c r="X898" s="310"/>
      <c r="Y898" s="2"/>
      <c r="Z898" s="131"/>
      <c r="AA898" s="108" t="str">
        <f t="shared" si="113"/>
        <v/>
      </c>
      <c r="AB898" s="2"/>
      <c r="AC898" s="131">
        <f t="shared" si="109"/>
        <v>38907.563025210089</v>
      </c>
      <c r="AD898" s="108">
        <f t="shared" si="110"/>
        <v>7392.4369747899109</v>
      </c>
      <c r="AE898" s="2" t="s">
        <v>1501</v>
      </c>
      <c r="AF898" s="23" t="s">
        <v>3489</v>
      </c>
      <c r="AG898" s="2" t="str">
        <f t="shared" si="111"/>
        <v>SI</v>
      </c>
      <c r="AH898" s="14"/>
      <c r="AI898" s="23"/>
      <c r="AJ898" s="2" t="str">
        <f t="shared" si="112"/>
        <v>NV</v>
      </c>
      <c r="AK898" s="294"/>
    </row>
    <row r="899" spans="1:37" x14ac:dyDescent="0.25">
      <c r="A899" s="270" t="s">
        <v>1216</v>
      </c>
      <c r="B899" s="3" t="s">
        <v>2209</v>
      </c>
      <c r="C899" s="2">
        <v>0</v>
      </c>
      <c r="D899" s="2">
        <v>2953</v>
      </c>
      <c r="E899" s="2"/>
      <c r="F899" s="2"/>
      <c r="G899" s="2">
        <v>6609</v>
      </c>
      <c r="H899" s="293">
        <v>47800</v>
      </c>
      <c r="I899" s="293"/>
      <c r="J899" s="126">
        <f t="shared" ref="J899:J962" si="114">+H899+I899</f>
        <v>47800</v>
      </c>
      <c r="K899" s="310">
        <v>43880</v>
      </c>
      <c r="L899" s="2">
        <v>0</v>
      </c>
      <c r="M899" s="313">
        <f t="shared" ref="M899:M962" si="115">+L899+K899</f>
        <v>43880</v>
      </c>
      <c r="N899" s="2" t="str">
        <f t="shared" ref="N899:N962" si="116">+IF(J899=0,"Nulo",IF(P899&gt;=J899,"Pagado",IF(P899&gt;0,"Abonado",IF(M899&lt;$M$1,"Vencido",IF(J899&gt;P899,"Pendiente","Vencido")))))</f>
        <v>Pagado</v>
      </c>
      <c r="O899" s="310">
        <v>43880</v>
      </c>
      <c r="P899" s="293">
        <v>47800</v>
      </c>
      <c r="Q899" s="2" t="s">
        <v>1484</v>
      </c>
      <c r="R899" s="2"/>
      <c r="S899" s="2"/>
      <c r="T899" s="326" t="s">
        <v>1488</v>
      </c>
      <c r="U899" s="392"/>
      <c r="V899" s="2"/>
      <c r="W899" s="108"/>
      <c r="X899" s="310"/>
      <c r="Y899" s="2"/>
      <c r="Z899" s="131"/>
      <c r="AA899" s="108" t="str">
        <f t="shared" si="113"/>
        <v/>
      </c>
      <c r="AB899" s="2"/>
      <c r="AC899" s="131">
        <f t="shared" ref="AC899:AC962" si="117">+IF(C899="","",H899/1.19)</f>
        <v>40168.067226890758</v>
      </c>
      <c r="AD899" s="108">
        <f t="shared" ref="AD899:AD962" si="118">+IF(C899="","",H899-AC899)</f>
        <v>7631.9327731092417</v>
      </c>
      <c r="AE899" s="2" t="s">
        <v>1501</v>
      </c>
      <c r="AF899" s="23" t="s">
        <v>3489</v>
      </c>
      <c r="AG899" s="2" t="str">
        <f t="shared" ref="AG899:AG962" si="119">+IF(N899="Pagado","SI",IF(N899="NULO","SI","NO"))</f>
        <v>SI</v>
      </c>
      <c r="AH899" s="14"/>
      <c r="AI899" s="23"/>
      <c r="AJ899" s="2" t="str">
        <f t="shared" ref="AJ899:AJ962" si="120">+IF(C899=0,"NV","Factura")</f>
        <v>NV</v>
      </c>
      <c r="AK899" s="294"/>
    </row>
    <row r="900" spans="1:37" ht="14.25" customHeight="1" x14ac:dyDescent="0.25">
      <c r="A900" s="270" t="s">
        <v>5591</v>
      </c>
      <c r="B900" s="3" t="s">
        <v>5592</v>
      </c>
      <c r="C900" s="2">
        <v>0</v>
      </c>
      <c r="D900" s="2">
        <v>212</v>
      </c>
      <c r="E900" s="2"/>
      <c r="F900" s="2"/>
      <c r="G900" s="2">
        <v>6610</v>
      </c>
      <c r="H900" s="293">
        <v>16500</v>
      </c>
      <c r="I900" s="293"/>
      <c r="J900" s="126">
        <f t="shared" si="114"/>
        <v>16500</v>
      </c>
      <c r="K900" s="310">
        <v>43880</v>
      </c>
      <c r="L900" s="2">
        <v>0</v>
      </c>
      <c r="M900" s="313">
        <f t="shared" si="115"/>
        <v>43880</v>
      </c>
      <c r="N900" s="2" t="str">
        <f t="shared" si="116"/>
        <v>Pagado</v>
      </c>
      <c r="O900" s="310">
        <v>43880</v>
      </c>
      <c r="P900" s="293">
        <v>16500</v>
      </c>
      <c r="Q900" s="2" t="s">
        <v>1070</v>
      </c>
      <c r="R900" s="2" t="s">
        <v>2243</v>
      </c>
      <c r="S900" s="2">
        <v>212</v>
      </c>
      <c r="T900" s="313"/>
      <c r="U900" s="392"/>
      <c r="V900" s="2"/>
      <c r="W900" s="108"/>
      <c r="X900" s="310"/>
      <c r="Y900" s="2"/>
      <c r="Z900" s="131"/>
      <c r="AA900" s="108" t="str">
        <f t="shared" si="113"/>
        <v/>
      </c>
      <c r="AB900" s="2"/>
      <c r="AC900" s="131">
        <f t="shared" si="117"/>
        <v>13865.546218487396</v>
      </c>
      <c r="AD900" s="108">
        <f t="shared" si="118"/>
        <v>2634.4537815126041</v>
      </c>
      <c r="AE900" s="2" t="s">
        <v>2050</v>
      </c>
      <c r="AF900" s="23" t="s">
        <v>3487</v>
      </c>
      <c r="AG900" s="2" t="str">
        <f t="shared" si="119"/>
        <v>SI</v>
      </c>
      <c r="AH900" s="14"/>
      <c r="AI900" s="23"/>
      <c r="AJ900" s="2" t="str">
        <f t="shared" si="120"/>
        <v>NV</v>
      </c>
      <c r="AK900" s="294"/>
    </row>
    <row r="901" spans="1:37" x14ac:dyDescent="0.25">
      <c r="A901" s="270" t="s">
        <v>1192</v>
      </c>
      <c r="B901" s="3" t="s">
        <v>1061</v>
      </c>
      <c r="C901" s="2">
        <v>3115</v>
      </c>
      <c r="D901" s="2">
        <v>0</v>
      </c>
      <c r="E901" s="2"/>
      <c r="F901" s="2"/>
      <c r="G901" s="2" t="s">
        <v>5599</v>
      </c>
      <c r="H901" s="293">
        <v>365560</v>
      </c>
      <c r="I901" s="293"/>
      <c r="J901" s="126">
        <f t="shared" si="114"/>
        <v>365560</v>
      </c>
      <c r="K901" s="310">
        <v>43881</v>
      </c>
      <c r="L901" s="2">
        <v>0</v>
      </c>
      <c r="M901" s="313">
        <f t="shared" si="115"/>
        <v>43881</v>
      </c>
      <c r="N901" s="2" t="str">
        <f t="shared" si="116"/>
        <v>Pagado</v>
      </c>
      <c r="O901" s="310">
        <v>43895</v>
      </c>
      <c r="P901" s="293">
        <v>365560</v>
      </c>
      <c r="Q901" s="2" t="s">
        <v>1484</v>
      </c>
      <c r="R901" s="2"/>
      <c r="S901" s="2"/>
      <c r="T901" s="313" t="s">
        <v>1488</v>
      </c>
      <c r="U901" s="392"/>
      <c r="V901" s="2"/>
      <c r="W901" s="108"/>
      <c r="X901" s="310"/>
      <c r="Y901" s="2"/>
      <c r="Z901" s="310">
        <v>43872</v>
      </c>
      <c r="AA901" s="108" t="str">
        <f t="shared" si="113"/>
        <v/>
      </c>
      <c r="AB901" s="2"/>
      <c r="AC901" s="131">
        <f t="shared" si="117"/>
        <v>307193.27731092437</v>
      </c>
      <c r="AD901" s="108">
        <f t="shared" si="118"/>
        <v>58366.722689075628</v>
      </c>
      <c r="AE901" s="2" t="s">
        <v>1501</v>
      </c>
      <c r="AF901" s="23" t="s">
        <v>3490</v>
      </c>
      <c r="AG901" s="2" t="str">
        <f t="shared" si="119"/>
        <v>SI</v>
      </c>
      <c r="AH901" s="14"/>
      <c r="AI901" s="23"/>
      <c r="AJ901" s="2" t="str">
        <f t="shared" si="120"/>
        <v>Factura</v>
      </c>
      <c r="AK901" s="294"/>
    </row>
    <row r="902" spans="1:37" x14ac:dyDescent="0.25">
      <c r="A902" s="270" t="s">
        <v>1192</v>
      </c>
      <c r="B902" s="3" t="s">
        <v>1061</v>
      </c>
      <c r="C902" s="2">
        <v>3115</v>
      </c>
      <c r="D902" s="2">
        <v>0</v>
      </c>
      <c r="E902" s="2"/>
      <c r="F902" s="2"/>
      <c r="G902" s="2" t="s">
        <v>5600</v>
      </c>
      <c r="H902" s="293">
        <v>135978</v>
      </c>
      <c r="I902" s="293"/>
      <c r="J902" s="126">
        <f t="shared" si="114"/>
        <v>135978</v>
      </c>
      <c r="K902" s="310">
        <v>43881</v>
      </c>
      <c r="L902" s="2">
        <v>0</v>
      </c>
      <c r="M902" s="313">
        <f t="shared" si="115"/>
        <v>43881</v>
      </c>
      <c r="N902" s="2" t="str">
        <f t="shared" si="116"/>
        <v>Pagado</v>
      </c>
      <c r="O902" s="310">
        <v>43895</v>
      </c>
      <c r="P902" s="293">
        <v>135978</v>
      </c>
      <c r="Q902" s="2" t="s">
        <v>1484</v>
      </c>
      <c r="R902" s="2"/>
      <c r="S902" s="2"/>
      <c r="T902" s="326" t="s">
        <v>1488</v>
      </c>
      <c r="U902" s="392"/>
      <c r="V902" s="2"/>
      <c r="W902" s="108"/>
      <c r="X902" s="310"/>
      <c r="Y902" s="2"/>
      <c r="Z902" s="310">
        <v>43878</v>
      </c>
      <c r="AA902" s="108" t="str">
        <f t="shared" si="113"/>
        <v/>
      </c>
      <c r="AB902" s="2"/>
      <c r="AC902" s="131">
        <f t="shared" si="117"/>
        <v>114267.22689075631</v>
      </c>
      <c r="AD902" s="108">
        <f t="shared" si="118"/>
        <v>21710.773109243688</v>
      </c>
      <c r="AE902" s="2" t="s">
        <v>1501</v>
      </c>
      <c r="AF902" s="23" t="s">
        <v>3490</v>
      </c>
      <c r="AG902" s="2" t="str">
        <f t="shared" si="119"/>
        <v>SI</v>
      </c>
      <c r="AH902" s="14"/>
      <c r="AI902" s="23"/>
      <c r="AJ902" s="2" t="str">
        <f t="shared" si="120"/>
        <v>Factura</v>
      </c>
      <c r="AK902" s="294"/>
    </row>
    <row r="903" spans="1:37" ht="14.25" customHeight="1" x14ac:dyDescent="0.25">
      <c r="A903" s="270" t="s">
        <v>1182</v>
      </c>
      <c r="B903" s="3" t="s">
        <v>1044</v>
      </c>
      <c r="C903" s="2">
        <v>3118</v>
      </c>
      <c r="D903" s="2">
        <v>0</v>
      </c>
      <c r="E903" s="2"/>
      <c r="F903" s="2"/>
      <c r="G903" s="2" t="s">
        <v>2528</v>
      </c>
      <c r="H903" s="293">
        <v>101969</v>
      </c>
      <c r="I903" s="293"/>
      <c r="J903" s="126">
        <f t="shared" si="114"/>
        <v>101969</v>
      </c>
      <c r="K903" s="310">
        <v>43882</v>
      </c>
      <c r="L903" s="2">
        <v>7</v>
      </c>
      <c r="M903" s="313">
        <f t="shared" si="115"/>
        <v>43889</v>
      </c>
      <c r="N903" s="2" t="str">
        <f t="shared" ca="1" si="116"/>
        <v>Vencido</v>
      </c>
      <c r="O903" s="310"/>
      <c r="P903" s="293"/>
      <c r="Q903" s="2"/>
      <c r="R903" s="2"/>
      <c r="S903" s="2"/>
      <c r="T903" s="326"/>
      <c r="U903" s="392"/>
      <c r="V903" s="2"/>
      <c r="W903" s="108"/>
      <c r="X903" s="310"/>
      <c r="Y903" s="2"/>
      <c r="Z903" s="131"/>
      <c r="AA903" s="108" t="str">
        <f t="shared" si="113"/>
        <v/>
      </c>
      <c r="AB903" s="2"/>
      <c r="AC903" s="131">
        <f t="shared" si="117"/>
        <v>85688.23529411765</v>
      </c>
      <c r="AD903" s="108">
        <f t="shared" si="118"/>
        <v>16280.76470588235</v>
      </c>
      <c r="AE903" s="2" t="s">
        <v>1445</v>
      </c>
      <c r="AF903" s="23" t="s">
        <v>3490</v>
      </c>
      <c r="AG903" s="2" t="str">
        <f t="shared" ca="1" si="119"/>
        <v>NO</v>
      </c>
      <c r="AH903" s="14"/>
      <c r="AI903" s="23"/>
      <c r="AJ903" s="2" t="str">
        <f t="shared" si="120"/>
        <v>Factura</v>
      </c>
      <c r="AK903" s="294"/>
    </row>
    <row r="904" spans="1:37" ht="14.25" customHeight="1" x14ac:dyDescent="0.25">
      <c r="A904" s="270" t="s">
        <v>1275</v>
      </c>
      <c r="B904" s="3" t="s">
        <v>2218</v>
      </c>
      <c r="C904" s="2">
        <v>3116</v>
      </c>
      <c r="D904" s="2">
        <v>0</v>
      </c>
      <c r="E904" s="2"/>
      <c r="F904" s="2"/>
      <c r="G904" s="2" t="s">
        <v>2528</v>
      </c>
      <c r="H904" s="293">
        <v>29000</v>
      </c>
      <c r="I904" s="293"/>
      <c r="J904" s="126">
        <f t="shared" si="114"/>
        <v>29000</v>
      </c>
      <c r="K904" s="310">
        <v>43882</v>
      </c>
      <c r="L904" s="2">
        <v>0</v>
      </c>
      <c r="M904" s="313">
        <f t="shared" si="115"/>
        <v>43882</v>
      </c>
      <c r="N904" s="2" t="str">
        <f t="shared" si="116"/>
        <v>Pagado</v>
      </c>
      <c r="O904" s="310">
        <v>43882</v>
      </c>
      <c r="P904" s="293">
        <v>29000</v>
      </c>
      <c r="Q904" s="2" t="s">
        <v>1481</v>
      </c>
      <c r="R904" s="2"/>
      <c r="S904" s="2"/>
      <c r="T904" s="326"/>
      <c r="U904" s="392"/>
      <c r="V904" s="2"/>
      <c r="W904" s="108"/>
      <c r="X904" s="310"/>
      <c r="Y904" s="2"/>
      <c r="Z904" s="131"/>
      <c r="AA904" s="108" t="str">
        <f t="shared" si="113"/>
        <v/>
      </c>
      <c r="AB904" s="2"/>
      <c r="AC904" s="131">
        <f t="shared" si="117"/>
        <v>24369.747899159665</v>
      </c>
      <c r="AD904" s="108">
        <f t="shared" si="118"/>
        <v>4630.2521008403346</v>
      </c>
      <c r="AE904" s="2" t="s">
        <v>1445</v>
      </c>
      <c r="AF904" s="23" t="s">
        <v>3490</v>
      </c>
      <c r="AG904" s="2" t="str">
        <f t="shared" si="119"/>
        <v>SI</v>
      </c>
      <c r="AH904" s="14"/>
      <c r="AI904" s="23"/>
      <c r="AJ904" s="2" t="str">
        <f t="shared" si="120"/>
        <v>Factura</v>
      </c>
      <c r="AK904" s="294"/>
    </row>
    <row r="905" spans="1:37" ht="14.25" customHeight="1" x14ac:dyDescent="0.25">
      <c r="A905" s="270" t="s">
        <v>5613</v>
      </c>
      <c r="B905" s="3" t="s">
        <v>5614</v>
      </c>
      <c r="C905" s="2">
        <v>0</v>
      </c>
      <c r="D905" s="2">
        <v>2961</v>
      </c>
      <c r="E905" s="2"/>
      <c r="F905" s="2"/>
      <c r="G905" s="2">
        <v>6622</v>
      </c>
      <c r="H905" s="293">
        <v>19000</v>
      </c>
      <c r="I905" s="293"/>
      <c r="J905" s="126">
        <f t="shared" si="114"/>
        <v>19000</v>
      </c>
      <c r="K905" s="310">
        <v>43882</v>
      </c>
      <c r="L905" s="2">
        <v>0</v>
      </c>
      <c r="M905" s="313">
        <f t="shared" si="115"/>
        <v>43882</v>
      </c>
      <c r="N905" s="2" t="str">
        <f t="shared" si="116"/>
        <v>Pagado</v>
      </c>
      <c r="O905" s="310">
        <v>43882</v>
      </c>
      <c r="P905" s="293">
        <v>19000</v>
      </c>
      <c r="Q905" s="2" t="s">
        <v>2132</v>
      </c>
      <c r="R905" s="2"/>
      <c r="S905" s="2">
        <v>905189</v>
      </c>
      <c r="T905" s="326" t="s">
        <v>1496</v>
      </c>
      <c r="U905" s="392"/>
      <c r="V905" s="2">
        <v>7679359</v>
      </c>
      <c r="W905" s="108">
        <v>19000</v>
      </c>
      <c r="X905" s="310">
        <v>43892</v>
      </c>
      <c r="Y905" s="2" t="s">
        <v>1488</v>
      </c>
      <c r="Z905" s="131"/>
      <c r="AA905" s="108" t="str">
        <f t="shared" si="113"/>
        <v>Otros</v>
      </c>
      <c r="AB905" s="2"/>
      <c r="AC905" s="131">
        <f t="shared" si="117"/>
        <v>15966.386554621849</v>
      </c>
      <c r="AD905" s="108">
        <f t="shared" si="118"/>
        <v>3033.6134453781506</v>
      </c>
      <c r="AE905" s="2" t="s">
        <v>1445</v>
      </c>
      <c r="AF905" s="23" t="s">
        <v>3489</v>
      </c>
      <c r="AG905" s="2" t="str">
        <f t="shared" si="119"/>
        <v>SI</v>
      </c>
      <c r="AH905" s="14"/>
      <c r="AI905" s="23"/>
      <c r="AJ905" s="2" t="str">
        <f t="shared" si="120"/>
        <v>NV</v>
      </c>
      <c r="AK905" s="294"/>
    </row>
    <row r="906" spans="1:37" ht="14.25" customHeight="1" x14ac:dyDescent="0.25">
      <c r="A906" s="270" t="s">
        <v>2360</v>
      </c>
      <c r="B906" s="3" t="s">
        <v>4296</v>
      </c>
      <c r="C906" s="2">
        <v>0</v>
      </c>
      <c r="D906" s="2">
        <v>2962</v>
      </c>
      <c r="E906" s="2"/>
      <c r="F906" s="2"/>
      <c r="G906" s="2">
        <v>6627</v>
      </c>
      <c r="H906" s="293">
        <v>31500</v>
      </c>
      <c r="I906" s="293"/>
      <c r="J906" s="126">
        <f t="shared" si="114"/>
        <v>31500</v>
      </c>
      <c r="K906" s="310">
        <v>43882</v>
      </c>
      <c r="L906" s="2">
        <v>0</v>
      </c>
      <c r="M906" s="313">
        <f t="shared" si="115"/>
        <v>43882</v>
      </c>
      <c r="N906" s="2" t="str">
        <f t="shared" si="116"/>
        <v>Pagado</v>
      </c>
      <c r="O906" s="310">
        <v>43882</v>
      </c>
      <c r="P906" s="293">
        <v>31500</v>
      </c>
      <c r="Q906" s="2" t="s">
        <v>1481</v>
      </c>
      <c r="R906" s="2"/>
      <c r="S906" s="2"/>
      <c r="T906" s="326"/>
      <c r="U906" s="392"/>
      <c r="V906" s="2">
        <v>7679370</v>
      </c>
      <c r="W906" s="108">
        <v>31500</v>
      </c>
      <c r="X906" s="310">
        <v>43886</v>
      </c>
      <c r="Y906" s="2" t="s">
        <v>1488</v>
      </c>
      <c r="Z906" s="131"/>
      <c r="AA906" s="108" t="str">
        <f t="shared" si="113"/>
        <v/>
      </c>
      <c r="AB906" s="2"/>
      <c r="AC906" s="131">
        <f t="shared" si="117"/>
        <v>26470.588235294119</v>
      </c>
      <c r="AD906" s="108">
        <f t="shared" si="118"/>
        <v>5029.4117647058811</v>
      </c>
      <c r="AE906" s="2" t="s">
        <v>1501</v>
      </c>
      <c r="AF906" s="23" t="s">
        <v>3487</v>
      </c>
      <c r="AG906" s="2" t="str">
        <f t="shared" si="119"/>
        <v>SI</v>
      </c>
      <c r="AH906" s="14"/>
      <c r="AI906" s="23"/>
      <c r="AJ906" s="2" t="str">
        <f t="shared" si="120"/>
        <v>NV</v>
      </c>
      <c r="AK906" s="294"/>
    </row>
    <row r="907" spans="1:37" ht="14.25" customHeight="1" x14ac:dyDescent="0.25">
      <c r="A907" s="270" t="s">
        <v>4907</v>
      </c>
      <c r="B907" s="3" t="s">
        <v>4908</v>
      </c>
      <c r="C907" s="2">
        <v>3117</v>
      </c>
      <c r="D907" s="2">
        <v>0</v>
      </c>
      <c r="E907" s="2"/>
      <c r="F907" s="2"/>
      <c r="G907" s="2" t="s">
        <v>2528</v>
      </c>
      <c r="H907" s="293">
        <v>65645</v>
      </c>
      <c r="I907" s="293"/>
      <c r="J907" s="126">
        <f t="shared" si="114"/>
        <v>65645</v>
      </c>
      <c r="K907" s="310">
        <v>43882</v>
      </c>
      <c r="L907" s="2">
        <v>30</v>
      </c>
      <c r="M907" s="313">
        <f t="shared" si="115"/>
        <v>43912</v>
      </c>
      <c r="N907" s="2" t="str">
        <f t="shared" si="116"/>
        <v>Pagado</v>
      </c>
      <c r="O907" s="310">
        <v>43889</v>
      </c>
      <c r="P907" s="293">
        <v>65645</v>
      </c>
      <c r="Q907" s="2" t="s">
        <v>2131</v>
      </c>
      <c r="R907" s="2"/>
      <c r="S907" s="2">
        <v>1075</v>
      </c>
      <c r="T907" s="326" t="s">
        <v>1494</v>
      </c>
      <c r="U907" s="392">
        <v>43905</v>
      </c>
      <c r="V907" s="2">
        <v>4955377</v>
      </c>
      <c r="W907" s="108"/>
      <c r="X907" s="310"/>
      <c r="Y907" s="2"/>
      <c r="Z907" s="131"/>
      <c r="AA907" s="108" t="str">
        <f t="shared" si="113"/>
        <v>Otros</v>
      </c>
      <c r="AB907" s="2"/>
      <c r="AC907" s="131">
        <f t="shared" si="117"/>
        <v>55163.865546218491</v>
      </c>
      <c r="AD907" s="108">
        <f t="shared" si="118"/>
        <v>10481.134453781509</v>
      </c>
      <c r="AE907" s="2" t="s">
        <v>1445</v>
      </c>
      <c r="AF907" s="23" t="s">
        <v>3490</v>
      </c>
      <c r="AG907" s="2" t="str">
        <f t="shared" si="119"/>
        <v>SI</v>
      </c>
      <c r="AH907" s="14"/>
      <c r="AI907" s="23"/>
      <c r="AJ907" s="2" t="str">
        <f t="shared" si="120"/>
        <v>Factura</v>
      </c>
      <c r="AK907" s="294"/>
    </row>
    <row r="908" spans="1:37" ht="14.25" customHeight="1" x14ac:dyDescent="0.25">
      <c r="A908" s="270" t="s">
        <v>1238</v>
      </c>
      <c r="B908" s="3" t="s">
        <v>1944</v>
      </c>
      <c r="C908" s="2">
        <v>0</v>
      </c>
      <c r="D908" s="2">
        <v>2959</v>
      </c>
      <c r="E908" s="2"/>
      <c r="F908" s="2"/>
      <c r="G908" s="2">
        <v>6619</v>
      </c>
      <c r="H908" s="293">
        <v>46400</v>
      </c>
      <c r="I908" s="293"/>
      <c r="J908" s="126">
        <f t="shared" si="114"/>
        <v>46400</v>
      </c>
      <c r="K908" s="310">
        <v>43882</v>
      </c>
      <c r="L908" s="2">
        <v>0</v>
      </c>
      <c r="M908" s="313">
        <f t="shared" si="115"/>
        <v>43882</v>
      </c>
      <c r="N908" s="2" t="str">
        <f t="shared" si="116"/>
        <v>Pagado</v>
      </c>
      <c r="O908" s="310">
        <v>43892</v>
      </c>
      <c r="P908" s="293">
        <v>46400</v>
      </c>
      <c r="Q908" s="2" t="s">
        <v>1484</v>
      </c>
      <c r="R908" s="2"/>
      <c r="S908" s="2"/>
      <c r="T908" s="326" t="s">
        <v>1488</v>
      </c>
      <c r="U908" s="392"/>
      <c r="V908" s="2"/>
      <c r="W908" s="108"/>
      <c r="X908" s="310"/>
      <c r="Y908" s="2"/>
      <c r="Z908" s="131"/>
      <c r="AA908" s="108" t="str">
        <f t="shared" si="113"/>
        <v/>
      </c>
      <c r="AB908" s="2"/>
      <c r="AC908" s="131">
        <f t="shared" si="117"/>
        <v>38991.596638655465</v>
      </c>
      <c r="AD908" s="108">
        <f t="shared" si="118"/>
        <v>7408.4033613445354</v>
      </c>
      <c r="AE908" s="2" t="s">
        <v>1445</v>
      </c>
      <c r="AF908" s="23" t="s">
        <v>3489</v>
      </c>
      <c r="AG908" s="2" t="str">
        <f t="shared" si="119"/>
        <v>SI</v>
      </c>
      <c r="AH908" s="14"/>
      <c r="AI908" s="23"/>
      <c r="AJ908" s="2" t="str">
        <f t="shared" si="120"/>
        <v>NV</v>
      </c>
      <c r="AK908" s="294"/>
    </row>
    <row r="909" spans="1:37" ht="14.25" customHeight="1" x14ac:dyDescent="0.25">
      <c r="A909" s="270" t="s">
        <v>1189</v>
      </c>
      <c r="B909" s="3" t="s">
        <v>940</v>
      </c>
      <c r="C909" s="2">
        <v>3119</v>
      </c>
      <c r="D909" s="2">
        <v>0</v>
      </c>
      <c r="E909" s="2"/>
      <c r="F909" s="2"/>
      <c r="G909" s="2" t="s">
        <v>2528</v>
      </c>
      <c r="H909" s="293">
        <v>56598</v>
      </c>
      <c r="I909" s="293"/>
      <c r="J909" s="126">
        <f t="shared" si="114"/>
        <v>56598</v>
      </c>
      <c r="K909" s="310">
        <v>43882</v>
      </c>
      <c r="L909" s="2">
        <v>0</v>
      </c>
      <c r="M909" s="313">
        <f t="shared" si="115"/>
        <v>43882</v>
      </c>
      <c r="N909" s="2" t="str">
        <f t="shared" si="116"/>
        <v>Pagado</v>
      </c>
      <c r="O909" s="310">
        <v>43882</v>
      </c>
      <c r="P909" s="293">
        <v>56598</v>
      </c>
      <c r="Q909" s="2" t="s">
        <v>1481</v>
      </c>
      <c r="R909" s="2"/>
      <c r="S909" s="2"/>
      <c r="T909" s="326"/>
      <c r="U909" s="392"/>
      <c r="V909" s="2"/>
      <c r="W909" s="108"/>
      <c r="X909" s="310"/>
      <c r="Y909" s="2"/>
      <c r="Z909" s="131"/>
      <c r="AA909" s="108" t="str">
        <f t="shared" si="113"/>
        <v/>
      </c>
      <c r="AB909" s="2"/>
      <c r="AC909" s="131">
        <f t="shared" si="117"/>
        <v>47561.34453781513</v>
      </c>
      <c r="AD909" s="108">
        <f t="shared" si="118"/>
        <v>9036.65546218487</v>
      </c>
      <c r="AE909" s="2" t="s">
        <v>1445</v>
      </c>
      <c r="AF909" s="23" t="s">
        <v>3490</v>
      </c>
      <c r="AG909" s="2" t="str">
        <f t="shared" si="119"/>
        <v>SI</v>
      </c>
      <c r="AH909" s="14"/>
      <c r="AI909" s="23"/>
      <c r="AJ909" s="2" t="str">
        <f t="shared" si="120"/>
        <v>Factura</v>
      </c>
      <c r="AK909" s="294"/>
    </row>
    <row r="910" spans="1:37" ht="14.25" customHeight="1" x14ac:dyDescent="0.25">
      <c r="A910" s="270" t="s">
        <v>1189</v>
      </c>
      <c r="B910" s="3" t="s">
        <v>940</v>
      </c>
      <c r="C910" s="2">
        <v>3120</v>
      </c>
      <c r="D910" s="2">
        <v>0</v>
      </c>
      <c r="E910" s="2"/>
      <c r="F910" s="2"/>
      <c r="G910" s="2" t="s">
        <v>2528</v>
      </c>
      <c r="H910" s="293">
        <v>33820</v>
      </c>
      <c r="I910" s="293"/>
      <c r="J910" s="126">
        <f t="shared" si="114"/>
        <v>33820</v>
      </c>
      <c r="K910" s="310">
        <v>43882</v>
      </c>
      <c r="L910" s="2">
        <v>0</v>
      </c>
      <c r="M910" s="313">
        <f t="shared" si="115"/>
        <v>43882</v>
      </c>
      <c r="N910" s="2" t="str">
        <f t="shared" si="116"/>
        <v>Pagado</v>
      </c>
      <c r="O910" s="310">
        <v>43922</v>
      </c>
      <c r="P910" s="293">
        <v>33820</v>
      </c>
      <c r="Q910" s="2" t="s">
        <v>1481</v>
      </c>
      <c r="R910" s="2"/>
      <c r="S910" s="2"/>
      <c r="T910" s="326"/>
      <c r="U910" s="392"/>
      <c r="V910" s="2"/>
      <c r="W910" s="108"/>
      <c r="X910" s="310"/>
      <c r="Y910" s="2"/>
      <c r="Z910" s="131"/>
      <c r="AA910" s="108" t="str">
        <f t="shared" si="113"/>
        <v/>
      </c>
      <c r="AB910" s="2"/>
      <c r="AC910" s="131">
        <f t="shared" si="117"/>
        <v>28420.168067226892</v>
      </c>
      <c r="AD910" s="108">
        <f t="shared" si="118"/>
        <v>5399.8319327731078</v>
      </c>
      <c r="AE910" s="2" t="s">
        <v>1445</v>
      </c>
      <c r="AF910" s="23" t="s">
        <v>3490</v>
      </c>
      <c r="AG910" s="2" t="str">
        <f t="shared" si="119"/>
        <v>SI</v>
      </c>
      <c r="AH910" s="14"/>
      <c r="AI910" s="23"/>
      <c r="AJ910" s="2" t="str">
        <f t="shared" si="120"/>
        <v>Factura</v>
      </c>
      <c r="AK910" s="294"/>
    </row>
    <row r="911" spans="1:37" ht="14.25" customHeight="1" x14ac:dyDescent="0.25">
      <c r="A911" s="270" t="s">
        <v>1247</v>
      </c>
      <c r="B911" s="3" t="s">
        <v>1943</v>
      </c>
      <c r="C911" s="2">
        <v>0</v>
      </c>
      <c r="D911" s="2">
        <v>2960</v>
      </c>
      <c r="E911" s="2"/>
      <c r="F911" s="2"/>
      <c r="G911" s="2">
        <v>6620</v>
      </c>
      <c r="H911" s="293">
        <v>19700</v>
      </c>
      <c r="I911" s="293"/>
      <c r="J911" s="126">
        <f t="shared" si="114"/>
        <v>19700</v>
      </c>
      <c r="K911" s="310">
        <v>43882</v>
      </c>
      <c r="L911" s="2">
        <v>0</v>
      </c>
      <c r="M911" s="313">
        <f t="shared" si="115"/>
        <v>43882</v>
      </c>
      <c r="N911" s="2" t="str">
        <f t="shared" si="116"/>
        <v>Pagado</v>
      </c>
      <c r="O911" s="310">
        <v>43883</v>
      </c>
      <c r="P911" s="293">
        <v>19700</v>
      </c>
      <c r="Q911" s="2" t="s">
        <v>1483</v>
      </c>
      <c r="R911" s="2"/>
      <c r="S911" s="2"/>
      <c r="T911" s="326" t="s">
        <v>1488</v>
      </c>
      <c r="U911" s="392"/>
      <c r="V911" s="2"/>
      <c r="W911" s="108"/>
      <c r="X911" s="310"/>
      <c r="Y911" s="2"/>
      <c r="Z911" s="131"/>
      <c r="AA911" s="108" t="str">
        <f t="shared" si="113"/>
        <v/>
      </c>
      <c r="AB911" s="2"/>
      <c r="AC911" s="131">
        <f t="shared" si="117"/>
        <v>16554.621848739498</v>
      </c>
      <c r="AD911" s="108">
        <f t="shared" si="118"/>
        <v>3145.3781512605019</v>
      </c>
      <c r="AE911" s="2" t="s">
        <v>1445</v>
      </c>
      <c r="AF911" s="23" t="s">
        <v>3489</v>
      </c>
      <c r="AG911" s="2" t="str">
        <f t="shared" si="119"/>
        <v>SI</v>
      </c>
      <c r="AH911" s="14"/>
      <c r="AI911" s="23"/>
      <c r="AJ911" s="2" t="str">
        <f t="shared" si="120"/>
        <v>NV</v>
      </c>
      <c r="AK911" s="294"/>
    </row>
    <row r="912" spans="1:37" ht="14.25" customHeight="1" x14ac:dyDescent="0.25">
      <c r="A912" s="270" t="s">
        <v>1200</v>
      </c>
      <c r="B912" s="3" t="s">
        <v>2316</v>
      </c>
      <c r="C912" s="2">
        <v>0</v>
      </c>
      <c r="D912" s="2">
        <v>0</v>
      </c>
      <c r="E912" s="2"/>
      <c r="F912" s="2"/>
      <c r="G912" s="2">
        <v>6624</v>
      </c>
      <c r="H912" s="293">
        <v>16500</v>
      </c>
      <c r="I912" s="293"/>
      <c r="J912" s="126">
        <f t="shared" si="114"/>
        <v>16500</v>
      </c>
      <c r="K912" s="310">
        <v>43882</v>
      </c>
      <c r="L912" s="2">
        <v>0</v>
      </c>
      <c r="M912" s="313">
        <f t="shared" si="115"/>
        <v>43882</v>
      </c>
      <c r="N912" s="2" t="str">
        <f t="shared" si="116"/>
        <v>Pagado</v>
      </c>
      <c r="O912" s="310">
        <v>43899</v>
      </c>
      <c r="P912" s="293">
        <v>16500</v>
      </c>
      <c r="Q912" s="2" t="s">
        <v>2131</v>
      </c>
      <c r="R912" s="2"/>
      <c r="S912" s="2"/>
      <c r="T912" s="326" t="s">
        <v>1493</v>
      </c>
      <c r="U912" s="392"/>
      <c r="V912" s="2"/>
      <c r="W912" s="108"/>
      <c r="X912" s="310"/>
      <c r="Y912" s="2"/>
      <c r="Z912" s="131"/>
      <c r="AA912" s="108" t="str">
        <f t="shared" si="113"/>
        <v>Otros</v>
      </c>
      <c r="AB912" s="2"/>
      <c r="AC912" s="131">
        <f t="shared" si="117"/>
        <v>13865.546218487396</v>
      </c>
      <c r="AD912" s="108">
        <f t="shared" si="118"/>
        <v>2634.4537815126041</v>
      </c>
      <c r="AE912" s="2" t="s">
        <v>1445</v>
      </c>
      <c r="AF912" s="23" t="s">
        <v>3489</v>
      </c>
      <c r="AG912" s="2" t="str">
        <f t="shared" si="119"/>
        <v>SI</v>
      </c>
      <c r="AH912" s="14"/>
      <c r="AI912" s="23"/>
      <c r="AJ912" s="2" t="str">
        <f t="shared" si="120"/>
        <v>NV</v>
      </c>
      <c r="AK912" s="294"/>
    </row>
    <row r="913" spans="1:37" ht="14.25" customHeight="1" x14ac:dyDescent="0.25">
      <c r="A913" s="270" t="s">
        <v>5273</v>
      </c>
      <c r="B913" s="3" t="s">
        <v>5274</v>
      </c>
      <c r="C913" s="2">
        <v>0</v>
      </c>
      <c r="D913" s="2">
        <v>2958</v>
      </c>
      <c r="E913" s="2"/>
      <c r="F913" s="2"/>
      <c r="G913" s="2">
        <v>6618</v>
      </c>
      <c r="H913" s="293">
        <v>19700</v>
      </c>
      <c r="I913" s="293"/>
      <c r="J913" s="126">
        <f t="shared" si="114"/>
        <v>19700</v>
      </c>
      <c r="K913" s="310">
        <v>43882</v>
      </c>
      <c r="L913" s="2">
        <v>0</v>
      </c>
      <c r="M913" s="313">
        <f t="shared" si="115"/>
        <v>43882</v>
      </c>
      <c r="N913" s="2" t="str">
        <f t="shared" si="116"/>
        <v>Pagado</v>
      </c>
      <c r="O913" s="310">
        <v>43882</v>
      </c>
      <c r="P913" s="293">
        <v>19700</v>
      </c>
      <c r="Q913" s="2" t="s">
        <v>1484</v>
      </c>
      <c r="R913" s="2"/>
      <c r="S913" s="2"/>
      <c r="T913" s="326" t="s">
        <v>1462</v>
      </c>
      <c r="U913" s="392"/>
      <c r="V913" s="2"/>
      <c r="W913" s="108"/>
      <c r="X913" s="310"/>
      <c r="Y913" s="2"/>
      <c r="Z913" s="131"/>
      <c r="AA913" s="108" t="str">
        <f t="shared" si="113"/>
        <v/>
      </c>
      <c r="AB913" s="2"/>
      <c r="AC913" s="131">
        <f t="shared" si="117"/>
        <v>16554.621848739498</v>
      </c>
      <c r="AD913" s="108">
        <f t="shared" si="118"/>
        <v>3145.3781512605019</v>
      </c>
      <c r="AE913" s="2" t="s">
        <v>1501</v>
      </c>
      <c r="AF913" s="23" t="s">
        <v>3487</v>
      </c>
      <c r="AG913" s="2" t="str">
        <f t="shared" si="119"/>
        <v>SI</v>
      </c>
      <c r="AH913" s="14"/>
      <c r="AI913" s="23"/>
      <c r="AJ913" s="2" t="str">
        <f t="shared" si="120"/>
        <v>NV</v>
      </c>
      <c r="AK913" s="294"/>
    </row>
    <row r="914" spans="1:37" ht="14.25" customHeight="1" x14ac:dyDescent="0.25">
      <c r="A914" s="270" t="s">
        <v>1419</v>
      </c>
      <c r="B914" s="3" t="s">
        <v>1119</v>
      </c>
      <c r="C914" s="2">
        <v>0</v>
      </c>
      <c r="D914" s="2">
        <v>2964</v>
      </c>
      <c r="E914" s="2"/>
      <c r="F914" s="2"/>
      <c r="G914" s="2">
        <v>6621</v>
      </c>
      <c r="H914" s="293">
        <v>25500</v>
      </c>
      <c r="I914" s="293"/>
      <c r="J914" s="126">
        <f t="shared" si="114"/>
        <v>25500</v>
      </c>
      <c r="K914" s="310">
        <v>43882</v>
      </c>
      <c r="L914" s="2">
        <v>0</v>
      </c>
      <c r="M914" s="313">
        <f t="shared" si="115"/>
        <v>43882</v>
      </c>
      <c r="N914" s="2" t="str">
        <f t="shared" si="116"/>
        <v>Pagado</v>
      </c>
      <c r="O914" s="310">
        <v>43882</v>
      </c>
      <c r="P914" s="293">
        <v>25500</v>
      </c>
      <c r="Q914" s="2" t="s">
        <v>1481</v>
      </c>
      <c r="R914" s="2"/>
      <c r="S914" s="2"/>
      <c r="T914" s="326"/>
      <c r="U914" s="392"/>
      <c r="V914" s="2">
        <v>7679370</v>
      </c>
      <c r="W914" s="108">
        <v>25500</v>
      </c>
      <c r="X914" s="310">
        <v>43886</v>
      </c>
      <c r="Y914" s="2" t="s">
        <v>1488</v>
      </c>
      <c r="Z914" s="131"/>
      <c r="AA914" s="108" t="str">
        <f t="shared" si="113"/>
        <v/>
      </c>
      <c r="AB914" s="2"/>
      <c r="AC914" s="131">
        <f t="shared" si="117"/>
        <v>21428.571428571431</v>
      </c>
      <c r="AD914" s="108">
        <f t="shared" si="118"/>
        <v>4071.4285714285688</v>
      </c>
      <c r="AE914" s="2" t="s">
        <v>1501</v>
      </c>
      <c r="AF914" s="23" t="s">
        <v>3489</v>
      </c>
      <c r="AG914" s="2" t="str">
        <f t="shared" si="119"/>
        <v>SI</v>
      </c>
      <c r="AH914" s="14"/>
      <c r="AI914" s="23"/>
      <c r="AJ914" s="2" t="str">
        <f t="shared" si="120"/>
        <v>NV</v>
      </c>
      <c r="AK914" s="294"/>
    </row>
    <row r="915" spans="1:37" ht="14.25" customHeight="1" x14ac:dyDescent="0.25">
      <c r="A915" s="270" t="s">
        <v>5759</v>
      </c>
      <c r="B915" s="3" t="s">
        <v>5760</v>
      </c>
      <c r="C915" s="2">
        <v>0</v>
      </c>
      <c r="D915" s="2">
        <v>215</v>
      </c>
      <c r="E915" s="2"/>
      <c r="F915" s="2"/>
      <c r="G915" s="2">
        <v>6625</v>
      </c>
      <c r="H915" s="293">
        <v>76000</v>
      </c>
      <c r="I915" s="293"/>
      <c r="J915" s="126">
        <f t="shared" si="114"/>
        <v>76000</v>
      </c>
      <c r="K915" s="310">
        <v>43882</v>
      </c>
      <c r="L915" s="2">
        <v>0</v>
      </c>
      <c r="M915" s="313">
        <f t="shared" si="115"/>
        <v>43882</v>
      </c>
      <c r="N915" s="2" t="str">
        <f t="shared" si="116"/>
        <v>Pagado</v>
      </c>
      <c r="O915" s="310">
        <v>43882</v>
      </c>
      <c r="P915" s="293">
        <v>76000</v>
      </c>
      <c r="Q915" s="2" t="s">
        <v>1070</v>
      </c>
      <c r="R915" s="2" t="s">
        <v>2243</v>
      </c>
      <c r="S915" s="2">
        <v>215</v>
      </c>
      <c r="T915" s="326"/>
      <c r="U915" s="392"/>
      <c r="V915" s="2"/>
      <c r="W915" s="108"/>
      <c r="X915" s="310"/>
      <c r="Y915" s="2"/>
      <c r="Z915" s="131"/>
      <c r="AA915" s="108" t="str">
        <f t="shared" si="113"/>
        <v/>
      </c>
      <c r="AB915" s="2"/>
      <c r="AC915" s="131">
        <f t="shared" si="117"/>
        <v>63865.546218487398</v>
      </c>
      <c r="AD915" s="108">
        <f t="shared" si="118"/>
        <v>12134.453781512602</v>
      </c>
      <c r="AE915" s="2" t="s">
        <v>1501</v>
      </c>
      <c r="AF915" s="23" t="s">
        <v>3487</v>
      </c>
      <c r="AG915" s="2" t="str">
        <f t="shared" si="119"/>
        <v>SI</v>
      </c>
      <c r="AH915" s="14"/>
      <c r="AI915" s="23"/>
      <c r="AJ915" s="2" t="str">
        <f t="shared" si="120"/>
        <v>NV</v>
      </c>
      <c r="AK915" s="294"/>
    </row>
    <row r="916" spans="1:37" ht="14.25" customHeight="1" x14ac:dyDescent="0.25">
      <c r="A916" s="270" t="s">
        <v>1205</v>
      </c>
      <c r="B916" s="3" t="s">
        <v>2171</v>
      </c>
      <c r="C916" s="2">
        <v>0</v>
      </c>
      <c r="D916" s="2">
        <v>0</v>
      </c>
      <c r="E916" s="2"/>
      <c r="F916" s="2"/>
      <c r="G916" s="2">
        <v>6626</v>
      </c>
      <c r="H916" s="293">
        <v>5500</v>
      </c>
      <c r="I916" s="293"/>
      <c r="J916" s="126">
        <f t="shared" si="114"/>
        <v>5500</v>
      </c>
      <c r="K916" s="310">
        <v>43882</v>
      </c>
      <c r="L916" s="2">
        <v>0</v>
      </c>
      <c r="M916" s="313">
        <f t="shared" si="115"/>
        <v>43882</v>
      </c>
      <c r="N916" s="2" t="str">
        <f t="shared" ca="1" si="116"/>
        <v>Vencido</v>
      </c>
      <c r="O916" s="310"/>
      <c r="P916" s="293"/>
      <c r="Q916" s="2"/>
      <c r="R916" s="2"/>
      <c r="S916" s="2"/>
      <c r="T916" s="326"/>
      <c r="U916" s="392"/>
      <c r="V916" s="2"/>
      <c r="W916" s="108"/>
      <c r="X916" s="310"/>
      <c r="Y916" s="2"/>
      <c r="Z916" s="131"/>
      <c r="AA916" s="108" t="str">
        <f t="shared" si="113"/>
        <v/>
      </c>
      <c r="AB916" s="2"/>
      <c r="AC916" s="131">
        <f t="shared" si="117"/>
        <v>4621.8487394957983</v>
      </c>
      <c r="AD916" s="108">
        <f t="shared" si="118"/>
        <v>878.15126050420167</v>
      </c>
      <c r="AE916" s="2" t="s">
        <v>1445</v>
      </c>
      <c r="AF916" s="23" t="s">
        <v>3489</v>
      </c>
      <c r="AG916" s="2" t="str">
        <f t="shared" ca="1" si="119"/>
        <v>NO</v>
      </c>
      <c r="AH916" s="14"/>
      <c r="AI916" s="23"/>
      <c r="AJ916" s="2" t="str">
        <f t="shared" si="120"/>
        <v>NV</v>
      </c>
      <c r="AK916" s="294"/>
    </row>
    <row r="917" spans="1:37" ht="14.25" customHeight="1" x14ac:dyDescent="0.25">
      <c r="A917" s="270" t="s">
        <v>1411</v>
      </c>
      <c r="B917" s="3" t="s">
        <v>1150</v>
      </c>
      <c r="C917" s="2">
        <v>0</v>
      </c>
      <c r="D917" s="2">
        <v>214</v>
      </c>
      <c r="E917" s="2"/>
      <c r="F917" s="2"/>
      <c r="G917" s="2">
        <v>6617</v>
      </c>
      <c r="H917" s="293">
        <v>25000</v>
      </c>
      <c r="I917" s="293"/>
      <c r="J917" s="126">
        <f t="shared" si="114"/>
        <v>25000</v>
      </c>
      <c r="K917" s="310">
        <v>43882</v>
      </c>
      <c r="L917" s="2">
        <v>0</v>
      </c>
      <c r="M917" s="313">
        <f t="shared" si="115"/>
        <v>43882</v>
      </c>
      <c r="N917" s="2" t="str">
        <f t="shared" si="116"/>
        <v>Pagado</v>
      </c>
      <c r="O917" s="310">
        <v>43882</v>
      </c>
      <c r="P917" s="293">
        <v>25000</v>
      </c>
      <c r="Q917" s="2" t="s">
        <v>1070</v>
      </c>
      <c r="R917" s="2" t="s">
        <v>2243</v>
      </c>
      <c r="S917" s="2">
        <v>214</v>
      </c>
      <c r="T917" s="326"/>
      <c r="U917" s="392"/>
      <c r="V917" s="2"/>
      <c r="W917" s="108"/>
      <c r="X917" s="310"/>
      <c r="Y917" s="2"/>
      <c r="Z917" s="131"/>
      <c r="AA917" s="108" t="str">
        <f t="shared" ref="AA917:AA980" si="121">+IF(LEFT(Q917,6)="Cheque",IF(T917="Chile","Chile","Otros"),"")</f>
        <v/>
      </c>
      <c r="AB917" s="2"/>
      <c r="AC917" s="131">
        <f t="shared" si="117"/>
        <v>21008.403361344539</v>
      </c>
      <c r="AD917" s="108">
        <f t="shared" si="118"/>
        <v>3991.596638655461</v>
      </c>
      <c r="AE917" s="2" t="s">
        <v>1501</v>
      </c>
      <c r="AF917" s="23" t="s">
        <v>3487</v>
      </c>
      <c r="AG917" s="2" t="str">
        <f t="shared" si="119"/>
        <v>SI</v>
      </c>
      <c r="AH917" s="14"/>
      <c r="AI917" s="23"/>
      <c r="AJ917" s="2" t="str">
        <f t="shared" si="120"/>
        <v>NV</v>
      </c>
      <c r="AK917" s="294"/>
    </row>
    <row r="918" spans="1:37" ht="14.25" customHeight="1" x14ac:dyDescent="0.25">
      <c r="A918" s="270" t="s">
        <v>5778</v>
      </c>
      <c r="B918" s="3" t="s">
        <v>5779</v>
      </c>
      <c r="C918" s="2">
        <v>0</v>
      </c>
      <c r="D918" s="2">
        <v>2963</v>
      </c>
      <c r="E918" s="2"/>
      <c r="F918" s="2"/>
      <c r="G918" s="2">
        <v>6623</v>
      </c>
      <c r="H918" s="293">
        <v>23100</v>
      </c>
      <c r="I918" s="293"/>
      <c r="J918" s="126">
        <f t="shared" si="114"/>
        <v>23100</v>
      </c>
      <c r="K918" s="310">
        <v>43882</v>
      </c>
      <c r="L918" s="2">
        <v>0</v>
      </c>
      <c r="M918" s="313">
        <f t="shared" si="115"/>
        <v>43882</v>
      </c>
      <c r="N918" s="2" t="str">
        <f t="shared" si="116"/>
        <v>Pagado</v>
      </c>
      <c r="O918" s="310">
        <v>43882</v>
      </c>
      <c r="P918" s="293">
        <v>23200</v>
      </c>
      <c r="Q918" s="2" t="s">
        <v>1481</v>
      </c>
      <c r="R918" s="2"/>
      <c r="S918" s="2"/>
      <c r="T918" s="326"/>
      <c r="U918" s="392"/>
      <c r="V918" s="2">
        <v>7679370</v>
      </c>
      <c r="W918" s="108">
        <v>23200</v>
      </c>
      <c r="X918" s="310">
        <v>43886</v>
      </c>
      <c r="Y918" s="2" t="s">
        <v>1488</v>
      </c>
      <c r="Z918" s="131"/>
      <c r="AA918" s="108" t="str">
        <f t="shared" si="121"/>
        <v/>
      </c>
      <c r="AB918" s="2"/>
      <c r="AC918" s="131">
        <f t="shared" si="117"/>
        <v>19411.764705882353</v>
      </c>
      <c r="AD918" s="108">
        <f t="shared" si="118"/>
        <v>3688.2352941176468</v>
      </c>
      <c r="AE918" s="2" t="s">
        <v>1501</v>
      </c>
      <c r="AF918" s="23" t="s">
        <v>3489</v>
      </c>
      <c r="AG918" s="2" t="str">
        <f t="shared" si="119"/>
        <v>SI</v>
      </c>
      <c r="AH918" s="14"/>
      <c r="AI918" s="23"/>
      <c r="AJ918" s="2" t="str">
        <f t="shared" si="120"/>
        <v>NV</v>
      </c>
      <c r="AK918" s="294"/>
    </row>
    <row r="919" spans="1:37" ht="14.25" customHeight="1" x14ac:dyDescent="0.25">
      <c r="A919" s="270" t="s">
        <v>1235</v>
      </c>
      <c r="B919" s="3" t="s">
        <v>989</v>
      </c>
      <c r="C919" s="2">
        <v>0</v>
      </c>
      <c r="D919" s="2">
        <v>2967</v>
      </c>
      <c r="E919" s="2"/>
      <c r="F919" s="2"/>
      <c r="G919" s="2">
        <v>6632</v>
      </c>
      <c r="H919" s="293">
        <v>31700</v>
      </c>
      <c r="I919" s="293"/>
      <c r="J919" s="126">
        <f t="shared" si="114"/>
        <v>31700</v>
      </c>
      <c r="K919" s="310">
        <v>43883</v>
      </c>
      <c r="L919" s="2">
        <v>0</v>
      </c>
      <c r="M919" s="313">
        <f t="shared" si="115"/>
        <v>43883</v>
      </c>
      <c r="N919" s="2" t="str">
        <f t="shared" si="116"/>
        <v>Pagado</v>
      </c>
      <c r="O919" s="310">
        <v>43883</v>
      </c>
      <c r="P919" s="293">
        <v>31700</v>
      </c>
      <c r="Q919" s="2" t="s">
        <v>1484</v>
      </c>
      <c r="R919" s="2"/>
      <c r="S919" s="2"/>
      <c r="T919" s="326" t="s">
        <v>1490</v>
      </c>
      <c r="U919" s="392"/>
      <c r="V919" s="2">
        <v>7679370</v>
      </c>
      <c r="W919" s="108"/>
      <c r="X919" s="310"/>
      <c r="Y919" s="2"/>
      <c r="Z919" s="131"/>
      <c r="AA919" s="108" t="str">
        <f t="shared" si="121"/>
        <v/>
      </c>
      <c r="AB919" s="2"/>
      <c r="AC919" s="131">
        <f t="shared" si="117"/>
        <v>26638.655462184874</v>
      </c>
      <c r="AD919" s="108">
        <f t="shared" si="118"/>
        <v>5061.3445378151264</v>
      </c>
      <c r="AE919" s="2" t="s">
        <v>1501</v>
      </c>
      <c r="AF919" s="23" t="s">
        <v>3487</v>
      </c>
      <c r="AG919" s="2" t="str">
        <f t="shared" si="119"/>
        <v>SI</v>
      </c>
      <c r="AH919" s="14"/>
      <c r="AI919" s="23"/>
      <c r="AJ919" s="2" t="str">
        <f t="shared" si="120"/>
        <v>NV</v>
      </c>
      <c r="AK919" s="294"/>
    </row>
    <row r="920" spans="1:37" ht="14.25" customHeight="1" x14ac:dyDescent="0.25">
      <c r="A920" s="270" t="s">
        <v>1399</v>
      </c>
      <c r="B920" s="3" t="s">
        <v>1004</v>
      </c>
      <c r="C920" s="2">
        <v>0</v>
      </c>
      <c r="D920" s="2">
        <v>2965</v>
      </c>
      <c r="E920" s="2"/>
      <c r="F920" s="2"/>
      <c r="G920" s="2">
        <v>6630</v>
      </c>
      <c r="H920" s="293">
        <v>15800</v>
      </c>
      <c r="I920" s="293"/>
      <c r="J920" s="126">
        <f t="shared" si="114"/>
        <v>15800</v>
      </c>
      <c r="K920" s="310">
        <v>43883</v>
      </c>
      <c r="L920" s="2">
        <v>0</v>
      </c>
      <c r="M920" s="313">
        <f t="shared" si="115"/>
        <v>43883</v>
      </c>
      <c r="N920" s="2" t="str">
        <f t="shared" si="116"/>
        <v>Pagado</v>
      </c>
      <c r="O920" s="310">
        <v>43883</v>
      </c>
      <c r="P920" s="293">
        <v>15800</v>
      </c>
      <c r="Q920" s="2" t="s">
        <v>1481</v>
      </c>
      <c r="R920" s="2"/>
      <c r="S920" s="2"/>
      <c r="T920" s="326"/>
      <c r="U920" s="392"/>
      <c r="V920" s="2">
        <v>7679370</v>
      </c>
      <c r="W920" s="108">
        <v>15800</v>
      </c>
      <c r="X920" s="310">
        <v>43886</v>
      </c>
      <c r="Y920" s="2" t="s">
        <v>1488</v>
      </c>
      <c r="Z920" s="131"/>
      <c r="AA920" s="108" t="str">
        <f t="shared" si="121"/>
        <v/>
      </c>
      <c r="AB920" s="2"/>
      <c r="AC920" s="131">
        <f t="shared" si="117"/>
        <v>13277.310924369749</v>
      </c>
      <c r="AD920" s="108">
        <f t="shared" si="118"/>
        <v>2522.689075630251</v>
      </c>
      <c r="AE920" s="2" t="s">
        <v>1501</v>
      </c>
      <c r="AF920" s="23" t="s">
        <v>3487</v>
      </c>
      <c r="AG920" s="2" t="str">
        <f t="shared" si="119"/>
        <v>SI</v>
      </c>
      <c r="AH920" s="14"/>
      <c r="AI920" s="23"/>
      <c r="AJ920" s="2" t="str">
        <f t="shared" si="120"/>
        <v>NV</v>
      </c>
      <c r="AK920" s="294"/>
    </row>
    <row r="921" spans="1:37" ht="14.25" customHeight="1" x14ac:dyDescent="0.25">
      <c r="A921" s="270" t="s">
        <v>5781</v>
      </c>
      <c r="B921" s="3" t="s">
        <v>5782</v>
      </c>
      <c r="C921" s="2">
        <v>0</v>
      </c>
      <c r="D921" s="2">
        <v>2966</v>
      </c>
      <c r="E921" s="2"/>
      <c r="F921" s="2"/>
      <c r="G921" s="2">
        <v>6628</v>
      </c>
      <c r="H921" s="293">
        <v>23000</v>
      </c>
      <c r="I921" s="293"/>
      <c r="J921" s="126">
        <f t="shared" si="114"/>
        <v>23000</v>
      </c>
      <c r="K921" s="310">
        <v>43883</v>
      </c>
      <c r="L921" s="2">
        <v>0</v>
      </c>
      <c r="M921" s="313">
        <f t="shared" si="115"/>
        <v>43883</v>
      </c>
      <c r="N921" s="2" t="str">
        <f t="shared" si="116"/>
        <v>Pagado</v>
      </c>
      <c r="O921" s="310">
        <v>43883</v>
      </c>
      <c r="P921" s="293">
        <v>23000</v>
      </c>
      <c r="Q921" s="2" t="s">
        <v>1481</v>
      </c>
      <c r="R921" s="2"/>
      <c r="S921" s="2"/>
      <c r="T921" s="326"/>
      <c r="U921" s="392"/>
      <c r="V921" s="2">
        <v>7679370</v>
      </c>
      <c r="W921" s="108">
        <v>23000</v>
      </c>
      <c r="X921" s="310">
        <v>43886</v>
      </c>
      <c r="Y921" s="2" t="s">
        <v>1488</v>
      </c>
      <c r="Z921" s="131"/>
      <c r="AA921" s="108" t="str">
        <f t="shared" si="121"/>
        <v/>
      </c>
      <c r="AB921" s="2"/>
      <c r="AC921" s="131">
        <f t="shared" si="117"/>
        <v>19327.731092436974</v>
      </c>
      <c r="AD921" s="108">
        <f t="shared" si="118"/>
        <v>3672.268907563026</v>
      </c>
      <c r="AE921" s="2" t="s">
        <v>1501</v>
      </c>
      <c r="AF921" s="23" t="s">
        <v>3487</v>
      </c>
      <c r="AG921" s="2" t="str">
        <f t="shared" si="119"/>
        <v>SI</v>
      </c>
      <c r="AH921" s="14"/>
      <c r="AI921" s="23"/>
      <c r="AJ921" s="2" t="str">
        <f t="shared" si="120"/>
        <v>NV</v>
      </c>
      <c r="AK921" s="294"/>
    </row>
    <row r="922" spans="1:37" ht="14.25" customHeight="1" x14ac:dyDescent="0.25">
      <c r="A922" s="270" t="s">
        <v>4791</v>
      </c>
      <c r="B922" s="3" t="s">
        <v>4792</v>
      </c>
      <c r="C922" s="2">
        <v>0</v>
      </c>
      <c r="D922" s="2">
        <v>216</v>
      </c>
      <c r="E922" s="2"/>
      <c r="F922" s="2"/>
      <c r="G922" s="2">
        <v>6629</v>
      </c>
      <c r="H922" s="293">
        <v>77800</v>
      </c>
      <c r="I922" s="293"/>
      <c r="J922" s="126">
        <f t="shared" si="114"/>
        <v>77800</v>
      </c>
      <c r="K922" s="310">
        <v>43883</v>
      </c>
      <c r="L922" s="2">
        <v>0</v>
      </c>
      <c r="M922" s="313">
        <f t="shared" si="115"/>
        <v>43883</v>
      </c>
      <c r="N922" s="2" t="str">
        <f t="shared" si="116"/>
        <v>Pagado</v>
      </c>
      <c r="O922" s="310">
        <v>43883</v>
      </c>
      <c r="P922" s="293">
        <v>77800</v>
      </c>
      <c r="Q922" s="2" t="s">
        <v>1070</v>
      </c>
      <c r="R922" s="2" t="s">
        <v>2243</v>
      </c>
      <c r="S922" s="2">
        <v>216</v>
      </c>
      <c r="T922" s="326"/>
      <c r="U922" s="392"/>
      <c r="V922" s="2"/>
      <c r="W922" s="108"/>
      <c r="X922" s="310"/>
      <c r="Y922" s="2"/>
      <c r="Z922" s="131"/>
      <c r="AA922" s="108" t="str">
        <f t="shared" si="121"/>
        <v/>
      </c>
      <c r="AB922" s="2"/>
      <c r="AC922" s="131">
        <f t="shared" si="117"/>
        <v>65378.151260504208</v>
      </c>
      <c r="AD922" s="108">
        <f t="shared" si="118"/>
        <v>12421.848739495792</v>
      </c>
      <c r="AE922" s="2" t="s">
        <v>1501</v>
      </c>
      <c r="AF922" s="23" t="s">
        <v>3487</v>
      </c>
      <c r="AG922" s="2" t="str">
        <f t="shared" si="119"/>
        <v>SI</v>
      </c>
      <c r="AH922" s="14"/>
      <c r="AI922" s="23"/>
      <c r="AJ922" s="2" t="str">
        <f t="shared" si="120"/>
        <v>NV</v>
      </c>
      <c r="AK922" s="294"/>
    </row>
    <row r="923" spans="1:37" ht="14.25" customHeight="1" x14ac:dyDescent="0.25">
      <c r="A923" s="270" t="s">
        <v>3990</v>
      </c>
      <c r="B923" s="3" t="s">
        <v>3993</v>
      </c>
      <c r="C923" s="2">
        <v>0</v>
      </c>
      <c r="D923" s="2">
        <v>2968</v>
      </c>
      <c r="E923" s="2"/>
      <c r="F923" s="2"/>
      <c r="G923" s="2">
        <v>6632</v>
      </c>
      <c r="H923" s="293">
        <v>15800</v>
      </c>
      <c r="I923" s="293"/>
      <c r="J923" s="126">
        <f t="shared" si="114"/>
        <v>15800</v>
      </c>
      <c r="K923" s="310">
        <v>43883</v>
      </c>
      <c r="L923" s="2">
        <v>0</v>
      </c>
      <c r="M923" s="313">
        <f t="shared" si="115"/>
        <v>43883</v>
      </c>
      <c r="N923" s="2" t="str">
        <f t="shared" si="116"/>
        <v>Pagado</v>
      </c>
      <c r="O923" s="310">
        <v>43883</v>
      </c>
      <c r="P923" s="293">
        <v>15800</v>
      </c>
      <c r="Q923" s="2" t="s">
        <v>1481</v>
      </c>
      <c r="R923" s="2"/>
      <c r="S923" s="2"/>
      <c r="T923" s="326"/>
      <c r="U923" s="392"/>
      <c r="V923" s="2">
        <v>7679370</v>
      </c>
      <c r="W923" s="108">
        <v>15800</v>
      </c>
      <c r="X923" s="310">
        <v>43886</v>
      </c>
      <c r="Y923" s="2" t="s">
        <v>1488</v>
      </c>
      <c r="Z923" s="131"/>
      <c r="AA923" s="108" t="str">
        <f t="shared" si="121"/>
        <v/>
      </c>
      <c r="AB923" s="2"/>
      <c r="AC923" s="131">
        <f t="shared" si="117"/>
        <v>13277.310924369749</v>
      </c>
      <c r="AD923" s="108">
        <f t="shared" si="118"/>
        <v>2522.689075630251</v>
      </c>
      <c r="AE923" s="2" t="s">
        <v>1501</v>
      </c>
      <c r="AF923" s="23" t="s">
        <v>3487</v>
      </c>
      <c r="AG923" s="2" t="str">
        <f t="shared" si="119"/>
        <v>SI</v>
      </c>
      <c r="AH923" s="14"/>
      <c r="AI923" s="23"/>
      <c r="AJ923" s="2" t="str">
        <f t="shared" si="120"/>
        <v>NV</v>
      </c>
      <c r="AK923" s="294"/>
    </row>
    <row r="924" spans="1:37" ht="14.25" customHeight="1" x14ac:dyDescent="0.25">
      <c r="A924" s="270" t="s">
        <v>4947</v>
      </c>
      <c r="B924" s="3" t="s">
        <v>4948</v>
      </c>
      <c r="C924" s="2">
        <v>0</v>
      </c>
      <c r="D924" s="2">
        <v>2972</v>
      </c>
      <c r="E924" s="2"/>
      <c r="F924" s="2"/>
      <c r="G924" s="2">
        <v>6635</v>
      </c>
      <c r="H924" s="293">
        <v>15800</v>
      </c>
      <c r="I924" s="293"/>
      <c r="J924" s="126">
        <f t="shared" si="114"/>
        <v>15800</v>
      </c>
      <c r="K924" s="310">
        <v>43885</v>
      </c>
      <c r="L924" s="2">
        <v>0</v>
      </c>
      <c r="M924" s="313">
        <f t="shared" si="115"/>
        <v>43885</v>
      </c>
      <c r="N924" s="2" t="str">
        <f t="shared" si="116"/>
        <v>Pagado</v>
      </c>
      <c r="O924" s="310">
        <v>43885</v>
      </c>
      <c r="P924" s="293">
        <v>15800</v>
      </c>
      <c r="Q924" s="2" t="s">
        <v>1484</v>
      </c>
      <c r="R924" s="2"/>
      <c r="S924" s="2"/>
      <c r="T924" s="326" t="s">
        <v>1488</v>
      </c>
      <c r="U924" s="392"/>
      <c r="V924" s="2"/>
      <c r="W924" s="108"/>
      <c r="X924" s="310"/>
      <c r="Y924" s="2"/>
      <c r="Z924" s="131"/>
      <c r="AA924" s="108" t="str">
        <f t="shared" si="121"/>
        <v/>
      </c>
      <c r="AB924" s="2"/>
      <c r="AC924" s="131">
        <f t="shared" si="117"/>
        <v>13277.310924369749</v>
      </c>
      <c r="AD924" s="108">
        <f t="shared" si="118"/>
        <v>2522.689075630251</v>
      </c>
      <c r="AE924" s="2" t="s">
        <v>1501</v>
      </c>
      <c r="AF924" s="23" t="s">
        <v>3487</v>
      </c>
      <c r="AG924" s="2" t="str">
        <f t="shared" si="119"/>
        <v>SI</v>
      </c>
      <c r="AH924" s="14"/>
      <c r="AI924" s="23"/>
      <c r="AJ924" s="2" t="str">
        <f t="shared" si="120"/>
        <v>NV</v>
      </c>
      <c r="AK924" s="294"/>
    </row>
    <row r="925" spans="1:37" ht="14.25" customHeight="1" x14ac:dyDescent="0.25">
      <c r="A925" s="270" t="s">
        <v>4028</v>
      </c>
      <c r="B925" s="3" t="s">
        <v>4029</v>
      </c>
      <c r="C925" s="2">
        <v>0</v>
      </c>
      <c r="D925" s="2">
        <v>2969</v>
      </c>
      <c r="E925" s="2"/>
      <c r="F925" s="2"/>
      <c r="G925" s="2">
        <v>6636</v>
      </c>
      <c r="H925" s="293">
        <v>15800</v>
      </c>
      <c r="I925" s="293"/>
      <c r="J925" s="126">
        <f t="shared" si="114"/>
        <v>15800</v>
      </c>
      <c r="K925" s="310">
        <v>43885</v>
      </c>
      <c r="L925" s="2">
        <v>0</v>
      </c>
      <c r="M925" s="313">
        <f t="shared" si="115"/>
        <v>43885</v>
      </c>
      <c r="N925" s="2" t="str">
        <f t="shared" si="116"/>
        <v>Pagado</v>
      </c>
      <c r="O925" s="310">
        <v>43885</v>
      </c>
      <c r="P925" s="293">
        <v>15800</v>
      </c>
      <c r="Q925" s="2" t="s">
        <v>1481</v>
      </c>
      <c r="R925" s="2"/>
      <c r="S925" s="2"/>
      <c r="T925" s="326"/>
      <c r="U925" s="392"/>
      <c r="V925" s="2">
        <v>1860668</v>
      </c>
      <c r="W925" s="108">
        <v>15800</v>
      </c>
      <c r="X925" s="310">
        <v>43886</v>
      </c>
      <c r="Y925" s="2" t="s">
        <v>1488</v>
      </c>
      <c r="Z925" s="131"/>
      <c r="AA925" s="108" t="str">
        <f t="shared" si="121"/>
        <v/>
      </c>
      <c r="AB925" s="2"/>
      <c r="AC925" s="131">
        <f t="shared" si="117"/>
        <v>13277.310924369749</v>
      </c>
      <c r="AD925" s="108">
        <f t="shared" si="118"/>
        <v>2522.689075630251</v>
      </c>
      <c r="AE925" s="2" t="s">
        <v>1501</v>
      </c>
      <c r="AF925" s="23" t="s">
        <v>3489</v>
      </c>
      <c r="AG925" s="2" t="str">
        <f t="shared" si="119"/>
        <v>SI</v>
      </c>
      <c r="AH925" s="14"/>
      <c r="AI925" s="23"/>
      <c r="AJ925" s="2" t="str">
        <f t="shared" si="120"/>
        <v>NV</v>
      </c>
      <c r="AK925" s="294"/>
    </row>
    <row r="926" spans="1:37" ht="14.25" customHeight="1" x14ac:dyDescent="0.25">
      <c r="A926" s="270" t="s">
        <v>3562</v>
      </c>
      <c r="B926" s="3" t="s">
        <v>3563</v>
      </c>
      <c r="C926" s="2">
        <v>0</v>
      </c>
      <c r="D926" s="2">
        <v>2971</v>
      </c>
      <c r="E926" s="2"/>
      <c r="F926" s="2"/>
      <c r="G926" s="2">
        <v>6633</v>
      </c>
      <c r="H926" s="293">
        <v>15800</v>
      </c>
      <c r="I926" s="293"/>
      <c r="J926" s="126">
        <f t="shared" si="114"/>
        <v>15800</v>
      </c>
      <c r="K926" s="310">
        <v>43885</v>
      </c>
      <c r="L926" s="2">
        <v>0</v>
      </c>
      <c r="M926" s="313">
        <f t="shared" si="115"/>
        <v>43885</v>
      </c>
      <c r="N926" s="2" t="str">
        <f t="shared" si="116"/>
        <v>Pagado</v>
      </c>
      <c r="O926" s="310">
        <v>43885</v>
      </c>
      <c r="P926" s="293">
        <v>15800</v>
      </c>
      <c r="Q926" s="2" t="s">
        <v>1481</v>
      </c>
      <c r="R926" s="2"/>
      <c r="S926" s="2"/>
      <c r="T926" s="326"/>
      <c r="U926" s="392"/>
      <c r="V926" s="2">
        <v>1860668</v>
      </c>
      <c r="W926" s="108">
        <v>15800</v>
      </c>
      <c r="X926" s="310">
        <v>43886</v>
      </c>
      <c r="Y926" s="2" t="s">
        <v>1488</v>
      </c>
      <c r="Z926" s="131"/>
      <c r="AA926" s="108" t="str">
        <f t="shared" si="121"/>
        <v/>
      </c>
      <c r="AB926" s="2"/>
      <c r="AC926" s="131">
        <f t="shared" si="117"/>
        <v>13277.310924369749</v>
      </c>
      <c r="AD926" s="108">
        <f t="shared" si="118"/>
        <v>2522.689075630251</v>
      </c>
      <c r="AE926" s="2" t="s">
        <v>1501</v>
      </c>
      <c r="AF926" s="23" t="s">
        <v>3489</v>
      </c>
      <c r="AG926" s="2" t="str">
        <f t="shared" si="119"/>
        <v>SI</v>
      </c>
      <c r="AH926" s="14"/>
      <c r="AI926" s="23"/>
      <c r="AJ926" s="2" t="str">
        <f t="shared" si="120"/>
        <v>NV</v>
      </c>
      <c r="AK926" s="294"/>
    </row>
    <row r="927" spans="1:37" ht="14.25" customHeight="1" x14ac:dyDescent="0.25">
      <c r="A927" s="270" t="s">
        <v>1244</v>
      </c>
      <c r="B927" s="3" t="s">
        <v>971</v>
      </c>
      <c r="C927" s="2">
        <v>0</v>
      </c>
      <c r="D927" s="2">
        <v>2970</v>
      </c>
      <c r="E927" s="2"/>
      <c r="F927" s="2"/>
      <c r="G927" s="2">
        <v>6634</v>
      </c>
      <c r="H927" s="293">
        <v>19700</v>
      </c>
      <c r="I927" s="293"/>
      <c r="J927" s="126">
        <f t="shared" si="114"/>
        <v>19700</v>
      </c>
      <c r="K927" s="310">
        <v>43885</v>
      </c>
      <c r="L927" s="2">
        <v>0</v>
      </c>
      <c r="M927" s="313">
        <f t="shared" si="115"/>
        <v>43885</v>
      </c>
      <c r="N927" s="2" t="str">
        <f t="shared" si="116"/>
        <v>Pagado</v>
      </c>
      <c r="O927" s="310">
        <v>43885</v>
      </c>
      <c r="P927" s="293">
        <v>19700</v>
      </c>
      <c r="Q927" s="2" t="s">
        <v>1481</v>
      </c>
      <c r="R927" s="2"/>
      <c r="S927" s="2"/>
      <c r="T927" s="326"/>
      <c r="U927" s="392"/>
      <c r="V927" s="2">
        <v>1860668</v>
      </c>
      <c r="W927" s="108">
        <v>19700</v>
      </c>
      <c r="X927" s="310">
        <v>43886</v>
      </c>
      <c r="Y927" s="2" t="s">
        <v>1488</v>
      </c>
      <c r="Z927" s="131"/>
      <c r="AA927" s="108" t="str">
        <f t="shared" si="121"/>
        <v/>
      </c>
      <c r="AB927" s="2"/>
      <c r="AC927" s="131">
        <f t="shared" si="117"/>
        <v>16554.621848739498</v>
      </c>
      <c r="AD927" s="108">
        <f t="shared" si="118"/>
        <v>3145.3781512605019</v>
      </c>
      <c r="AE927" s="2" t="s">
        <v>1501</v>
      </c>
      <c r="AF927" s="23" t="s">
        <v>3489</v>
      </c>
      <c r="AG927" s="2" t="str">
        <f t="shared" si="119"/>
        <v>SI</v>
      </c>
      <c r="AH927" s="14"/>
      <c r="AI927" s="23"/>
      <c r="AJ927" s="2" t="str">
        <f t="shared" si="120"/>
        <v>NV</v>
      </c>
      <c r="AK927" s="294"/>
    </row>
    <row r="928" spans="1:37" ht="14.25" customHeight="1" x14ac:dyDescent="0.25">
      <c r="A928" s="270" t="s">
        <v>2598</v>
      </c>
      <c r="B928" s="3" t="s">
        <v>2599</v>
      </c>
      <c r="C928" s="2">
        <v>0</v>
      </c>
      <c r="D928" s="2">
        <v>2975</v>
      </c>
      <c r="E928" s="2"/>
      <c r="F928" s="2"/>
      <c r="G928" s="2">
        <v>6638</v>
      </c>
      <c r="H928" s="293">
        <v>15800</v>
      </c>
      <c r="I928" s="293"/>
      <c r="J928" s="126">
        <f t="shared" si="114"/>
        <v>15800</v>
      </c>
      <c r="K928" s="310">
        <v>43886</v>
      </c>
      <c r="L928" s="2">
        <v>0</v>
      </c>
      <c r="M928" s="313">
        <f t="shared" si="115"/>
        <v>43886</v>
      </c>
      <c r="N928" s="2" t="str">
        <f t="shared" si="116"/>
        <v>Pagado</v>
      </c>
      <c r="O928" s="310">
        <v>43886</v>
      </c>
      <c r="P928" s="293">
        <v>15800</v>
      </c>
      <c r="Q928" s="2" t="s">
        <v>1481</v>
      </c>
      <c r="R928" s="2"/>
      <c r="S928" s="2"/>
      <c r="T928" s="326"/>
      <c r="U928" s="392"/>
      <c r="V928" s="2"/>
      <c r="W928" s="108"/>
      <c r="X928" s="310"/>
      <c r="Y928" s="2"/>
      <c r="Z928" s="131"/>
      <c r="AA928" s="108" t="str">
        <f t="shared" si="121"/>
        <v/>
      </c>
      <c r="AB928" s="2"/>
      <c r="AC928" s="131">
        <f t="shared" si="117"/>
        <v>13277.310924369749</v>
      </c>
      <c r="AD928" s="108">
        <f t="shared" si="118"/>
        <v>2522.689075630251</v>
      </c>
      <c r="AE928" s="2" t="s">
        <v>1501</v>
      </c>
      <c r="AF928" s="23" t="s">
        <v>3489</v>
      </c>
      <c r="AG928" s="2" t="str">
        <f t="shared" si="119"/>
        <v>SI</v>
      </c>
      <c r="AH928" s="14"/>
      <c r="AI928" s="23"/>
      <c r="AJ928" s="2" t="str">
        <f t="shared" si="120"/>
        <v>NV</v>
      </c>
      <c r="AK928" s="294"/>
    </row>
    <row r="929" spans="1:37" ht="14.25" customHeight="1" x14ac:dyDescent="0.25">
      <c r="A929" s="270" t="s">
        <v>5535</v>
      </c>
      <c r="B929" s="3" t="s">
        <v>5536</v>
      </c>
      <c r="C929" s="2">
        <v>0</v>
      </c>
      <c r="D929" s="2">
        <v>2973</v>
      </c>
      <c r="E929" s="2"/>
      <c r="F929" s="2"/>
      <c r="G929" s="2">
        <v>6640</v>
      </c>
      <c r="H929" s="293">
        <v>84800</v>
      </c>
      <c r="I929" s="293"/>
      <c r="J929" s="126">
        <f t="shared" si="114"/>
        <v>84800</v>
      </c>
      <c r="K929" s="310">
        <v>43886</v>
      </c>
      <c r="L929" s="2">
        <v>0</v>
      </c>
      <c r="M929" s="313">
        <f t="shared" si="115"/>
        <v>43886</v>
      </c>
      <c r="N929" s="2" t="str">
        <f t="shared" si="116"/>
        <v>Pagado</v>
      </c>
      <c r="O929" s="310">
        <v>43886</v>
      </c>
      <c r="P929" s="293">
        <v>85000</v>
      </c>
      <c r="Q929" s="2" t="s">
        <v>1484</v>
      </c>
      <c r="R929" s="2"/>
      <c r="S929" s="2"/>
      <c r="T929" s="326" t="s">
        <v>1492</v>
      </c>
      <c r="U929" s="392"/>
      <c r="V929" s="2"/>
      <c r="W929" s="108"/>
      <c r="X929" s="310"/>
      <c r="Y929" s="2"/>
      <c r="Z929" s="131"/>
      <c r="AA929" s="108" t="str">
        <f t="shared" si="121"/>
        <v/>
      </c>
      <c r="AB929" s="2"/>
      <c r="AC929" s="131">
        <f t="shared" si="117"/>
        <v>71260.504201680669</v>
      </c>
      <c r="AD929" s="108">
        <f t="shared" si="118"/>
        <v>13539.495798319331</v>
      </c>
      <c r="AE929" s="2" t="s">
        <v>1501</v>
      </c>
      <c r="AF929" s="23" t="s">
        <v>3489</v>
      </c>
      <c r="AG929" s="2" t="str">
        <f t="shared" si="119"/>
        <v>SI</v>
      </c>
      <c r="AH929" s="14"/>
      <c r="AI929" s="23"/>
      <c r="AJ929" s="2" t="str">
        <f t="shared" si="120"/>
        <v>NV</v>
      </c>
      <c r="AK929" s="294"/>
    </row>
    <row r="930" spans="1:37" x14ac:dyDescent="0.25">
      <c r="A930" s="270" t="s">
        <v>2656</v>
      </c>
      <c r="B930" s="3" t="s">
        <v>3362</v>
      </c>
      <c r="C930" s="2">
        <v>0</v>
      </c>
      <c r="D930" s="2">
        <v>2977</v>
      </c>
      <c r="E930" s="2"/>
      <c r="F930" s="2"/>
      <c r="G930" s="2">
        <v>6641</v>
      </c>
      <c r="H930" s="293">
        <v>39300</v>
      </c>
      <c r="I930" s="293"/>
      <c r="J930" s="126">
        <f t="shared" si="114"/>
        <v>39300</v>
      </c>
      <c r="K930" s="310">
        <v>43886</v>
      </c>
      <c r="L930" s="2">
        <v>0</v>
      </c>
      <c r="M930" s="313">
        <f t="shared" si="115"/>
        <v>43886</v>
      </c>
      <c r="N930" s="2" t="str">
        <f t="shared" si="116"/>
        <v>Pagado</v>
      </c>
      <c r="O930" s="310">
        <v>43886</v>
      </c>
      <c r="P930" s="293">
        <v>39300</v>
      </c>
      <c r="Q930" s="2" t="s">
        <v>1484</v>
      </c>
      <c r="R930" s="2"/>
      <c r="S930" s="2"/>
      <c r="T930" s="326" t="s">
        <v>1462</v>
      </c>
      <c r="U930" s="392"/>
      <c r="V930" s="2"/>
      <c r="W930" s="108"/>
      <c r="X930" s="310"/>
      <c r="Y930" s="2"/>
      <c r="Z930" s="131"/>
      <c r="AA930" s="108" t="str">
        <f t="shared" si="121"/>
        <v/>
      </c>
      <c r="AB930" s="2"/>
      <c r="AC930" s="131">
        <f t="shared" si="117"/>
        <v>33025.210084033613</v>
      </c>
      <c r="AD930" s="108">
        <f t="shared" si="118"/>
        <v>6274.7899159663866</v>
      </c>
      <c r="AE930" s="2" t="s">
        <v>1501</v>
      </c>
      <c r="AF930" s="23" t="s">
        <v>3489</v>
      </c>
      <c r="AG930" s="2" t="str">
        <f t="shared" si="119"/>
        <v>SI</v>
      </c>
      <c r="AH930" s="14"/>
      <c r="AI930" s="23"/>
      <c r="AJ930" s="2" t="str">
        <f t="shared" si="120"/>
        <v>NV</v>
      </c>
      <c r="AK930" s="294"/>
    </row>
    <row r="931" spans="1:37" x14ac:dyDescent="0.25">
      <c r="A931" s="270" t="s">
        <v>5784</v>
      </c>
      <c r="B931" s="3" t="s">
        <v>5785</v>
      </c>
      <c r="C931" s="2">
        <v>3121</v>
      </c>
      <c r="D931" s="2">
        <v>0</v>
      </c>
      <c r="E931" s="2"/>
      <c r="F931" s="2"/>
      <c r="G931" s="2" t="s">
        <v>2528</v>
      </c>
      <c r="H931" s="293">
        <v>55930</v>
      </c>
      <c r="I931" s="293"/>
      <c r="J931" s="126">
        <f t="shared" si="114"/>
        <v>55930</v>
      </c>
      <c r="K931" s="310">
        <v>43886</v>
      </c>
      <c r="L931" s="2">
        <v>45</v>
      </c>
      <c r="M931" s="313">
        <f t="shared" si="115"/>
        <v>43931</v>
      </c>
      <c r="N931" s="2" t="str">
        <f t="shared" ca="1" si="116"/>
        <v>Vencido</v>
      </c>
      <c r="O931" s="310"/>
      <c r="P931" s="293"/>
      <c r="Q931" s="2"/>
      <c r="R931" s="2"/>
      <c r="S931" s="2"/>
      <c r="T931" s="326"/>
      <c r="U931" s="392"/>
      <c r="V931" s="2"/>
      <c r="W931" s="108"/>
      <c r="X931" s="310"/>
      <c r="Y931" s="2"/>
      <c r="Z931" s="131"/>
      <c r="AA931" s="108" t="str">
        <f t="shared" si="121"/>
        <v/>
      </c>
      <c r="AB931" s="2"/>
      <c r="AC931" s="131">
        <f t="shared" si="117"/>
        <v>47000</v>
      </c>
      <c r="AD931" s="108">
        <f t="shared" si="118"/>
        <v>8930</v>
      </c>
      <c r="AE931" s="2" t="s">
        <v>1849</v>
      </c>
      <c r="AF931" s="23" t="s">
        <v>3489</v>
      </c>
      <c r="AG931" s="2" t="str">
        <f t="shared" ca="1" si="119"/>
        <v>NO</v>
      </c>
      <c r="AH931" s="14"/>
      <c r="AI931" s="23"/>
      <c r="AJ931" s="2" t="str">
        <f t="shared" si="120"/>
        <v>Factura</v>
      </c>
      <c r="AK931" s="294"/>
    </row>
    <row r="932" spans="1:37" x14ac:dyDescent="0.25">
      <c r="A932" s="270" t="s">
        <v>5784</v>
      </c>
      <c r="B932" s="3" t="s">
        <v>5785</v>
      </c>
      <c r="C932" s="2">
        <v>3122</v>
      </c>
      <c r="D932" s="2">
        <v>0</v>
      </c>
      <c r="E932" s="2"/>
      <c r="F932" s="2"/>
      <c r="G932" s="2" t="s">
        <v>2528</v>
      </c>
      <c r="H932" s="293">
        <v>83895</v>
      </c>
      <c r="I932" s="293"/>
      <c r="J932" s="126">
        <f t="shared" si="114"/>
        <v>83895</v>
      </c>
      <c r="K932" s="310">
        <v>43886</v>
      </c>
      <c r="L932" s="2">
        <v>45</v>
      </c>
      <c r="M932" s="313">
        <f t="shared" si="115"/>
        <v>43931</v>
      </c>
      <c r="N932" s="2" t="str">
        <f t="shared" ca="1" si="116"/>
        <v>Vencido</v>
      </c>
      <c r="O932" s="310"/>
      <c r="P932" s="293"/>
      <c r="Q932" s="2"/>
      <c r="R932" s="2"/>
      <c r="S932" s="2"/>
      <c r="T932" s="326"/>
      <c r="U932" s="392"/>
      <c r="V932" s="2"/>
      <c r="W932" s="108"/>
      <c r="X932" s="310"/>
      <c r="Y932" s="2"/>
      <c r="Z932" s="131"/>
      <c r="AA932" s="108" t="str">
        <f t="shared" si="121"/>
        <v/>
      </c>
      <c r="AB932" s="2"/>
      <c r="AC932" s="131">
        <f t="shared" si="117"/>
        <v>70500</v>
      </c>
      <c r="AD932" s="108">
        <f t="shared" si="118"/>
        <v>13395</v>
      </c>
      <c r="AE932" s="2" t="s">
        <v>1849</v>
      </c>
      <c r="AF932" s="23" t="s">
        <v>3489</v>
      </c>
      <c r="AG932" s="2" t="str">
        <f t="shared" ca="1" si="119"/>
        <v>NO</v>
      </c>
      <c r="AH932" s="14"/>
      <c r="AI932" s="23"/>
      <c r="AJ932" s="2" t="str">
        <f t="shared" si="120"/>
        <v>Factura</v>
      </c>
      <c r="AK932" s="294"/>
    </row>
    <row r="933" spans="1:37" x14ac:dyDescent="0.25">
      <c r="A933" s="270" t="s">
        <v>5784</v>
      </c>
      <c r="B933" s="3" t="s">
        <v>5785</v>
      </c>
      <c r="C933" s="2">
        <v>3125</v>
      </c>
      <c r="D933" s="2">
        <v>0</v>
      </c>
      <c r="E933" s="2"/>
      <c r="F933" s="2"/>
      <c r="G933" s="2" t="s">
        <v>2528</v>
      </c>
      <c r="H933" s="293">
        <v>55930</v>
      </c>
      <c r="I933" s="293"/>
      <c r="J933" s="126">
        <f t="shared" si="114"/>
        <v>55930</v>
      </c>
      <c r="K933" s="310">
        <v>43886</v>
      </c>
      <c r="L933" s="2">
        <v>45</v>
      </c>
      <c r="M933" s="313">
        <f t="shared" si="115"/>
        <v>43931</v>
      </c>
      <c r="N933" s="2" t="str">
        <f t="shared" ca="1" si="116"/>
        <v>Vencido</v>
      </c>
      <c r="O933" s="310"/>
      <c r="P933" s="293"/>
      <c r="Q933" s="2"/>
      <c r="R933" s="2"/>
      <c r="S933" s="2"/>
      <c r="T933" s="326"/>
      <c r="U933" s="392"/>
      <c r="V933" s="2"/>
      <c r="W933" s="108"/>
      <c r="X933" s="310"/>
      <c r="Y933" s="2"/>
      <c r="Z933" s="131"/>
      <c r="AA933" s="108" t="str">
        <f t="shared" si="121"/>
        <v/>
      </c>
      <c r="AB933" s="2"/>
      <c r="AC933" s="131">
        <f t="shared" si="117"/>
        <v>47000</v>
      </c>
      <c r="AD933" s="108">
        <f t="shared" si="118"/>
        <v>8930</v>
      </c>
      <c r="AE933" s="2" t="s">
        <v>1849</v>
      </c>
      <c r="AF933" s="23" t="s">
        <v>3489</v>
      </c>
      <c r="AG933" s="2" t="str">
        <f t="shared" ca="1" si="119"/>
        <v>NO</v>
      </c>
      <c r="AH933" s="14"/>
      <c r="AI933" s="23"/>
      <c r="AJ933" s="2" t="str">
        <f t="shared" si="120"/>
        <v>Factura</v>
      </c>
      <c r="AK933" s="294"/>
    </row>
    <row r="934" spans="1:37" x14ac:dyDescent="0.25">
      <c r="A934" s="270" t="s">
        <v>5784</v>
      </c>
      <c r="B934" s="3" t="s">
        <v>5785</v>
      </c>
      <c r="C934" s="2">
        <v>3126</v>
      </c>
      <c r="D934" s="2">
        <v>0</v>
      </c>
      <c r="E934" s="2"/>
      <c r="F934" s="2"/>
      <c r="G934" s="2" t="s">
        <v>2528</v>
      </c>
      <c r="H934" s="293">
        <v>83895</v>
      </c>
      <c r="I934" s="293"/>
      <c r="J934" s="126">
        <f t="shared" si="114"/>
        <v>83895</v>
      </c>
      <c r="K934" s="310">
        <v>43886</v>
      </c>
      <c r="L934" s="2">
        <v>45</v>
      </c>
      <c r="M934" s="313">
        <f t="shared" si="115"/>
        <v>43931</v>
      </c>
      <c r="N934" s="2" t="str">
        <f t="shared" ca="1" si="116"/>
        <v>Vencido</v>
      </c>
      <c r="O934" s="310"/>
      <c r="P934" s="293"/>
      <c r="Q934" s="2"/>
      <c r="R934" s="2"/>
      <c r="S934" s="2"/>
      <c r="T934" s="326"/>
      <c r="U934" s="392"/>
      <c r="V934" s="2"/>
      <c r="W934" s="108"/>
      <c r="X934" s="310"/>
      <c r="Y934" s="2"/>
      <c r="Z934" s="131"/>
      <c r="AA934" s="108" t="str">
        <f t="shared" si="121"/>
        <v/>
      </c>
      <c r="AB934" s="2"/>
      <c r="AC934" s="131">
        <f t="shared" si="117"/>
        <v>70500</v>
      </c>
      <c r="AD934" s="108">
        <f t="shared" si="118"/>
        <v>13395</v>
      </c>
      <c r="AE934" s="2" t="s">
        <v>1849</v>
      </c>
      <c r="AF934" s="23" t="s">
        <v>3489</v>
      </c>
      <c r="AG934" s="2" t="str">
        <f t="shared" ca="1" si="119"/>
        <v>NO</v>
      </c>
      <c r="AH934" s="14"/>
      <c r="AI934" s="23"/>
      <c r="AJ934" s="2" t="str">
        <f t="shared" si="120"/>
        <v>Factura</v>
      </c>
      <c r="AK934" s="294"/>
    </row>
    <row r="935" spans="1:37" x14ac:dyDescent="0.25">
      <c r="A935" s="499" t="s">
        <v>5784</v>
      </c>
      <c r="B935" s="317" t="s">
        <v>5785</v>
      </c>
      <c r="C935" s="95">
        <v>3128</v>
      </c>
      <c r="D935" s="95">
        <v>0</v>
      </c>
      <c r="E935" s="95"/>
      <c r="F935" s="95"/>
      <c r="G935" s="95" t="s">
        <v>2528</v>
      </c>
      <c r="H935" s="138">
        <v>83895</v>
      </c>
      <c r="I935" s="138"/>
      <c r="J935" s="502">
        <f t="shared" si="114"/>
        <v>83895</v>
      </c>
      <c r="K935" s="318">
        <v>43886</v>
      </c>
      <c r="L935" s="95">
        <v>45</v>
      </c>
      <c r="M935" s="313">
        <f t="shared" si="115"/>
        <v>43931</v>
      </c>
      <c r="N935" s="95" t="str">
        <f t="shared" ca="1" si="116"/>
        <v>Vencido</v>
      </c>
      <c r="O935" s="318"/>
      <c r="P935" s="138"/>
      <c r="Q935" s="95"/>
      <c r="R935" s="95"/>
      <c r="S935" s="95"/>
      <c r="T935" s="325"/>
      <c r="U935" s="393"/>
      <c r="V935" s="95"/>
      <c r="W935" s="129"/>
      <c r="X935" s="318"/>
      <c r="Y935" s="95"/>
      <c r="Z935" s="426"/>
      <c r="AA935" s="129" t="str">
        <f t="shared" si="121"/>
        <v/>
      </c>
      <c r="AB935" s="95"/>
      <c r="AC935" s="426">
        <f t="shared" si="117"/>
        <v>70500</v>
      </c>
      <c r="AD935" s="129">
        <f t="shared" si="118"/>
        <v>13395</v>
      </c>
      <c r="AE935" s="95" t="s">
        <v>1849</v>
      </c>
      <c r="AF935" s="498" t="s">
        <v>3489</v>
      </c>
      <c r="AG935" s="95" t="str">
        <f t="shared" ca="1" si="119"/>
        <v>NO</v>
      </c>
      <c r="AH935" s="284"/>
      <c r="AI935" s="498"/>
      <c r="AJ935" s="95" t="str">
        <f t="shared" si="120"/>
        <v>Factura</v>
      </c>
      <c r="AK935" s="303"/>
    </row>
    <row r="936" spans="1:37" x14ac:dyDescent="0.25">
      <c r="A936" s="499" t="s">
        <v>5784</v>
      </c>
      <c r="B936" s="317" t="s">
        <v>5785</v>
      </c>
      <c r="C936" s="95">
        <v>3129</v>
      </c>
      <c r="D936" s="95">
        <v>0</v>
      </c>
      <c r="E936" s="95"/>
      <c r="F936" s="95"/>
      <c r="G936" s="95" t="s">
        <v>2528</v>
      </c>
      <c r="H936" s="138">
        <v>153808</v>
      </c>
      <c r="I936" s="138"/>
      <c r="J936" s="502">
        <f t="shared" si="114"/>
        <v>153808</v>
      </c>
      <c r="K936" s="318">
        <v>43886</v>
      </c>
      <c r="L936" s="95">
        <v>45</v>
      </c>
      <c r="M936" s="313">
        <f t="shared" si="115"/>
        <v>43931</v>
      </c>
      <c r="N936" s="95" t="str">
        <f t="shared" ca="1" si="116"/>
        <v>Vencido</v>
      </c>
      <c r="O936" s="318"/>
      <c r="P936" s="138"/>
      <c r="Q936" s="95"/>
      <c r="R936" s="95"/>
      <c r="S936" s="95"/>
      <c r="T936" s="325"/>
      <c r="U936" s="393"/>
      <c r="V936" s="95"/>
      <c r="W936" s="129"/>
      <c r="X936" s="318"/>
      <c r="Y936" s="95"/>
      <c r="Z936" s="426"/>
      <c r="AA936" s="129" t="str">
        <f t="shared" si="121"/>
        <v/>
      </c>
      <c r="AB936" s="95"/>
      <c r="AC936" s="426">
        <f t="shared" si="117"/>
        <v>129250.42016806723</v>
      </c>
      <c r="AD936" s="129">
        <f t="shared" si="118"/>
        <v>24557.579831932773</v>
      </c>
      <c r="AE936" s="95" t="s">
        <v>1849</v>
      </c>
      <c r="AF936" s="498" t="s">
        <v>3489</v>
      </c>
      <c r="AG936" s="95" t="str">
        <f t="shared" ca="1" si="119"/>
        <v>NO</v>
      </c>
      <c r="AH936" s="284"/>
      <c r="AI936" s="498"/>
      <c r="AJ936" s="95" t="str">
        <f t="shared" si="120"/>
        <v>Factura</v>
      </c>
      <c r="AK936" s="303"/>
    </row>
    <row r="937" spans="1:37" x14ac:dyDescent="0.25">
      <c r="A937" s="534" t="s">
        <v>5784</v>
      </c>
      <c r="B937" s="317" t="s">
        <v>5785</v>
      </c>
      <c r="C937" s="95">
        <v>3123</v>
      </c>
      <c r="D937" s="95">
        <v>0</v>
      </c>
      <c r="E937" s="95">
        <v>292</v>
      </c>
      <c r="F937" s="95"/>
      <c r="G937" s="95" t="s">
        <v>2528</v>
      </c>
      <c r="H937" s="138">
        <v>83895</v>
      </c>
      <c r="I937" s="138">
        <v>-83895</v>
      </c>
      <c r="J937" s="502">
        <f t="shared" si="114"/>
        <v>0</v>
      </c>
      <c r="K937" s="318">
        <v>43886</v>
      </c>
      <c r="L937" s="95">
        <v>45</v>
      </c>
      <c r="M937" s="313">
        <f t="shared" si="115"/>
        <v>43931</v>
      </c>
      <c r="N937" s="95" t="str">
        <f t="shared" si="116"/>
        <v>Nulo</v>
      </c>
      <c r="O937" s="318"/>
      <c r="P937" s="138"/>
      <c r="Q937" s="95"/>
      <c r="R937" s="95"/>
      <c r="S937" s="95"/>
      <c r="T937" s="325"/>
      <c r="U937" s="393"/>
      <c r="V937" s="95"/>
      <c r="W937" s="129"/>
      <c r="X937" s="318"/>
      <c r="Y937" s="95"/>
      <c r="Z937" s="426"/>
      <c r="AA937" s="129" t="str">
        <f t="shared" si="121"/>
        <v/>
      </c>
      <c r="AB937" s="95"/>
      <c r="AC937" s="426">
        <f t="shared" si="117"/>
        <v>70500</v>
      </c>
      <c r="AD937" s="129">
        <f t="shared" si="118"/>
        <v>13395</v>
      </c>
      <c r="AE937" s="95" t="s">
        <v>1849</v>
      </c>
      <c r="AF937" s="533" t="s">
        <v>3489</v>
      </c>
      <c r="AG937" s="95" t="str">
        <f t="shared" si="119"/>
        <v>SI</v>
      </c>
      <c r="AH937" s="284"/>
      <c r="AI937" s="533"/>
      <c r="AJ937" s="95" t="str">
        <f t="shared" si="120"/>
        <v>Factura</v>
      </c>
      <c r="AK937" s="303"/>
    </row>
    <row r="938" spans="1:37" x14ac:dyDescent="0.25">
      <c r="A938" s="534" t="s">
        <v>5784</v>
      </c>
      <c r="B938" s="317" t="s">
        <v>5785</v>
      </c>
      <c r="C938" s="95">
        <v>3124</v>
      </c>
      <c r="D938" s="95">
        <v>0</v>
      </c>
      <c r="E938" s="95">
        <v>291</v>
      </c>
      <c r="F938" s="95"/>
      <c r="G938" s="95" t="s">
        <v>2528</v>
      </c>
      <c r="H938" s="138">
        <v>83895</v>
      </c>
      <c r="I938" s="138">
        <v>-83895</v>
      </c>
      <c r="J938" s="502">
        <f t="shared" si="114"/>
        <v>0</v>
      </c>
      <c r="K938" s="318">
        <v>43886</v>
      </c>
      <c r="L938" s="95">
        <v>45</v>
      </c>
      <c r="M938" s="313">
        <f t="shared" si="115"/>
        <v>43931</v>
      </c>
      <c r="N938" s="95" t="str">
        <f t="shared" si="116"/>
        <v>Nulo</v>
      </c>
      <c r="O938" s="318"/>
      <c r="P938" s="138"/>
      <c r="Q938" s="95"/>
      <c r="R938" s="95"/>
      <c r="S938" s="95"/>
      <c r="T938" s="325"/>
      <c r="U938" s="393"/>
      <c r="V938" s="95"/>
      <c r="W938" s="129"/>
      <c r="X938" s="318"/>
      <c r="Y938" s="95"/>
      <c r="Z938" s="426"/>
      <c r="AA938" s="129" t="str">
        <f t="shared" si="121"/>
        <v/>
      </c>
      <c r="AB938" s="95"/>
      <c r="AC938" s="426">
        <f t="shared" si="117"/>
        <v>70500</v>
      </c>
      <c r="AD938" s="129">
        <f t="shared" si="118"/>
        <v>13395</v>
      </c>
      <c r="AE938" s="95" t="s">
        <v>1849</v>
      </c>
      <c r="AF938" s="533" t="s">
        <v>3489</v>
      </c>
      <c r="AG938" s="95" t="str">
        <f t="shared" si="119"/>
        <v>SI</v>
      </c>
      <c r="AH938" s="284"/>
      <c r="AI938" s="533"/>
      <c r="AJ938" s="95" t="str">
        <f t="shared" si="120"/>
        <v>Factura</v>
      </c>
      <c r="AK938" s="303"/>
    </row>
    <row r="939" spans="1:37" x14ac:dyDescent="0.25">
      <c r="A939" s="534" t="s">
        <v>5784</v>
      </c>
      <c r="B939" s="317" t="s">
        <v>5785</v>
      </c>
      <c r="C939" s="95">
        <v>3127</v>
      </c>
      <c r="D939" s="95">
        <v>0</v>
      </c>
      <c r="E939" s="95">
        <v>293</v>
      </c>
      <c r="F939" s="95"/>
      <c r="G939" s="95" t="s">
        <v>2528</v>
      </c>
      <c r="H939" s="138">
        <v>83895</v>
      </c>
      <c r="I939" s="138">
        <v>-83895</v>
      </c>
      <c r="J939" s="502">
        <f t="shared" si="114"/>
        <v>0</v>
      </c>
      <c r="K939" s="318">
        <v>43886</v>
      </c>
      <c r="L939" s="95">
        <v>45</v>
      </c>
      <c r="M939" s="313">
        <f t="shared" si="115"/>
        <v>43931</v>
      </c>
      <c r="N939" s="95" t="str">
        <f t="shared" si="116"/>
        <v>Nulo</v>
      </c>
      <c r="O939" s="318"/>
      <c r="P939" s="138"/>
      <c r="Q939" s="95"/>
      <c r="R939" s="95"/>
      <c r="S939" s="95"/>
      <c r="T939" s="325"/>
      <c r="U939" s="393"/>
      <c r="V939" s="95"/>
      <c r="W939" s="129"/>
      <c r="X939" s="318"/>
      <c r="Y939" s="95"/>
      <c r="Z939" s="426"/>
      <c r="AA939" s="129" t="str">
        <f t="shared" si="121"/>
        <v/>
      </c>
      <c r="AB939" s="95"/>
      <c r="AC939" s="426">
        <f t="shared" si="117"/>
        <v>70500</v>
      </c>
      <c r="AD939" s="129">
        <f t="shared" si="118"/>
        <v>13395</v>
      </c>
      <c r="AE939" s="95" t="s">
        <v>1849</v>
      </c>
      <c r="AF939" s="533" t="s">
        <v>3489</v>
      </c>
      <c r="AG939" s="95" t="str">
        <f t="shared" si="119"/>
        <v>SI</v>
      </c>
      <c r="AH939" s="284"/>
      <c r="AI939" s="533"/>
      <c r="AJ939" s="95" t="str">
        <f t="shared" si="120"/>
        <v>Factura</v>
      </c>
      <c r="AK939" s="303"/>
    </row>
    <row r="940" spans="1:37" x14ac:dyDescent="0.25">
      <c r="A940" s="534" t="s">
        <v>5789</v>
      </c>
      <c r="B940" s="317" t="s">
        <v>5790</v>
      </c>
      <c r="C940" s="95">
        <v>0</v>
      </c>
      <c r="D940" s="95">
        <v>2974</v>
      </c>
      <c r="E940" s="95"/>
      <c r="F940" s="95"/>
      <c r="G940" s="95">
        <v>6639</v>
      </c>
      <c r="H940" s="138">
        <v>23000</v>
      </c>
      <c r="I940" s="138"/>
      <c r="J940" s="502">
        <f t="shared" si="114"/>
        <v>23000</v>
      </c>
      <c r="K940" s="318">
        <v>43886</v>
      </c>
      <c r="L940" s="95">
        <v>0</v>
      </c>
      <c r="M940" s="313">
        <f t="shared" si="115"/>
        <v>43886</v>
      </c>
      <c r="N940" s="95" t="str">
        <f t="shared" si="116"/>
        <v>Pagado</v>
      </c>
      <c r="O940" s="318">
        <v>43886</v>
      </c>
      <c r="P940" s="138">
        <v>23000</v>
      </c>
      <c r="Q940" s="95" t="s">
        <v>1484</v>
      </c>
      <c r="R940" s="95"/>
      <c r="S940" s="95"/>
      <c r="T940" s="325" t="s">
        <v>1496</v>
      </c>
      <c r="U940" s="393"/>
      <c r="V940" s="95"/>
      <c r="W940" s="129"/>
      <c r="X940" s="318"/>
      <c r="Y940" s="95"/>
      <c r="Z940" s="426"/>
      <c r="AA940" s="129" t="str">
        <f t="shared" si="121"/>
        <v/>
      </c>
      <c r="AB940" s="95"/>
      <c r="AC940" s="426">
        <f t="shared" si="117"/>
        <v>19327.731092436974</v>
      </c>
      <c r="AD940" s="129">
        <f t="shared" si="118"/>
        <v>3672.268907563026</v>
      </c>
      <c r="AE940" s="95" t="s">
        <v>1501</v>
      </c>
      <c r="AF940" s="533" t="s">
        <v>3487</v>
      </c>
      <c r="AG940" s="95" t="str">
        <f t="shared" si="119"/>
        <v>SI</v>
      </c>
      <c r="AH940" s="284"/>
      <c r="AI940" s="533"/>
      <c r="AJ940" s="95" t="str">
        <f t="shared" si="120"/>
        <v>NV</v>
      </c>
      <c r="AK940" s="303"/>
    </row>
    <row r="941" spans="1:37" x14ac:dyDescent="0.25">
      <c r="A941" s="499" t="s">
        <v>5228</v>
      </c>
      <c r="B941" s="317" t="s">
        <v>5229</v>
      </c>
      <c r="C941" s="95">
        <v>0</v>
      </c>
      <c r="D941" s="95">
        <v>2976</v>
      </c>
      <c r="E941" s="95"/>
      <c r="F941" s="95"/>
      <c r="G941" s="95">
        <v>6637</v>
      </c>
      <c r="H941" s="138">
        <v>21200</v>
      </c>
      <c r="I941" s="138"/>
      <c r="J941" s="502">
        <f t="shared" si="114"/>
        <v>21200</v>
      </c>
      <c r="K941" s="318">
        <v>43886</v>
      </c>
      <c r="L941" s="95">
        <v>0</v>
      </c>
      <c r="M941" s="313">
        <f t="shared" si="115"/>
        <v>43886</v>
      </c>
      <c r="N941" s="95" t="str">
        <f t="shared" si="116"/>
        <v>Pagado</v>
      </c>
      <c r="O941" s="318">
        <v>43886</v>
      </c>
      <c r="P941" s="138">
        <v>21200</v>
      </c>
      <c r="Q941" s="95" t="s">
        <v>2132</v>
      </c>
      <c r="R941" s="95"/>
      <c r="S941" s="95"/>
      <c r="T941" s="325"/>
      <c r="U941" s="393"/>
      <c r="V941" s="95">
        <v>4955409</v>
      </c>
      <c r="W941" s="129">
        <v>21200</v>
      </c>
      <c r="X941" s="318">
        <v>43893</v>
      </c>
      <c r="Y941" s="95" t="s">
        <v>1488</v>
      </c>
      <c r="Z941" s="426"/>
      <c r="AA941" s="129" t="str">
        <f t="shared" si="121"/>
        <v>Otros</v>
      </c>
      <c r="AB941" s="95"/>
      <c r="AC941" s="426">
        <f t="shared" si="117"/>
        <v>17815.126050420167</v>
      </c>
      <c r="AD941" s="129">
        <f t="shared" si="118"/>
        <v>3384.8739495798327</v>
      </c>
      <c r="AE941" s="95" t="s">
        <v>1501</v>
      </c>
      <c r="AF941" s="498" t="s">
        <v>3487</v>
      </c>
      <c r="AG941" s="95" t="str">
        <f t="shared" si="119"/>
        <v>SI</v>
      </c>
      <c r="AH941" s="284"/>
      <c r="AI941" s="498"/>
      <c r="AJ941" s="95" t="str">
        <f t="shared" si="120"/>
        <v>NV</v>
      </c>
      <c r="AK941" s="303"/>
    </row>
    <row r="942" spans="1:37" x14ac:dyDescent="0.25">
      <c r="A942" s="542" t="s">
        <v>1259</v>
      </c>
      <c r="B942" s="317" t="s">
        <v>2778</v>
      </c>
      <c r="C942" s="95">
        <v>3135</v>
      </c>
      <c r="D942" s="95">
        <v>0</v>
      </c>
      <c r="E942" s="95"/>
      <c r="F942" s="95"/>
      <c r="G942" s="95" t="s">
        <v>2528</v>
      </c>
      <c r="H942" s="138">
        <v>336608</v>
      </c>
      <c r="I942" s="138"/>
      <c r="J942" s="502">
        <f t="shared" si="114"/>
        <v>336608</v>
      </c>
      <c r="K942" s="318">
        <v>43887</v>
      </c>
      <c r="L942" s="95">
        <v>30</v>
      </c>
      <c r="M942" s="313">
        <f t="shared" si="115"/>
        <v>43917</v>
      </c>
      <c r="N942" s="95" t="str">
        <f t="shared" si="116"/>
        <v>Pagado</v>
      </c>
      <c r="O942" s="318">
        <v>43887</v>
      </c>
      <c r="P942" s="138">
        <v>336608</v>
      </c>
      <c r="Q942" s="95" t="s">
        <v>2131</v>
      </c>
      <c r="R942" s="95"/>
      <c r="S942" s="95">
        <v>6390164</v>
      </c>
      <c r="T942" s="325" t="s">
        <v>1488</v>
      </c>
      <c r="U942" s="393">
        <v>43905</v>
      </c>
      <c r="V942" s="95"/>
      <c r="W942" s="129"/>
      <c r="X942" s="318"/>
      <c r="Y942" s="95"/>
      <c r="Z942" s="426"/>
      <c r="AA942" s="129" t="str">
        <f t="shared" si="121"/>
        <v>Chile</v>
      </c>
      <c r="AB942" s="95"/>
      <c r="AC942" s="426">
        <f t="shared" si="117"/>
        <v>282863.86554621853</v>
      </c>
      <c r="AD942" s="129">
        <f t="shared" si="118"/>
        <v>53744.134453781473</v>
      </c>
      <c r="AE942" s="95" t="s">
        <v>2050</v>
      </c>
      <c r="AF942" s="541" t="s">
        <v>3490</v>
      </c>
      <c r="AG942" s="95" t="str">
        <f t="shared" si="119"/>
        <v>SI</v>
      </c>
      <c r="AH942" s="284"/>
      <c r="AI942" s="541"/>
      <c r="AJ942" s="95" t="str">
        <f t="shared" si="120"/>
        <v>Factura</v>
      </c>
      <c r="AK942" s="303"/>
    </row>
    <row r="943" spans="1:37" x14ac:dyDescent="0.25">
      <c r="A943" s="542" t="s">
        <v>1259</v>
      </c>
      <c r="B943" s="317" t="s">
        <v>2778</v>
      </c>
      <c r="C943" s="95">
        <v>3136</v>
      </c>
      <c r="D943" s="95">
        <v>0</v>
      </c>
      <c r="E943" s="95"/>
      <c r="F943" s="95"/>
      <c r="G943" s="95" t="s">
        <v>2528</v>
      </c>
      <c r="H943" s="138">
        <v>145289</v>
      </c>
      <c r="I943" s="138"/>
      <c r="J943" s="502">
        <f t="shared" si="114"/>
        <v>145289</v>
      </c>
      <c r="K943" s="318">
        <v>43887</v>
      </c>
      <c r="L943" s="95">
        <v>30</v>
      </c>
      <c r="M943" s="313">
        <f t="shared" si="115"/>
        <v>43917</v>
      </c>
      <c r="N943" s="95" t="str">
        <f t="shared" si="116"/>
        <v>Pagado</v>
      </c>
      <c r="O943" s="318">
        <v>43887</v>
      </c>
      <c r="P943" s="138">
        <v>145289</v>
      </c>
      <c r="Q943" s="95" t="s">
        <v>2131</v>
      </c>
      <c r="R943" s="95"/>
      <c r="S943" s="95">
        <v>6390164</v>
      </c>
      <c r="T943" s="325" t="s">
        <v>1488</v>
      </c>
      <c r="U943" s="393">
        <v>43905</v>
      </c>
      <c r="V943" s="95"/>
      <c r="W943" s="129"/>
      <c r="X943" s="318"/>
      <c r="Y943" s="95"/>
      <c r="Z943" s="426"/>
      <c r="AA943" s="129" t="str">
        <f t="shared" si="121"/>
        <v>Chile</v>
      </c>
      <c r="AB943" s="95"/>
      <c r="AC943" s="426">
        <f t="shared" si="117"/>
        <v>122091.59663865546</v>
      </c>
      <c r="AD943" s="129">
        <f t="shared" si="118"/>
        <v>23197.403361344535</v>
      </c>
      <c r="AE943" s="95" t="s">
        <v>2050</v>
      </c>
      <c r="AF943" s="541" t="s">
        <v>3490</v>
      </c>
      <c r="AG943" s="95" t="str">
        <f t="shared" si="119"/>
        <v>SI</v>
      </c>
      <c r="AH943" s="284"/>
      <c r="AI943" s="541"/>
      <c r="AJ943" s="95" t="str">
        <f t="shared" si="120"/>
        <v>Factura</v>
      </c>
      <c r="AK943" s="303"/>
    </row>
    <row r="944" spans="1:37" x14ac:dyDescent="0.25">
      <c r="A944" s="542" t="s">
        <v>1192</v>
      </c>
      <c r="B944" s="317" t="s">
        <v>1061</v>
      </c>
      <c r="C944" s="95">
        <v>3147</v>
      </c>
      <c r="D944" s="95">
        <v>0</v>
      </c>
      <c r="E944" s="95"/>
      <c r="F944" s="95"/>
      <c r="G944" s="95" t="s">
        <v>4845</v>
      </c>
      <c r="H944" s="138">
        <v>306121</v>
      </c>
      <c r="I944" s="138"/>
      <c r="J944" s="502">
        <f t="shared" si="114"/>
        <v>306121</v>
      </c>
      <c r="K944" s="318">
        <v>43887</v>
      </c>
      <c r="L944" s="95">
        <v>0</v>
      </c>
      <c r="M944" s="313">
        <f t="shared" si="115"/>
        <v>43887</v>
      </c>
      <c r="N944" s="95" t="str">
        <f t="shared" si="116"/>
        <v>Pagado</v>
      </c>
      <c r="O944" s="318">
        <v>43895</v>
      </c>
      <c r="P944" s="138">
        <v>306121</v>
      </c>
      <c r="Q944" s="95" t="s">
        <v>1484</v>
      </c>
      <c r="R944" s="95"/>
      <c r="S944" s="95"/>
      <c r="T944" s="325" t="s">
        <v>1488</v>
      </c>
      <c r="U944" s="393"/>
      <c r="V944" s="95"/>
      <c r="W944" s="129"/>
      <c r="X944" s="318"/>
      <c r="Y944" s="95"/>
      <c r="Z944" s="426"/>
      <c r="AA944" s="129" t="str">
        <f t="shared" si="121"/>
        <v/>
      </c>
      <c r="AB944" s="95"/>
      <c r="AC944" s="426">
        <f t="shared" si="117"/>
        <v>257244.53781512607</v>
      </c>
      <c r="AD944" s="129">
        <f t="shared" si="118"/>
        <v>48876.462184873933</v>
      </c>
      <c r="AE944" s="95" t="s">
        <v>1501</v>
      </c>
      <c r="AF944" s="541" t="s">
        <v>3490</v>
      </c>
      <c r="AG944" s="95" t="str">
        <f t="shared" si="119"/>
        <v>SI</v>
      </c>
      <c r="AH944" s="284"/>
      <c r="AI944" s="541"/>
      <c r="AJ944" s="95" t="str">
        <f t="shared" si="120"/>
        <v>Factura</v>
      </c>
      <c r="AK944" s="303"/>
    </row>
    <row r="945" spans="1:37" x14ac:dyDescent="0.25">
      <c r="A945" s="499" t="s">
        <v>5808</v>
      </c>
      <c r="B945" s="317" t="s">
        <v>5809</v>
      </c>
      <c r="C945" s="95">
        <v>0</v>
      </c>
      <c r="D945" s="95">
        <v>2980</v>
      </c>
      <c r="E945" s="95"/>
      <c r="F945" s="95"/>
      <c r="G945" s="95">
        <v>6646</v>
      </c>
      <c r="H945" s="138">
        <v>22700</v>
      </c>
      <c r="I945" s="138"/>
      <c r="J945" s="502">
        <f t="shared" si="114"/>
        <v>22700</v>
      </c>
      <c r="K945" s="318">
        <v>43887</v>
      </c>
      <c r="L945" s="95">
        <v>0</v>
      </c>
      <c r="M945" s="313">
        <f t="shared" si="115"/>
        <v>43887</v>
      </c>
      <c r="N945" s="95" t="str">
        <f t="shared" si="116"/>
        <v>Pagado</v>
      </c>
      <c r="O945" s="318">
        <v>43887</v>
      </c>
      <c r="P945" s="138">
        <v>22700</v>
      </c>
      <c r="Q945" s="95" t="s">
        <v>1481</v>
      </c>
      <c r="R945" s="95"/>
      <c r="S945" s="95"/>
      <c r="T945" s="325"/>
      <c r="U945" s="393"/>
      <c r="V945" s="95">
        <v>7679632</v>
      </c>
      <c r="W945" s="129">
        <v>22700</v>
      </c>
      <c r="X945" s="318">
        <v>43893</v>
      </c>
      <c r="Y945" s="95" t="s">
        <v>1488</v>
      </c>
      <c r="Z945" s="426"/>
      <c r="AA945" s="129" t="str">
        <f t="shared" si="121"/>
        <v/>
      </c>
      <c r="AB945" s="95"/>
      <c r="AC945" s="426">
        <f t="shared" si="117"/>
        <v>19075.63025210084</v>
      </c>
      <c r="AD945" s="129">
        <f t="shared" si="118"/>
        <v>3624.3697478991598</v>
      </c>
      <c r="AE945" s="95" t="s">
        <v>1501</v>
      </c>
      <c r="AF945" s="498" t="s">
        <v>3487</v>
      </c>
      <c r="AG945" s="95" t="str">
        <f t="shared" si="119"/>
        <v>SI</v>
      </c>
      <c r="AH945" s="284"/>
      <c r="AI945" s="498"/>
      <c r="AJ945" s="95" t="str">
        <f t="shared" si="120"/>
        <v>NV</v>
      </c>
      <c r="AK945" s="303"/>
    </row>
    <row r="946" spans="1:37" x14ac:dyDescent="0.25">
      <c r="A946" s="499" t="s">
        <v>3460</v>
      </c>
      <c r="B946" s="317" t="s">
        <v>3461</v>
      </c>
      <c r="C946" s="95">
        <v>3141</v>
      </c>
      <c r="D946" s="95">
        <v>0</v>
      </c>
      <c r="E946" s="95"/>
      <c r="F946" s="95"/>
      <c r="G946" s="95" t="s">
        <v>2528</v>
      </c>
      <c r="H946" s="138">
        <v>91125</v>
      </c>
      <c r="I946" s="138"/>
      <c r="J946" s="502">
        <f t="shared" si="114"/>
        <v>91125</v>
      </c>
      <c r="K946" s="318">
        <v>43887</v>
      </c>
      <c r="L946" s="95">
        <v>0</v>
      </c>
      <c r="M946" s="313">
        <f t="shared" si="115"/>
        <v>43887</v>
      </c>
      <c r="N946" s="95" t="str">
        <f t="shared" si="116"/>
        <v>Pagado</v>
      </c>
      <c r="O946" s="318">
        <v>43923</v>
      </c>
      <c r="P946" s="138">
        <v>91125</v>
      </c>
      <c r="Q946" s="95" t="s">
        <v>1484</v>
      </c>
      <c r="R946" s="95"/>
      <c r="S946" s="95"/>
      <c r="T946" s="325"/>
      <c r="U946" s="393"/>
      <c r="V946" s="95"/>
      <c r="W946" s="129"/>
      <c r="X946" s="318"/>
      <c r="Y946" s="95"/>
      <c r="Z946" s="426"/>
      <c r="AA946" s="129" t="str">
        <f t="shared" si="121"/>
        <v/>
      </c>
      <c r="AB946" s="95"/>
      <c r="AC946" s="426">
        <f t="shared" si="117"/>
        <v>76575.630252100847</v>
      </c>
      <c r="AD946" s="129">
        <f t="shared" si="118"/>
        <v>14549.369747899153</v>
      </c>
      <c r="AE946" s="95" t="s">
        <v>1501</v>
      </c>
      <c r="AF946" s="498" t="s">
        <v>3490</v>
      </c>
      <c r="AG946" s="95" t="str">
        <f t="shared" si="119"/>
        <v>SI</v>
      </c>
      <c r="AH946" s="284"/>
      <c r="AI946" s="498"/>
      <c r="AJ946" s="95" t="str">
        <f t="shared" si="120"/>
        <v>Factura</v>
      </c>
      <c r="AK946" s="303"/>
    </row>
    <row r="947" spans="1:37" x14ac:dyDescent="0.25">
      <c r="A947" s="499" t="s">
        <v>1179</v>
      </c>
      <c r="B947" s="317" t="s">
        <v>952</v>
      </c>
      <c r="C947" s="95">
        <v>3134</v>
      </c>
      <c r="D947" s="95">
        <v>0</v>
      </c>
      <c r="E947" s="95"/>
      <c r="F947" s="95"/>
      <c r="G947" s="95" t="s">
        <v>2528</v>
      </c>
      <c r="H947" s="138">
        <v>192644</v>
      </c>
      <c r="I947" s="138"/>
      <c r="J947" s="502">
        <f t="shared" si="114"/>
        <v>192644</v>
      </c>
      <c r="K947" s="318">
        <v>43887</v>
      </c>
      <c r="L947" s="95">
        <v>7</v>
      </c>
      <c r="M947" s="313">
        <f t="shared" si="115"/>
        <v>43894</v>
      </c>
      <c r="N947" s="95" t="str">
        <f t="shared" si="116"/>
        <v>Abonado</v>
      </c>
      <c r="O947" s="318">
        <v>43894</v>
      </c>
      <c r="P947" s="138">
        <v>100000</v>
      </c>
      <c r="Q947" s="95" t="s">
        <v>1481</v>
      </c>
      <c r="R947" s="95"/>
      <c r="S947" s="95"/>
      <c r="T947" s="325"/>
      <c r="U947" s="393"/>
      <c r="V947" s="95">
        <v>2270999</v>
      </c>
      <c r="W947" s="129">
        <v>100000</v>
      </c>
      <c r="X947" s="318">
        <v>43895</v>
      </c>
      <c r="Y947" s="95" t="s">
        <v>1488</v>
      </c>
      <c r="Z947" s="426"/>
      <c r="AA947" s="129" t="str">
        <f t="shared" si="121"/>
        <v/>
      </c>
      <c r="AB947" s="95"/>
      <c r="AC947" s="426">
        <f t="shared" si="117"/>
        <v>161885.71428571429</v>
      </c>
      <c r="AD947" s="129">
        <f t="shared" si="118"/>
        <v>30758.28571428571</v>
      </c>
      <c r="AE947" s="95" t="s">
        <v>2050</v>
      </c>
      <c r="AF947" s="498" t="s">
        <v>3490</v>
      </c>
      <c r="AG947" s="95" t="str">
        <f t="shared" si="119"/>
        <v>NO</v>
      </c>
      <c r="AH947" s="284"/>
      <c r="AI947" s="498"/>
      <c r="AJ947" s="95" t="str">
        <f t="shared" si="120"/>
        <v>Factura</v>
      </c>
      <c r="AK947" s="303"/>
    </row>
    <row r="948" spans="1:37" x14ac:dyDescent="0.25">
      <c r="A948" s="499" t="s">
        <v>1224</v>
      </c>
      <c r="B948" s="317" t="s">
        <v>2150</v>
      </c>
      <c r="C948" s="95">
        <v>0</v>
      </c>
      <c r="D948" s="95">
        <v>2982</v>
      </c>
      <c r="E948" s="95"/>
      <c r="F948" s="95"/>
      <c r="G948" s="95">
        <v>6647</v>
      </c>
      <c r="H948" s="138">
        <v>43200</v>
      </c>
      <c r="I948" s="138"/>
      <c r="J948" s="502">
        <f t="shared" si="114"/>
        <v>43200</v>
      </c>
      <c r="K948" s="318">
        <v>43887</v>
      </c>
      <c r="L948" s="95">
        <v>0</v>
      </c>
      <c r="M948" s="313">
        <f t="shared" si="115"/>
        <v>43887</v>
      </c>
      <c r="N948" s="95" t="str">
        <f t="shared" si="116"/>
        <v>Pagado</v>
      </c>
      <c r="O948" s="318">
        <v>43887</v>
      </c>
      <c r="P948" s="138">
        <v>43200</v>
      </c>
      <c r="Q948" s="95" t="s">
        <v>1484</v>
      </c>
      <c r="R948" s="95"/>
      <c r="S948" s="95"/>
      <c r="T948" s="325" t="s">
        <v>1494</v>
      </c>
      <c r="U948" s="393"/>
      <c r="V948" s="95"/>
      <c r="W948" s="129"/>
      <c r="X948" s="318"/>
      <c r="Y948" s="95"/>
      <c r="Z948" s="426"/>
      <c r="AA948" s="129" t="str">
        <f t="shared" si="121"/>
        <v/>
      </c>
      <c r="AB948" s="95"/>
      <c r="AC948" s="426">
        <f t="shared" si="117"/>
        <v>36302.521008403361</v>
      </c>
      <c r="AD948" s="129">
        <f t="shared" si="118"/>
        <v>6897.4789915966394</v>
      </c>
      <c r="AE948" s="95" t="s">
        <v>1501</v>
      </c>
      <c r="AF948" s="498" t="s">
        <v>3487</v>
      </c>
      <c r="AG948" s="95" t="str">
        <f t="shared" si="119"/>
        <v>SI</v>
      </c>
      <c r="AH948" s="284"/>
      <c r="AI948" s="498"/>
      <c r="AJ948" s="95" t="str">
        <f t="shared" si="120"/>
        <v>NV</v>
      </c>
      <c r="AK948" s="303"/>
    </row>
    <row r="949" spans="1:37" x14ac:dyDescent="0.25">
      <c r="A949" s="499" t="s">
        <v>1177</v>
      </c>
      <c r="B949" s="317" t="s">
        <v>1060</v>
      </c>
      <c r="C949" s="95">
        <v>3130</v>
      </c>
      <c r="D949" s="95">
        <v>0</v>
      </c>
      <c r="E949" s="95">
        <v>294</v>
      </c>
      <c r="F949" s="95"/>
      <c r="G949" s="95" t="s">
        <v>2528</v>
      </c>
      <c r="H949" s="138">
        <v>239038</v>
      </c>
      <c r="I949" s="138">
        <v>-63008</v>
      </c>
      <c r="J949" s="502">
        <f t="shared" si="114"/>
        <v>176030</v>
      </c>
      <c r="K949" s="318">
        <v>43887</v>
      </c>
      <c r="L949" s="95">
        <v>30</v>
      </c>
      <c r="M949" s="313">
        <f t="shared" si="115"/>
        <v>43917</v>
      </c>
      <c r="N949" s="95" t="str">
        <f t="shared" si="116"/>
        <v>Pagado</v>
      </c>
      <c r="O949" s="318">
        <v>43887</v>
      </c>
      <c r="P949" s="138">
        <v>176030</v>
      </c>
      <c r="Q949" s="95" t="s">
        <v>2131</v>
      </c>
      <c r="R949" s="95"/>
      <c r="S949" s="95">
        <v>78998</v>
      </c>
      <c r="T949" s="325" t="s">
        <v>1462</v>
      </c>
      <c r="U949" s="393">
        <v>43925</v>
      </c>
      <c r="V949" s="95"/>
      <c r="W949" s="129"/>
      <c r="X949" s="318"/>
      <c r="Y949" s="95"/>
      <c r="Z949" s="426"/>
      <c r="AA949" s="129" t="str">
        <f t="shared" si="121"/>
        <v>Otros</v>
      </c>
      <c r="AB949" s="95"/>
      <c r="AC949" s="426">
        <f t="shared" si="117"/>
        <v>200872.26890756303</v>
      </c>
      <c r="AD949" s="129">
        <f t="shared" si="118"/>
        <v>38165.731092436967</v>
      </c>
      <c r="AE949" s="95" t="s">
        <v>2050</v>
      </c>
      <c r="AF949" s="498" t="s">
        <v>3490</v>
      </c>
      <c r="AG949" s="95" t="str">
        <f t="shared" si="119"/>
        <v>SI</v>
      </c>
      <c r="AH949" s="284"/>
      <c r="AI949" s="498"/>
      <c r="AJ949" s="95" t="str">
        <f t="shared" si="120"/>
        <v>Factura</v>
      </c>
      <c r="AK949" s="303"/>
    </row>
    <row r="950" spans="1:37" x14ac:dyDescent="0.25">
      <c r="A950" s="499" t="s">
        <v>4462</v>
      </c>
      <c r="B950" s="317" t="s">
        <v>4463</v>
      </c>
      <c r="C950" s="95">
        <v>0</v>
      </c>
      <c r="D950" s="95">
        <v>2979</v>
      </c>
      <c r="E950" s="95"/>
      <c r="F950" s="95"/>
      <c r="G950" s="95">
        <v>2979</v>
      </c>
      <c r="H950" s="138">
        <v>32100</v>
      </c>
      <c r="I950" s="138"/>
      <c r="J950" s="502">
        <f t="shared" si="114"/>
        <v>32100</v>
      </c>
      <c r="K950" s="318">
        <v>43887</v>
      </c>
      <c r="L950" s="95">
        <v>0</v>
      </c>
      <c r="M950" s="313">
        <f t="shared" si="115"/>
        <v>43887</v>
      </c>
      <c r="N950" s="95" t="str">
        <f t="shared" si="116"/>
        <v>Pagado</v>
      </c>
      <c r="O950" s="318">
        <v>43889</v>
      </c>
      <c r="P950" s="138">
        <v>32100</v>
      </c>
      <c r="Q950" s="95" t="s">
        <v>1484</v>
      </c>
      <c r="R950" s="95"/>
      <c r="S950" s="95"/>
      <c r="T950" s="325" t="s">
        <v>1462</v>
      </c>
      <c r="U950" s="393"/>
      <c r="V950" s="95"/>
      <c r="W950" s="129"/>
      <c r="X950" s="318"/>
      <c r="Y950" s="95"/>
      <c r="Z950" s="426"/>
      <c r="AA950" s="129" t="str">
        <f t="shared" si="121"/>
        <v/>
      </c>
      <c r="AB950" s="95"/>
      <c r="AC950" s="426">
        <f t="shared" si="117"/>
        <v>26974.789915966387</v>
      </c>
      <c r="AD950" s="129">
        <f t="shared" si="118"/>
        <v>5125.2100840336134</v>
      </c>
      <c r="AE950" s="95" t="s">
        <v>1501</v>
      </c>
      <c r="AF950" s="498" t="s">
        <v>3487</v>
      </c>
      <c r="AG950" s="95" t="str">
        <f t="shared" si="119"/>
        <v>SI</v>
      </c>
      <c r="AH950" s="284"/>
      <c r="AI950" s="498"/>
      <c r="AJ950" s="95" t="str">
        <f t="shared" si="120"/>
        <v>NV</v>
      </c>
      <c r="AK950" s="303"/>
    </row>
    <row r="951" spans="1:37" x14ac:dyDescent="0.25">
      <c r="A951" s="499" t="s">
        <v>2437</v>
      </c>
      <c r="B951" s="317" t="s">
        <v>2438</v>
      </c>
      <c r="C951" s="95">
        <v>0</v>
      </c>
      <c r="D951" s="95">
        <v>2981</v>
      </c>
      <c r="E951" s="95"/>
      <c r="F951" s="95"/>
      <c r="G951" s="95">
        <v>6644</v>
      </c>
      <c r="H951" s="138">
        <v>23000</v>
      </c>
      <c r="I951" s="138"/>
      <c r="J951" s="502">
        <f t="shared" si="114"/>
        <v>23000</v>
      </c>
      <c r="K951" s="318">
        <v>43887</v>
      </c>
      <c r="L951" s="95">
        <v>0</v>
      </c>
      <c r="M951" s="313">
        <f t="shared" si="115"/>
        <v>43887</v>
      </c>
      <c r="N951" s="95" t="str">
        <f t="shared" si="116"/>
        <v>Pagado</v>
      </c>
      <c r="O951" s="318">
        <v>43887</v>
      </c>
      <c r="P951" s="138">
        <v>23000</v>
      </c>
      <c r="Q951" s="95" t="s">
        <v>1481</v>
      </c>
      <c r="R951" s="95"/>
      <c r="S951" s="95"/>
      <c r="T951" s="325"/>
      <c r="U951" s="393"/>
      <c r="V951" s="95">
        <v>7679632</v>
      </c>
      <c r="W951" s="129">
        <v>23000</v>
      </c>
      <c r="X951" s="318">
        <v>43893</v>
      </c>
      <c r="Y951" s="95" t="s">
        <v>1488</v>
      </c>
      <c r="Z951" s="426"/>
      <c r="AA951" s="129" t="str">
        <f t="shared" si="121"/>
        <v/>
      </c>
      <c r="AB951" s="95"/>
      <c r="AC951" s="426">
        <f t="shared" si="117"/>
        <v>19327.731092436974</v>
      </c>
      <c r="AD951" s="129">
        <f t="shared" si="118"/>
        <v>3672.268907563026</v>
      </c>
      <c r="AE951" s="95" t="s">
        <v>1501</v>
      </c>
      <c r="AF951" s="498" t="s">
        <v>3489</v>
      </c>
      <c r="AG951" s="95" t="str">
        <f t="shared" si="119"/>
        <v>SI</v>
      </c>
      <c r="AH951" s="284"/>
      <c r="AI951" s="498"/>
      <c r="AJ951" s="95" t="str">
        <f t="shared" si="120"/>
        <v>NV</v>
      </c>
      <c r="AK951" s="303"/>
    </row>
    <row r="952" spans="1:37" x14ac:dyDescent="0.25">
      <c r="A952" s="542" t="s">
        <v>1175</v>
      </c>
      <c r="B952" s="317" t="s">
        <v>1144</v>
      </c>
      <c r="C952" s="95">
        <v>3137</v>
      </c>
      <c r="D952" s="95">
        <v>0</v>
      </c>
      <c r="E952" s="95"/>
      <c r="F952" s="95"/>
      <c r="G952" s="95">
        <v>1039579</v>
      </c>
      <c r="H952" s="138">
        <v>369095</v>
      </c>
      <c r="I952" s="138"/>
      <c r="J952" s="502">
        <f t="shared" si="114"/>
        <v>369095</v>
      </c>
      <c r="K952" s="318">
        <v>43887</v>
      </c>
      <c r="L952" s="95">
        <v>30</v>
      </c>
      <c r="M952" s="313">
        <f t="shared" si="115"/>
        <v>43917</v>
      </c>
      <c r="N952" s="95" t="str">
        <f t="shared" ca="1" si="116"/>
        <v>Vencido</v>
      </c>
      <c r="O952" s="318"/>
      <c r="P952" s="138"/>
      <c r="Q952" s="95"/>
      <c r="R952" s="95"/>
      <c r="S952" s="95"/>
      <c r="T952" s="325"/>
      <c r="U952" s="393"/>
      <c r="V952" s="95"/>
      <c r="W952" s="129"/>
      <c r="X952" s="318"/>
      <c r="Y952" s="95"/>
      <c r="Z952" s="426"/>
      <c r="AA952" s="129" t="str">
        <f t="shared" si="121"/>
        <v/>
      </c>
      <c r="AB952" s="95"/>
      <c r="AC952" s="426">
        <f t="shared" si="117"/>
        <v>310163.86554621853</v>
      </c>
      <c r="AD952" s="129">
        <f t="shared" si="118"/>
        <v>58931.134453781473</v>
      </c>
      <c r="AE952" s="95" t="s">
        <v>2050</v>
      </c>
      <c r="AF952" s="541" t="s">
        <v>3490</v>
      </c>
      <c r="AG952" s="95" t="str">
        <f t="shared" ca="1" si="119"/>
        <v>NO</v>
      </c>
      <c r="AH952" s="284"/>
      <c r="AI952" s="541"/>
      <c r="AJ952" s="95" t="str">
        <f t="shared" si="120"/>
        <v>Factura</v>
      </c>
      <c r="AK952" s="303"/>
    </row>
    <row r="953" spans="1:37" x14ac:dyDescent="0.25">
      <c r="A953" s="542" t="s">
        <v>1175</v>
      </c>
      <c r="B953" s="317" t="s">
        <v>1144</v>
      </c>
      <c r="C953" s="95">
        <v>3138</v>
      </c>
      <c r="D953" s="95">
        <v>0</v>
      </c>
      <c r="E953" s="95"/>
      <c r="F953" s="95"/>
      <c r="G953" s="95">
        <v>1039580</v>
      </c>
      <c r="H953" s="138">
        <v>216451</v>
      </c>
      <c r="I953" s="138"/>
      <c r="J953" s="502">
        <f t="shared" si="114"/>
        <v>216451</v>
      </c>
      <c r="K953" s="318">
        <v>43887</v>
      </c>
      <c r="L953" s="95">
        <v>30</v>
      </c>
      <c r="M953" s="313">
        <f t="shared" si="115"/>
        <v>43917</v>
      </c>
      <c r="N953" s="95" t="str">
        <f t="shared" ca="1" si="116"/>
        <v>Vencido</v>
      </c>
      <c r="O953" s="318"/>
      <c r="P953" s="138"/>
      <c r="Q953" s="95"/>
      <c r="R953" s="95"/>
      <c r="S953" s="95"/>
      <c r="T953" s="325"/>
      <c r="U953" s="393"/>
      <c r="V953" s="95"/>
      <c r="W953" s="129"/>
      <c r="X953" s="318"/>
      <c r="Y953" s="95"/>
      <c r="Z953" s="426"/>
      <c r="AA953" s="129" t="str">
        <f t="shared" si="121"/>
        <v/>
      </c>
      <c r="AB953" s="95"/>
      <c r="AC953" s="426">
        <f t="shared" si="117"/>
        <v>181891.59663865546</v>
      </c>
      <c r="AD953" s="129">
        <f t="shared" si="118"/>
        <v>34559.403361344535</v>
      </c>
      <c r="AE953" s="95" t="s">
        <v>2050</v>
      </c>
      <c r="AF953" s="541" t="s">
        <v>3490</v>
      </c>
      <c r="AG953" s="95" t="str">
        <f t="shared" ca="1" si="119"/>
        <v>NO</v>
      </c>
      <c r="AH953" s="284"/>
      <c r="AI953" s="541"/>
      <c r="AJ953" s="95" t="str">
        <f t="shared" si="120"/>
        <v>Factura</v>
      </c>
      <c r="AK953" s="303"/>
    </row>
    <row r="954" spans="1:37" x14ac:dyDescent="0.25">
      <c r="A954" s="542" t="s">
        <v>1175</v>
      </c>
      <c r="B954" s="317" t="s">
        <v>1144</v>
      </c>
      <c r="C954" s="95">
        <v>3139</v>
      </c>
      <c r="D954" s="95">
        <v>0</v>
      </c>
      <c r="E954" s="95"/>
      <c r="F954" s="95"/>
      <c r="G954" s="95">
        <v>1039581</v>
      </c>
      <c r="H954" s="138">
        <v>316798</v>
      </c>
      <c r="I954" s="138"/>
      <c r="J954" s="502">
        <f t="shared" si="114"/>
        <v>316798</v>
      </c>
      <c r="K954" s="318">
        <v>43887</v>
      </c>
      <c r="L954" s="95">
        <v>30</v>
      </c>
      <c r="M954" s="313">
        <f t="shared" si="115"/>
        <v>43917</v>
      </c>
      <c r="N954" s="95" t="str">
        <f t="shared" ca="1" si="116"/>
        <v>Vencido</v>
      </c>
      <c r="O954" s="318"/>
      <c r="P954" s="138"/>
      <c r="Q954" s="95"/>
      <c r="R954" s="95"/>
      <c r="S954" s="95"/>
      <c r="T954" s="325"/>
      <c r="U954" s="393"/>
      <c r="V954" s="95"/>
      <c r="W954" s="129"/>
      <c r="X954" s="318"/>
      <c r="Y954" s="95"/>
      <c r="Z954" s="426"/>
      <c r="AA954" s="129" t="str">
        <f t="shared" si="121"/>
        <v/>
      </c>
      <c r="AB954" s="95"/>
      <c r="AC954" s="426">
        <f t="shared" si="117"/>
        <v>266216.80672268907</v>
      </c>
      <c r="AD954" s="129">
        <f t="shared" si="118"/>
        <v>50581.193277310929</v>
      </c>
      <c r="AE954" s="95" t="s">
        <v>2050</v>
      </c>
      <c r="AF954" s="541" t="s">
        <v>3490</v>
      </c>
      <c r="AG954" s="95" t="str">
        <f t="shared" ca="1" si="119"/>
        <v>NO</v>
      </c>
      <c r="AH954" s="284"/>
      <c r="AI954" s="541"/>
      <c r="AJ954" s="95" t="str">
        <f t="shared" si="120"/>
        <v>Factura</v>
      </c>
      <c r="AK954" s="303"/>
    </row>
    <row r="955" spans="1:37" x14ac:dyDescent="0.25">
      <c r="A955" s="542" t="s">
        <v>1175</v>
      </c>
      <c r="B955" s="317" t="s">
        <v>1144</v>
      </c>
      <c r="C955" s="95">
        <v>3140</v>
      </c>
      <c r="D955" s="95">
        <v>0</v>
      </c>
      <c r="E955" s="95"/>
      <c r="F955" s="95"/>
      <c r="G955" s="95">
        <v>1039582</v>
      </c>
      <c r="H955" s="138">
        <v>136256</v>
      </c>
      <c r="I955" s="138"/>
      <c r="J955" s="502">
        <f t="shared" si="114"/>
        <v>136256</v>
      </c>
      <c r="K955" s="318">
        <v>43887</v>
      </c>
      <c r="L955" s="95">
        <v>30</v>
      </c>
      <c r="M955" s="313">
        <f t="shared" si="115"/>
        <v>43917</v>
      </c>
      <c r="N955" s="95" t="str">
        <f t="shared" ca="1" si="116"/>
        <v>Vencido</v>
      </c>
      <c r="O955" s="318"/>
      <c r="P955" s="138"/>
      <c r="Q955" s="95"/>
      <c r="R955" s="95"/>
      <c r="S955" s="95"/>
      <c r="T955" s="325"/>
      <c r="U955" s="393"/>
      <c r="V955" s="95"/>
      <c r="W955" s="129"/>
      <c r="X955" s="318"/>
      <c r="Y955" s="95"/>
      <c r="Z955" s="426"/>
      <c r="AA955" s="129" t="str">
        <f t="shared" si="121"/>
        <v/>
      </c>
      <c r="AB955" s="95"/>
      <c r="AC955" s="426">
        <f t="shared" si="117"/>
        <v>114500.84033613445</v>
      </c>
      <c r="AD955" s="129">
        <f t="shared" si="118"/>
        <v>21755.159663865546</v>
      </c>
      <c r="AE955" s="95" t="s">
        <v>2050</v>
      </c>
      <c r="AF955" s="541" t="s">
        <v>3490</v>
      </c>
      <c r="AG955" s="95" t="str">
        <f t="shared" ca="1" si="119"/>
        <v>NO</v>
      </c>
      <c r="AH955" s="284"/>
      <c r="AI955" s="541"/>
      <c r="AJ955" s="95" t="str">
        <f t="shared" si="120"/>
        <v>Factura</v>
      </c>
      <c r="AK955" s="303"/>
    </row>
    <row r="956" spans="1:37" x14ac:dyDescent="0.25">
      <c r="A956" s="499" t="s">
        <v>1285</v>
      </c>
      <c r="B956" s="317" t="s">
        <v>1071</v>
      </c>
      <c r="C956" s="95">
        <v>0</v>
      </c>
      <c r="D956" s="95">
        <v>2978</v>
      </c>
      <c r="E956" s="95"/>
      <c r="F956" s="95"/>
      <c r="G956" s="95">
        <v>6645</v>
      </c>
      <c r="H956" s="138">
        <v>19700</v>
      </c>
      <c r="I956" s="138"/>
      <c r="J956" s="502">
        <f t="shared" si="114"/>
        <v>19700</v>
      </c>
      <c r="K956" s="318">
        <v>43887</v>
      </c>
      <c r="L956" s="95">
        <v>0</v>
      </c>
      <c r="M956" s="313">
        <f t="shared" si="115"/>
        <v>43887</v>
      </c>
      <c r="N956" s="95" t="str">
        <f t="shared" si="116"/>
        <v>Pagado</v>
      </c>
      <c r="O956" s="318">
        <v>43887</v>
      </c>
      <c r="P956" s="138">
        <v>19700</v>
      </c>
      <c r="Q956" s="95" t="s">
        <v>1484</v>
      </c>
      <c r="R956" s="95"/>
      <c r="S956" s="95"/>
      <c r="T956" s="325" t="s">
        <v>1492</v>
      </c>
      <c r="U956" s="393"/>
      <c r="V956" s="95"/>
      <c r="W956" s="129"/>
      <c r="X956" s="318"/>
      <c r="Y956" s="95"/>
      <c r="Z956" s="426"/>
      <c r="AA956" s="129" t="str">
        <f t="shared" si="121"/>
        <v/>
      </c>
      <c r="AB956" s="95"/>
      <c r="AC956" s="426">
        <f t="shared" si="117"/>
        <v>16554.621848739498</v>
      </c>
      <c r="AD956" s="129">
        <f t="shared" si="118"/>
        <v>3145.3781512605019</v>
      </c>
      <c r="AE956" s="95" t="s">
        <v>1501</v>
      </c>
      <c r="AF956" s="498" t="s">
        <v>3487</v>
      </c>
      <c r="AG956" s="95" t="str">
        <f t="shared" si="119"/>
        <v>SI</v>
      </c>
      <c r="AH956" s="284"/>
      <c r="AI956" s="498"/>
      <c r="AJ956" s="95" t="str">
        <f t="shared" si="120"/>
        <v>NV</v>
      </c>
      <c r="AK956" s="303"/>
    </row>
    <row r="957" spans="1:37" x14ac:dyDescent="0.25">
      <c r="A957" s="542" t="s">
        <v>1259</v>
      </c>
      <c r="B957" s="317" t="s">
        <v>2778</v>
      </c>
      <c r="C957" s="95">
        <v>3179</v>
      </c>
      <c r="D957" s="95">
        <v>0</v>
      </c>
      <c r="E957" s="95">
        <v>307</v>
      </c>
      <c r="F957" s="95"/>
      <c r="G957" s="95" t="s">
        <v>2528</v>
      </c>
      <c r="H957" s="138">
        <v>244230</v>
      </c>
      <c r="I957" s="138">
        <v>-11341</v>
      </c>
      <c r="J957" s="502">
        <f t="shared" si="114"/>
        <v>232889</v>
      </c>
      <c r="K957" s="318">
        <v>43887</v>
      </c>
      <c r="L957" s="95">
        <v>30</v>
      </c>
      <c r="M957" s="313">
        <f t="shared" si="115"/>
        <v>43917</v>
      </c>
      <c r="N957" s="95" t="str">
        <f t="shared" si="116"/>
        <v>Pagado</v>
      </c>
      <c r="O957" s="318">
        <v>43916</v>
      </c>
      <c r="P957" s="138">
        <v>232889</v>
      </c>
      <c r="Q957" s="95" t="s">
        <v>2131</v>
      </c>
      <c r="R957" s="95"/>
      <c r="S957" s="95">
        <v>6411308</v>
      </c>
      <c r="T957" s="325" t="s">
        <v>1488</v>
      </c>
      <c r="U957" s="393">
        <v>43934</v>
      </c>
      <c r="V957" s="95"/>
      <c r="W957" s="129"/>
      <c r="X957" s="318"/>
      <c r="Y957" s="95"/>
      <c r="Z957" s="426"/>
      <c r="AA957" s="129" t="str">
        <f t="shared" si="121"/>
        <v>Chile</v>
      </c>
      <c r="AB957" s="95"/>
      <c r="AC957" s="426">
        <f t="shared" si="117"/>
        <v>205235.29411764708</v>
      </c>
      <c r="AD957" s="129">
        <f t="shared" si="118"/>
        <v>38994.705882352922</v>
      </c>
      <c r="AE957" s="95" t="s">
        <v>2050</v>
      </c>
      <c r="AF957" s="541" t="s">
        <v>3490</v>
      </c>
      <c r="AG957" s="95" t="str">
        <f t="shared" si="119"/>
        <v>SI</v>
      </c>
      <c r="AH957" s="284"/>
      <c r="AI957" s="541"/>
      <c r="AJ957" s="95" t="str">
        <f t="shared" si="120"/>
        <v>Factura</v>
      </c>
      <c r="AK957" s="303"/>
    </row>
    <row r="958" spans="1:37" x14ac:dyDescent="0.25">
      <c r="A958" s="499" t="s">
        <v>1420</v>
      </c>
      <c r="B958" s="317" t="s">
        <v>1099</v>
      </c>
      <c r="C958" s="95">
        <v>3148</v>
      </c>
      <c r="D958" s="95">
        <v>0</v>
      </c>
      <c r="E958" s="95"/>
      <c r="F958" s="95"/>
      <c r="G958" s="95">
        <v>6648</v>
      </c>
      <c r="H958" s="138">
        <v>19500</v>
      </c>
      <c r="I958" s="138"/>
      <c r="J958" s="502">
        <f t="shared" si="114"/>
        <v>19500</v>
      </c>
      <c r="K958" s="318">
        <v>43889</v>
      </c>
      <c r="L958" s="95">
        <v>0</v>
      </c>
      <c r="M958" s="313">
        <f t="shared" si="115"/>
        <v>43889</v>
      </c>
      <c r="N958" s="95" t="str">
        <f t="shared" si="116"/>
        <v>Pagado</v>
      </c>
      <c r="O958" s="318">
        <v>43889</v>
      </c>
      <c r="P958" s="138">
        <v>19500</v>
      </c>
      <c r="Q958" s="95" t="s">
        <v>1481</v>
      </c>
      <c r="R958" s="95"/>
      <c r="S958" s="95"/>
      <c r="T958" s="325"/>
      <c r="U958" s="393"/>
      <c r="V958" s="95">
        <v>7679362</v>
      </c>
      <c r="W958" s="129">
        <v>19500</v>
      </c>
      <c r="X958" s="318">
        <v>43893</v>
      </c>
      <c r="Y958" s="95" t="s">
        <v>1488</v>
      </c>
      <c r="Z958" s="426"/>
      <c r="AA958" s="129" t="str">
        <f t="shared" si="121"/>
        <v/>
      </c>
      <c r="AB958" s="95"/>
      <c r="AC958" s="426">
        <f t="shared" si="117"/>
        <v>16386.55462184874</v>
      </c>
      <c r="AD958" s="129">
        <f t="shared" si="118"/>
        <v>3113.4453781512602</v>
      </c>
      <c r="AE958" s="95" t="s">
        <v>1501</v>
      </c>
      <c r="AF958" s="498" t="s">
        <v>3489</v>
      </c>
      <c r="AG958" s="95" t="str">
        <f t="shared" si="119"/>
        <v>SI</v>
      </c>
      <c r="AH958" s="284"/>
      <c r="AI958" s="498"/>
      <c r="AJ958" s="95" t="str">
        <f t="shared" si="120"/>
        <v>Factura</v>
      </c>
      <c r="AK958" s="303"/>
    </row>
    <row r="959" spans="1:37" x14ac:dyDescent="0.25">
      <c r="A959" s="499" t="s">
        <v>3460</v>
      </c>
      <c r="B959" s="317" t="s">
        <v>3461</v>
      </c>
      <c r="C959" s="95">
        <v>3142</v>
      </c>
      <c r="D959" s="95">
        <v>0</v>
      </c>
      <c r="E959" s="95"/>
      <c r="F959" s="95"/>
      <c r="G959" s="95" t="s">
        <v>2528</v>
      </c>
      <c r="H959" s="138">
        <v>34412</v>
      </c>
      <c r="I959" s="138"/>
      <c r="J959" s="502">
        <f t="shared" si="114"/>
        <v>34412</v>
      </c>
      <c r="K959" s="318">
        <v>43889</v>
      </c>
      <c r="L959" s="95">
        <v>0</v>
      </c>
      <c r="M959" s="313">
        <f t="shared" si="115"/>
        <v>43889</v>
      </c>
      <c r="N959" s="95" t="str">
        <f t="shared" si="116"/>
        <v>Pagado</v>
      </c>
      <c r="O959" s="318">
        <v>43923</v>
      </c>
      <c r="P959" s="138">
        <v>34412</v>
      </c>
      <c r="Q959" s="95" t="s">
        <v>1484</v>
      </c>
      <c r="R959" s="95"/>
      <c r="S959" s="95"/>
      <c r="T959" s="325"/>
      <c r="U959" s="393"/>
      <c r="V959" s="95"/>
      <c r="W959" s="129"/>
      <c r="X959" s="318"/>
      <c r="Y959" s="95"/>
      <c r="Z959" s="426"/>
      <c r="AA959" s="129" t="str">
        <f t="shared" si="121"/>
        <v/>
      </c>
      <c r="AB959" s="95"/>
      <c r="AC959" s="426">
        <f t="shared" si="117"/>
        <v>28917.647058823532</v>
      </c>
      <c r="AD959" s="129">
        <f t="shared" si="118"/>
        <v>5494.3529411764684</v>
      </c>
      <c r="AE959" s="95" t="s">
        <v>1501</v>
      </c>
      <c r="AF959" s="498" t="s">
        <v>3490</v>
      </c>
      <c r="AG959" s="95" t="str">
        <f t="shared" si="119"/>
        <v>SI</v>
      </c>
      <c r="AH959" s="284"/>
      <c r="AI959" s="498"/>
      <c r="AJ959" s="95" t="str">
        <f t="shared" si="120"/>
        <v>Factura</v>
      </c>
      <c r="AK959" s="303"/>
    </row>
    <row r="960" spans="1:37" x14ac:dyDescent="0.25">
      <c r="A960" s="534" t="s">
        <v>4907</v>
      </c>
      <c r="B960" s="317" t="s">
        <v>4908</v>
      </c>
      <c r="C960" s="95">
        <v>3144</v>
      </c>
      <c r="D960" s="95">
        <v>0</v>
      </c>
      <c r="E960" s="95"/>
      <c r="F960" s="95"/>
      <c r="G960" s="95" t="s">
        <v>1910</v>
      </c>
      <c r="H960" s="138">
        <v>81540</v>
      </c>
      <c r="I960" s="138"/>
      <c r="J960" s="502">
        <f t="shared" si="114"/>
        <v>81540</v>
      </c>
      <c r="K960" s="318">
        <v>43889</v>
      </c>
      <c r="L960" s="95">
        <v>30</v>
      </c>
      <c r="M960" s="313">
        <f t="shared" si="115"/>
        <v>43919</v>
      </c>
      <c r="N960" s="95" t="str">
        <f t="shared" ca="1" si="116"/>
        <v>Vencido</v>
      </c>
      <c r="O960" s="318"/>
      <c r="P960" s="138"/>
      <c r="Q960" s="95"/>
      <c r="R960" s="95"/>
      <c r="S960" s="95"/>
      <c r="T960" s="325"/>
      <c r="U960" s="393"/>
      <c r="V960" s="95"/>
      <c r="W960" s="129"/>
      <c r="X960" s="318"/>
      <c r="Y960" s="95"/>
      <c r="Z960" s="426"/>
      <c r="AA960" s="129" t="str">
        <f t="shared" si="121"/>
        <v/>
      </c>
      <c r="AB960" s="95"/>
      <c r="AC960" s="426">
        <f t="shared" si="117"/>
        <v>68521.008403361353</v>
      </c>
      <c r="AD960" s="129">
        <f t="shared" si="118"/>
        <v>13018.991596638647</v>
      </c>
      <c r="AE960" s="95" t="s">
        <v>1445</v>
      </c>
      <c r="AF960" s="533" t="s">
        <v>3490</v>
      </c>
      <c r="AG960" s="95" t="str">
        <f t="shared" ca="1" si="119"/>
        <v>NO</v>
      </c>
      <c r="AH960" s="284"/>
      <c r="AI960" s="533"/>
      <c r="AJ960" s="95" t="str">
        <f t="shared" si="120"/>
        <v>Factura</v>
      </c>
      <c r="AK960" s="303"/>
    </row>
    <row r="961" spans="1:37" x14ac:dyDescent="0.25">
      <c r="A961" s="534" t="s">
        <v>4542</v>
      </c>
      <c r="B961" s="317" t="s">
        <v>4543</v>
      </c>
      <c r="C961" s="95">
        <v>0</v>
      </c>
      <c r="D961" s="95">
        <v>2984</v>
      </c>
      <c r="E961" s="95"/>
      <c r="F961" s="95"/>
      <c r="G961" s="95">
        <v>6649</v>
      </c>
      <c r="H961" s="138">
        <v>49500</v>
      </c>
      <c r="I961" s="138"/>
      <c r="J961" s="502">
        <f t="shared" si="114"/>
        <v>49500</v>
      </c>
      <c r="K961" s="318">
        <v>43889</v>
      </c>
      <c r="L961" s="95">
        <v>0</v>
      </c>
      <c r="M961" s="313">
        <f t="shared" si="115"/>
        <v>43889</v>
      </c>
      <c r="N961" s="95" t="str">
        <f t="shared" si="116"/>
        <v>Pagado</v>
      </c>
      <c r="O961" s="318">
        <v>43889</v>
      </c>
      <c r="P961" s="138">
        <v>49500</v>
      </c>
      <c r="Q961" s="95" t="s">
        <v>1484</v>
      </c>
      <c r="R961" s="95"/>
      <c r="S961" s="95"/>
      <c r="T961" s="325" t="s">
        <v>1490</v>
      </c>
      <c r="U961" s="393"/>
      <c r="V961" s="95"/>
      <c r="W961" s="129"/>
      <c r="X961" s="318"/>
      <c r="Y961" s="95"/>
      <c r="Z961" s="426"/>
      <c r="AA961" s="129" t="str">
        <f t="shared" si="121"/>
        <v/>
      </c>
      <c r="AB961" s="95"/>
      <c r="AC961" s="426">
        <f t="shared" si="117"/>
        <v>41596.638655462186</v>
      </c>
      <c r="AD961" s="129">
        <f t="shared" si="118"/>
        <v>7903.3613445378141</v>
      </c>
      <c r="AE961" s="95" t="s">
        <v>1501</v>
      </c>
      <c r="AF961" s="533" t="s">
        <v>3489</v>
      </c>
      <c r="AG961" s="95" t="str">
        <f t="shared" si="119"/>
        <v>SI</v>
      </c>
      <c r="AH961" s="284"/>
      <c r="AI961" s="533"/>
      <c r="AJ961" s="95" t="str">
        <f t="shared" si="120"/>
        <v>NV</v>
      </c>
      <c r="AK961" s="303"/>
    </row>
    <row r="962" spans="1:37" x14ac:dyDescent="0.25">
      <c r="A962" s="499" t="s">
        <v>5564</v>
      </c>
      <c r="B962" s="317" t="s">
        <v>5565</v>
      </c>
      <c r="C962" s="95">
        <v>0</v>
      </c>
      <c r="D962" s="95">
        <v>214</v>
      </c>
      <c r="E962" s="95"/>
      <c r="F962" s="95"/>
      <c r="G962" s="95">
        <v>6651</v>
      </c>
      <c r="H962" s="138">
        <v>23000</v>
      </c>
      <c r="I962" s="138"/>
      <c r="J962" s="502">
        <f t="shared" si="114"/>
        <v>23000</v>
      </c>
      <c r="K962" s="318">
        <v>43889</v>
      </c>
      <c r="L962" s="95">
        <v>0</v>
      </c>
      <c r="M962" s="313">
        <f t="shared" si="115"/>
        <v>43889</v>
      </c>
      <c r="N962" s="95" t="str">
        <f t="shared" si="116"/>
        <v>Pagado</v>
      </c>
      <c r="O962" s="318">
        <v>43889</v>
      </c>
      <c r="P962" s="138">
        <v>23000</v>
      </c>
      <c r="Q962" s="95" t="s">
        <v>1070</v>
      </c>
      <c r="R962" s="95" t="s">
        <v>1478</v>
      </c>
      <c r="S962" s="95">
        <v>214</v>
      </c>
      <c r="T962" s="325"/>
      <c r="U962" s="393"/>
      <c r="V962" s="95"/>
      <c r="W962" s="129"/>
      <c r="X962" s="318"/>
      <c r="Y962" s="95"/>
      <c r="Z962" s="426"/>
      <c r="AA962" s="129" t="str">
        <f t="shared" si="121"/>
        <v/>
      </c>
      <c r="AB962" s="95"/>
      <c r="AC962" s="426">
        <f t="shared" si="117"/>
        <v>19327.731092436974</v>
      </c>
      <c r="AD962" s="129">
        <f t="shared" si="118"/>
        <v>3672.268907563026</v>
      </c>
      <c r="AE962" s="95" t="s">
        <v>1501</v>
      </c>
      <c r="AF962" s="498" t="s">
        <v>3487</v>
      </c>
      <c r="AG962" s="95" t="str">
        <f t="shared" si="119"/>
        <v>SI</v>
      </c>
      <c r="AH962" s="284"/>
      <c r="AI962" s="498"/>
      <c r="AJ962" s="95" t="str">
        <f t="shared" si="120"/>
        <v>NV</v>
      </c>
      <c r="AK962" s="303"/>
    </row>
    <row r="963" spans="1:37" x14ac:dyDescent="0.25">
      <c r="A963" s="499" t="s">
        <v>1180</v>
      </c>
      <c r="B963" s="317" t="s">
        <v>1048</v>
      </c>
      <c r="C963" s="95">
        <v>3145</v>
      </c>
      <c r="D963" s="95">
        <v>0</v>
      </c>
      <c r="E963" s="95"/>
      <c r="F963" s="95"/>
      <c r="G963" s="95" t="s">
        <v>1910</v>
      </c>
      <c r="H963" s="138">
        <v>169023</v>
      </c>
      <c r="I963" s="138"/>
      <c r="J963" s="502">
        <f t="shared" ref="J963:J1026" si="122">+H963+I963</f>
        <v>169023</v>
      </c>
      <c r="K963" s="318">
        <v>43889</v>
      </c>
      <c r="L963" s="95">
        <v>30</v>
      </c>
      <c r="M963" s="313">
        <f t="shared" ref="M963:M1026" si="123">+L963+K963</f>
        <v>43919</v>
      </c>
      <c r="N963" s="95" t="str">
        <f t="shared" ref="N963:N1026" si="124">+IF(J963=0,"Nulo",IF(P963&gt;=J963,"Pagado",IF(P963&gt;0,"Abonado",IF(M963&lt;$M$1,"Vencido",IF(J963&gt;P963,"Pendiente","Vencido")))))</f>
        <v>Pagado</v>
      </c>
      <c r="O963" s="318">
        <v>43903</v>
      </c>
      <c r="P963" s="138">
        <v>169023</v>
      </c>
      <c r="Q963" s="95" t="s">
        <v>2131</v>
      </c>
      <c r="R963" s="95"/>
      <c r="S963" s="95"/>
      <c r="T963" s="325" t="s">
        <v>1494</v>
      </c>
      <c r="U963" s="393">
        <v>43920</v>
      </c>
      <c r="V963" s="95"/>
      <c r="W963" s="129"/>
      <c r="X963" s="318"/>
      <c r="Y963" s="95"/>
      <c r="Z963" s="426"/>
      <c r="AA963" s="129" t="str">
        <f t="shared" si="121"/>
        <v>Otros</v>
      </c>
      <c r="AB963" s="95"/>
      <c r="AC963" s="426">
        <f t="shared" ref="AC963:AC1026" si="125">+IF(C963="","",H963/1.19)</f>
        <v>142036.13445378153</v>
      </c>
      <c r="AD963" s="129">
        <f t="shared" ref="AD963:AD1026" si="126">+IF(C963="","",H963-AC963)</f>
        <v>26986.865546218469</v>
      </c>
      <c r="AE963" s="95" t="s">
        <v>1445</v>
      </c>
      <c r="AF963" s="498" t="s">
        <v>3490</v>
      </c>
      <c r="AG963" s="95" t="str">
        <f t="shared" ref="AG963:AG1026" si="127">+IF(N963="Pagado","SI",IF(N963="NULO","SI","NO"))</f>
        <v>SI</v>
      </c>
      <c r="AH963" s="284"/>
      <c r="AI963" s="498"/>
      <c r="AJ963" s="95" t="str">
        <f t="shared" ref="AJ963:AJ1026" si="128">+IF(C963=0,"NV","Factura")</f>
        <v>Factura</v>
      </c>
      <c r="AK963" s="303"/>
    </row>
    <row r="964" spans="1:37" x14ac:dyDescent="0.25">
      <c r="A964" s="499" t="s">
        <v>4953</v>
      </c>
      <c r="B964" s="317" t="s">
        <v>4954</v>
      </c>
      <c r="C964" s="95">
        <v>0</v>
      </c>
      <c r="D964" s="95">
        <v>2983</v>
      </c>
      <c r="E964" s="95"/>
      <c r="F964" s="95"/>
      <c r="G964" s="95">
        <v>6650</v>
      </c>
      <c r="H964" s="138">
        <v>19700</v>
      </c>
      <c r="I964" s="138"/>
      <c r="J964" s="502">
        <f t="shared" si="122"/>
        <v>19700</v>
      </c>
      <c r="K964" s="318">
        <v>43889</v>
      </c>
      <c r="L964" s="95">
        <v>0</v>
      </c>
      <c r="M964" s="313">
        <f t="shared" si="123"/>
        <v>43889</v>
      </c>
      <c r="N964" s="95" t="str">
        <f t="shared" si="124"/>
        <v>Pagado</v>
      </c>
      <c r="O964" s="318">
        <v>43889</v>
      </c>
      <c r="P964" s="138">
        <v>19700</v>
      </c>
      <c r="Q964" s="95" t="s">
        <v>1481</v>
      </c>
      <c r="R964" s="95"/>
      <c r="S964" s="95"/>
      <c r="T964" s="325"/>
      <c r="U964" s="393"/>
      <c r="V964" s="95">
        <v>7679362</v>
      </c>
      <c r="W964" s="129">
        <v>19700</v>
      </c>
      <c r="X964" s="318">
        <v>43893</v>
      </c>
      <c r="Y964" s="95" t="s">
        <v>1488</v>
      </c>
      <c r="Z964" s="426"/>
      <c r="AA964" s="129" t="str">
        <f t="shared" si="121"/>
        <v/>
      </c>
      <c r="AB964" s="95"/>
      <c r="AC964" s="426">
        <f t="shared" si="125"/>
        <v>16554.621848739498</v>
      </c>
      <c r="AD964" s="129">
        <f t="shared" si="126"/>
        <v>3145.3781512605019</v>
      </c>
      <c r="AE964" s="95" t="s">
        <v>1501</v>
      </c>
      <c r="AF964" s="498" t="s">
        <v>3487</v>
      </c>
      <c r="AG964" s="95" t="str">
        <f t="shared" si="127"/>
        <v>SI</v>
      </c>
      <c r="AH964" s="284"/>
      <c r="AI964" s="498"/>
      <c r="AJ964" s="95" t="str">
        <f t="shared" si="128"/>
        <v>NV</v>
      </c>
      <c r="AK964" s="303"/>
    </row>
    <row r="965" spans="1:37" x14ac:dyDescent="0.25">
      <c r="A965" s="542" t="s">
        <v>1204</v>
      </c>
      <c r="B965" s="317" t="s">
        <v>1052</v>
      </c>
      <c r="C965" s="95">
        <v>0</v>
      </c>
      <c r="D965" s="95">
        <v>0</v>
      </c>
      <c r="E965" s="95"/>
      <c r="F965" s="95"/>
      <c r="G965" s="95">
        <v>6551</v>
      </c>
      <c r="H965" s="138">
        <v>36500</v>
      </c>
      <c r="I965" s="138"/>
      <c r="J965" s="502">
        <f t="shared" si="122"/>
        <v>36500</v>
      </c>
      <c r="K965" s="318">
        <v>43889</v>
      </c>
      <c r="L965" s="95">
        <v>0</v>
      </c>
      <c r="M965" s="313">
        <f t="shared" si="123"/>
        <v>43889</v>
      </c>
      <c r="N965" s="95" t="str">
        <f t="shared" ca="1" si="124"/>
        <v>Vencido</v>
      </c>
      <c r="O965" s="318"/>
      <c r="P965" s="138"/>
      <c r="Q965" s="95"/>
      <c r="R965" s="95"/>
      <c r="S965" s="95"/>
      <c r="T965" s="325"/>
      <c r="U965" s="393"/>
      <c r="V965" s="95"/>
      <c r="W965" s="129"/>
      <c r="X965" s="318"/>
      <c r="Y965" s="95"/>
      <c r="Z965" s="426"/>
      <c r="AA965" s="129" t="str">
        <f t="shared" si="121"/>
        <v/>
      </c>
      <c r="AB965" s="95"/>
      <c r="AC965" s="426">
        <f t="shared" si="125"/>
        <v>30672.268907563026</v>
      </c>
      <c r="AD965" s="129">
        <f t="shared" si="126"/>
        <v>5827.731092436974</v>
      </c>
      <c r="AE965" s="95" t="s">
        <v>1501</v>
      </c>
      <c r="AF965" s="541" t="s">
        <v>3489</v>
      </c>
      <c r="AG965" s="95" t="str">
        <f t="shared" ca="1" si="127"/>
        <v>NO</v>
      </c>
      <c r="AH965" s="284"/>
      <c r="AI965" s="541"/>
      <c r="AJ965" s="95" t="str">
        <f t="shared" si="128"/>
        <v>NV</v>
      </c>
      <c r="AK965" s="303"/>
    </row>
    <row r="966" spans="1:37" x14ac:dyDescent="0.25">
      <c r="A966" s="499" t="s">
        <v>1175</v>
      </c>
      <c r="B966" s="317" t="s">
        <v>1144</v>
      </c>
      <c r="C966" s="95">
        <v>3146</v>
      </c>
      <c r="D966" s="95">
        <v>0</v>
      </c>
      <c r="E966" s="95"/>
      <c r="F966" s="95"/>
      <c r="G966" s="95" t="s">
        <v>2528</v>
      </c>
      <c r="H966" s="138">
        <v>477012</v>
      </c>
      <c r="I966" s="138"/>
      <c r="J966" s="502">
        <f t="shared" si="122"/>
        <v>477012</v>
      </c>
      <c r="K966" s="318">
        <v>43889</v>
      </c>
      <c r="L966" s="95">
        <v>30</v>
      </c>
      <c r="M966" s="313">
        <f t="shared" si="123"/>
        <v>43919</v>
      </c>
      <c r="N966" s="95" t="str">
        <f t="shared" ca="1" si="124"/>
        <v>Vencido</v>
      </c>
      <c r="O966" s="318"/>
      <c r="P966" s="138"/>
      <c r="Q966" s="95"/>
      <c r="R966" s="95"/>
      <c r="S966" s="95"/>
      <c r="T966" s="325"/>
      <c r="U966" s="393"/>
      <c r="V966" s="95"/>
      <c r="W966" s="129"/>
      <c r="X966" s="318"/>
      <c r="Y966" s="95"/>
      <c r="Z966" s="426"/>
      <c r="AA966" s="129" t="str">
        <f t="shared" si="121"/>
        <v/>
      </c>
      <c r="AB966" s="95"/>
      <c r="AC966" s="426">
        <f t="shared" si="125"/>
        <v>400850.42016806727</v>
      </c>
      <c r="AD966" s="129">
        <f t="shared" si="126"/>
        <v>76161.57983193273</v>
      </c>
      <c r="AE966" s="95" t="s">
        <v>2050</v>
      </c>
      <c r="AF966" s="498" t="s">
        <v>3490</v>
      </c>
      <c r="AG966" s="95" t="str">
        <f t="shared" ca="1" si="127"/>
        <v>NO</v>
      </c>
      <c r="AH966" s="284"/>
      <c r="AI966" s="498"/>
      <c r="AJ966" s="95" t="str">
        <f t="shared" si="128"/>
        <v>Factura</v>
      </c>
      <c r="AK966" s="303"/>
    </row>
    <row r="967" spans="1:37" x14ac:dyDescent="0.25">
      <c r="A967" s="499" t="s">
        <v>5273</v>
      </c>
      <c r="B967" s="317" t="s">
        <v>5274</v>
      </c>
      <c r="C967" s="95">
        <v>0</v>
      </c>
      <c r="D967" s="95">
        <v>2985</v>
      </c>
      <c r="E967" s="95"/>
      <c r="F967" s="95"/>
      <c r="G967" s="95">
        <v>6657</v>
      </c>
      <c r="H967" s="138">
        <v>19700</v>
      </c>
      <c r="I967" s="138"/>
      <c r="J967" s="502">
        <f t="shared" si="122"/>
        <v>19700</v>
      </c>
      <c r="K967" s="318">
        <v>43890</v>
      </c>
      <c r="L967" s="95">
        <v>0</v>
      </c>
      <c r="M967" s="313">
        <f t="shared" si="123"/>
        <v>43890</v>
      </c>
      <c r="N967" s="95" t="str">
        <f t="shared" si="124"/>
        <v>Pagado</v>
      </c>
      <c r="O967" s="318">
        <v>43890</v>
      </c>
      <c r="P967" s="138">
        <v>19700</v>
      </c>
      <c r="Q967" s="95" t="s">
        <v>1481</v>
      </c>
      <c r="R967" s="95"/>
      <c r="S967" s="95"/>
      <c r="T967" s="325"/>
      <c r="U967" s="393"/>
      <c r="V967" s="95">
        <v>7679362</v>
      </c>
      <c r="W967" s="129">
        <v>19700</v>
      </c>
      <c r="X967" s="318">
        <v>43893</v>
      </c>
      <c r="Y967" s="95" t="s">
        <v>1488</v>
      </c>
      <c r="Z967" s="426"/>
      <c r="AA967" s="129" t="str">
        <f t="shared" si="121"/>
        <v/>
      </c>
      <c r="AB967" s="95"/>
      <c r="AC967" s="426">
        <f t="shared" si="125"/>
        <v>16554.621848739498</v>
      </c>
      <c r="AD967" s="129">
        <f t="shared" si="126"/>
        <v>3145.3781512605019</v>
      </c>
      <c r="AE967" s="95" t="s">
        <v>1501</v>
      </c>
      <c r="AF967" s="498" t="s">
        <v>3487</v>
      </c>
      <c r="AG967" s="95" t="str">
        <f t="shared" si="127"/>
        <v>SI</v>
      </c>
      <c r="AH967" s="284"/>
      <c r="AI967" s="498"/>
      <c r="AJ967" s="95" t="str">
        <f t="shared" si="128"/>
        <v>NV</v>
      </c>
      <c r="AK967" s="303"/>
    </row>
    <row r="968" spans="1:37" x14ac:dyDescent="0.25">
      <c r="A968" s="534" t="s">
        <v>5558</v>
      </c>
      <c r="B968" s="317" t="s">
        <v>5559</v>
      </c>
      <c r="C968" s="95">
        <v>0</v>
      </c>
      <c r="D968" s="95">
        <v>217</v>
      </c>
      <c r="E968" s="95"/>
      <c r="F968" s="95"/>
      <c r="G968" s="95">
        <v>6654</v>
      </c>
      <c r="H968" s="138">
        <v>26000</v>
      </c>
      <c r="I968" s="138"/>
      <c r="J968" s="502">
        <f t="shared" si="122"/>
        <v>26000</v>
      </c>
      <c r="K968" s="318">
        <v>43890</v>
      </c>
      <c r="L968" s="95">
        <v>0</v>
      </c>
      <c r="M968" s="313">
        <f t="shared" si="123"/>
        <v>43890</v>
      </c>
      <c r="N968" s="95" t="str">
        <f t="shared" si="124"/>
        <v>Pagado</v>
      </c>
      <c r="O968" s="318">
        <v>43890</v>
      </c>
      <c r="P968" s="138">
        <v>26000</v>
      </c>
      <c r="Q968" s="95" t="s">
        <v>1070</v>
      </c>
      <c r="R968" s="95" t="s">
        <v>2243</v>
      </c>
      <c r="S968" s="95">
        <v>217</v>
      </c>
      <c r="T968" s="325"/>
      <c r="U968" s="393"/>
      <c r="V968" s="95"/>
      <c r="W968" s="129"/>
      <c r="X968" s="318"/>
      <c r="Y968" s="95"/>
      <c r="Z968" s="426"/>
      <c r="AA968" s="129" t="str">
        <f t="shared" si="121"/>
        <v/>
      </c>
      <c r="AB968" s="95"/>
      <c r="AC968" s="426">
        <f t="shared" si="125"/>
        <v>21848.73949579832</v>
      </c>
      <c r="AD968" s="129">
        <f t="shared" si="126"/>
        <v>4151.2605042016803</v>
      </c>
      <c r="AE968" s="95" t="s">
        <v>1501</v>
      </c>
      <c r="AF968" s="533" t="s">
        <v>3487</v>
      </c>
      <c r="AG968" s="95" t="str">
        <f t="shared" si="127"/>
        <v>SI</v>
      </c>
      <c r="AH968" s="284"/>
      <c r="AI968" s="533"/>
      <c r="AJ968" s="95" t="str">
        <f t="shared" si="128"/>
        <v>NV</v>
      </c>
      <c r="AK968" s="303"/>
    </row>
    <row r="969" spans="1:37" x14ac:dyDescent="0.25">
      <c r="A969" s="499" t="s">
        <v>3236</v>
      </c>
      <c r="B969" s="317" t="s">
        <v>3237</v>
      </c>
      <c r="C969" s="95">
        <v>0</v>
      </c>
      <c r="D969" s="95">
        <v>2987</v>
      </c>
      <c r="E969" s="95"/>
      <c r="F969" s="95"/>
      <c r="G969" s="95">
        <v>6655</v>
      </c>
      <c r="H969" s="138">
        <v>15800</v>
      </c>
      <c r="I969" s="138"/>
      <c r="J969" s="502">
        <f t="shared" si="122"/>
        <v>15800</v>
      </c>
      <c r="K969" s="318">
        <v>43890</v>
      </c>
      <c r="L969" s="95">
        <v>0</v>
      </c>
      <c r="M969" s="313">
        <f t="shared" si="123"/>
        <v>43890</v>
      </c>
      <c r="N969" s="95" t="str">
        <f t="shared" si="124"/>
        <v>Pagado</v>
      </c>
      <c r="O969" s="318">
        <v>43890</v>
      </c>
      <c r="P969" s="138">
        <v>15800</v>
      </c>
      <c r="Q969" s="95" t="s">
        <v>1481</v>
      </c>
      <c r="R969" s="95"/>
      <c r="S969" s="95"/>
      <c r="T969" s="325"/>
      <c r="U969" s="393"/>
      <c r="V969" s="95">
        <v>7679362</v>
      </c>
      <c r="W969" s="129">
        <v>15800</v>
      </c>
      <c r="X969" s="318">
        <v>43893</v>
      </c>
      <c r="Y969" s="95" t="s">
        <v>1488</v>
      </c>
      <c r="Z969" s="426"/>
      <c r="AA969" s="129" t="str">
        <f t="shared" si="121"/>
        <v/>
      </c>
      <c r="AB969" s="95"/>
      <c r="AC969" s="426">
        <f t="shared" si="125"/>
        <v>13277.310924369749</v>
      </c>
      <c r="AD969" s="129">
        <f t="shared" si="126"/>
        <v>2522.689075630251</v>
      </c>
      <c r="AE969" s="95" t="s">
        <v>1501</v>
      </c>
      <c r="AF969" s="498" t="s">
        <v>3489</v>
      </c>
      <c r="AG969" s="95" t="str">
        <f t="shared" si="127"/>
        <v>SI</v>
      </c>
      <c r="AH969" s="284"/>
      <c r="AI969" s="498"/>
      <c r="AJ969" s="95" t="str">
        <f t="shared" si="128"/>
        <v>NV</v>
      </c>
      <c r="AK969" s="303"/>
    </row>
    <row r="970" spans="1:37" x14ac:dyDescent="0.25">
      <c r="A970" s="499" t="s">
        <v>1210</v>
      </c>
      <c r="B970" s="317" t="s">
        <v>1045</v>
      </c>
      <c r="C970" s="95">
        <v>0</v>
      </c>
      <c r="D970" s="95">
        <v>0</v>
      </c>
      <c r="E970" s="95"/>
      <c r="F970" s="95"/>
      <c r="G970" s="95">
        <v>6653</v>
      </c>
      <c r="H970" s="138">
        <v>32100</v>
      </c>
      <c r="I970" s="138"/>
      <c r="J970" s="502">
        <f t="shared" si="122"/>
        <v>32100</v>
      </c>
      <c r="K970" s="318">
        <v>43890</v>
      </c>
      <c r="L970" s="95">
        <v>0</v>
      </c>
      <c r="M970" s="313">
        <f t="shared" si="123"/>
        <v>43890</v>
      </c>
      <c r="N970" s="95" t="str">
        <f t="shared" si="124"/>
        <v>Pagado</v>
      </c>
      <c r="O970" s="318">
        <v>43890</v>
      </c>
      <c r="P970" s="138">
        <v>32100</v>
      </c>
      <c r="Q970" s="95" t="s">
        <v>1484</v>
      </c>
      <c r="R970" s="95"/>
      <c r="S970" s="95"/>
      <c r="T970" s="325" t="s">
        <v>1488</v>
      </c>
      <c r="U970" s="393"/>
      <c r="V970" s="95"/>
      <c r="W970" s="129"/>
      <c r="X970" s="318"/>
      <c r="Y970" s="95"/>
      <c r="Z970" s="426"/>
      <c r="AA970" s="129" t="str">
        <f t="shared" si="121"/>
        <v/>
      </c>
      <c r="AB970" s="95"/>
      <c r="AC970" s="426">
        <f t="shared" si="125"/>
        <v>26974.789915966387</v>
      </c>
      <c r="AD970" s="129">
        <f t="shared" si="126"/>
        <v>5125.2100840336134</v>
      </c>
      <c r="AE970" s="95" t="s">
        <v>1501</v>
      </c>
      <c r="AF970" s="498" t="s">
        <v>3489</v>
      </c>
      <c r="AG970" s="95" t="str">
        <f t="shared" si="127"/>
        <v>SI</v>
      </c>
      <c r="AH970" s="284"/>
      <c r="AI970" s="498"/>
      <c r="AJ970" s="95" t="str">
        <f t="shared" si="128"/>
        <v>NV</v>
      </c>
      <c r="AK970" s="303"/>
    </row>
    <row r="971" spans="1:37" x14ac:dyDescent="0.25">
      <c r="A971" s="542" t="s">
        <v>5154</v>
      </c>
      <c r="B971" s="317" t="s">
        <v>5155</v>
      </c>
      <c r="C971" s="95">
        <v>0</v>
      </c>
      <c r="D971" s="95">
        <v>2986</v>
      </c>
      <c r="E971" s="95"/>
      <c r="F971" s="95"/>
      <c r="G971" s="95">
        <v>6652</v>
      </c>
      <c r="H971" s="138">
        <v>16500</v>
      </c>
      <c r="I971" s="138"/>
      <c r="J971" s="502">
        <f t="shared" si="122"/>
        <v>16500</v>
      </c>
      <c r="K971" s="318">
        <v>43890</v>
      </c>
      <c r="L971" s="95">
        <v>0</v>
      </c>
      <c r="M971" s="313">
        <f t="shared" si="123"/>
        <v>43890</v>
      </c>
      <c r="N971" s="95" t="str">
        <f t="shared" si="124"/>
        <v>Pagado</v>
      </c>
      <c r="O971" s="318">
        <v>43890</v>
      </c>
      <c r="P971" s="138">
        <v>16500</v>
      </c>
      <c r="Q971" s="95" t="s">
        <v>1481</v>
      </c>
      <c r="R971" s="95"/>
      <c r="S971" s="95"/>
      <c r="T971" s="325"/>
      <c r="U971" s="393"/>
      <c r="V971" s="95">
        <v>7679362</v>
      </c>
      <c r="W971" s="129">
        <v>16500</v>
      </c>
      <c r="X971" s="318">
        <v>43893</v>
      </c>
      <c r="Y971" s="95" t="s">
        <v>1488</v>
      </c>
      <c r="Z971" s="426"/>
      <c r="AA971" s="129" t="str">
        <f t="shared" si="121"/>
        <v/>
      </c>
      <c r="AB971" s="95"/>
      <c r="AC971" s="426">
        <f t="shared" si="125"/>
        <v>13865.546218487396</v>
      </c>
      <c r="AD971" s="129">
        <f t="shared" si="126"/>
        <v>2634.4537815126041</v>
      </c>
      <c r="AE971" s="95" t="s">
        <v>1501</v>
      </c>
      <c r="AF971" s="541" t="s">
        <v>3487</v>
      </c>
      <c r="AG971" s="95" t="str">
        <f t="shared" si="127"/>
        <v>SI</v>
      </c>
      <c r="AH971" s="284"/>
      <c r="AI971" s="541"/>
      <c r="AJ971" s="95" t="str">
        <f t="shared" si="128"/>
        <v>NV</v>
      </c>
      <c r="AK971" s="303"/>
    </row>
    <row r="972" spans="1:37" x14ac:dyDescent="0.25">
      <c r="A972" s="542" t="s">
        <v>4403</v>
      </c>
      <c r="B972" s="317" t="s">
        <v>4405</v>
      </c>
      <c r="C972" s="95">
        <v>0</v>
      </c>
      <c r="D972" s="95">
        <v>2994</v>
      </c>
      <c r="E972" s="95"/>
      <c r="F972" s="95"/>
      <c r="G972" s="95">
        <v>6664</v>
      </c>
      <c r="H972" s="138">
        <v>47400</v>
      </c>
      <c r="I972" s="138"/>
      <c r="J972" s="502">
        <f t="shared" si="122"/>
        <v>47400</v>
      </c>
      <c r="K972" s="318">
        <v>43892</v>
      </c>
      <c r="L972" s="95">
        <v>0</v>
      </c>
      <c r="M972" s="313">
        <f t="shared" si="123"/>
        <v>43892</v>
      </c>
      <c r="N972" s="95" t="str">
        <f t="shared" si="124"/>
        <v>Pagado</v>
      </c>
      <c r="O972" s="318">
        <v>43895</v>
      </c>
      <c r="P972" s="138">
        <v>47400</v>
      </c>
      <c r="Q972" s="95" t="s">
        <v>1484</v>
      </c>
      <c r="R972" s="95"/>
      <c r="S972" s="95"/>
      <c r="T972" s="325" t="s">
        <v>1488</v>
      </c>
      <c r="U972" s="393"/>
      <c r="V972" s="95"/>
      <c r="W972" s="129"/>
      <c r="X972" s="318"/>
      <c r="Y972" s="95"/>
      <c r="Z972" s="426"/>
      <c r="AA972" s="129" t="str">
        <f t="shared" si="121"/>
        <v/>
      </c>
      <c r="AB972" s="95"/>
      <c r="AC972" s="426">
        <f t="shared" si="125"/>
        <v>39831.932773109249</v>
      </c>
      <c r="AD972" s="129">
        <f t="shared" si="126"/>
        <v>7568.067226890751</v>
      </c>
      <c r="AE972" s="95" t="s">
        <v>1501</v>
      </c>
      <c r="AF972" s="541" t="s">
        <v>3487</v>
      </c>
      <c r="AG972" s="95" t="str">
        <f t="shared" si="127"/>
        <v>SI</v>
      </c>
      <c r="AH972" s="284"/>
      <c r="AI972" s="541"/>
      <c r="AJ972" s="95" t="str">
        <f t="shared" si="128"/>
        <v>NV</v>
      </c>
      <c r="AK972" s="303"/>
    </row>
    <row r="973" spans="1:37" x14ac:dyDescent="0.25">
      <c r="A973" s="542" t="s">
        <v>1192</v>
      </c>
      <c r="B973" s="317" t="s">
        <v>1061</v>
      </c>
      <c r="C973" s="95" t="s">
        <v>4559</v>
      </c>
      <c r="D973" s="95">
        <v>0</v>
      </c>
      <c r="E973" s="95"/>
      <c r="F973" s="95"/>
      <c r="G973" s="95" t="s">
        <v>4786</v>
      </c>
      <c r="H973" s="138">
        <v>141614</v>
      </c>
      <c r="I973" s="138"/>
      <c r="J973" s="502">
        <f t="shared" si="122"/>
        <v>141614</v>
      </c>
      <c r="K973" s="318">
        <v>43892</v>
      </c>
      <c r="L973" s="95">
        <v>0</v>
      </c>
      <c r="M973" s="313">
        <f t="shared" si="123"/>
        <v>43892</v>
      </c>
      <c r="N973" s="95" t="str">
        <f t="shared" ca="1" si="124"/>
        <v>Vencido</v>
      </c>
      <c r="O973" s="318"/>
      <c r="P973" s="138"/>
      <c r="Q973" s="95"/>
      <c r="R973" s="95"/>
      <c r="S973" s="95"/>
      <c r="T973" s="325"/>
      <c r="U973" s="393"/>
      <c r="V973" s="95"/>
      <c r="W973" s="129"/>
      <c r="X973" s="318"/>
      <c r="Y973" s="95"/>
      <c r="Z973" s="426"/>
      <c r="AA973" s="129" t="str">
        <f t="shared" si="121"/>
        <v/>
      </c>
      <c r="AB973" s="95"/>
      <c r="AC973" s="426">
        <f t="shared" si="125"/>
        <v>119003.36134453781</v>
      </c>
      <c r="AD973" s="129">
        <f t="shared" si="126"/>
        <v>22610.638655462186</v>
      </c>
      <c r="AE973" s="95" t="s">
        <v>1501</v>
      </c>
      <c r="AF973" s="541" t="s">
        <v>3490</v>
      </c>
      <c r="AG973" s="95" t="str">
        <f t="shared" ca="1" si="127"/>
        <v>NO</v>
      </c>
      <c r="AH973" s="284"/>
      <c r="AI973" s="541"/>
      <c r="AJ973" s="95" t="str">
        <f t="shared" si="128"/>
        <v>Factura</v>
      </c>
      <c r="AK973" s="303"/>
    </row>
    <row r="974" spans="1:37" x14ac:dyDescent="0.25">
      <c r="A974" s="509" t="s">
        <v>1420</v>
      </c>
      <c r="B974" s="317" t="s">
        <v>1099</v>
      </c>
      <c r="C974" s="95">
        <v>3148</v>
      </c>
      <c r="D974" s="95">
        <v>0</v>
      </c>
      <c r="E974" s="95"/>
      <c r="F974" s="95"/>
      <c r="G974" s="95">
        <v>6662</v>
      </c>
      <c r="H974" s="138">
        <v>180000</v>
      </c>
      <c r="I974" s="138"/>
      <c r="J974" s="502">
        <f t="shared" si="122"/>
        <v>180000</v>
      </c>
      <c r="K974" s="318">
        <v>43892</v>
      </c>
      <c r="L974" s="95">
        <v>0</v>
      </c>
      <c r="M974" s="313">
        <f t="shared" si="123"/>
        <v>43892</v>
      </c>
      <c r="N974" s="95" t="str">
        <f t="shared" si="124"/>
        <v>Pagado</v>
      </c>
      <c r="O974" s="318">
        <v>43892</v>
      </c>
      <c r="P974" s="138">
        <v>180000</v>
      </c>
      <c r="Q974" s="95" t="s">
        <v>2132</v>
      </c>
      <c r="R974" s="95"/>
      <c r="S974" s="95">
        <v>2946131</v>
      </c>
      <c r="T974" s="325" t="s">
        <v>1488</v>
      </c>
      <c r="U974" s="393">
        <v>43892</v>
      </c>
      <c r="V974" s="95">
        <v>7679361</v>
      </c>
      <c r="W974" s="129">
        <v>180000</v>
      </c>
      <c r="X974" s="318">
        <v>43892</v>
      </c>
      <c r="Y974" s="95" t="s">
        <v>1488</v>
      </c>
      <c r="Z974" s="426"/>
      <c r="AA974" s="129" t="str">
        <f t="shared" si="121"/>
        <v>Chile</v>
      </c>
      <c r="AB974" s="95"/>
      <c r="AC974" s="426">
        <f t="shared" si="125"/>
        <v>151260.50420168068</v>
      </c>
      <c r="AD974" s="129">
        <f t="shared" si="126"/>
        <v>28739.495798319316</v>
      </c>
      <c r="AE974" s="95" t="s">
        <v>1501</v>
      </c>
      <c r="AF974" s="508" t="s">
        <v>3489</v>
      </c>
      <c r="AG974" s="95" t="str">
        <f t="shared" si="127"/>
        <v>SI</v>
      </c>
      <c r="AH974" s="284"/>
      <c r="AI974" s="508"/>
      <c r="AJ974" s="95" t="str">
        <f t="shared" si="128"/>
        <v>Factura</v>
      </c>
      <c r="AK974" s="303"/>
    </row>
    <row r="975" spans="1:37" x14ac:dyDescent="0.25">
      <c r="A975" s="509" t="s">
        <v>1347</v>
      </c>
      <c r="B975" s="317" t="s">
        <v>1069</v>
      </c>
      <c r="C975" s="95">
        <v>0</v>
      </c>
      <c r="D975" s="95">
        <v>0</v>
      </c>
      <c r="E975" s="95"/>
      <c r="F975" s="95"/>
      <c r="G975" s="95">
        <v>6663</v>
      </c>
      <c r="H975" s="138">
        <v>16500</v>
      </c>
      <c r="I975" s="138"/>
      <c r="J975" s="502">
        <f t="shared" si="122"/>
        <v>16500</v>
      </c>
      <c r="K975" s="318">
        <v>43892</v>
      </c>
      <c r="L975" s="95">
        <v>0</v>
      </c>
      <c r="M975" s="313">
        <f t="shared" si="123"/>
        <v>43892</v>
      </c>
      <c r="N975" s="95" t="str">
        <f t="shared" si="124"/>
        <v>Pagado</v>
      </c>
      <c r="O975" s="318">
        <v>43892</v>
      </c>
      <c r="P975" s="138">
        <v>16500</v>
      </c>
      <c r="Q975" s="95" t="s">
        <v>1481</v>
      </c>
      <c r="R975" s="95"/>
      <c r="S975" s="95"/>
      <c r="T975" s="325"/>
      <c r="U975" s="393"/>
      <c r="V975" s="95">
        <v>7675274</v>
      </c>
      <c r="W975" s="129">
        <v>16500</v>
      </c>
      <c r="X975" s="318">
        <v>43895</v>
      </c>
      <c r="Y975" s="95" t="s">
        <v>1488</v>
      </c>
      <c r="Z975" s="426"/>
      <c r="AA975" s="129" t="str">
        <f t="shared" si="121"/>
        <v/>
      </c>
      <c r="AB975" s="95"/>
      <c r="AC975" s="426">
        <f t="shared" si="125"/>
        <v>13865.546218487396</v>
      </c>
      <c r="AD975" s="129">
        <f t="shared" si="126"/>
        <v>2634.4537815126041</v>
      </c>
      <c r="AE975" s="95" t="s">
        <v>1501</v>
      </c>
      <c r="AF975" s="508" t="s">
        <v>3487</v>
      </c>
      <c r="AG975" s="95" t="str">
        <f t="shared" si="127"/>
        <v>SI</v>
      </c>
      <c r="AH975" s="284"/>
      <c r="AI975" s="508"/>
      <c r="AJ975" s="95" t="str">
        <f t="shared" si="128"/>
        <v>NV</v>
      </c>
      <c r="AK975" s="303"/>
    </row>
    <row r="976" spans="1:37" x14ac:dyDescent="0.25">
      <c r="A976" s="534" t="s">
        <v>4898</v>
      </c>
      <c r="B976" s="317" t="s">
        <v>4899</v>
      </c>
      <c r="C976" s="95">
        <v>0</v>
      </c>
      <c r="D976" s="95">
        <v>2993</v>
      </c>
      <c r="E976" s="95"/>
      <c r="F976" s="95"/>
      <c r="G976" s="95">
        <v>6659</v>
      </c>
      <c r="H976" s="138">
        <v>12500</v>
      </c>
      <c r="I976" s="138"/>
      <c r="J976" s="502">
        <f t="shared" si="122"/>
        <v>12500</v>
      </c>
      <c r="K976" s="318">
        <v>43892</v>
      </c>
      <c r="L976" s="95">
        <v>0</v>
      </c>
      <c r="M976" s="313">
        <f t="shared" si="123"/>
        <v>43892</v>
      </c>
      <c r="N976" s="95" t="str">
        <f t="shared" si="124"/>
        <v>Pagado</v>
      </c>
      <c r="O976" s="318">
        <v>43892</v>
      </c>
      <c r="P976" s="138">
        <v>12500</v>
      </c>
      <c r="Q976" s="95" t="s">
        <v>1481</v>
      </c>
      <c r="R976" s="95"/>
      <c r="S976" s="95"/>
      <c r="T976" s="325"/>
      <c r="U976" s="393"/>
      <c r="V976" s="95">
        <v>7675274</v>
      </c>
      <c r="W976" s="129">
        <v>12500</v>
      </c>
      <c r="X976" s="318">
        <v>43895</v>
      </c>
      <c r="Y976" s="95" t="s">
        <v>1488</v>
      </c>
      <c r="Z976" s="426"/>
      <c r="AA976" s="129" t="str">
        <f t="shared" si="121"/>
        <v/>
      </c>
      <c r="AB976" s="95"/>
      <c r="AC976" s="426">
        <f t="shared" si="125"/>
        <v>10504.20168067227</v>
      </c>
      <c r="AD976" s="129">
        <f t="shared" si="126"/>
        <v>1995.7983193277305</v>
      </c>
      <c r="AE976" s="95" t="s">
        <v>1501</v>
      </c>
      <c r="AF976" s="533" t="s">
        <v>3487</v>
      </c>
      <c r="AG976" s="95" t="str">
        <f t="shared" si="127"/>
        <v>SI</v>
      </c>
      <c r="AH976" s="284"/>
      <c r="AI976" s="533"/>
      <c r="AJ976" s="95" t="str">
        <f t="shared" si="128"/>
        <v>NV</v>
      </c>
      <c r="AK976" s="303"/>
    </row>
    <row r="977" spans="1:37" x14ac:dyDescent="0.25">
      <c r="A977" s="534" t="s">
        <v>5402</v>
      </c>
      <c r="B977" s="317" t="s">
        <v>5403</v>
      </c>
      <c r="C977" s="95">
        <v>0</v>
      </c>
      <c r="D977" s="95">
        <v>2992</v>
      </c>
      <c r="E977" s="95"/>
      <c r="F977" s="95"/>
      <c r="G977" s="95">
        <v>6658</v>
      </c>
      <c r="H977" s="138">
        <v>19900</v>
      </c>
      <c r="I977" s="138"/>
      <c r="J977" s="502">
        <f t="shared" si="122"/>
        <v>19900</v>
      </c>
      <c r="K977" s="318">
        <v>43892</v>
      </c>
      <c r="L977" s="95">
        <v>0</v>
      </c>
      <c r="M977" s="313">
        <f t="shared" si="123"/>
        <v>43892</v>
      </c>
      <c r="N977" s="95" t="str">
        <f t="shared" si="124"/>
        <v>Pagado</v>
      </c>
      <c r="O977" s="318">
        <v>43892</v>
      </c>
      <c r="P977" s="138">
        <v>19900</v>
      </c>
      <c r="Q977" s="95" t="s">
        <v>1481</v>
      </c>
      <c r="R977" s="95"/>
      <c r="S977" s="95"/>
      <c r="T977" s="325"/>
      <c r="U977" s="393"/>
      <c r="V977" s="95">
        <v>2719738</v>
      </c>
      <c r="W977" s="129">
        <v>19900</v>
      </c>
      <c r="X977" s="318">
        <v>43903</v>
      </c>
      <c r="Y977" s="95" t="s">
        <v>1488</v>
      </c>
      <c r="Z977" s="426"/>
      <c r="AA977" s="129" t="str">
        <f t="shared" si="121"/>
        <v/>
      </c>
      <c r="AB977" s="95"/>
      <c r="AC977" s="426">
        <f t="shared" si="125"/>
        <v>16722.689075630253</v>
      </c>
      <c r="AD977" s="129">
        <f t="shared" si="126"/>
        <v>3177.3109243697472</v>
      </c>
      <c r="AE977" s="95" t="s">
        <v>1501</v>
      </c>
      <c r="AF977" s="533" t="s">
        <v>3489</v>
      </c>
      <c r="AG977" s="95" t="str">
        <f t="shared" si="127"/>
        <v>SI</v>
      </c>
      <c r="AH977" s="284"/>
      <c r="AI977" s="533"/>
      <c r="AJ977" s="95" t="str">
        <f t="shared" si="128"/>
        <v>NV</v>
      </c>
      <c r="AK977" s="303"/>
    </row>
    <row r="978" spans="1:37" x14ac:dyDescent="0.25">
      <c r="A978" s="534" t="s">
        <v>5443</v>
      </c>
      <c r="B978" s="317" t="s">
        <v>5909</v>
      </c>
      <c r="C978" s="95">
        <v>0</v>
      </c>
      <c r="D978" s="95">
        <v>2990</v>
      </c>
      <c r="E978" s="95"/>
      <c r="F978" s="95"/>
      <c r="G978" s="95">
        <v>6666</v>
      </c>
      <c r="H978" s="138">
        <v>8300</v>
      </c>
      <c r="I978" s="138"/>
      <c r="J978" s="502">
        <f t="shared" si="122"/>
        <v>8300</v>
      </c>
      <c r="K978" s="318">
        <v>43892</v>
      </c>
      <c r="L978" s="95">
        <v>0</v>
      </c>
      <c r="M978" s="313">
        <f t="shared" si="123"/>
        <v>43892</v>
      </c>
      <c r="N978" s="95" t="str">
        <f t="shared" si="124"/>
        <v>Pagado</v>
      </c>
      <c r="O978" s="318">
        <v>43892</v>
      </c>
      <c r="P978" s="138">
        <v>8300</v>
      </c>
      <c r="Q978" s="95" t="s">
        <v>1484</v>
      </c>
      <c r="R978" s="95"/>
      <c r="S978" s="95"/>
      <c r="T978" s="325" t="s">
        <v>1493</v>
      </c>
      <c r="U978" s="393"/>
      <c r="V978" s="95"/>
      <c r="W978" s="129"/>
      <c r="X978" s="318"/>
      <c r="Y978" s="95"/>
      <c r="Z978" s="426"/>
      <c r="AA978" s="129" t="str">
        <f t="shared" si="121"/>
        <v/>
      </c>
      <c r="AB978" s="95"/>
      <c r="AC978" s="426">
        <f t="shared" si="125"/>
        <v>6974.7899159663866</v>
      </c>
      <c r="AD978" s="129">
        <f t="shared" si="126"/>
        <v>1325.2100840336134</v>
      </c>
      <c r="AE978" s="95" t="s">
        <v>1501</v>
      </c>
      <c r="AF978" s="533" t="s">
        <v>3487</v>
      </c>
      <c r="AG978" s="95" t="str">
        <f t="shared" si="127"/>
        <v>SI</v>
      </c>
      <c r="AH978" s="284"/>
      <c r="AI978" s="533"/>
      <c r="AJ978" s="95" t="str">
        <f t="shared" si="128"/>
        <v>NV</v>
      </c>
      <c r="AK978" s="303"/>
    </row>
    <row r="979" spans="1:37" x14ac:dyDescent="0.25">
      <c r="A979" s="534" t="s">
        <v>2011</v>
      </c>
      <c r="B979" s="317" t="s">
        <v>2162</v>
      </c>
      <c r="C979" s="95">
        <v>0</v>
      </c>
      <c r="D979" s="95">
        <v>2989</v>
      </c>
      <c r="E979" s="95"/>
      <c r="F979" s="95"/>
      <c r="G979" s="95">
        <v>6661</v>
      </c>
      <c r="H979" s="138">
        <v>14200</v>
      </c>
      <c r="I979" s="138"/>
      <c r="J979" s="502">
        <f t="shared" si="122"/>
        <v>14200</v>
      </c>
      <c r="K979" s="318">
        <v>43892</v>
      </c>
      <c r="L979" s="95">
        <v>0</v>
      </c>
      <c r="M979" s="313">
        <f t="shared" si="123"/>
        <v>43892</v>
      </c>
      <c r="N979" s="95" t="str">
        <f t="shared" si="124"/>
        <v>Pagado</v>
      </c>
      <c r="O979" s="318">
        <v>43864</v>
      </c>
      <c r="P979" s="138">
        <v>14200</v>
      </c>
      <c r="Q979" s="95" t="s">
        <v>1484</v>
      </c>
      <c r="R979" s="95"/>
      <c r="S979" s="95"/>
      <c r="T979" s="325" t="s">
        <v>1496</v>
      </c>
      <c r="U979" s="393"/>
      <c r="V979" s="95"/>
      <c r="W979" s="129"/>
      <c r="X979" s="318"/>
      <c r="Y979" s="95"/>
      <c r="Z979" s="426"/>
      <c r="AA979" s="129" t="str">
        <f t="shared" si="121"/>
        <v/>
      </c>
      <c r="AB979" s="95"/>
      <c r="AC979" s="426">
        <f t="shared" si="125"/>
        <v>11932.773109243699</v>
      </c>
      <c r="AD979" s="129">
        <f t="shared" si="126"/>
        <v>2267.2268907563011</v>
      </c>
      <c r="AE979" s="95" t="s">
        <v>1501</v>
      </c>
      <c r="AF979" s="533" t="s">
        <v>3487</v>
      </c>
      <c r="AG979" s="95" t="str">
        <f t="shared" si="127"/>
        <v>SI</v>
      </c>
      <c r="AH979" s="284"/>
      <c r="AI979" s="533"/>
      <c r="AJ979" s="95" t="str">
        <f t="shared" si="128"/>
        <v>NV</v>
      </c>
      <c r="AK979" s="303"/>
    </row>
    <row r="980" spans="1:37" x14ac:dyDescent="0.25">
      <c r="A980" s="509" t="s">
        <v>5348</v>
      </c>
      <c r="B980" s="317" t="s">
        <v>5349</v>
      </c>
      <c r="C980" s="95">
        <v>0</v>
      </c>
      <c r="D980" s="95">
        <v>2991</v>
      </c>
      <c r="E980" s="95"/>
      <c r="F980" s="95"/>
      <c r="G980" s="95">
        <v>6660</v>
      </c>
      <c r="H980" s="138">
        <v>12500</v>
      </c>
      <c r="I980" s="138"/>
      <c r="J980" s="502">
        <f t="shared" si="122"/>
        <v>12500</v>
      </c>
      <c r="K980" s="318">
        <v>43892</v>
      </c>
      <c r="L980" s="95">
        <v>0</v>
      </c>
      <c r="M980" s="313">
        <f t="shared" si="123"/>
        <v>43892</v>
      </c>
      <c r="N980" s="95" t="str">
        <f t="shared" si="124"/>
        <v>Pagado</v>
      </c>
      <c r="O980" s="318">
        <v>43892</v>
      </c>
      <c r="P980" s="138">
        <v>12500</v>
      </c>
      <c r="Q980" s="95" t="s">
        <v>1481</v>
      </c>
      <c r="R980" s="95"/>
      <c r="S980" s="95"/>
      <c r="T980" s="325"/>
      <c r="U980" s="393"/>
      <c r="V980" s="95">
        <v>7675274</v>
      </c>
      <c r="W980" s="129">
        <v>12500</v>
      </c>
      <c r="X980" s="318">
        <v>43895</v>
      </c>
      <c r="Y980" s="95" t="s">
        <v>1488</v>
      </c>
      <c r="Z980" s="426"/>
      <c r="AA980" s="129" t="str">
        <f t="shared" si="121"/>
        <v/>
      </c>
      <c r="AB980" s="95"/>
      <c r="AC980" s="426">
        <f t="shared" si="125"/>
        <v>10504.20168067227</v>
      </c>
      <c r="AD980" s="129">
        <f t="shared" si="126"/>
        <v>1995.7983193277305</v>
      </c>
      <c r="AE980" s="95" t="s">
        <v>1501</v>
      </c>
      <c r="AF980" s="508" t="s">
        <v>3487</v>
      </c>
      <c r="AG980" s="95" t="str">
        <f t="shared" si="127"/>
        <v>SI</v>
      </c>
      <c r="AH980" s="284"/>
      <c r="AI980" s="508"/>
      <c r="AJ980" s="95" t="str">
        <f t="shared" si="128"/>
        <v>NV</v>
      </c>
      <c r="AK980" s="303"/>
    </row>
    <row r="981" spans="1:37" x14ac:dyDescent="0.25">
      <c r="A981" s="542" t="s">
        <v>5747</v>
      </c>
      <c r="B981" s="317" t="s">
        <v>5748</v>
      </c>
      <c r="C981" s="95">
        <v>0</v>
      </c>
      <c r="D981" s="95">
        <v>2998</v>
      </c>
      <c r="E981" s="95"/>
      <c r="F981" s="95"/>
      <c r="G981" s="95">
        <v>6665</v>
      </c>
      <c r="H981" s="138">
        <v>33000</v>
      </c>
      <c r="I981" s="138"/>
      <c r="J981" s="502">
        <f t="shared" si="122"/>
        <v>33000</v>
      </c>
      <c r="K981" s="318">
        <v>43892</v>
      </c>
      <c r="L981" s="95">
        <v>0</v>
      </c>
      <c r="M981" s="313">
        <f t="shared" si="123"/>
        <v>43892</v>
      </c>
      <c r="N981" s="95" t="str">
        <f t="shared" si="124"/>
        <v>Pagado</v>
      </c>
      <c r="O981" s="318">
        <v>43892</v>
      </c>
      <c r="P981" s="138">
        <v>33000</v>
      </c>
      <c r="Q981" s="95" t="s">
        <v>1484</v>
      </c>
      <c r="R981" s="95"/>
      <c r="S981" s="95"/>
      <c r="T981" s="325" t="s">
        <v>1492</v>
      </c>
      <c r="U981" s="393"/>
      <c r="V981" s="95"/>
      <c r="W981" s="129"/>
      <c r="X981" s="318"/>
      <c r="Y981" s="95"/>
      <c r="Z981" s="426"/>
      <c r="AA981" s="129" t="str">
        <f t="shared" ref="AA981:AA1044" si="129">+IF(LEFT(Q981,6)="Cheque",IF(T981="Chile","Chile","Otros"),"")</f>
        <v/>
      </c>
      <c r="AB981" s="95"/>
      <c r="AC981" s="426">
        <f t="shared" si="125"/>
        <v>27731.092436974792</v>
      </c>
      <c r="AD981" s="129">
        <f t="shared" si="126"/>
        <v>5268.9075630252082</v>
      </c>
      <c r="AE981" s="95" t="s">
        <v>1501</v>
      </c>
      <c r="AF981" s="541" t="s">
        <v>3487</v>
      </c>
      <c r="AG981" s="95" t="str">
        <f t="shared" si="127"/>
        <v>SI</v>
      </c>
      <c r="AH981" s="284"/>
      <c r="AI981" s="541"/>
      <c r="AJ981" s="95" t="str">
        <f t="shared" si="128"/>
        <v>NV</v>
      </c>
      <c r="AK981" s="303"/>
    </row>
    <row r="982" spans="1:37" x14ac:dyDescent="0.25">
      <c r="A982" s="509" t="s">
        <v>3987</v>
      </c>
      <c r="B982" s="317" t="s">
        <v>3988</v>
      </c>
      <c r="C982" s="95">
        <v>0</v>
      </c>
      <c r="D982" s="95">
        <v>2995</v>
      </c>
      <c r="E982" s="95"/>
      <c r="F982" s="95"/>
      <c r="G982" s="95">
        <v>6669</v>
      </c>
      <c r="H982" s="138">
        <v>19900</v>
      </c>
      <c r="I982" s="138"/>
      <c r="J982" s="502">
        <f t="shared" si="122"/>
        <v>19900</v>
      </c>
      <c r="K982" s="318">
        <v>43893</v>
      </c>
      <c r="L982" s="95">
        <v>0</v>
      </c>
      <c r="M982" s="313">
        <f t="shared" si="123"/>
        <v>43893</v>
      </c>
      <c r="N982" s="95" t="str">
        <f t="shared" si="124"/>
        <v>Pagado</v>
      </c>
      <c r="O982" s="318">
        <v>43892</v>
      </c>
      <c r="P982" s="138">
        <v>19900</v>
      </c>
      <c r="Q982" s="95" t="s">
        <v>1484</v>
      </c>
      <c r="R982" s="95"/>
      <c r="S982" s="95"/>
      <c r="T982" s="325" t="s">
        <v>1492</v>
      </c>
      <c r="U982" s="393"/>
      <c r="V982" s="95"/>
      <c r="W982" s="129"/>
      <c r="X982" s="318"/>
      <c r="Y982" s="95"/>
      <c r="Z982" s="426"/>
      <c r="AA982" s="129" t="str">
        <f t="shared" si="129"/>
        <v/>
      </c>
      <c r="AB982" s="95"/>
      <c r="AC982" s="426">
        <f t="shared" si="125"/>
        <v>16722.689075630253</v>
      </c>
      <c r="AD982" s="129">
        <f t="shared" si="126"/>
        <v>3177.3109243697472</v>
      </c>
      <c r="AE982" s="95" t="s">
        <v>1501</v>
      </c>
      <c r="AF982" s="508" t="s">
        <v>3488</v>
      </c>
      <c r="AG982" s="95" t="str">
        <f t="shared" si="127"/>
        <v>SI</v>
      </c>
      <c r="AH982" s="284"/>
      <c r="AI982" s="508"/>
      <c r="AJ982" s="95" t="str">
        <f t="shared" si="128"/>
        <v>NV</v>
      </c>
      <c r="AK982" s="303"/>
    </row>
    <row r="983" spans="1:37" x14ac:dyDescent="0.25">
      <c r="A983" s="509" t="s">
        <v>1237</v>
      </c>
      <c r="B983" s="317" t="s">
        <v>2147</v>
      </c>
      <c r="C983" s="95">
        <v>0</v>
      </c>
      <c r="D983" s="95">
        <v>2996</v>
      </c>
      <c r="E983" s="95"/>
      <c r="F983" s="95"/>
      <c r="G983" s="95">
        <v>6667</v>
      </c>
      <c r="H983" s="138">
        <v>47500</v>
      </c>
      <c r="I983" s="138"/>
      <c r="J983" s="502">
        <f t="shared" si="122"/>
        <v>47500</v>
      </c>
      <c r="K983" s="318">
        <v>43893</v>
      </c>
      <c r="L983" s="95">
        <v>0</v>
      </c>
      <c r="M983" s="313">
        <f t="shared" si="123"/>
        <v>43893</v>
      </c>
      <c r="N983" s="95" t="str">
        <f t="shared" si="124"/>
        <v>Pagado</v>
      </c>
      <c r="O983" s="318">
        <v>43893</v>
      </c>
      <c r="P983" s="138">
        <v>47500</v>
      </c>
      <c r="Q983" s="95" t="s">
        <v>1484</v>
      </c>
      <c r="R983" s="95"/>
      <c r="S983" s="95"/>
      <c r="T983" s="325" t="s">
        <v>1496</v>
      </c>
      <c r="U983" s="393"/>
      <c r="V983" s="95"/>
      <c r="W983" s="129"/>
      <c r="X983" s="318"/>
      <c r="Y983" s="95"/>
      <c r="Z983" s="426"/>
      <c r="AA983" s="129" t="str">
        <f t="shared" si="129"/>
        <v/>
      </c>
      <c r="AB983" s="95"/>
      <c r="AC983" s="426">
        <f t="shared" si="125"/>
        <v>39915.966386554624</v>
      </c>
      <c r="AD983" s="129">
        <f t="shared" si="126"/>
        <v>7584.0336134453755</v>
      </c>
      <c r="AE983" s="95" t="s">
        <v>1501</v>
      </c>
      <c r="AF983" s="508" t="s">
        <v>3489</v>
      </c>
      <c r="AG983" s="95" t="str">
        <f t="shared" si="127"/>
        <v>SI</v>
      </c>
      <c r="AH983" s="284"/>
      <c r="AI983" s="508"/>
      <c r="AJ983" s="95" t="str">
        <f t="shared" si="128"/>
        <v>NV</v>
      </c>
      <c r="AK983" s="303"/>
    </row>
    <row r="984" spans="1:37" x14ac:dyDescent="0.25">
      <c r="A984" s="534" t="s">
        <v>4040</v>
      </c>
      <c r="B984" s="317" t="s">
        <v>4038</v>
      </c>
      <c r="C984" s="95">
        <v>0</v>
      </c>
      <c r="D984" s="95">
        <v>215</v>
      </c>
      <c r="E984" s="95"/>
      <c r="F984" s="95"/>
      <c r="G984" s="95">
        <v>6668</v>
      </c>
      <c r="H984" s="138">
        <v>23000</v>
      </c>
      <c r="I984" s="138"/>
      <c r="J984" s="502">
        <f t="shared" si="122"/>
        <v>23000</v>
      </c>
      <c r="K984" s="318">
        <v>43893</v>
      </c>
      <c r="L984" s="95">
        <v>0</v>
      </c>
      <c r="M984" s="313">
        <f t="shared" si="123"/>
        <v>43893</v>
      </c>
      <c r="N984" s="95" t="str">
        <f t="shared" si="124"/>
        <v>Pagado</v>
      </c>
      <c r="O984" s="318">
        <v>43864</v>
      </c>
      <c r="P984" s="138">
        <v>23000</v>
      </c>
      <c r="Q984" s="95" t="s">
        <v>1070</v>
      </c>
      <c r="R984" s="95" t="s">
        <v>1478</v>
      </c>
      <c r="S984" s="95">
        <v>215</v>
      </c>
      <c r="T984" s="325"/>
      <c r="U984" s="393"/>
      <c r="V984" s="95"/>
      <c r="W984" s="129"/>
      <c r="X984" s="318"/>
      <c r="Y984" s="95"/>
      <c r="Z984" s="426"/>
      <c r="AA984" s="129" t="str">
        <f t="shared" si="129"/>
        <v/>
      </c>
      <c r="AB984" s="95"/>
      <c r="AC984" s="426">
        <f t="shared" si="125"/>
        <v>19327.731092436974</v>
      </c>
      <c r="AD984" s="129">
        <f t="shared" si="126"/>
        <v>3672.268907563026</v>
      </c>
      <c r="AE984" s="95" t="s">
        <v>1501</v>
      </c>
      <c r="AF984" s="533" t="s">
        <v>3489</v>
      </c>
      <c r="AG984" s="95" t="str">
        <f t="shared" si="127"/>
        <v>SI</v>
      </c>
      <c r="AH984" s="284"/>
      <c r="AI984" s="533"/>
      <c r="AJ984" s="95" t="str">
        <f t="shared" si="128"/>
        <v>NV</v>
      </c>
      <c r="AK984" s="303"/>
    </row>
    <row r="985" spans="1:37" x14ac:dyDescent="0.25">
      <c r="A985" s="509" t="s">
        <v>2619</v>
      </c>
      <c r="B985" s="317" t="s">
        <v>3361</v>
      </c>
      <c r="C985" s="95">
        <v>0</v>
      </c>
      <c r="D985" s="95">
        <v>3002</v>
      </c>
      <c r="E985" s="95"/>
      <c r="F985" s="95"/>
      <c r="G985" s="95">
        <v>6673</v>
      </c>
      <c r="H985" s="138">
        <v>29900</v>
      </c>
      <c r="I985" s="138"/>
      <c r="J985" s="502">
        <f t="shared" si="122"/>
        <v>29900</v>
      </c>
      <c r="K985" s="318">
        <v>43894</v>
      </c>
      <c r="L985" s="95">
        <v>0</v>
      </c>
      <c r="M985" s="313">
        <f t="shared" si="123"/>
        <v>43894</v>
      </c>
      <c r="N985" s="95" t="str">
        <f t="shared" si="124"/>
        <v>Pagado</v>
      </c>
      <c r="O985" s="318">
        <v>43895</v>
      </c>
      <c r="P985" s="138">
        <v>29900</v>
      </c>
      <c r="Q985" s="95" t="s">
        <v>1484</v>
      </c>
      <c r="R985" s="95"/>
      <c r="S985" s="95"/>
      <c r="T985" s="325" t="s">
        <v>1496</v>
      </c>
      <c r="U985" s="393"/>
      <c r="V985" s="95"/>
      <c r="W985" s="129"/>
      <c r="X985" s="318"/>
      <c r="Y985" s="95"/>
      <c r="Z985" s="426"/>
      <c r="AA985" s="129" t="str">
        <f t="shared" si="129"/>
        <v/>
      </c>
      <c r="AB985" s="95"/>
      <c r="AC985" s="426">
        <f t="shared" si="125"/>
        <v>25126.050420168067</v>
      </c>
      <c r="AD985" s="129">
        <f t="shared" si="126"/>
        <v>4773.9495798319331</v>
      </c>
      <c r="AE985" s="95" t="s">
        <v>1501</v>
      </c>
      <c r="AF985" s="508" t="s">
        <v>3489</v>
      </c>
      <c r="AG985" s="95" t="str">
        <f t="shared" si="127"/>
        <v>SI</v>
      </c>
      <c r="AH985" s="284"/>
      <c r="AI985" s="508"/>
      <c r="AJ985" s="95" t="str">
        <f t="shared" si="128"/>
        <v>NV</v>
      </c>
      <c r="AK985" s="303"/>
    </row>
    <row r="986" spans="1:37" x14ac:dyDescent="0.25">
      <c r="A986" s="509" t="s">
        <v>5399</v>
      </c>
      <c r="B986" s="317" t="s">
        <v>5400</v>
      </c>
      <c r="C986" s="95">
        <v>0</v>
      </c>
      <c r="D986" s="95">
        <v>3000</v>
      </c>
      <c r="E986" s="95"/>
      <c r="F986" s="95"/>
      <c r="G986" s="95">
        <v>6672</v>
      </c>
      <c r="H986" s="138">
        <v>33000</v>
      </c>
      <c r="I986" s="138"/>
      <c r="J986" s="502">
        <f t="shared" si="122"/>
        <v>33000</v>
      </c>
      <c r="K986" s="318">
        <v>43894</v>
      </c>
      <c r="L986" s="95">
        <v>0</v>
      </c>
      <c r="M986" s="313">
        <f t="shared" si="123"/>
        <v>43894</v>
      </c>
      <c r="N986" s="95" t="str">
        <f t="shared" si="124"/>
        <v>Pagado</v>
      </c>
      <c r="O986" s="318">
        <v>43894</v>
      </c>
      <c r="P986" s="138">
        <v>33000</v>
      </c>
      <c r="Q986" s="95" t="s">
        <v>1484</v>
      </c>
      <c r="R986" s="95"/>
      <c r="S986" s="95"/>
      <c r="T986" s="325" t="s">
        <v>1488</v>
      </c>
      <c r="U986" s="393"/>
      <c r="V986" s="95"/>
      <c r="W986" s="129"/>
      <c r="X986" s="318"/>
      <c r="Y986" s="95"/>
      <c r="Z986" s="426"/>
      <c r="AA986" s="129" t="str">
        <f t="shared" si="129"/>
        <v/>
      </c>
      <c r="AB986" s="95"/>
      <c r="AC986" s="426">
        <f t="shared" si="125"/>
        <v>27731.092436974792</v>
      </c>
      <c r="AD986" s="129">
        <f t="shared" si="126"/>
        <v>5268.9075630252082</v>
      </c>
      <c r="AE986" s="95" t="s">
        <v>1501</v>
      </c>
      <c r="AF986" s="508" t="s">
        <v>3487</v>
      </c>
      <c r="AG986" s="95" t="str">
        <f t="shared" si="127"/>
        <v>SI</v>
      </c>
      <c r="AH986" s="284"/>
      <c r="AI986" s="508"/>
      <c r="AJ986" s="95" t="str">
        <f t="shared" si="128"/>
        <v>NV</v>
      </c>
      <c r="AK986" s="303"/>
    </row>
    <row r="987" spans="1:37" x14ac:dyDescent="0.25">
      <c r="A987" s="509" t="s">
        <v>4807</v>
      </c>
      <c r="B987" s="317" t="s">
        <v>4808</v>
      </c>
      <c r="C987" s="95">
        <v>0</v>
      </c>
      <c r="D987" s="95">
        <v>0</v>
      </c>
      <c r="E987" s="95"/>
      <c r="F987" s="95"/>
      <c r="G987" s="95">
        <v>6678</v>
      </c>
      <c r="H987" s="138">
        <v>38900</v>
      </c>
      <c r="I987" s="138"/>
      <c r="J987" s="502">
        <f t="shared" si="122"/>
        <v>38900</v>
      </c>
      <c r="K987" s="318">
        <v>43894</v>
      </c>
      <c r="L987" s="95">
        <v>0</v>
      </c>
      <c r="M987" s="313">
        <f t="shared" si="123"/>
        <v>43894</v>
      </c>
      <c r="N987" s="95" t="str">
        <f t="shared" si="124"/>
        <v>Pagado</v>
      </c>
      <c r="O987" s="318">
        <v>43894</v>
      </c>
      <c r="P987" s="138">
        <v>38900</v>
      </c>
      <c r="Q987" s="95" t="s">
        <v>1484</v>
      </c>
      <c r="R987" s="95"/>
      <c r="S987" s="95"/>
      <c r="T987" s="325" t="s">
        <v>1493</v>
      </c>
      <c r="U987" s="393"/>
      <c r="V987" s="95"/>
      <c r="W987" s="129"/>
      <c r="X987" s="318"/>
      <c r="Y987" s="95"/>
      <c r="Z987" s="426"/>
      <c r="AA987" s="129" t="str">
        <f t="shared" si="129"/>
        <v/>
      </c>
      <c r="AB987" s="95"/>
      <c r="AC987" s="426">
        <f t="shared" si="125"/>
        <v>32689.075630252104</v>
      </c>
      <c r="AD987" s="129">
        <f t="shared" si="126"/>
        <v>6210.924369747896</v>
      </c>
      <c r="AE987" s="95" t="s">
        <v>1501</v>
      </c>
      <c r="AF987" s="508" t="s">
        <v>3487</v>
      </c>
      <c r="AG987" s="95" t="str">
        <f t="shared" si="127"/>
        <v>SI</v>
      </c>
      <c r="AH987" s="284"/>
      <c r="AI987" s="508"/>
      <c r="AJ987" s="95" t="str">
        <f t="shared" si="128"/>
        <v>NV</v>
      </c>
      <c r="AK987" s="303"/>
    </row>
    <row r="988" spans="1:37" x14ac:dyDescent="0.25">
      <c r="A988" s="509" t="s">
        <v>1257</v>
      </c>
      <c r="B988" s="317" t="s">
        <v>2145</v>
      </c>
      <c r="C988" s="95">
        <v>0</v>
      </c>
      <c r="D988" s="95">
        <v>3003</v>
      </c>
      <c r="E988" s="95"/>
      <c r="F988" s="95"/>
      <c r="G988" s="95">
        <v>6677</v>
      </c>
      <c r="H988" s="138">
        <v>18400</v>
      </c>
      <c r="I988" s="138"/>
      <c r="J988" s="502">
        <f t="shared" si="122"/>
        <v>18400</v>
      </c>
      <c r="K988" s="318">
        <v>43894</v>
      </c>
      <c r="L988" s="95">
        <v>0</v>
      </c>
      <c r="M988" s="313">
        <f t="shared" si="123"/>
        <v>43894</v>
      </c>
      <c r="N988" s="95" t="str">
        <f t="shared" si="124"/>
        <v>Pagado</v>
      </c>
      <c r="O988" s="318">
        <v>43899</v>
      </c>
      <c r="P988" s="138">
        <v>18400</v>
      </c>
      <c r="Q988" s="95" t="s">
        <v>1484</v>
      </c>
      <c r="R988" s="95"/>
      <c r="S988" s="95"/>
      <c r="T988" s="325" t="s">
        <v>1488</v>
      </c>
      <c r="U988" s="393"/>
      <c r="V988" s="95"/>
      <c r="W988" s="129"/>
      <c r="X988" s="318"/>
      <c r="Y988" s="95"/>
      <c r="Z988" s="426"/>
      <c r="AA988" s="129" t="str">
        <f t="shared" si="129"/>
        <v/>
      </c>
      <c r="AB988" s="95"/>
      <c r="AC988" s="426">
        <f t="shared" si="125"/>
        <v>15462.18487394958</v>
      </c>
      <c r="AD988" s="129">
        <f t="shared" si="126"/>
        <v>2937.8151260504201</v>
      </c>
      <c r="AE988" s="95" t="s">
        <v>1501</v>
      </c>
      <c r="AF988" s="508" t="s">
        <v>3489</v>
      </c>
      <c r="AG988" s="95" t="str">
        <f t="shared" si="127"/>
        <v>SI</v>
      </c>
      <c r="AH988" s="284"/>
      <c r="AI988" s="508"/>
      <c r="AJ988" s="95" t="str">
        <f t="shared" si="128"/>
        <v>NV</v>
      </c>
      <c r="AK988" s="303"/>
    </row>
    <row r="989" spans="1:37" x14ac:dyDescent="0.25">
      <c r="A989" s="509" t="s">
        <v>1214</v>
      </c>
      <c r="B989" s="317" t="s">
        <v>2143</v>
      </c>
      <c r="C989" s="95">
        <v>0</v>
      </c>
      <c r="D989" s="95">
        <v>2998</v>
      </c>
      <c r="E989" s="95"/>
      <c r="F989" s="95"/>
      <c r="G989" s="95">
        <v>6671</v>
      </c>
      <c r="H989" s="138">
        <v>19700</v>
      </c>
      <c r="I989" s="138"/>
      <c r="J989" s="502">
        <f t="shared" si="122"/>
        <v>19700</v>
      </c>
      <c r="K989" s="318">
        <v>43894</v>
      </c>
      <c r="L989" s="95">
        <v>0</v>
      </c>
      <c r="M989" s="313">
        <f t="shared" si="123"/>
        <v>43894</v>
      </c>
      <c r="N989" s="95" t="str">
        <f t="shared" si="124"/>
        <v>Pagado</v>
      </c>
      <c r="O989" s="318">
        <v>43896</v>
      </c>
      <c r="P989" s="138">
        <v>19700</v>
      </c>
      <c r="Q989" s="95" t="s">
        <v>1484</v>
      </c>
      <c r="R989" s="95"/>
      <c r="S989" s="95"/>
      <c r="T989" s="325" t="s">
        <v>1494</v>
      </c>
      <c r="U989" s="393"/>
      <c r="V989" s="95"/>
      <c r="W989" s="129"/>
      <c r="X989" s="318"/>
      <c r="Y989" s="95"/>
      <c r="Z989" s="426"/>
      <c r="AA989" s="129" t="str">
        <f t="shared" si="129"/>
        <v/>
      </c>
      <c r="AB989" s="95"/>
      <c r="AC989" s="426">
        <f t="shared" si="125"/>
        <v>16554.621848739498</v>
      </c>
      <c r="AD989" s="129">
        <f t="shared" si="126"/>
        <v>3145.3781512605019</v>
      </c>
      <c r="AE989" s="95" t="s">
        <v>1501</v>
      </c>
      <c r="AF989" s="508" t="s">
        <v>3487</v>
      </c>
      <c r="AG989" s="95" t="str">
        <f t="shared" si="127"/>
        <v>SI</v>
      </c>
      <c r="AH989" s="284"/>
      <c r="AI989" s="508"/>
      <c r="AJ989" s="95" t="str">
        <f t="shared" si="128"/>
        <v>NV</v>
      </c>
      <c r="AK989" s="303"/>
    </row>
    <row r="990" spans="1:37" x14ac:dyDescent="0.25">
      <c r="A990" s="509" t="s">
        <v>5743</v>
      </c>
      <c r="B990" s="317" t="s">
        <v>5744</v>
      </c>
      <c r="C990" s="95">
        <v>0</v>
      </c>
      <c r="D990" s="95">
        <v>3001</v>
      </c>
      <c r="E990" s="95"/>
      <c r="F990" s="95"/>
      <c r="G990" s="95">
        <v>6674</v>
      </c>
      <c r="H990" s="138">
        <v>16500</v>
      </c>
      <c r="I990" s="138"/>
      <c r="J990" s="502">
        <f t="shared" si="122"/>
        <v>16500</v>
      </c>
      <c r="K990" s="318">
        <v>43894</v>
      </c>
      <c r="L990" s="95">
        <v>0</v>
      </c>
      <c r="M990" s="313">
        <f t="shared" si="123"/>
        <v>43894</v>
      </c>
      <c r="N990" s="95" t="str">
        <f t="shared" si="124"/>
        <v>Pagado</v>
      </c>
      <c r="O990" s="318">
        <v>43894</v>
      </c>
      <c r="P990" s="138">
        <v>16500</v>
      </c>
      <c r="Q990" s="95" t="s">
        <v>1484</v>
      </c>
      <c r="R990" s="95"/>
      <c r="S990" s="95"/>
      <c r="T990" s="325" t="s">
        <v>1496</v>
      </c>
      <c r="U990" s="393"/>
      <c r="V990" s="95"/>
      <c r="W990" s="129"/>
      <c r="X990" s="318"/>
      <c r="Y990" s="95"/>
      <c r="Z990" s="426"/>
      <c r="AA990" s="129" t="str">
        <f t="shared" si="129"/>
        <v/>
      </c>
      <c r="AB990" s="95"/>
      <c r="AC990" s="426">
        <f t="shared" si="125"/>
        <v>13865.546218487396</v>
      </c>
      <c r="AD990" s="129">
        <f t="shared" si="126"/>
        <v>2634.4537815126041</v>
      </c>
      <c r="AE990" s="95" t="s">
        <v>1501</v>
      </c>
      <c r="AF990" s="508" t="s">
        <v>3487</v>
      </c>
      <c r="AG990" s="95" t="str">
        <f t="shared" si="127"/>
        <v>SI</v>
      </c>
      <c r="AH990" s="284"/>
      <c r="AI990" s="508"/>
      <c r="AJ990" s="95" t="str">
        <f t="shared" si="128"/>
        <v>NV</v>
      </c>
      <c r="AK990" s="303"/>
    </row>
    <row r="991" spans="1:37" x14ac:dyDescent="0.25">
      <c r="A991" s="509" t="s">
        <v>1234</v>
      </c>
      <c r="B991" s="317" t="s">
        <v>970</v>
      </c>
      <c r="C991" s="95">
        <v>0</v>
      </c>
      <c r="D991" s="95">
        <v>3004</v>
      </c>
      <c r="E991" s="95"/>
      <c r="F991" s="95"/>
      <c r="G991" s="95">
        <v>6676</v>
      </c>
      <c r="H991" s="138">
        <v>26700</v>
      </c>
      <c r="I991" s="138"/>
      <c r="J991" s="502">
        <f t="shared" si="122"/>
        <v>26700</v>
      </c>
      <c r="K991" s="318">
        <v>43894</v>
      </c>
      <c r="L991" s="95">
        <v>0</v>
      </c>
      <c r="M991" s="313">
        <f t="shared" si="123"/>
        <v>43894</v>
      </c>
      <c r="N991" s="95" t="str">
        <f t="shared" si="124"/>
        <v>Pagado</v>
      </c>
      <c r="O991" s="318">
        <v>43894</v>
      </c>
      <c r="P991" s="138">
        <v>26700</v>
      </c>
      <c r="Q991" s="95" t="s">
        <v>1484</v>
      </c>
      <c r="R991" s="95"/>
      <c r="S991" s="95"/>
      <c r="T991" s="325" t="s">
        <v>1462</v>
      </c>
      <c r="U991" s="393"/>
      <c r="V991" s="95"/>
      <c r="W991" s="129"/>
      <c r="X991" s="318"/>
      <c r="Y991" s="95"/>
      <c r="Z991" s="426"/>
      <c r="AA991" s="129" t="str">
        <f t="shared" si="129"/>
        <v/>
      </c>
      <c r="AB991" s="95"/>
      <c r="AC991" s="426">
        <f t="shared" si="125"/>
        <v>22436.974789915967</v>
      </c>
      <c r="AD991" s="129">
        <f t="shared" si="126"/>
        <v>4263.0252100840335</v>
      </c>
      <c r="AE991" s="95" t="s">
        <v>1501</v>
      </c>
      <c r="AF991" s="508" t="s">
        <v>3489</v>
      </c>
      <c r="AG991" s="95" t="str">
        <f t="shared" si="127"/>
        <v>SI</v>
      </c>
      <c r="AH991" s="284"/>
      <c r="AI991" s="508"/>
      <c r="AJ991" s="95" t="str">
        <f t="shared" si="128"/>
        <v>NV</v>
      </c>
      <c r="AK991" s="303"/>
    </row>
    <row r="992" spans="1:37" x14ac:dyDescent="0.25">
      <c r="A992" s="542" t="s">
        <v>1209</v>
      </c>
      <c r="B992" s="317" t="s">
        <v>974</v>
      </c>
      <c r="C992" s="95">
        <v>0</v>
      </c>
      <c r="D992" s="95">
        <v>2999</v>
      </c>
      <c r="E992" s="95"/>
      <c r="F992" s="95"/>
      <c r="G992" s="95">
        <v>6670</v>
      </c>
      <c r="H992" s="138">
        <v>45700</v>
      </c>
      <c r="I992" s="138"/>
      <c r="J992" s="502">
        <f t="shared" si="122"/>
        <v>45700</v>
      </c>
      <c r="K992" s="318">
        <v>43894</v>
      </c>
      <c r="L992" s="95">
        <v>0</v>
      </c>
      <c r="M992" s="313">
        <f t="shared" si="123"/>
        <v>43894</v>
      </c>
      <c r="N992" s="95" t="str">
        <f t="shared" si="124"/>
        <v>Pagado</v>
      </c>
      <c r="O992" s="318">
        <v>43894</v>
      </c>
      <c r="P992" s="138">
        <v>45700</v>
      </c>
      <c r="Q992" s="95" t="s">
        <v>1484</v>
      </c>
      <c r="R992" s="95"/>
      <c r="S992" s="95"/>
      <c r="T992" s="325" t="s">
        <v>1490</v>
      </c>
      <c r="U992" s="393"/>
      <c r="V992" s="95"/>
      <c r="W992" s="129"/>
      <c r="X992" s="318"/>
      <c r="Y992" s="95"/>
      <c r="Z992" s="426"/>
      <c r="AA992" s="129" t="str">
        <f t="shared" si="129"/>
        <v/>
      </c>
      <c r="AB992" s="95"/>
      <c r="AC992" s="426">
        <f t="shared" si="125"/>
        <v>38403.361344537814</v>
      </c>
      <c r="AD992" s="129">
        <f t="shared" si="126"/>
        <v>7296.6386554621859</v>
      </c>
      <c r="AE992" s="95" t="s">
        <v>2050</v>
      </c>
      <c r="AF992" s="541" t="s">
        <v>3487</v>
      </c>
      <c r="AG992" s="95" t="str">
        <f t="shared" si="127"/>
        <v>SI</v>
      </c>
      <c r="AH992" s="284"/>
      <c r="AI992" s="541"/>
      <c r="AJ992" s="95" t="str">
        <f t="shared" si="128"/>
        <v>NV</v>
      </c>
      <c r="AK992" s="303"/>
    </row>
    <row r="993" spans="1:37" x14ac:dyDescent="0.25">
      <c r="A993" s="542" t="s">
        <v>1192</v>
      </c>
      <c r="B993" s="317" t="s">
        <v>1061</v>
      </c>
      <c r="C993" s="95" t="s">
        <v>4559</v>
      </c>
      <c r="D993" s="95">
        <v>0</v>
      </c>
      <c r="E993" s="95"/>
      <c r="F993" s="95"/>
      <c r="G993" s="95" t="s">
        <v>4844</v>
      </c>
      <c r="H993" s="138">
        <v>136461</v>
      </c>
      <c r="I993" s="138"/>
      <c r="J993" s="502">
        <f t="shared" si="122"/>
        <v>136461</v>
      </c>
      <c r="K993" s="318">
        <v>43895</v>
      </c>
      <c r="L993" s="95">
        <v>0</v>
      </c>
      <c r="M993" s="313">
        <f t="shared" si="123"/>
        <v>43895</v>
      </c>
      <c r="N993" s="95" t="str">
        <f t="shared" ca="1" si="124"/>
        <v>Vencido</v>
      </c>
      <c r="O993" s="318"/>
      <c r="P993" s="138"/>
      <c r="Q993" s="95"/>
      <c r="R993" s="95"/>
      <c r="S993" s="95"/>
      <c r="T993" s="325"/>
      <c r="U993" s="393"/>
      <c r="V993" s="95"/>
      <c r="W993" s="129"/>
      <c r="X993" s="318"/>
      <c r="Y993" s="95"/>
      <c r="Z993" s="426"/>
      <c r="AA993" s="129" t="str">
        <f t="shared" si="129"/>
        <v/>
      </c>
      <c r="AB993" s="95"/>
      <c r="AC993" s="426">
        <f t="shared" si="125"/>
        <v>114673.10924369749</v>
      </c>
      <c r="AD993" s="129">
        <f t="shared" si="126"/>
        <v>21787.890756302513</v>
      </c>
      <c r="AE993" s="95" t="s">
        <v>1501</v>
      </c>
      <c r="AF993" s="541" t="s">
        <v>3490</v>
      </c>
      <c r="AG993" s="95" t="str">
        <f t="shared" ca="1" si="127"/>
        <v>NO</v>
      </c>
      <c r="AH993" s="284"/>
      <c r="AI993" s="541"/>
      <c r="AJ993" s="95" t="str">
        <f t="shared" si="128"/>
        <v>Factura</v>
      </c>
      <c r="AK993" s="303"/>
    </row>
    <row r="994" spans="1:37" x14ac:dyDescent="0.25">
      <c r="A994" s="516" t="s">
        <v>5419</v>
      </c>
      <c r="B994" s="317" t="s">
        <v>5420</v>
      </c>
      <c r="C994" s="95">
        <v>0</v>
      </c>
      <c r="D994" s="95">
        <v>0</v>
      </c>
      <c r="E994" s="95"/>
      <c r="F994" s="95"/>
      <c r="G994" s="95">
        <v>6682</v>
      </c>
      <c r="H994" s="138">
        <v>55500</v>
      </c>
      <c r="I994" s="138"/>
      <c r="J994" s="502">
        <f t="shared" si="122"/>
        <v>55500</v>
      </c>
      <c r="K994" s="318">
        <v>43895</v>
      </c>
      <c r="L994" s="95">
        <v>0</v>
      </c>
      <c r="M994" s="313">
        <f t="shared" si="123"/>
        <v>43895</v>
      </c>
      <c r="N994" s="95" t="str">
        <f t="shared" si="124"/>
        <v>Pagado</v>
      </c>
      <c r="O994" s="318">
        <v>43895</v>
      </c>
      <c r="P994" s="138">
        <v>55500</v>
      </c>
      <c r="Q994" s="95" t="s">
        <v>1484</v>
      </c>
      <c r="R994" s="95"/>
      <c r="S994" s="95"/>
      <c r="T994" s="325" t="s">
        <v>1492</v>
      </c>
      <c r="U994" s="393"/>
      <c r="V994" s="95"/>
      <c r="W994" s="129"/>
      <c r="X994" s="318"/>
      <c r="Y994" s="95"/>
      <c r="Z994" s="426"/>
      <c r="AA994" s="129" t="str">
        <f t="shared" si="129"/>
        <v/>
      </c>
      <c r="AB994" s="95"/>
      <c r="AC994" s="426">
        <f t="shared" si="125"/>
        <v>46638.655462184877</v>
      </c>
      <c r="AD994" s="129">
        <f t="shared" si="126"/>
        <v>8861.3445378151227</v>
      </c>
      <c r="AE994" s="95" t="s">
        <v>1501</v>
      </c>
      <c r="AF994" s="515" t="s">
        <v>3487</v>
      </c>
      <c r="AG994" s="95" t="str">
        <f t="shared" si="127"/>
        <v>SI</v>
      </c>
      <c r="AH994" s="284"/>
      <c r="AI994" s="515"/>
      <c r="AJ994" s="95" t="str">
        <f t="shared" si="128"/>
        <v>NV</v>
      </c>
      <c r="AK994" s="303"/>
    </row>
    <row r="995" spans="1:37" x14ac:dyDescent="0.25">
      <c r="A995" s="516" t="s">
        <v>1250</v>
      </c>
      <c r="B995" s="317" t="s">
        <v>3398</v>
      </c>
      <c r="C995" s="95">
        <v>0</v>
      </c>
      <c r="D995" s="95">
        <v>3007</v>
      </c>
      <c r="E995" s="95"/>
      <c r="F995" s="95"/>
      <c r="G995" s="95">
        <v>6679</v>
      </c>
      <c r="H995" s="138">
        <v>16500</v>
      </c>
      <c r="I995" s="138"/>
      <c r="J995" s="502">
        <f t="shared" si="122"/>
        <v>16500</v>
      </c>
      <c r="K995" s="318">
        <v>43895</v>
      </c>
      <c r="L995" s="95">
        <v>0</v>
      </c>
      <c r="M995" s="313">
        <f t="shared" si="123"/>
        <v>43895</v>
      </c>
      <c r="N995" s="95" t="str">
        <f t="shared" si="124"/>
        <v>Pagado</v>
      </c>
      <c r="O995" s="318">
        <v>43897</v>
      </c>
      <c r="P995" s="138">
        <v>16500</v>
      </c>
      <c r="Q995" s="95" t="s">
        <v>1484</v>
      </c>
      <c r="R995" s="95"/>
      <c r="S995" s="95"/>
      <c r="T995" s="325" t="s">
        <v>1488</v>
      </c>
      <c r="U995" s="393"/>
      <c r="V995" s="95"/>
      <c r="W995" s="129"/>
      <c r="X995" s="318"/>
      <c r="Y995" s="95"/>
      <c r="Z995" s="426"/>
      <c r="AA995" s="129" t="str">
        <f t="shared" si="129"/>
        <v/>
      </c>
      <c r="AB995" s="95"/>
      <c r="AC995" s="426">
        <f t="shared" si="125"/>
        <v>13865.546218487396</v>
      </c>
      <c r="AD995" s="129">
        <f t="shared" si="126"/>
        <v>2634.4537815126041</v>
      </c>
      <c r="AE995" s="95" t="s">
        <v>1501</v>
      </c>
      <c r="AF995" s="515" t="s">
        <v>3489</v>
      </c>
      <c r="AG995" s="95" t="str">
        <f t="shared" si="127"/>
        <v>SI</v>
      </c>
      <c r="AH995" s="284"/>
      <c r="AI995" s="515"/>
      <c r="AJ995" s="95" t="str">
        <f t="shared" si="128"/>
        <v>NV</v>
      </c>
      <c r="AK995" s="303"/>
    </row>
    <row r="996" spans="1:37" x14ac:dyDescent="0.25">
      <c r="A996" s="516" t="s">
        <v>2344</v>
      </c>
      <c r="B996" s="317" t="s">
        <v>2345</v>
      </c>
      <c r="C996" s="95">
        <v>0</v>
      </c>
      <c r="D996" s="95">
        <v>3005</v>
      </c>
      <c r="E996" s="95"/>
      <c r="F996" s="95"/>
      <c r="G996" s="95">
        <v>6681</v>
      </c>
      <c r="H996" s="138">
        <v>16500</v>
      </c>
      <c r="I996" s="138"/>
      <c r="J996" s="502">
        <f t="shared" si="122"/>
        <v>16500</v>
      </c>
      <c r="K996" s="318">
        <v>43895</v>
      </c>
      <c r="L996" s="95">
        <v>0</v>
      </c>
      <c r="M996" s="313">
        <f t="shared" si="123"/>
        <v>43895</v>
      </c>
      <c r="N996" s="95" t="str">
        <f t="shared" si="124"/>
        <v>Pagado</v>
      </c>
      <c r="O996" s="318">
        <v>43895</v>
      </c>
      <c r="P996" s="138">
        <v>16500</v>
      </c>
      <c r="Q996" s="95" t="s">
        <v>1484</v>
      </c>
      <c r="R996" s="95"/>
      <c r="S996" s="95"/>
      <c r="T996" s="325" t="s">
        <v>1496</v>
      </c>
      <c r="U996" s="393"/>
      <c r="V996" s="95"/>
      <c r="W996" s="129"/>
      <c r="X996" s="318"/>
      <c r="Y996" s="95"/>
      <c r="Z996" s="426"/>
      <c r="AA996" s="129" t="str">
        <f t="shared" si="129"/>
        <v/>
      </c>
      <c r="AB996" s="95"/>
      <c r="AC996" s="426">
        <f t="shared" si="125"/>
        <v>13865.546218487396</v>
      </c>
      <c r="AD996" s="129">
        <f t="shared" si="126"/>
        <v>2634.4537815126041</v>
      </c>
      <c r="AE996" s="95" t="s">
        <v>1501</v>
      </c>
      <c r="AF996" s="515" t="s">
        <v>3487</v>
      </c>
      <c r="AG996" s="95" t="str">
        <f t="shared" si="127"/>
        <v>SI</v>
      </c>
      <c r="AH996" s="284"/>
      <c r="AI996" s="515"/>
      <c r="AJ996" s="95" t="str">
        <f t="shared" si="128"/>
        <v>NV</v>
      </c>
      <c r="AK996" s="303"/>
    </row>
    <row r="997" spans="1:37" x14ac:dyDescent="0.25">
      <c r="A997" s="542" t="s">
        <v>2437</v>
      </c>
      <c r="B997" s="317" t="s">
        <v>2438</v>
      </c>
      <c r="C997" s="95">
        <v>0</v>
      </c>
      <c r="D997" s="95">
        <v>3006</v>
      </c>
      <c r="E997" s="95"/>
      <c r="F997" s="95"/>
      <c r="G997" s="95">
        <v>6680</v>
      </c>
      <c r="H997" s="138">
        <v>47600</v>
      </c>
      <c r="I997" s="138"/>
      <c r="J997" s="502">
        <f t="shared" si="122"/>
        <v>47600</v>
      </c>
      <c r="K997" s="318">
        <v>43895</v>
      </c>
      <c r="L997" s="95">
        <v>0</v>
      </c>
      <c r="M997" s="313">
        <f t="shared" si="123"/>
        <v>43895</v>
      </c>
      <c r="N997" s="95" t="str">
        <f t="shared" si="124"/>
        <v>Pagado</v>
      </c>
      <c r="O997" s="318">
        <v>43895</v>
      </c>
      <c r="P997" s="138">
        <v>47600</v>
      </c>
      <c r="Q997" s="95" t="s">
        <v>1481</v>
      </c>
      <c r="R997" s="95"/>
      <c r="S997" s="95"/>
      <c r="T997" s="325"/>
      <c r="U997" s="393"/>
      <c r="V997" s="95">
        <v>2719736</v>
      </c>
      <c r="W997" s="129">
        <v>47600</v>
      </c>
      <c r="X997" s="318">
        <v>43901</v>
      </c>
      <c r="Y997" s="95" t="s">
        <v>1488</v>
      </c>
      <c r="Z997" s="426"/>
      <c r="AA997" s="129" t="str">
        <f t="shared" si="129"/>
        <v/>
      </c>
      <c r="AB997" s="95"/>
      <c r="AC997" s="426">
        <f t="shared" si="125"/>
        <v>40000</v>
      </c>
      <c r="AD997" s="129">
        <f t="shared" si="126"/>
        <v>7600</v>
      </c>
      <c r="AE997" s="95" t="s">
        <v>1501</v>
      </c>
      <c r="AF997" s="541" t="s">
        <v>3489</v>
      </c>
      <c r="AG997" s="95" t="str">
        <f t="shared" si="127"/>
        <v>SI</v>
      </c>
      <c r="AH997" s="284"/>
      <c r="AI997" s="541"/>
      <c r="AJ997" s="95" t="str">
        <f t="shared" si="128"/>
        <v>NV</v>
      </c>
      <c r="AK997" s="303"/>
    </row>
    <row r="998" spans="1:37" x14ac:dyDescent="0.25">
      <c r="A998" s="521" t="s">
        <v>1182</v>
      </c>
      <c r="B998" s="317" t="s">
        <v>1044</v>
      </c>
      <c r="C998" s="95">
        <v>3152</v>
      </c>
      <c r="D998" s="95">
        <v>0</v>
      </c>
      <c r="E998" s="95"/>
      <c r="F998" s="95"/>
      <c r="G998" s="95" t="s">
        <v>2528</v>
      </c>
      <c r="H998" s="138">
        <v>58001</v>
      </c>
      <c r="I998" s="138"/>
      <c r="J998" s="502">
        <f t="shared" si="122"/>
        <v>58001</v>
      </c>
      <c r="K998" s="318">
        <v>43896</v>
      </c>
      <c r="L998" s="95">
        <v>7</v>
      </c>
      <c r="M998" s="313">
        <f t="shared" si="123"/>
        <v>43903</v>
      </c>
      <c r="N998" s="95" t="str">
        <f t="shared" si="124"/>
        <v>Pagado</v>
      </c>
      <c r="O998" s="318">
        <v>43896</v>
      </c>
      <c r="P998" s="138">
        <v>58001</v>
      </c>
      <c r="Q998" s="95" t="s">
        <v>1481</v>
      </c>
      <c r="R998" s="95"/>
      <c r="S998" s="95"/>
      <c r="T998" s="325"/>
      <c r="U998" s="393"/>
      <c r="V998" s="95">
        <v>4955406</v>
      </c>
      <c r="W998" s="129">
        <v>58001</v>
      </c>
      <c r="X998" s="318">
        <v>43900</v>
      </c>
      <c r="Y998" s="95" t="s">
        <v>1488</v>
      </c>
      <c r="Z998" s="426"/>
      <c r="AA998" s="129" t="str">
        <f t="shared" si="129"/>
        <v/>
      </c>
      <c r="AB998" s="95"/>
      <c r="AC998" s="426">
        <f t="shared" si="125"/>
        <v>48740.336134453784</v>
      </c>
      <c r="AD998" s="129">
        <f t="shared" si="126"/>
        <v>9260.6638655462157</v>
      </c>
      <c r="AE998" s="95" t="s">
        <v>1445</v>
      </c>
      <c r="AF998" s="520" t="s">
        <v>3490</v>
      </c>
      <c r="AG998" s="95" t="str">
        <f t="shared" si="127"/>
        <v>SI</v>
      </c>
      <c r="AH998" s="284"/>
      <c r="AI998" s="520"/>
      <c r="AJ998" s="95" t="str">
        <f t="shared" si="128"/>
        <v>Factura</v>
      </c>
      <c r="AK998" s="303"/>
    </row>
    <row r="999" spans="1:37" x14ac:dyDescent="0.25">
      <c r="A999" s="521" t="s">
        <v>2632</v>
      </c>
      <c r="B999" s="317" t="s">
        <v>2633</v>
      </c>
      <c r="C999" s="95">
        <v>0</v>
      </c>
      <c r="D999" s="95">
        <v>217</v>
      </c>
      <c r="E999" s="95"/>
      <c r="F999" s="95"/>
      <c r="G999" s="95">
        <v>6684</v>
      </c>
      <c r="H999" s="138">
        <v>45400</v>
      </c>
      <c r="I999" s="138"/>
      <c r="J999" s="502">
        <f t="shared" si="122"/>
        <v>45400</v>
      </c>
      <c r="K999" s="318">
        <v>43896</v>
      </c>
      <c r="L999" s="95">
        <v>0</v>
      </c>
      <c r="M999" s="313">
        <f t="shared" si="123"/>
        <v>43896</v>
      </c>
      <c r="N999" s="95" t="str">
        <f t="shared" si="124"/>
        <v>Pagado</v>
      </c>
      <c r="O999" s="318">
        <v>43896</v>
      </c>
      <c r="P999" s="138">
        <v>45400</v>
      </c>
      <c r="Q999" s="95" t="s">
        <v>1070</v>
      </c>
      <c r="R999" s="95" t="s">
        <v>1478</v>
      </c>
      <c r="S999" s="95">
        <v>217</v>
      </c>
      <c r="T999" s="325"/>
      <c r="U999" s="393"/>
      <c r="V999" s="95"/>
      <c r="W999" s="129"/>
      <c r="X999" s="318"/>
      <c r="Y999" s="95"/>
      <c r="Z999" s="426"/>
      <c r="AA999" s="129" t="str">
        <f t="shared" si="129"/>
        <v/>
      </c>
      <c r="AB999" s="95"/>
      <c r="AC999" s="426">
        <f t="shared" si="125"/>
        <v>38151.26050420168</v>
      </c>
      <c r="AD999" s="129">
        <f t="shared" si="126"/>
        <v>7248.7394957983197</v>
      </c>
      <c r="AE999" s="95" t="s">
        <v>1445</v>
      </c>
      <c r="AF999" s="520" t="s">
        <v>3487</v>
      </c>
      <c r="AG999" s="95" t="str">
        <f t="shared" si="127"/>
        <v>SI</v>
      </c>
      <c r="AH999" s="284"/>
      <c r="AI999" s="520"/>
      <c r="AJ999" s="95" t="str">
        <f t="shared" si="128"/>
        <v>NV</v>
      </c>
      <c r="AK999" s="303"/>
    </row>
    <row r="1000" spans="1:37" x14ac:dyDescent="0.25">
      <c r="A1000" s="521" t="s">
        <v>4804</v>
      </c>
      <c r="B1000" s="317" t="s">
        <v>4805</v>
      </c>
      <c r="C1000" s="95">
        <v>0</v>
      </c>
      <c r="D1000" s="95">
        <v>3010</v>
      </c>
      <c r="E1000" s="95"/>
      <c r="F1000" s="95"/>
      <c r="G1000" s="95">
        <v>6687</v>
      </c>
      <c r="H1000" s="138">
        <v>22700</v>
      </c>
      <c r="I1000" s="138"/>
      <c r="J1000" s="502">
        <f t="shared" si="122"/>
        <v>22700</v>
      </c>
      <c r="K1000" s="318">
        <v>43896</v>
      </c>
      <c r="L1000" s="95">
        <v>0</v>
      </c>
      <c r="M1000" s="313">
        <f t="shared" si="123"/>
        <v>43896</v>
      </c>
      <c r="N1000" s="95" t="str">
        <f t="shared" si="124"/>
        <v>Pagado</v>
      </c>
      <c r="O1000" s="318">
        <v>43896</v>
      </c>
      <c r="P1000" s="138">
        <v>22700</v>
      </c>
      <c r="Q1000" s="95" t="s">
        <v>1484</v>
      </c>
      <c r="R1000" s="95"/>
      <c r="S1000" s="95"/>
      <c r="T1000" s="325" t="s">
        <v>1492</v>
      </c>
      <c r="U1000" s="393"/>
      <c r="V1000" s="95"/>
      <c r="W1000" s="129"/>
      <c r="X1000" s="318"/>
      <c r="Y1000" s="95"/>
      <c r="Z1000" s="426"/>
      <c r="AA1000" s="129" t="str">
        <f t="shared" si="129"/>
        <v/>
      </c>
      <c r="AB1000" s="95"/>
      <c r="AC1000" s="426">
        <f t="shared" si="125"/>
        <v>19075.63025210084</v>
      </c>
      <c r="AD1000" s="129">
        <f t="shared" si="126"/>
        <v>3624.3697478991598</v>
      </c>
      <c r="AE1000" s="95" t="s">
        <v>1501</v>
      </c>
      <c r="AF1000" s="520" t="s">
        <v>3487</v>
      </c>
      <c r="AG1000" s="95" t="str">
        <f t="shared" si="127"/>
        <v>SI</v>
      </c>
      <c r="AH1000" s="284"/>
      <c r="AI1000" s="520"/>
      <c r="AJ1000" s="95" t="str">
        <f t="shared" si="128"/>
        <v>NV</v>
      </c>
      <c r="AK1000" s="303"/>
    </row>
    <row r="1001" spans="1:37" x14ac:dyDescent="0.25">
      <c r="A1001" s="534" t="s">
        <v>1200</v>
      </c>
      <c r="B1001" s="317" t="s">
        <v>2316</v>
      </c>
      <c r="C1001" s="95">
        <v>0</v>
      </c>
      <c r="D1001" s="95">
        <v>0</v>
      </c>
      <c r="E1001" s="95"/>
      <c r="F1001" s="95"/>
      <c r="G1001" s="95">
        <v>6686</v>
      </c>
      <c r="H1001" s="138">
        <v>41000</v>
      </c>
      <c r="I1001" s="138"/>
      <c r="J1001" s="502">
        <f t="shared" si="122"/>
        <v>41000</v>
      </c>
      <c r="K1001" s="318">
        <v>43896</v>
      </c>
      <c r="L1001" s="95">
        <v>0</v>
      </c>
      <c r="M1001" s="313">
        <f t="shared" si="123"/>
        <v>43896</v>
      </c>
      <c r="N1001" s="95" t="str">
        <f t="shared" ca="1" si="124"/>
        <v>Vencido</v>
      </c>
      <c r="O1001" s="318"/>
      <c r="P1001" s="138"/>
      <c r="Q1001" s="95"/>
      <c r="R1001" s="95"/>
      <c r="S1001" s="95"/>
      <c r="T1001" s="325"/>
      <c r="U1001" s="393"/>
      <c r="V1001" s="95"/>
      <c r="W1001" s="129"/>
      <c r="X1001" s="318"/>
      <c r="Y1001" s="95"/>
      <c r="Z1001" s="426"/>
      <c r="AA1001" s="129" t="str">
        <f t="shared" si="129"/>
        <v/>
      </c>
      <c r="AB1001" s="95"/>
      <c r="AC1001" s="426">
        <f t="shared" si="125"/>
        <v>34453.781512605041</v>
      </c>
      <c r="AD1001" s="129">
        <f t="shared" si="126"/>
        <v>6546.2184873949591</v>
      </c>
      <c r="AE1001" s="95" t="s">
        <v>1445</v>
      </c>
      <c r="AF1001" s="533" t="s">
        <v>3489</v>
      </c>
      <c r="AG1001" s="95" t="str">
        <f t="shared" ca="1" si="127"/>
        <v>NO</v>
      </c>
      <c r="AH1001" s="284"/>
      <c r="AI1001" s="533"/>
      <c r="AJ1001" s="95" t="str">
        <f t="shared" si="128"/>
        <v>NV</v>
      </c>
      <c r="AK1001" s="303"/>
    </row>
    <row r="1002" spans="1:37" x14ac:dyDescent="0.25">
      <c r="A1002" s="534" t="s">
        <v>1399</v>
      </c>
      <c r="B1002" s="317" t="s">
        <v>1004</v>
      </c>
      <c r="C1002" s="95">
        <v>0</v>
      </c>
      <c r="D1002" s="95">
        <v>3009</v>
      </c>
      <c r="E1002" s="95"/>
      <c r="F1002" s="95"/>
      <c r="G1002" s="95">
        <v>6689</v>
      </c>
      <c r="H1002" s="138">
        <v>10200</v>
      </c>
      <c r="I1002" s="138"/>
      <c r="J1002" s="502">
        <f t="shared" si="122"/>
        <v>10200</v>
      </c>
      <c r="K1002" s="318">
        <v>43896</v>
      </c>
      <c r="L1002" s="95">
        <v>0</v>
      </c>
      <c r="M1002" s="313">
        <f t="shared" si="123"/>
        <v>43896</v>
      </c>
      <c r="N1002" s="95" t="str">
        <f t="shared" si="124"/>
        <v>Pagado</v>
      </c>
      <c r="O1002" s="318">
        <v>43896</v>
      </c>
      <c r="P1002" s="138">
        <v>10200</v>
      </c>
      <c r="Q1002" s="95" t="s">
        <v>1481</v>
      </c>
      <c r="R1002" s="95"/>
      <c r="S1002" s="95"/>
      <c r="T1002" s="325"/>
      <c r="U1002" s="393"/>
      <c r="V1002" s="95">
        <v>2719735</v>
      </c>
      <c r="W1002" s="129">
        <v>10200</v>
      </c>
      <c r="X1002" s="318">
        <v>43900</v>
      </c>
      <c r="Y1002" s="95" t="s">
        <v>1488</v>
      </c>
      <c r="Z1002" s="426"/>
      <c r="AA1002" s="129" t="str">
        <f t="shared" si="129"/>
        <v/>
      </c>
      <c r="AB1002" s="95"/>
      <c r="AC1002" s="426">
        <f t="shared" si="125"/>
        <v>8571.4285714285725</v>
      </c>
      <c r="AD1002" s="129">
        <f t="shared" si="126"/>
        <v>1628.5714285714275</v>
      </c>
      <c r="AE1002" s="95" t="s">
        <v>1501</v>
      </c>
      <c r="AF1002" s="533" t="s">
        <v>3487</v>
      </c>
      <c r="AG1002" s="95" t="str">
        <f t="shared" si="127"/>
        <v>SI</v>
      </c>
      <c r="AH1002" s="284"/>
      <c r="AI1002" s="533"/>
      <c r="AJ1002" s="95" t="str">
        <f t="shared" si="128"/>
        <v>NV</v>
      </c>
      <c r="AK1002" s="303"/>
    </row>
    <row r="1003" spans="1:37" x14ac:dyDescent="0.25">
      <c r="A1003" s="521" t="s">
        <v>1228</v>
      </c>
      <c r="B1003" s="317" t="s">
        <v>948</v>
      </c>
      <c r="C1003" s="95">
        <v>0</v>
      </c>
      <c r="D1003" s="95">
        <v>3008</v>
      </c>
      <c r="E1003" s="95"/>
      <c r="F1003" s="95"/>
      <c r="G1003" s="95">
        <v>6685</v>
      </c>
      <c r="H1003" s="138">
        <v>31000</v>
      </c>
      <c r="I1003" s="138"/>
      <c r="J1003" s="502">
        <f t="shared" si="122"/>
        <v>31000</v>
      </c>
      <c r="K1003" s="318">
        <v>43896</v>
      </c>
      <c r="L1003" s="95">
        <v>0</v>
      </c>
      <c r="M1003" s="313">
        <f t="shared" si="123"/>
        <v>43896</v>
      </c>
      <c r="N1003" s="95" t="str">
        <f t="shared" ca="1" si="124"/>
        <v>Vencido</v>
      </c>
      <c r="O1003" s="318"/>
      <c r="P1003" s="138"/>
      <c r="Q1003" s="95"/>
      <c r="R1003" s="95"/>
      <c r="S1003" s="95"/>
      <c r="T1003" s="325"/>
      <c r="U1003" s="393"/>
      <c r="V1003" s="95"/>
      <c r="W1003" s="129"/>
      <c r="X1003" s="318"/>
      <c r="Y1003" s="95"/>
      <c r="Z1003" s="426"/>
      <c r="AA1003" s="129" t="str">
        <f t="shared" si="129"/>
        <v/>
      </c>
      <c r="AB1003" s="95"/>
      <c r="AC1003" s="426">
        <f t="shared" si="125"/>
        <v>26050.420168067227</v>
      </c>
      <c r="AD1003" s="129">
        <f t="shared" si="126"/>
        <v>4949.5798319327732</v>
      </c>
      <c r="AE1003" s="95" t="s">
        <v>1445</v>
      </c>
      <c r="AF1003" s="520" t="s">
        <v>3489</v>
      </c>
      <c r="AG1003" s="95" t="str">
        <f t="shared" ca="1" si="127"/>
        <v>NO</v>
      </c>
      <c r="AH1003" s="284"/>
      <c r="AI1003" s="520"/>
      <c r="AJ1003" s="95" t="str">
        <f t="shared" si="128"/>
        <v>NV</v>
      </c>
      <c r="AK1003" s="303"/>
    </row>
    <row r="1004" spans="1:37" x14ac:dyDescent="0.25">
      <c r="A1004" s="521" t="s">
        <v>4794</v>
      </c>
      <c r="B1004" s="317" t="s">
        <v>4795</v>
      </c>
      <c r="C1004" s="95">
        <v>0</v>
      </c>
      <c r="D1004" s="95">
        <v>218</v>
      </c>
      <c r="E1004" s="95"/>
      <c r="F1004" s="95"/>
      <c r="G1004" s="95">
        <v>6688</v>
      </c>
      <c r="H1004" s="138">
        <v>45400</v>
      </c>
      <c r="I1004" s="138"/>
      <c r="J1004" s="502">
        <f t="shared" si="122"/>
        <v>45400</v>
      </c>
      <c r="K1004" s="318">
        <v>43896</v>
      </c>
      <c r="L1004" s="95">
        <v>0</v>
      </c>
      <c r="M1004" s="313">
        <f t="shared" si="123"/>
        <v>43896</v>
      </c>
      <c r="N1004" s="95" t="str">
        <f t="shared" si="124"/>
        <v>Pagado</v>
      </c>
      <c r="O1004" s="318">
        <v>43896</v>
      </c>
      <c r="P1004" s="138">
        <v>45400</v>
      </c>
      <c r="Q1004" s="95" t="s">
        <v>1070</v>
      </c>
      <c r="R1004" s="95" t="s">
        <v>1478</v>
      </c>
      <c r="S1004" s="95">
        <v>218</v>
      </c>
      <c r="T1004" s="325"/>
      <c r="U1004" s="393"/>
      <c r="V1004" s="95"/>
      <c r="W1004" s="129"/>
      <c r="X1004" s="318"/>
      <c r="Y1004" s="95"/>
      <c r="Z1004" s="426"/>
      <c r="AA1004" s="129" t="str">
        <f t="shared" si="129"/>
        <v/>
      </c>
      <c r="AB1004" s="95"/>
      <c r="AC1004" s="426">
        <f t="shared" si="125"/>
        <v>38151.26050420168</v>
      </c>
      <c r="AD1004" s="129">
        <f t="shared" si="126"/>
        <v>7248.7394957983197</v>
      </c>
      <c r="AE1004" s="95" t="s">
        <v>1501</v>
      </c>
      <c r="AF1004" s="520" t="s">
        <v>3487</v>
      </c>
      <c r="AG1004" s="95" t="str">
        <f t="shared" si="127"/>
        <v>SI</v>
      </c>
      <c r="AH1004" s="284"/>
      <c r="AI1004" s="520"/>
      <c r="AJ1004" s="95" t="str">
        <f t="shared" si="128"/>
        <v>NV</v>
      </c>
      <c r="AK1004" s="303"/>
    </row>
    <row r="1005" spans="1:37" x14ac:dyDescent="0.25">
      <c r="A1005" s="521" t="s">
        <v>1207</v>
      </c>
      <c r="B1005" s="317" t="s">
        <v>963</v>
      </c>
      <c r="C1005" s="95">
        <v>3151</v>
      </c>
      <c r="D1005" s="95">
        <v>0</v>
      </c>
      <c r="E1005" s="95"/>
      <c r="F1005" s="95"/>
      <c r="G1005" s="95" t="s">
        <v>2528</v>
      </c>
      <c r="H1005" s="138">
        <v>45280</v>
      </c>
      <c r="I1005" s="138"/>
      <c r="J1005" s="502">
        <f t="shared" si="122"/>
        <v>45280</v>
      </c>
      <c r="K1005" s="318">
        <v>43896</v>
      </c>
      <c r="L1005" s="95">
        <v>0</v>
      </c>
      <c r="M1005" s="313">
        <f t="shared" si="123"/>
        <v>43896</v>
      </c>
      <c r="N1005" s="95" t="str">
        <f t="shared" si="124"/>
        <v>Pagado</v>
      </c>
      <c r="O1005" s="318">
        <v>43896</v>
      </c>
      <c r="P1005" s="138">
        <v>45280</v>
      </c>
      <c r="Q1005" s="95" t="s">
        <v>1481</v>
      </c>
      <c r="R1005" s="95"/>
      <c r="S1005" s="95"/>
      <c r="T1005" s="325"/>
      <c r="U1005" s="393"/>
      <c r="V1005" s="95">
        <v>4955406</v>
      </c>
      <c r="W1005" s="129">
        <v>45280</v>
      </c>
      <c r="X1005" s="318">
        <v>43900</v>
      </c>
      <c r="Y1005" s="95" t="s">
        <v>1488</v>
      </c>
      <c r="Z1005" s="426"/>
      <c r="AA1005" s="129" t="str">
        <f t="shared" si="129"/>
        <v/>
      </c>
      <c r="AB1005" s="95"/>
      <c r="AC1005" s="426">
        <f t="shared" si="125"/>
        <v>38050.420168067227</v>
      </c>
      <c r="AD1005" s="129">
        <f t="shared" si="126"/>
        <v>7229.5798319327732</v>
      </c>
      <c r="AE1005" s="95" t="s">
        <v>1445</v>
      </c>
      <c r="AF1005" s="520" t="s">
        <v>3490</v>
      </c>
      <c r="AG1005" s="95" t="str">
        <f t="shared" si="127"/>
        <v>SI</v>
      </c>
      <c r="AH1005" s="284"/>
      <c r="AI1005" s="520"/>
      <c r="AJ1005" s="95" t="str">
        <f t="shared" si="128"/>
        <v>Factura</v>
      </c>
      <c r="AK1005" s="303"/>
    </row>
    <row r="1006" spans="1:37" x14ac:dyDescent="0.25">
      <c r="A1006" s="521" t="s">
        <v>4962</v>
      </c>
      <c r="B1006" s="317" t="s">
        <v>4963</v>
      </c>
      <c r="C1006" s="95">
        <v>0</v>
      </c>
      <c r="D1006" s="95">
        <v>219</v>
      </c>
      <c r="E1006" s="95"/>
      <c r="F1006" s="95"/>
      <c r="G1006" s="95">
        <v>6683</v>
      </c>
      <c r="H1006" s="138">
        <v>97000</v>
      </c>
      <c r="I1006" s="138"/>
      <c r="J1006" s="502">
        <f t="shared" si="122"/>
        <v>97000</v>
      </c>
      <c r="K1006" s="318">
        <v>43896</v>
      </c>
      <c r="L1006" s="95">
        <v>0</v>
      </c>
      <c r="M1006" s="313">
        <f t="shared" si="123"/>
        <v>43896</v>
      </c>
      <c r="N1006" s="95" t="str">
        <f t="shared" si="124"/>
        <v>Pagado</v>
      </c>
      <c r="O1006" s="318">
        <v>43896</v>
      </c>
      <c r="P1006" s="138">
        <v>97000</v>
      </c>
      <c r="Q1006" s="95" t="s">
        <v>1070</v>
      </c>
      <c r="R1006" s="95" t="s">
        <v>2243</v>
      </c>
      <c r="S1006" s="95">
        <v>219</v>
      </c>
      <c r="T1006" s="325"/>
      <c r="U1006" s="393"/>
      <c r="V1006" s="95"/>
      <c r="W1006" s="129"/>
      <c r="X1006" s="318"/>
      <c r="Y1006" s="95"/>
      <c r="Z1006" s="426"/>
      <c r="AA1006" s="129" t="str">
        <f t="shared" si="129"/>
        <v/>
      </c>
      <c r="AB1006" s="95"/>
      <c r="AC1006" s="426">
        <f t="shared" si="125"/>
        <v>81512.605042016818</v>
      </c>
      <c r="AD1006" s="129">
        <f t="shared" si="126"/>
        <v>15487.394957983182</v>
      </c>
      <c r="AE1006" s="95" t="s">
        <v>1501</v>
      </c>
      <c r="AF1006" s="520" t="s">
        <v>3487</v>
      </c>
      <c r="AG1006" s="95" t="str">
        <f t="shared" si="127"/>
        <v>SI</v>
      </c>
      <c r="AH1006" s="284"/>
      <c r="AI1006" s="520"/>
      <c r="AJ1006" s="95" t="str">
        <f t="shared" si="128"/>
        <v>NV</v>
      </c>
      <c r="AK1006" s="303"/>
    </row>
    <row r="1007" spans="1:37" x14ac:dyDescent="0.25">
      <c r="A1007" s="542" t="s">
        <v>1193</v>
      </c>
      <c r="B1007" s="317" t="s">
        <v>1017</v>
      </c>
      <c r="C1007" s="95">
        <v>3150</v>
      </c>
      <c r="D1007" s="95">
        <v>0</v>
      </c>
      <c r="E1007" s="95"/>
      <c r="F1007" s="95"/>
      <c r="G1007" s="95" t="s">
        <v>1910</v>
      </c>
      <c r="H1007" s="138">
        <v>54494</v>
      </c>
      <c r="I1007" s="138"/>
      <c r="J1007" s="502">
        <f t="shared" si="122"/>
        <v>54494</v>
      </c>
      <c r="K1007" s="318">
        <v>43896</v>
      </c>
      <c r="L1007" s="95">
        <v>0</v>
      </c>
      <c r="M1007" s="313">
        <f t="shared" si="123"/>
        <v>43896</v>
      </c>
      <c r="N1007" s="95" t="str">
        <f t="shared" si="124"/>
        <v>Pagado</v>
      </c>
      <c r="O1007" s="318">
        <v>43896</v>
      </c>
      <c r="P1007" s="138">
        <v>54494</v>
      </c>
      <c r="Q1007" s="95" t="s">
        <v>1481</v>
      </c>
      <c r="R1007" s="95"/>
      <c r="S1007" s="95"/>
      <c r="T1007" s="325"/>
      <c r="U1007" s="393"/>
      <c r="V1007" s="95">
        <v>4955406</v>
      </c>
      <c r="W1007" s="129">
        <v>54494</v>
      </c>
      <c r="X1007" s="318">
        <v>43900</v>
      </c>
      <c r="Y1007" s="95" t="s">
        <v>1488</v>
      </c>
      <c r="Z1007" s="426"/>
      <c r="AA1007" s="129" t="str">
        <f t="shared" si="129"/>
        <v/>
      </c>
      <c r="AB1007" s="95"/>
      <c r="AC1007" s="426">
        <f t="shared" si="125"/>
        <v>45793.277310924372</v>
      </c>
      <c r="AD1007" s="129">
        <f t="shared" si="126"/>
        <v>8700.7226890756283</v>
      </c>
      <c r="AE1007" s="95" t="s">
        <v>1445</v>
      </c>
      <c r="AF1007" s="541" t="s">
        <v>3490</v>
      </c>
      <c r="AG1007" s="95" t="str">
        <f t="shared" si="127"/>
        <v>SI</v>
      </c>
      <c r="AH1007" s="284"/>
      <c r="AI1007" s="541"/>
      <c r="AJ1007" s="95" t="str">
        <f t="shared" si="128"/>
        <v>Factura</v>
      </c>
      <c r="AK1007" s="303"/>
    </row>
    <row r="1008" spans="1:37" x14ac:dyDescent="0.25">
      <c r="A1008" s="542" t="s">
        <v>4545</v>
      </c>
      <c r="B1008" s="317" t="s">
        <v>4546</v>
      </c>
      <c r="C1008" s="95">
        <v>0</v>
      </c>
      <c r="D1008" s="95">
        <v>3012</v>
      </c>
      <c r="E1008" s="95"/>
      <c r="F1008" s="95"/>
      <c r="G1008" s="95">
        <v>6690</v>
      </c>
      <c r="H1008" s="138">
        <v>70800</v>
      </c>
      <c r="I1008" s="138"/>
      <c r="J1008" s="502">
        <f t="shared" si="122"/>
        <v>70800</v>
      </c>
      <c r="K1008" s="318">
        <v>43897</v>
      </c>
      <c r="L1008" s="95">
        <v>0</v>
      </c>
      <c r="M1008" s="313">
        <f t="shared" si="123"/>
        <v>43897</v>
      </c>
      <c r="N1008" s="95" t="str">
        <f t="shared" si="124"/>
        <v>Pagado</v>
      </c>
      <c r="O1008" s="318">
        <v>43905</v>
      </c>
      <c r="P1008" s="138">
        <v>70800</v>
      </c>
      <c r="Q1008" s="95" t="s">
        <v>1484</v>
      </c>
      <c r="R1008" s="95"/>
      <c r="S1008" s="95"/>
      <c r="T1008" s="325" t="s">
        <v>1488</v>
      </c>
      <c r="U1008" s="393"/>
      <c r="V1008" s="95"/>
      <c r="W1008" s="129"/>
      <c r="X1008" s="318"/>
      <c r="Y1008" s="95"/>
      <c r="Z1008" s="426"/>
      <c r="AA1008" s="129" t="str">
        <f t="shared" si="129"/>
        <v/>
      </c>
      <c r="AB1008" s="95"/>
      <c r="AC1008" s="426">
        <f t="shared" si="125"/>
        <v>59495.798319327732</v>
      </c>
      <c r="AD1008" s="129">
        <f t="shared" si="126"/>
        <v>11304.201680672268</v>
      </c>
      <c r="AE1008" s="95" t="s">
        <v>1501</v>
      </c>
      <c r="AF1008" s="541" t="s">
        <v>3487</v>
      </c>
      <c r="AG1008" s="95" t="str">
        <f t="shared" si="127"/>
        <v>SI</v>
      </c>
      <c r="AH1008" s="284"/>
      <c r="AI1008" s="541"/>
      <c r="AJ1008" s="95" t="str">
        <f t="shared" si="128"/>
        <v>NV</v>
      </c>
      <c r="AK1008" s="303"/>
    </row>
    <row r="1009" spans="1:37" x14ac:dyDescent="0.25">
      <c r="A1009" s="542" t="s">
        <v>2273</v>
      </c>
      <c r="B1009" s="317" t="s">
        <v>2274</v>
      </c>
      <c r="C1009" s="95">
        <v>0</v>
      </c>
      <c r="D1009" s="95">
        <v>3011</v>
      </c>
      <c r="E1009" s="95"/>
      <c r="F1009" s="95"/>
      <c r="G1009" s="95">
        <v>6675</v>
      </c>
      <c r="H1009" s="138">
        <v>48500</v>
      </c>
      <c r="I1009" s="138"/>
      <c r="J1009" s="502">
        <f t="shared" si="122"/>
        <v>48500</v>
      </c>
      <c r="K1009" s="318">
        <v>43897</v>
      </c>
      <c r="L1009" s="95">
        <v>0</v>
      </c>
      <c r="M1009" s="313">
        <f t="shared" si="123"/>
        <v>43897</v>
      </c>
      <c r="N1009" s="95" t="str">
        <f t="shared" si="124"/>
        <v>Pagado</v>
      </c>
      <c r="O1009" s="318">
        <v>43897</v>
      </c>
      <c r="P1009" s="138">
        <v>48500</v>
      </c>
      <c r="Q1009" s="95" t="s">
        <v>1481</v>
      </c>
      <c r="R1009" s="95"/>
      <c r="S1009" s="95"/>
      <c r="T1009" s="325"/>
      <c r="U1009" s="393"/>
      <c r="V1009" s="95">
        <v>2719735</v>
      </c>
      <c r="W1009" s="129">
        <v>48500</v>
      </c>
      <c r="X1009" s="318">
        <v>43900</v>
      </c>
      <c r="Y1009" s="95" t="s">
        <v>1488</v>
      </c>
      <c r="Z1009" s="426"/>
      <c r="AA1009" s="129" t="str">
        <f t="shared" si="129"/>
        <v/>
      </c>
      <c r="AB1009" s="95"/>
      <c r="AC1009" s="426">
        <f t="shared" si="125"/>
        <v>40756.302521008409</v>
      </c>
      <c r="AD1009" s="129">
        <f t="shared" si="126"/>
        <v>7743.6974789915912</v>
      </c>
      <c r="AE1009" s="95" t="s">
        <v>1501</v>
      </c>
      <c r="AF1009" s="541" t="s">
        <v>3489</v>
      </c>
      <c r="AG1009" s="95" t="str">
        <f t="shared" si="127"/>
        <v>SI</v>
      </c>
      <c r="AH1009" s="284"/>
      <c r="AI1009" s="541"/>
      <c r="AJ1009" s="95" t="str">
        <f t="shared" si="128"/>
        <v>NV</v>
      </c>
      <c r="AK1009" s="303"/>
    </row>
    <row r="1010" spans="1:37" x14ac:dyDescent="0.25">
      <c r="A1010" s="521" t="s">
        <v>4947</v>
      </c>
      <c r="B1010" s="317" t="s">
        <v>4948</v>
      </c>
      <c r="C1010" s="95">
        <v>0</v>
      </c>
      <c r="D1010" s="95">
        <v>3013</v>
      </c>
      <c r="E1010" s="95"/>
      <c r="F1010" s="95"/>
      <c r="G1010" s="95">
        <v>6692</v>
      </c>
      <c r="H1010" s="138">
        <v>39300</v>
      </c>
      <c r="I1010" s="138"/>
      <c r="J1010" s="502">
        <f t="shared" si="122"/>
        <v>39300</v>
      </c>
      <c r="K1010" s="318">
        <v>43897</v>
      </c>
      <c r="L1010" s="95">
        <v>0</v>
      </c>
      <c r="M1010" s="313">
        <f t="shared" si="123"/>
        <v>43897</v>
      </c>
      <c r="N1010" s="95" t="str">
        <f t="shared" si="124"/>
        <v>Pagado</v>
      </c>
      <c r="O1010" s="318">
        <v>43897</v>
      </c>
      <c r="P1010" s="138">
        <v>39300</v>
      </c>
      <c r="Q1010" s="95" t="s">
        <v>1484</v>
      </c>
      <c r="R1010" s="95"/>
      <c r="S1010" s="95"/>
      <c r="T1010" s="325" t="s">
        <v>1488</v>
      </c>
      <c r="U1010" s="393"/>
      <c r="V1010" s="95"/>
      <c r="W1010" s="129"/>
      <c r="X1010" s="318"/>
      <c r="Y1010" s="95"/>
      <c r="Z1010" s="426"/>
      <c r="AA1010" s="129" t="str">
        <f t="shared" si="129"/>
        <v/>
      </c>
      <c r="AB1010" s="95"/>
      <c r="AC1010" s="426">
        <f t="shared" si="125"/>
        <v>33025.210084033613</v>
      </c>
      <c r="AD1010" s="129">
        <f t="shared" si="126"/>
        <v>6274.7899159663866</v>
      </c>
      <c r="AE1010" s="95" t="s">
        <v>1501</v>
      </c>
      <c r="AF1010" s="520" t="s">
        <v>3487</v>
      </c>
      <c r="AG1010" s="95" t="str">
        <f t="shared" si="127"/>
        <v>SI</v>
      </c>
      <c r="AH1010" s="284"/>
      <c r="AI1010" s="520"/>
      <c r="AJ1010" s="95" t="str">
        <f t="shared" si="128"/>
        <v>NV</v>
      </c>
      <c r="AK1010" s="303"/>
    </row>
    <row r="1011" spans="1:37" x14ac:dyDescent="0.25">
      <c r="A1011" s="521" t="s">
        <v>4580</v>
      </c>
      <c r="B1011" s="317" t="s">
        <v>4581</v>
      </c>
      <c r="C1011" s="95">
        <v>0</v>
      </c>
      <c r="D1011" s="95">
        <v>3014</v>
      </c>
      <c r="E1011" s="95"/>
      <c r="F1011" s="95"/>
      <c r="G1011" s="95">
        <v>6691</v>
      </c>
      <c r="H1011" s="138">
        <v>93500</v>
      </c>
      <c r="I1011" s="138"/>
      <c r="J1011" s="502">
        <f t="shared" si="122"/>
        <v>93500</v>
      </c>
      <c r="K1011" s="318">
        <v>43897</v>
      </c>
      <c r="L1011" s="95">
        <v>0</v>
      </c>
      <c r="M1011" s="313">
        <f t="shared" si="123"/>
        <v>43897</v>
      </c>
      <c r="N1011" s="95" t="str">
        <f t="shared" si="124"/>
        <v>Pagado</v>
      </c>
      <c r="O1011" s="318">
        <v>43897</v>
      </c>
      <c r="P1011" s="138">
        <v>93500</v>
      </c>
      <c r="Q1011" s="95" t="s">
        <v>1484</v>
      </c>
      <c r="R1011" s="95"/>
      <c r="S1011" s="95"/>
      <c r="T1011" s="325" t="s">
        <v>1462</v>
      </c>
      <c r="U1011" s="393"/>
      <c r="V1011" s="95"/>
      <c r="W1011" s="129"/>
      <c r="X1011" s="318"/>
      <c r="Y1011" s="95"/>
      <c r="Z1011" s="426"/>
      <c r="AA1011" s="129" t="str">
        <f t="shared" si="129"/>
        <v/>
      </c>
      <c r="AB1011" s="95"/>
      <c r="AC1011" s="426">
        <f t="shared" si="125"/>
        <v>78571.42857142858</v>
      </c>
      <c r="AD1011" s="129">
        <f t="shared" si="126"/>
        <v>14928.57142857142</v>
      </c>
      <c r="AE1011" s="95" t="s">
        <v>1501</v>
      </c>
      <c r="AF1011" s="520" t="s">
        <v>3487</v>
      </c>
      <c r="AG1011" s="95" t="str">
        <f t="shared" si="127"/>
        <v>SI</v>
      </c>
      <c r="AH1011" s="284"/>
      <c r="AI1011" s="520"/>
      <c r="AJ1011" s="95" t="str">
        <f t="shared" si="128"/>
        <v>NV</v>
      </c>
      <c r="AK1011" s="303"/>
    </row>
    <row r="1012" spans="1:37" x14ac:dyDescent="0.25">
      <c r="A1012" s="534" t="s">
        <v>3562</v>
      </c>
      <c r="B1012" s="317" t="s">
        <v>3563</v>
      </c>
      <c r="C1012" s="95">
        <v>0</v>
      </c>
      <c r="D1012" s="95">
        <v>3015</v>
      </c>
      <c r="E1012" s="95"/>
      <c r="F1012" s="95"/>
      <c r="G1012" s="95">
        <v>6696</v>
      </c>
      <c r="H1012" s="138">
        <v>41800</v>
      </c>
      <c r="I1012" s="138"/>
      <c r="J1012" s="502">
        <f t="shared" si="122"/>
        <v>41800</v>
      </c>
      <c r="K1012" s="318">
        <v>43897</v>
      </c>
      <c r="L1012" s="95">
        <v>0</v>
      </c>
      <c r="M1012" s="313">
        <f t="shared" si="123"/>
        <v>43897</v>
      </c>
      <c r="N1012" s="95" t="str">
        <f t="shared" si="124"/>
        <v>Pagado</v>
      </c>
      <c r="O1012" s="318">
        <v>43899</v>
      </c>
      <c r="P1012" s="138">
        <v>41800</v>
      </c>
      <c r="Q1012" s="95" t="s">
        <v>1481</v>
      </c>
      <c r="R1012" s="95"/>
      <c r="S1012" s="95"/>
      <c r="T1012" s="325"/>
      <c r="U1012" s="393"/>
      <c r="V1012" s="95">
        <v>2719736</v>
      </c>
      <c r="W1012" s="129">
        <v>41800</v>
      </c>
      <c r="X1012" s="318">
        <v>43903</v>
      </c>
      <c r="Y1012" s="95" t="s">
        <v>1488</v>
      </c>
      <c r="Z1012" s="426"/>
      <c r="AA1012" s="129" t="str">
        <f t="shared" si="129"/>
        <v/>
      </c>
      <c r="AB1012" s="95"/>
      <c r="AC1012" s="426">
        <f t="shared" si="125"/>
        <v>35126.050420168067</v>
      </c>
      <c r="AD1012" s="129">
        <f t="shared" si="126"/>
        <v>6673.9495798319331</v>
      </c>
      <c r="AE1012" s="95" t="s">
        <v>1501</v>
      </c>
      <c r="AF1012" s="533" t="s">
        <v>3489</v>
      </c>
      <c r="AG1012" s="95" t="str">
        <f t="shared" si="127"/>
        <v>SI</v>
      </c>
      <c r="AH1012" s="284"/>
      <c r="AI1012" s="533"/>
      <c r="AJ1012" s="95" t="str">
        <f t="shared" si="128"/>
        <v>NV</v>
      </c>
      <c r="AK1012" s="303"/>
    </row>
    <row r="1013" spans="1:37" x14ac:dyDescent="0.25">
      <c r="A1013" s="542" t="s">
        <v>2226</v>
      </c>
      <c r="B1013" s="317" t="s">
        <v>2227</v>
      </c>
      <c r="C1013" s="95">
        <v>0</v>
      </c>
      <c r="D1013" s="95">
        <v>217</v>
      </c>
      <c r="E1013" s="95"/>
      <c r="F1013" s="95"/>
      <c r="G1013" s="95">
        <v>6693</v>
      </c>
      <c r="H1013" s="138">
        <v>108000</v>
      </c>
      <c r="I1013" s="138"/>
      <c r="J1013" s="502">
        <f t="shared" si="122"/>
        <v>108000</v>
      </c>
      <c r="K1013" s="318">
        <v>43897</v>
      </c>
      <c r="L1013" s="95">
        <v>0</v>
      </c>
      <c r="M1013" s="313">
        <f t="shared" si="123"/>
        <v>43897</v>
      </c>
      <c r="N1013" s="95" t="str">
        <f t="shared" si="124"/>
        <v>Pagado</v>
      </c>
      <c r="O1013" s="318">
        <v>43897</v>
      </c>
      <c r="P1013" s="138">
        <v>108000</v>
      </c>
      <c r="Q1013" s="95" t="s">
        <v>1070</v>
      </c>
      <c r="R1013" s="95" t="s">
        <v>2243</v>
      </c>
      <c r="S1013" s="95">
        <v>217</v>
      </c>
      <c r="T1013" s="325"/>
      <c r="U1013" s="393"/>
      <c r="V1013" s="95"/>
      <c r="W1013" s="129"/>
      <c r="X1013" s="318"/>
      <c r="Y1013" s="95"/>
      <c r="Z1013" s="426"/>
      <c r="AA1013" s="129" t="str">
        <f t="shared" si="129"/>
        <v/>
      </c>
      <c r="AB1013" s="95"/>
      <c r="AC1013" s="426">
        <f t="shared" si="125"/>
        <v>90756.302521008402</v>
      </c>
      <c r="AD1013" s="129">
        <f t="shared" si="126"/>
        <v>17243.697478991598</v>
      </c>
      <c r="AE1013" s="95" t="s">
        <v>1501</v>
      </c>
      <c r="AF1013" s="541" t="s">
        <v>3487</v>
      </c>
      <c r="AG1013" s="95" t="str">
        <f t="shared" si="127"/>
        <v>SI</v>
      </c>
      <c r="AH1013" s="284"/>
      <c r="AI1013" s="541"/>
      <c r="AJ1013" s="95" t="str">
        <f t="shared" si="128"/>
        <v>NV</v>
      </c>
      <c r="AK1013" s="303"/>
    </row>
    <row r="1014" spans="1:37" x14ac:dyDescent="0.25">
      <c r="A1014" s="542" t="s">
        <v>5538</v>
      </c>
      <c r="B1014" s="317" t="s">
        <v>5539</v>
      </c>
      <c r="C1014" s="95">
        <v>0</v>
      </c>
      <c r="D1014" s="95">
        <v>3018</v>
      </c>
      <c r="E1014" s="95"/>
      <c r="F1014" s="95"/>
      <c r="G1014" s="95">
        <v>6694</v>
      </c>
      <c r="H1014" s="138">
        <v>19700</v>
      </c>
      <c r="I1014" s="138"/>
      <c r="J1014" s="502">
        <f t="shared" si="122"/>
        <v>19700</v>
      </c>
      <c r="K1014" s="318">
        <v>43899</v>
      </c>
      <c r="L1014" s="95">
        <v>0</v>
      </c>
      <c r="M1014" s="313">
        <f t="shared" si="123"/>
        <v>43899</v>
      </c>
      <c r="N1014" s="95" t="str">
        <f t="shared" si="124"/>
        <v>Pagado</v>
      </c>
      <c r="O1014" s="318">
        <v>43899</v>
      </c>
      <c r="P1014" s="138">
        <v>19700</v>
      </c>
      <c r="Q1014" s="95" t="s">
        <v>1484</v>
      </c>
      <c r="R1014" s="95"/>
      <c r="S1014" s="95"/>
      <c r="T1014" s="325" t="s">
        <v>1488</v>
      </c>
      <c r="U1014" s="393"/>
      <c r="V1014" s="95"/>
      <c r="W1014" s="129"/>
      <c r="X1014" s="318"/>
      <c r="Y1014" s="95"/>
      <c r="Z1014" s="426"/>
      <c r="AA1014" s="129" t="str">
        <f t="shared" si="129"/>
        <v/>
      </c>
      <c r="AB1014" s="95"/>
      <c r="AC1014" s="426">
        <f t="shared" si="125"/>
        <v>16554.621848739498</v>
      </c>
      <c r="AD1014" s="129">
        <f t="shared" si="126"/>
        <v>3145.3781512605019</v>
      </c>
      <c r="AE1014" s="95" t="s">
        <v>1501</v>
      </c>
      <c r="AF1014" s="541" t="s">
        <v>3487</v>
      </c>
      <c r="AG1014" s="95" t="str">
        <f t="shared" si="127"/>
        <v>SI</v>
      </c>
      <c r="AH1014" s="284"/>
      <c r="AI1014" s="541"/>
      <c r="AJ1014" s="95" t="str">
        <f t="shared" si="128"/>
        <v>NV</v>
      </c>
      <c r="AK1014" s="303"/>
    </row>
    <row r="1015" spans="1:37" x14ac:dyDescent="0.25">
      <c r="A1015" s="521" t="s">
        <v>1402</v>
      </c>
      <c r="B1015" s="317" t="s">
        <v>3588</v>
      </c>
      <c r="C1015" s="95">
        <v>0</v>
      </c>
      <c r="D1015" s="95">
        <v>3017</v>
      </c>
      <c r="E1015" s="95"/>
      <c r="F1015" s="95"/>
      <c r="G1015" s="95">
        <v>6695</v>
      </c>
      <c r="H1015" s="138">
        <v>23200</v>
      </c>
      <c r="I1015" s="138"/>
      <c r="J1015" s="502">
        <f t="shared" si="122"/>
        <v>23200</v>
      </c>
      <c r="K1015" s="318">
        <v>43899</v>
      </c>
      <c r="L1015" s="95">
        <v>0</v>
      </c>
      <c r="M1015" s="313">
        <f t="shared" si="123"/>
        <v>43899</v>
      </c>
      <c r="N1015" s="95" t="str">
        <f t="shared" si="124"/>
        <v>Pagado</v>
      </c>
      <c r="O1015" s="318">
        <v>43899</v>
      </c>
      <c r="P1015" s="138">
        <v>23200</v>
      </c>
      <c r="Q1015" s="95" t="s">
        <v>1484</v>
      </c>
      <c r="R1015" s="95"/>
      <c r="S1015" s="95"/>
      <c r="T1015" s="325" t="s">
        <v>1488</v>
      </c>
      <c r="U1015" s="393"/>
      <c r="V1015" s="95"/>
      <c r="W1015" s="129"/>
      <c r="X1015" s="318"/>
      <c r="Y1015" s="95"/>
      <c r="Z1015" s="426"/>
      <c r="AA1015" s="129" t="str">
        <f t="shared" si="129"/>
        <v/>
      </c>
      <c r="AB1015" s="95"/>
      <c r="AC1015" s="426">
        <f t="shared" si="125"/>
        <v>19495.798319327732</v>
      </c>
      <c r="AD1015" s="129">
        <f t="shared" si="126"/>
        <v>3704.2016806722677</v>
      </c>
      <c r="AE1015" s="95" t="s">
        <v>1501</v>
      </c>
      <c r="AF1015" s="520" t="s">
        <v>3489</v>
      </c>
      <c r="AG1015" s="95" t="str">
        <f t="shared" si="127"/>
        <v>SI</v>
      </c>
      <c r="AH1015" s="284"/>
      <c r="AI1015" s="520"/>
      <c r="AJ1015" s="95" t="str">
        <f t="shared" si="128"/>
        <v>NV</v>
      </c>
      <c r="AK1015" s="303"/>
    </row>
    <row r="1016" spans="1:37" x14ac:dyDescent="0.25">
      <c r="A1016" s="521" t="s">
        <v>5603</v>
      </c>
      <c r="B1016" s="317" t="s">
        <v>5604</v>
      </c>
      <c r="C1016" s="95">
        <v>0</v>
      </c>
      <c r="D1016" s="95">
        <v>3016</v>
      </c>
      <c r="E1016" s="95"/>
      <c r="F1016" s="95"/>
      <c r="G1016" s="95">
        <v>6697</v>
      </c>
      <c r="H1016" s="138">
        <v>23000</v>
      </c>
      <c r="I1016" s="138"/>
      <c r="J1016" s="502">
        <f t="shared" si="122"/>
        <v>23000</v>
      </c>
      <c r="K1016" s="318">
        <v>43899</v>
      </c>
      <c r="L1016" s="95">
        <v>0</v>
      </c>
      <c r="M1016" s="313">
        <f t="shared" si="123"/>
        <v>43899</v>
      </c>
      <c r="N1016" s="95" t="str">
        <f t="shared" si="124"/>
        <v>Pagado</v>
      </c>
      <c r="O1016" s="318">
        <v>43899</v>
      </c>
      <c r="P1016" s="138">
        <v>23000</v>
      </c>
      <c r="Q1016" s="95" t="s">
        <v>1481</v>
      </c>
      <c r="R1016" s="95"/>
      <c r="S1016" s="95"/>
      <c r="T1016" s="325"/>
      <c r="U1016" s="393"/>
      <c r="V1016" s="95">
        <v>2719736</v>
      </c>
      <c r="W1016" s="129">
        <v>23000</v>
      </c>
      <c r="X1016" s="318">
        <v>43903</v>
      </c>
      <c r="Y1016" s="95" t="s">
        <v>1488</v>
      </c>
      <c r="Z1016" s="426"/>
      <c r="AA1016" s="129" t="str">
        <f t="shared" si="129"/>
        <v/>
      </c>
      <c r="AB1016" s="95"/>
      <c r="AC1016" s="426">
        <f t="shared" si="125"/>
        <v>19327.731092436974</v>
      </c>
      <c r="AD1016" s="129">
        <f t="shared" si="126"/>
        <v>3672.268907563026</v>
      </c>
      <c r="AE1016" s="95" t="s">
        <v>1501</v>
      </c>
      <c r="AF1016" s="520" t="s">
        <v>3487</v>
      </c>
      <c r="AG1016" s="95" t="str">
        <f t="shared" si="127"/>
        <v>SI</v>
      </c>
      <c r="AH1016" s="284"/>
      <c r="AI1016" s="520"/>
      <c r="AJ1016" s="95" t="str">
        <f t="shared" si="128"/>
        <v>NV</v>
      </c>
      <c r="AK1016" s="303"/>
    </row>
    <row r="1017" spans="1:37" x14ac:dyDescent="0.25">
      <c r="A1017" s="521" t="s">
        <v>4583</v>
      </c>
      <c r="B1017" s="317" t="s">
        <v>4584</v>
      </c>
      <c r="C1017" s="95">
        <v>0</v>
      </c>
      <c r="D1017" s="95">
        <v>0</v>
      </c>
      <c r="E1017" s="95"/>
      <c r="F1017" s="95"/>
      <c r="G1017" s="95">
        <v>6698</v>
      </c>
      <c r="H1017" s="138">
        <v>15400</v>
      </c>
      <c r="I1017" s="138"/>
      <c r="J1017" s="502">
        <f t="shared" si="122"/>
        <v>15400</v>
      </c>
      <c r="K1017" s="318">
        <v>43899</v>
      </c>
      <c r="L1017" s="95">
        <v>0</v>
      </c>
      <c r="M1017" s="313">
        <f t="shared" si="123"/>
        <v>43899</v>
      </c>
      <c r="N1017" s="95" t="str">
        <f t="shared" si="124"/>
        <v>Pagado</v>
      </c>
      <c r="O1017" s="318">
        <v>43899</v>
      </c>
      <c r="P1017" s="138">
        <v>15400</v>
      </c>
      <c r="Q1017" s="95" t="s">
        <v>1481</v>
      </c>
      <c r="R1017" s="95"/>
      <c r="S1017" s="95"/>
      <c r="T1017" s="325"/>
      <c r="U1017" s="393"/>
      <c r="V1017" s="95">
        <v>2719735</v>
      </c>
      <c r="W1017" s="129">
        <v>15400</v>
      </c>
      <c r="X1017" s="318">
        <v>43900</v>
      </c>
      <c r="Y1017" s="95" t="s">
        <v>1488</v>
      </c>
      <c r="Z1017" s="426"/>
      <c r="AA1017" s="129" t="str">
        <f t="shared" si="129"/>
        <v/>
      </c>
      <c r="AB1017" s="95"/>
      <c r="AC1017" s="426">
        <f t="shared" si="125"/>
        <v>12941.176470588236</v>
      </c>
      <c r="AD1017" s="129">
        <f t="shared" si="126"/>
        <v>2458.823529411764</v>
      </c>
      <c r="AE1017" s="95" t="s">
        <v>1501</v>
      </c>
      <c r="AF1017" s="520" t="s">
        <v>3487</v>
      </c>
      <c r="AG1017" s="95" t="str">
        <f t="shared" si="127"/>
        <v>SI</v>
      </c>
      <c r="AH1017" s="284"/>
      <c r="AI1017" s="520"/>
      <c r="AJ1017" s="95" t="str">
        <f t="shared" si="128"/>
        <v>NV</v>
      </c>
      <c r="AK1017" s="303"/>
    </row>
    <row r="1018" spans="1:37" x14ac:dyDescent="0.25">
      <c r="A1018" s="534" t="s">
        <v>5185</v>
      </c>
      <c r="B1018" s="317" t="s">
        <v>5186</v>
      </c>
      <c r="C1018" s="95">
        <v>3153</v>
      </c>
      <c r="D1018" s="95">
        <v>0</v>
      </c>
      <c r="E1018" s="95"/>
      <c r="F1018" s="95"/>
      <c r="G1018" s="95" t="s">
        <v>2528</v>
      </c>
      <c r="H1018" s="138">
        <v>84553</v>
      </c>
      <c r="I1018" s="138"/>
      <c r="J1018" s="502">
        <f t="shared" si="122"/>
        <v>84553</v>
      </c>
      <c r="K1018" s="318">
        <v>43899</v>
      </c>
      <c r="L1018" s="95">
        <v>30</v>
      </c>
      <c r="M1018" s="313">
        <f t="shared" si="123"/>
        <v>43929</v>
      </c>
      <c r="N1018" s="95" t="str">
        <f t="shared" ca="1" si="124"/>
        <v>Vencido</v>
      </c>
      <c r="O1018" s="318"/>
      <c r="P1018" s="138"/>
      <c r="Q1018" s="95"/>
      <c r="R1018" s="95"/>
      <c r="S1018" s="95"/>
      <c r="T1018" s="325"/>
      <c r="U1018" s="393"/>
      <c r="V1018" s="95"/>
      <c r="W1018" s="129"/>
      <c r="X1018" s="318"/>
      <c r="Y1018" s="95"/>
      <c r="Z1018" s="426"/>
      <c r="AA1018" s="129" t="str">
        <f t="shared" si="129"/>
        <v/>
      </c>
      <c r="AB1018" s="95"/>
      <c r="AC1018" s="426">
        <f t="shared" si="125"/>
        <v>71052.941176470587</v>
      </c>
      <c r="AD1018" s="129">
        <f t="shared" si="126"/>
        <v>13500.058823529413</v>
      </c>
      <c r="AE1018" s="95" t="s">
        <v>1501</v>
      </c>
      <c r="AF1018" s="533" t="s">
        <v>3490</v>
      </c>
      <c r="AG1018" s="95" t="str">
        <f t="shared" ca="1" si="127"/>
        <v>NO</v>
      </c>
      <c r="AH1018" s="284"/>
      <c r="AI1018" s="533"/>
      <c r="AJ1018" s="95" t="str">
        <f t="shared" si="128"/>
        <v>Factura</v>
      </c>
      <c r="AK1018" s="303"/>
    </row>
    <row r="1019" spans="1:37" x14ac:dyDescent="0.25">
      <c r="A1019" s="542" t="s">
        <v>1239</v>
      </c>
      <c r="B1019" s="317" t="s">
        <v>3501</v>
      </c>
      <c r="C1019" s="95">
        <v>3154</v>
      </c>
      <c r="D1019" s="95">
        <v>0</v>
      </c>
      <c r="E1019" s="95"/>
      <c r="F1019" s="95"/>
      <c r="G1019" s="95" t="s">
        <v>2528</v>
      </c>
      <c r="H1019" s="138">
        <v>19461</v>
      </c>
      <c r="I1019" s="138"/>
      <c r="J1019" s="502">
        <f t="shared" si="122"/>
        <v>19461</v>
      </c>
      <c r="K1019" s="318">
        <v>43900</v>
      </c>
      <c r="L1019" s="95">
        <v>30</v>
      </c>
      <c r="M1019" s="313">
        <f t="shared" si="123"/>
        <v>43930</v>
      </c>
      <c r="N1019" s="95" t="str">
        <f t="shared" ca="1" si="124"/>
        <v>Vencido</v>
      </c>
      <c r="O1019" s="318"/>
      <c r="P1019" s="138"/>
      <c r="Q1019" s="95"/>
      <c r="R1019" s="95"/>
      <c r="S1019" s="95"/>
      <c r="T1019" s="325"/>
      <c r="U1019" s="393"/>
      <c r="V1019" s="95"/>
      <c r="W1019" s="129"/>
      <c r="X1019" s="318"/>
      <c r="Y1019" s="95"/>
      <c r="Z1019" s="426"/>
      <c r="AA1019" s="129" t="str">
        <f t="shared" si="129"/>
        <v/>
      </c>
      <c r="AB1019" s="95"/>
      <c r="AC1019" s="426">
        <f t="shared" si="125"/>
        <v>16353.781512605043</v>
      </c>
      <c r="AD1019" s="129">
        <f t="shared" si="126"/>
        <v>3107.2184873949573</v>
      </c>
      <c r="AE1019" s="95" t="s">
        <v>1849</v>
      </c>
      <c r="AF1019" s="541" t="s">
        <v>3489</v>
      </c>
      <c r="AG1019" s="95" t="str">
        <f t="shared" ca="1" si="127"/>
        <v>NO</v>
      </c>
      <c r="AH1019" s="284"/>
      <c r="AI1019" s="541"/>
      <c r="AJ1019" s="95" t="str">
        <f t="shared" si="128"/>
        <v>Factura</v>
      </c>
      <c r="AK1019" s="303"/>
    </row>
    <row r="1020" spans="1:37" x14ac:dyDescent="0.25">
      <c r="A1020" s="542" t="s">
        <v>1204</v>
      </c>
      <c r="B1020" s="317" t="s">
        <v>1052</v>
      </c>
      <c r="C1020" s="95">
        <v>0</v>
      </c>
      <c r="D1020" s="95">
        <v>0</v>
      </c>
      <c r="E1020" s="95"/>
      <c r="F1020" s="95"/>
      <c r="G1020" s="95">
        <v>6532</v>
      </c>
      <c r="H1020" s="138">
        <v>30900</v>
      </c>
      <c r="I1020" s="138"/>
      <c r="J1020" s="502">
        <f t="shared" si="122"/>
        <v>30900</v>
      </c>
      <c r="K1020" s="318">
        <v>43900</v>
      </c>
      <c r="L1020" s="95">
        <v>0</v>
      </c>
      <c r="M1020" s="313">
        <f t="shared" si="123"/>
        <v>43900</v>
      </c>
      <c r="N1020" s="95" t="str">
        <f t="shared" ca="1" si="124"/>
        <v>Vencido</v>
      </c>
      <c r="O1020" s="318"/>
      <c r="P1020" s="138"/>
      <c r="Q1020" s="95"/>
      <c r="R1020" s="95"/>
      <c r="S1020" s="95"/>
      <c r="T1020" s="325"/>
      <c r="U1020" s="393"/>
      <c r="V1020" s="95"/>
      <c r="W1020" s="129"/>
      <c r="X1020" s="318"/>
      <c r="Y1020" s="95"/>
      <c r="Z1020" s="426"/>
      <c r="AA1020" s="129" t="str">
        <f t="shared" si="129"/>
        <v/>
      </c>
      <c r="AB1020" s="95"/>
      <c r="AC1020" s="426">
        <f t="shared" si="125"/>
        <v>25966.386554621851</v>
      </c>
      <c r="AD1020" s="129">
        <f t="shared" si="126"/>
        <v>4933.6134453781488</v>
      </c>
      <c r="AE1020" s="95" t="s">
        <v>1501</v>
      </c>
      <c r="AF1020" s="541" t="s">
        <v>3489</v>
      </c>
      <c r="AG1020" s="95" t="str">
        <f t="shared" ca="1" si="127"/>
        <v>NO</v>
      </c>
      <c r="AH1020" s="284"/>
      <c r="AI1020" s="541"/>
      <c r="AJ1020" s="95" t="str">
        <f t="shared" si="128"/>
        <v>NV</v>
      </c>
      <c r="AK1020" s="303"/>
    </row>
    <row r="1021" spans="1:37" x14ac:dyDescent="0.25">
      <c r="A1021" s="542" t="s">
        <v>4028</v>
      </c>
      <c r="B1021" s="317" t="s">
        <v>4029</v>
      </c>
      <c r="C1021" s="95">
        <v>0</v>
      </c>
      <c r="D1021" s="95">
        <v>220</v>
      </c>
      <c r="E1021" s="95"/>
      <c r="F1021" s="95"/>
      <c r="G1021" s="95">
        <v>6699</v>
      </c>
      <c r="H1021" s="138">
        <v>21200</v>
      </c>
      <c r="I1021" s="138"/>
      <c r="J1021" s="502">
        <f t="shared" si="122"/>
        <v>21200</v>
      </c>
      <c r="K1021" s="318">
        <v>43900</v>
      </c>
      <c r="L1021" s="95">
        <v>0</v>
      </c>
      <c r="M1021" s="313">
        <f t="shared" si="123"/>
        <v>43900</v>
      </c>
      <c r="N1021" s="95" t="str">
        <f t="shared" si="124"/>
        <v>Pagado</v>
      </c>
      <c r="O1021" s="318">
        <v>43900</v>
      </c>
      <c r="P1021" s="138">
        <v>21200</v>
      </c>
      <c r="Q1021" s="95" t="s">
        <v>1070</v>
      </c>
      <c r="R1021" s="95" t="s">
        <v>1478</v>
      </c>
      <c r="S1021" s="95"/>
      <c r="T1021" s="325"/>
      <c r="U1021" s="393"/>
      <c r="V1021" s="95"/>
      <c r="W1021" s="129"/>
      <c r="X1021" s="318"/>
      <c r="Y1021" s="95"/>
      <c r="Z1021" s="426"/>
      <c r="AA1021" s="129" t="str">
        <f t="shared" si="129"/>
        <v/>
      </c>
      <c r="AB1021" s="95"/>
      <c r="AC1021" s="426">
        <f t="shared" si="125"/>
        <v>17815.126050420167</v>
      </c>
      <c r="AD1021" s="129">
        <f t="shared" si="126"/>
        <v>3384.8739495798327</v>
      </c>
      <c r="AE1021" s="95" t="s">
        <v>1501</v>
      </c>
      <c r="AF1021" s="541" t="s">
        <v>3489</v>
      </c>
      <c r="AG1021" s="95" t="str">
        <f t="shared" si="127"/>
        <v>SI</v>
      </c>
      <c r="AH1021" s="284"/>
      <c r="AI1021" s="541"/>
      <c r="AJ1021" s="95" t="str">
        <f t="shared" si="128"/>
        <v>NV</v>
      </c>
      <c r="AK1021" s="303"/>
    </row>
    <row r="1022" spans="1:37" x14ac:dyDescent="0.25">
      <c r="A1022" s="542" t="s">
        <v>1322</v>
      </c>
      <c r="B1022" s="317" t="s">
        <v>2317</v>
      </c>
      <c r="C1022" s="95">
        <v>0</v>
      </c>
      <c r="D1022" s="95">
        <v>3022</v>
      </c>
      <c r="E1022" s="95"/>
      <c r="F1022" s="95"/>
      <c r="G1022" s="95">
        <v>6700</v>
      </c>
      <c r="H1022" s="138">
        <v>19700</v>
      </c>
      <c r="I1022" s="138"/>
      <c r="J1022" s="502">
        <f t="shared" si="122"/>
        <v>19700</v>
      </c>
      <c r="K1022" s="318">
        <v>43900</v>
      </c>
      <c r="L1022" s="95">
        <v>0</v>
      </c>
      <c r="M1022" s="313">
        <f t="shared" si="123"/>
        <v>43900</v>
      </c>
      <c r="N1022" s="95" t="str">
        <f t="shared" si="124"/>
        <v>Pagado</v>
      </c>
      <c r="O1022" s="318">
        <v>43900</v>
      </c>
      <c r="P1022" s="138">
        <v>19700</v>
      </c>
      <c r="Q1022" s="95" t="s">
        <v>1484</v>
      </c>
      <c r="R1022" s="95"/>
      <c r="S1022" s="95"/>
      <c r="T1022" s="325" t="s">
        <v>1493</v>
      </c>
      <c r="U1022" s="393"/>
      <c r="V1022" s="95"/>
      <c r="W1022" s="129"/>
      <c r="X1022" s="318"/>
      <c r="Y1022" s="95"/>
      <c r="Z1022" s="426"/>
      <c r="AA1022" s="129" t="str">
        <f t="shared" si="129"/>
        <v/>
      </c>
      <c r="AB1022" s="95"/>
      <c r="AC1022" s="426">
        <f t="shared" si="125"/>
        <v>16554.621848739498</v>
      </c>
      <c r="AD1022" s="129">
        <f t="shared" si="126"/>
        <v>3145.3781512605019</v>
      </c>
      <c r="AE1022" s="95" t="s">
        <v>1501</v>
      </c>
      <c r="AF1022" s="541" t="s">
        <v>3489</v>
      </c>
      <c r="AG1022" s="95" t="str">
        <f t="shared" si="127"/>
        <v>SI</v>
      </c>
      <c r="AH1022" s="284"/>
      <c r="AI1022" s="541"/>
      <c r="AJ1022" s="95" t="str">
        <f t="shared" si="128"/>
        <v>NV</v>
      </c>
      <c r="AK1022" s="303"/>
    </row>
    <row r="1023" spans="1:37" x14ac:dyDescent="0.25">
      <c r="A1023" s="542" t="s">
        <v>5789</v>
      </c>
      <c r="B1023" s="317" t="s">
        <v>5790</v>
      </c>
      <c r="C1023" s="95">
        <v>0</v>
      </c>
      <c r="D1023" s="95">
        <v>3019</v>
      </c>
      <c r="E1023" s="95"/>
      <c r="F1023" s="95"/>
      <c r="G1023" s="95">
        <v>6701</v>
      </c>
      <c r="H1023" s="138">
        <v>46000</v>
      </c>
      <c r="I1023" s="138"/>
      <c r="J1023" s="502">
        <f t="shared" si="122"/>
        <v>46000</v>
      </c>
      <c r="K1023" s="318">
        <v>43900</v>
      </c>
      <c r="L1023" s="95">
        <v>0</v>
      </c>
      <c r="M1023" s="313">
        <f t="shared" si="123"/>
        <v>43900</v>
      </c>
      <c r="N1023" s="95" t="str">
        <f t="shared" si="124"/>
        <v>Pagado</v>
      </c>
      <c r="O1023" s="318">
        <v>43899</v>
      </c>
      <c r="P1023" s="138">
        <v>46000</v>
      </c>
      <c r="Q1023" s="95" t="s">
        <v>1484</v>
      </c>
      <c r="R1023" s="95"/>
      <c r="S1023" s="95"/>
      <c r="T1023" s="325" t="s">
        <v>1496</v>
      </c>
      <c r="U1023" s="393"/>
      <c r="V1023" s="95"/>
      <c r="W1023" s="129"/>
      <c r="X1023" s="318"/>
      <c r="Y1023" s="95"/>
      <c r="Z1023" s="426"/>
      <c r="AA1023" s="129" t="str">
        <f t="shared" si="129"/>
        <v/>
      </c>
      <c r="AB1023" s="95"/>
      <c r="AC1023" s="426">
        <f t="shared" si="125"/>
        <v>38655.462184873948</v>
      </c>
      <c r="AD1023" s="129">
        <f t="shared" si="126"/>
        <v>7344.537815126052</v>
      </c>
      <c r="AE1023" s="95" t="s">
        <v>1501</v>
      </c>
      <c r="AF1023" s="541" t="s">
        <v>3487</v>
      </c>
      <c r="AG1023" s="95" t="str">
        <f t="shared" si="127"/>
        <v>SI</v>
      </c>
      <c r="AH1023" s="284"/>
      <c r="AI1023" s="541"/>
      <c r="AJ1023" s="95" t="str">
        <f t="shared" si="128"/>
        <v>NV</v>
      </c>
      <c r="AK1023" s="303"/>
    </row>
    <row r="1024" spans="1:37" x14ac:dyDescent="0.25">
      <c r="A1024" s="542" t="s">
        <v>5781</v>
      </c>
      <c r="B1024" s="317" t="s">
        <v>5782</v>
      </c>
      <c r="C1024" s="95">
        <v>0</v>
      </c>
      <c r="D1024" s="95">
        <v>3021</v>
      </c>
      <c r="E1024" s="95"/>
      <c r="F1024" s="95"/>
      <c r="G1024" s="95">
        <v>6702</v>
      </c>
      <c r="H1024" s="138">
        <v>23000</v>
      </c>
      <c r="I1024" s="138"/>
      <c r="J1024" s="502">
        <f t="shared" si="122"/>
        <v>23000</v>
      </c>
      <c r="K1024" s="318">
        <v>43900</v>
      </c>
      <c r="L1024" s="95">
        <v>0</v>
      </c>
      <c r="M1024" s="313">
        <f t="shared" si="123"/>
        <v>43900</v>
      </c>
      <c r="N1024" s="95" t="str">
        <f t="shared" si="124"/>
        <v>Pagado</v>
      </c>
      <c r="O1024" s="318">
        <v>43900</v>
      </c>
      <c r="P1024" s="138">
        <v>23000</v>
      </c>
      <c r="Q1024" s="95" t="s">
        <v>1481</v>
      </c>
      <c r="R1024" s="95"/>
      <c r="S1024" s="95"/>
      <c r="T1024" s="325"/>
      <c r="U1024" s="393"/>
      <c r="V1024" s="95">
        <v>7679489</v>
      </c>
      <c r="W1024" s="129">
        <v>23000</v>
      </c>
      <c r="X1024" s="318">
        <v>43903</v>
      </c>
      <c r="Y1024" s="95" t="s">
        <v>1488</v>
      </c>
      <c r="Z1024" s="426"/>
      <c r="AA1024" s="129" t="str">
        <f t="shared" si="129"/>
        <v/>
      </c>
      <c r="AB1024" s="95"/>
      <c r="AC1024" s="426">
        <f t="shared" si="125"/>
        <v>19327.731092436974</v>
      </c>
      <c r="AD1024" s="129">
        <f t="shared" si="126"/>
        <v>3672.268907563026</v>
      </c>
      <c r="AE1024" s="95" t="s">
        <v>1501</v>
      </c>
      <c r="AF1024" s="541" t="s">
        <v>3487</v>
      </c>
      <c r="AG1024" s="95" t="str">
        <f t="shared" si="127"/>
        <v>SI</v>
      </c>
      <c r="AH1024" s="284"/>
      <c r="AI1024" s="541"/>
      <c r="AJ1024" s="95" t="str">
        <f t="shared" si="128"/>
        <v>NV</v>
      </c>
      <c r="AK1024" s="303"/>
    </row>
    <row r="1025" spans="1:37" x14ac:dyDescent="0.25">
      <c r="A1025" s="542" t="s">
        <v>5273</v>
      </c>
      <c r="B1025" s="317" t="s">
        <v>5274</v>
      </c>
      <c r="C1025" s="95">
        <v>0</v>
      </c>
      <c r="D1025" s="95">
        <v>3020</v>
      </c>
      <c r="E1025" s="95"/>
      <c r="F1025" s="95"/>
      <c r="G1025" s="95">
        <v>6704</v>
      </c>
      <c r="H1025" s="138">
        <v>19700</v>
      </c>
      <c r="I1025" s="138"/>
      <c r="J1025" s="502">
        <f t="shared" si="122"/>
        <v>19700</v>
      </c>
      <c r="K1025" s="318">
        <v>43900</v>
      </c>
      <c r="L1025" s="95">
        <v>0</v>
      </c>
      <c r="M1025" s="313">
        <f t="shared" si="123"/>
        <v>43900</v>
      </c>
      <c r="N1025" s="95" t="str">
        <f t="shared" si="124"/>
        <v>Pagado</v>
      </c>
      <c r="O1025" s="318">
        <v>43900</v>
      </c>
      <c r="P1025" s="138">
        <v>19700</v>
      </c>
      <c r="Q1025" s="95" t="s">
        <v>1481</v>
      </c>
      <c r="R1025" s="95"/>
      <c r="S1025" s="95"/>
      <c r="T1025" s="325"/>
      <c r="U1025" s="393"/>
      <c r="V1025" s="95">
        <v>7679489</v>
      </c>
      <c r="W1025" s="129">
        <v>19700</v>
      </c>
      <c r="X1025" s="318">
        <v>43903</v>
      </c>
      <c r="Y1025" s="95" t="s">
        <v>1488</v>
      </c>
      <c r="Z1025" s="426"/>
      <c r="AA1025" s="129" t="str">
        <f t="shared" si="129"/>
        <v/>
      </c>
      <c r="AB1025" s="95"/>
      <c r="AC1025" s="426">
        <f t="shared" si="125"/>
        <v>16554.621848739498</v>
      </c>
      <c r="AD1025" s="129">
        <f t="shared" si="126"/>
        <v>3145.3781512605019</v>
      </c>
      <c r="AE1025" s="95" t="s">
        <v>1501</v>
      </c>
      <c r="AF1025" s="541" t="s">
        <v>3487</v>
      </c>
      <c r="AG1025" s="95" t="str">
        <f t="shared" si="127"/>
        <v>SI</v>
      </c>
      <c r="AH1025" s="284"/>
      <c r="AI1025" s="541"/>
      <c r="AJ1025" s="95" t="str">
        <f t="shared" si="128"/>
        <v>NV</v>
      </c>
      <c r="AK1025" s="303"/>
    </row>
    <row r="1026" spans="1:37" x14ac:dyDescent="0.25">
      <c r="A1026" s="542" t="s">
        <v>5207</v>
      </c>
      <c r="B1026" s="317" t="s">
        <v>5208</v>
      </c>
      <c r="C1026" s="95">
        <v>0</v>
      </c>
      <c r="D1026" s="95">
        <v>0</v>
      </c>
      <c r="E1026" s="95"/>
      <c r="F1026" s="95"/>
      <c r="G1026" s="95">
        <v>6705</v>
      </c>
      <c r="H1026" s="138">
        <v>45700</v>
      </c>
      <c r="I1026" s="138"/>
      <c r="J1026" s="502">
        <f t="shared" si="122"/>
        <v>45700</v>
      </c>
      <c r="K1026" s="318">
        <v>43900</v>
      </c>
      <c r="L1026" s="95">
        <v>0</v>
      </c>
      <c r="M1026" s="313">
        <f t="shared" si="123"/>
        <v>43900</v>
      </c>
      <c r="N1026" s="95" t="str">
        <f t="shared" si="124"/>
        <v>Pagado</v>
      </c>
      <c r="O1026" s="318">
        <v>43900</v>
      </c>
      <c r="P1026" s="138">
        <v>45700</v>
      </c>
      <c r="Q1026" s="95" t="s">
        <v>1481</v>
      </c>
      <c r="R1026" s="95"/>
      <c r="S1026" s="95"/>
      <c r="T1026" s="325"/>
      <c r="U1026" s="393"/>
      <c r="V1026" s="95">
        <v>7679489</v>
      </c>
      <c r="W1026" s="129">
        <v>45700</v>
      </c>
      <c r="X1026" s="318">
        <v>43903</v>
      </c>
      <c r="Y1026" s="95" t="s">
        <v>1488</v>
      </c>
      <c r="Z1026" s="426"/>
      <c r="AA1026" s="129" t="str">
        <f t="shared" si="129"/>
        <v/>
      </c>
      <c r="AB1026" s="95"/>
      <c r="AC1026" s="426">
        <f t="shared" si="125"/>
        <v>38403.361344537814</v>
      </c>
      <c r="AD1026" s="129">
        <f t="shared" si="126"/>
        <v>7296.6386554621859</v>
      </c>
      <c r="AE1026" s="95" t="s">
        <v>1501</v>
      </c>
      <c r="AF1026" s="541" t="s">
        <v>3487</v>
      </c>
      <c r="AG1026" s="95" t="str">
        <f t="shared" si="127"/>
        <v>SI</v>
      </c>
      <c r="AH1026" s="284"/>
      <c r="AI1026" s="541"/>
      <c r="AJ1026" s="95" t="str">
        <f t="shared" si="128"/>
        <v>NV</v>
      </c>
      <c r="AK1026" s="303"/>
    </row>
    <row r="1027" spans="1:37" x14ac:dyDescent="0.25">
      <c r="A1027" s="542" t="s">
        <v>3998</v>
      </c>
      <c r="B1027" s="317" t="s">
        <v>3999</v>
      </c>
      <c r="C1027" s="95">
        <v>0</v>
      </c>
      <c r="D1027" s="95">
        <v>3023</v>
      </c>
      <c r="E1027" s="95"/>
      <c r="F1027" s="95"/>
      <c r="G1027" s="95">
        <v>6706</v>
      </c>
      <c r="H1027" s="138">
        <v>23900</v>
      </c>
      <c r="I1027" s="138"/>
      <c r="J1027" s="502">
        <f t="shared" ref="J1027:J1138" si="130">+H1027+I1027</f>
        <v>23900</v>
      </c>
      <c r="K1027" s="318">
        <v>43900</v>
      </c>
      <c r="L1027" s="95">
        <v>0</v>
      </c>
      <c r="M1027" s="313">
        <f t="shared" ref="M1027:M1138" si="131">+L1027+K1027</f>
        <v>43900</v>
      </c>
      <c r="N1027" s="95" t="str">
        <f t="shared" ref="N1027:N1138" si="132">+IF(J1027=0,"Nulo",IF(P1027&gt;=J1027,"Pagado",IF(P1027&gt;0,"Abonado",IF(M1027&lt;$M$1,"Vencido",IF(J1027&gt;P1027,"Pendiente","Vencido")))))</f>
        <v>Pagado</v>
      </c>
      <c r="O1027" s="318">
        <v>43900</v>
      </c>
      <c r="P1027" s="138">
        <v>23900</v>
      </c>
      <c r="Q1027" s="95" t="s">
        <v>1481</v>
      </c>
      <c r="R1027" s="95"/>
      <c r="S1027" s="95"/>
      <c r="T1027" s="325"/>
      <c r="U1027" s="393"/>
      <c r="V1027" s="95">
        <v>7679489</v>
      </c>
      <c r="W1027" s="129">
        <v>23900</v>
      </c>
      <c r="X1027" s="318">
        <v>43903</v>
      </c>
      <c r="Y1027" s="95" t="s">
        <v>1488</v>
      </c>
      <c r="Z1027" s="426"/>
      <c r="AA1027" s="129" t="str">
        <f t="shared" si="129"/>
        <v/>
      </c>
      <c r="AB1027" s="95"/>
      <c r="AC1027" s="426">
        <f t="shared" ref="AC1027:AC1138" si="133">+IF(C1027="","",H1027/1.19)</f>
        <v>20084.033613445379</v>
      </c>
      <c r="AD1027" s="129">
        <f t="shared" ref="AD1027:AD1138" si="134">+IF(C1027="","",H1027-AC1027)</f>
        <v>3815.9663865546208</v>
      </c>
      <c r="AE1027" s="95" t="s">
        <v>1501</v>
      </c>
      <c r="AF1027" s="541" t="s">
        <v>3489</v>
      </c>
      <c r="AG1027" s="95" t="str">
        <f t="shared" ref="AG1027:AG1138" si="135">+IF(N1027="Pagado","SI",IF(N1027="NULO","SI","NO"))</f>
        <v>SI</v>
      </c>
      <c r="AH1027" s="284"/>
      <c r="AI1027" s="541"/>
      <c r="AJ1027" s="95" t="str">
        <f t="shared" ref="AJ1027:AJ1138" si="136">+IF(C1027=0,"NV","Factura")</f>
        <v>NV</v>
      </c>
      <c r="AK1027" s="303"/>
    </row>
    <row r="1028" spans="1:37" x14ac:dyDescent="0.25">
      <c r="A1028" s="542" t="s">
        <v>5759</v>
      </c>
      <c r="B1028" s="317" t="s">
        <v>5760</v>
      </c>
      <c r="C1028" s="95">
        <v>0</v>
      </c>
      <c r="D1028" s="95">
        <v>3025</v>
      </c>
      <c r="E1028" s="95"/>
      <c r="F1028" s="95"/>
      <c r="G1028" s="95">
        <v>6703</v>
      </c>
      <c r="H1028" s="138">
        <v>46000</v>
      </c>
      <c r="I1028" s="138"/>
      <c r="J1028" s="502">
        <f t="shared" si="130"/>
        <v>46000</v>
      </c>
      <c r="K1028" s="318">
        <v>43901</v>
      </c>
      <c r="L1028" s="95">
        <v>0</v>
      </c>
      <c r="M1028" s="313">
        <f t="shared" si="131"/>
        <v>43901</v>
      </c>
      <c r="N1028" s="95" t="str">
        <f t="shared" si="132"/>
        <v>Pagado</v>
      </c>
      <c r="O1028" s="318">
        <v>43901</v>
      </c>
      <c r="P1028" s="138">
        <v>46000</v>
      </c>
      <c r="Q1028" s="95" t="s">
        <v>2132</v>
      </c>
      <c r="R1028" s="95"/>
      <c r="S1028" s="95">
        <v>9972249</v>
      </c>
      <c r="T1028" s="325" t="s">
        <v>1496</v>
      </c>
      <c r="U1028" s="393"/>
      <c r="V1028" s="95">
        <v>7679491</v>
      </c>
      <c r="W1028" s="129">
        <v>46000</v>
      </c>
      <c r="X1028" s="318">
        <v>43903</v>
      </c>
      <c r="Y1028" s="95" t="s">
        <v>1488</v>
      </c>
      <c r="Z1028" s="426"/>
      <c r="AA1028" s="129" t="str">
        <f t="shared" si="129"/>
        <v>Otros</v>
      </c>
      <c r="AB1028" s="95"/>
      <c r="AC1028" s="426">
        <f t="shared" si="133"/>
        <v>38655.462184873948</v>
      </c>
      <c r="AD1028" s="129">
        <f t="shared" si="134"/>
        <v>7344.537815126052</v>
      </c>
      <c r="AE1028" s="95" t="s">
        <v>1501</v>
      </c>
      <c r="AF1028" s="541" t="s">
        <v>3487</v>
      </c>
      <c r="AG1028" s="95" t="str">
        <f t="shared" si="135"/>
        <v>SI</v>
      </c>
      <c r="AH1028" s="284"/>
      <c r="AI1028" s="541"/>
      <c r="AJ1028" s="95" t="str">
        <f t="shared" si="136"/>
        <v>NV</v>
      </c>
      <c r="AK1028" s="303"/>
    </row>
    <row r="1029" spans="1:37" x14ac:dyDescent="0.25">
      <c r="A1029" s="542" t="s">
        <v>3990</v>
      </c>
      <c r="B1029" s="317" t="s">
        <v>3993</v>
      </c>
      <c r="C1029" s="95">
        <v>0</v>
      </c>
      <c r="D1029" s="95">
        <v>3024</v>
      </c>
      <c r="E1029" s="95"/>
      <c r="F1029" s="95"/>
      <c r="G1029" s="95">
        <v>6707</v>
      </c>
      <c r="H1029" s="138">
        <v>15800</v>
      </c>
      <c r="I1029" s="138"/>
      <c r="J1029" s="502">
        <f t="shared" si="130"/>
        <v>15800</v>
      </c>
      <c r="K1029" s="318">
        <v>43901</v>
      </c>
      <c r="L1029" s="95">
        <v>0</v>
      </c>
      <c r="M1029" s="313">
        <f t="shared" si="131"/>
        <v>43901</v>
      </c>
      <c r="N1029" s="95" t="str">
        <f t="shared" si="132"/>
        <v>Pagado</v>
      </c>
      <c r="O1029" s="318">
        <v>43901</v>
      </c>
      <c r="P1029" s="138">
        <v>15800</v>
      </c>
      <c r="Q1029" s="95" t="s">
        <v>1481</v>
      </c>
      <c r="R1029" s="95"/>
      <c r="S1029" s="95"/>
      <c r="T1029" s="325"/>
      <c r="U1029" s="393"/>
      <c r="V1029" s="95">
        <v>7679492</v>
      </c>
      <c r="W1029" s="129">
        <v>15800</v>
      </c>
      <c r="X1029" s="318">
        <v>43903</v>
      </c>
      <c r="Y1029" s="95" t="s">
        <v>1488</v>
      </c>
      <c r="Z1029" s="426"/>
      <c r="AA1029" s="129" t="str">
        <f t="shared" si="129"/>
        <v/>
      </c>
      <c r="AB1029" s="95"/>
      <c r="AC1029" s="426">
        <f t="shared" si="133"/>
        <v>13277.310924369749</v>
      </c>
      <c r="AD1029" s="129">
        <f t="shared" si="134"/>
        <v>2522.689075630251</v>
      </c>
      <c r="AE1029" s="95" t="s">
        <v>1501</v>
      </c>
      <c r="AF1029" s="541" t="s">
        <v>3487</v>
      </c>
      <c r="AG1029" s="95" t="str">
        <f t="shared" si="135"/>
        <v>SI</v>
      </c>
      <c r="AH1029" s="284"/>
      <c r="AI1029" s="541"/>
      <c r="AJ1029" s="95" t="str">
        <f t="shared" si="136"/>
        <v>NV</v>
      </c>
      <c r="AK1029" s="303"/>
    </row>
    <row r="1030" spans="1:37" x14ac:dyDescent="0.25">
      <c r="A1030" s="542" t="s">
        <v>5228</v>
      </c>
      <c r="B1030" s="317" t="s">
        <v>5229</v>
      </c>
      <c r="C1030" s="95">
        <v>0</v>
      </c>
      <c r="D1030" s="95">
        <v>3029</v>
      </c>
      <c r="E1030" s="95"/>
      <c r="F1030" s="95"/>
      <c r="G1030" s="95">
        <v>6708</v>
      </c>
      <c r="H1030" s="138">
        <v>23900</v>
      </c>
      <c r="I1030" s="138"/>
      <c r="J1030" s="502">
        <f t="shared" si="130"/>
        <v>23900</v>
      </c>
      <c r="K1030" s="318">
        <v>43902</v>
      </c>
      <c r="L1030" s="95">
        <v>0</v>
      </c>
      <c r="M1030" s="313">
        <f t="shared" si="131"/>
        <v>43902</v>
      </c>
      <c r="N1030" s="95" t="str">
        <f t="shared" si="132"/>
        <v>Pagado</v>
      </c>
      <c r="O1030" s="318">
        <v>43902</v>
      </c>
      <c r="P1030" s="138">
        <v>23900</v>
      </c>
      <c r="Q1030" s="95" t="s">
        <v>2132</v>
      </c>
      <c r="R1030" s="95"/>
      <c r="S1030" s="95"/>
      <c r="T1030" s="325"/>
      <c r="U1030" s="393"/>
      <c r="V1030" s="95">
        <v>1859455</v>
      </c>
      <c r="W1030" s="129">
        <v>23900</v>
      </c>
      <c r="X1030" s="318">
        <v>43903</v>
      </c>
      <c r="Y1030" s="95" t="s">
        <v>1488</v>
      </c>
      <c r="Z1030" s="426"/>
      <c r="AA1030" s="129" t="str">
        <f t="shared" si="129"/>
        <v>Otros</v>
      </c>
      <c r="AB1030" s="95"/>
      <c r="AC1030" s="426">
        <f t="shared" si="133"/>
        <v>20084.033613445379</v>
      </c>
      <c r="AD1030" s="129">
        <f t="shared" si="134"/>
        <v>3815.9663865546208</v>
      </c>
      <c r="AE1030" s="95" t="s">
        <v>1501</v>
      </c>
      <c r="AF1030" s="541" t="s">
        <v>3487</v>
      </c>
      <c r="AG1030" s="95" t="str">
        <f t="shared" si="135"/>
        <v>SI</v>
      </c>
      <c r="AH1030" s="284"/>
      <c r="AI1030" s="541"/>
      <c r="AJ1030" s="95" t="str">
        <f t="shared" si="136"/>
        <v>NV</v>
      </c>
      <c r="AK1030" s="303"/>
    </row>
    <row r="1031" spans="1:37" x14ac:dyDescent="0.25">
      <c r="A1031" s="542" t="s">
        <v>5402</v>
      </c>
      <c r="B1031" s="317" t="s">
        <v>5403</v>
      </c>
      <c r="C1031" s="95">
        <v>0</v>
      </c>
      <c r="D1031" s="95">
        <v>221</v>
      </c>
      <c r="E1031" s="95"/>
      <c r="F1031" s="95"/>
      <c r="G1031" s="95">
        <v>6709</v>
      </c>
      <c r="H1031" s="138">
        <v>19900</v>
      </c>
      <c r="I1031" s="138"/>
      <c r="J1031" s="502">
        <f t="shared" si="130"/>
        <v>19900</v>
      </c>
      <c r="K1031" s="318">
        <v>43902</v>
      </c>
      <c r="L1031" s="95">
        <v>0</v>
      </c>
      <c r="M1031" s="313">
        <f t="shared" si="131"/>
        <v>43902</v>
      </c>
      <c r="N1031" s="95" t="str">
        <f t="shared" si="132"/>
        <v>Pagado</v>
      </c>
      <c r="O1031" s="318">
        <v>43902</v>
      </c>
      <c r="P1031" s="138">
        <v>19900</v>
      </c>
      <c r="Q1031" s="95" t="s">
        <v>1070</v>
      </c>
      <c r="R1031" s="95" t="s">
        <v>2243</v>
      </c>
      <c r="S1031" s="95">
        <v>221</v>
      </c>
      <c r="T1031" s="325"/>
      <c r="U1031" s="393"/>
      <c r="V1031" s="95"/>
      <c r="W1031" s="129"/>
      <c r="X1031" s="318"/>
      <c r="Y1031" s="95"/>
      <c r="Z1031" s="426"/>
      <c r="AA1031" s="129" t="str">
        <f t="shared" si="129"/>
        <v/>
      </c>
      <c r="AB1031" s="95"/>
      <c r="AC1031" s="426">
        <f t="shared" si="133"/>
        <v>16722.689075630253</v>
      </c>
      <c r="AD1031" s="129">
        <f t="shared" si="134"/>
        <v>3177.3109243697472</v>
      </c>
      <c r="AE1031" s="95" t="s">
        <v>1501</v>
      </c>
      <c r="AF1031" s="541" t="s">
        <v>3489</v>
      </c>
      <c r="AG1031" s="95" t="str">
        <f t="shared" si="135"/>
        <v>SI</v>
      </c>
      <c r="AH1031" s="284"/>
      <c r="AI1031" s="541"/>
      <c r="AJ1031" s="95" t="str">
        <f t="shared" si="136"/>
        <v>NV</v>
      </c>
      <c r="AK1031" s="303"/>
    </row>
    <row r="1032" spans="1:37" x14ac:dyDescent="0.25">
      <c r="A1032" s="542" t="s">
        <v>5919</v>
      </c>
      <c r="B1032" s="317" t="s">
        <v>5920</v>
      </c>
      <c r="C1032" s="95">
        <v>0</v>
      </c>
      <c r="D1032" s="95">
        <v>3028</v>
      </c>
      <c r="E1032" s="95"/>
      <c r="F1032" s="95"/>
      <c r="G1032" s="95">
        <v>6710</v>
      </c>
      <c r="H1032" s="138">
        <v>37900</v>
      </c>
      <c r="I1032" s="138"/>
      <c r="J1032" s="502">
        <f t="shared" si="130"/>
        <v>37900</v>
      </c>
      <c r="K1032" s="318">
        <v>43902</v>
      </c>
      <c r="L1032" s="95">
        <v>0</v>
      </c>
      <c r="M1032" s="313">
        <f t="shared" si="131"/>
        <v>43902</v>
      </c>
      <c r="N1032" s="95" t="str">
        <f t="shared" si="132"/>
        <v>Pagado</v>
      </c>
      <c r="O1032" s="318">
        <v>43902</v>
      </c>
      <c r="P1032" s="138">
        <v>37900</v>
      </c>
      <c r="Q1032" s="95" t="s">
        <v>1481</v>
      </c>
      <c r="R1032" s="95"/>
      <c r="S1032" s="95"/>
      <c r="T1032" s="325"/>
      <c r="U1032" s="393"/>
      <c r="V1032" s="95">
        <v>464955371</v>
      </c>
      <c r="W1032" s="129">
        <v>37900</v>
      </c>
      <c r="X1032" s="318">
        <v>43903</v>
      </c>
      <c r="Y1032" s="95" t="s">
        <v>1488</v>
      </c>
      <c r="Z1032" s="426"/>
      <c r="AA1032" s="129" t="str">
        <f t="shared" si="129"/>
        <v/>
      </c>
      <c r="AB1032" s="95"/>
      <c r="AC1032" s="426">
        <f t="shared" si="133"/>
        <v>31848.73949579832</v>
      </c>
      <c r="AD1032" s="129">
        <f t="shared" si="134"/>
        <v>6051.2605042016803</v>
      </c>
      <c r="AE1032" s="95" t="s">
        <v>1501</v>
      </c>
      <c r="AF1032" s="541" t="s">
        <v>3487</v>
      </c>
      <c r="AG1032" s="95" t="str">
        <f t="shared" si="135"/>
        <v>SI</v>
      </c>
      <c r="AH1032" s="284"/>
      <c r="AI1032" s="541"/>
      <c r="AJ1032" s="95" t="str">
        <f t="shared" si="136"/>
        <v>NV</v>
      </c>
      <c r="AK1032" s="303"/>
    </row>
    <row r="1033" spans="1:37" x14ac:dyDescent="0.25">
      <c r="A1033" s="542" t="s">
        <v>1419</v>
      </c>
      <c r="B1033" s="317" t="s">
        <v>1119</v>
      </c>
      <c r="C1033" s="95">
        <v>0</v>
      </c>
      <c r="D1033" s="95">
        <v>3027</v>
      </c>
      <c r="E1033" s="95"/>
      <c r="F1033" s="95"/>
      <c r="G1033" s="95">
        <v>6713</v>
      </c>
      <c r="H1033" s="138">
        <v>23500</v>
      </c>
      <c r="I1033" s="138"/>
      <c r="J1033" s="502">
        <f t="shared" si="130"/>
        <v>23500</v>
      </c>
      <c r="K1033" s="318">
        <v>43902</v>
      </c>
      <c r="L1033" s="95">
        <v>0</v>
      </c>
      <c r="M1033" s="313">
        <f t="shared" si="131"/>
        <v>43902</v>
      </c>
      <c r="N1033" s="95" t="str">
        <f t="shared" si="132"/>
        <v>Pagado</v>
      </c>
      <c r="O1033" s="318">
        <v>43902</v>
      </c>
      <c r="P1033" s="138">
        <v>23500</v>
      </c>
      <c r="Q1033" s="95" t="s">
        <v>1481</v>
      </c>
      <c r="R1033" s="95"/>
      <c r="S1033" s="95"/>
      <c r="T1033" s="325"/>
      <c r="U1033" s="393"/>
      <c r="V1033" s="95">
        <v>464955371</v>
      </c>
      <c r="W1033" s="129">
        <v>23500</v>
      </c>
      <c r="X1033" s="318">
        <v>43903</v>
      </c>
      <c r="Y1033" s="95" t="s">
        <v>1488</v>
      </c>
      <c r="Z1033" s="426"/>
      <c r="AA1033" s="129" t="str">
        <f t="shared" si="129"/>
        <v/>
      </c>
      <c r="AB1033" s="95"/>
      <c r="AC1033" s="426">
        <f t="shared" si="133"/>
        <v>19747.899159663866</v>
      </c>
      <c r="AD1033" s="129">
        <f t="shared" si="134"/>
        <v>3752.1008403361338</v>
      </c>
      <c r="AE1033" s="95" t="s">
        <v>1501</v>
      </c>
      <c r="AF1033" s="541" t="s">
        <v>3489</v>
      </c>
      <c r="AG1033" s="95" t="str">
        <f t="shared" si="135"/>
        <v>SI</v>
      </c>
      <c r="AH1033" s="284"/>
      <c r="AI1033" s="541"/>
      <c r="AJ1033" s="95" t="str">
        <f t="shared" si="136"/>
        <v>NV</v>
      </c>
      <c r="AK1033" s="303"/>
    </row>
    <row r="1034" spans="1:37" x14ac:dyDescent="0.25">
      <c r="A1034" s="542" t="s">
        <v>4791</v>
      </c>
      <c r="B1034" s="317" t="s">
        <v>4792</v>
      </c>
      <c r="C1034" s="95">
        <v>0</v>
      </c>
      <c r="D1034" s="95">
        <v>222</v>
      </c>
      <c r="E1034" s="95"/>
      <c r="F1034" s="95"/>
      <c r="G1034" s="95">
        <v>6714</v>
      </c>
      <c r="H1034" s="138">
        <v>77800</v>
      </c>
      <c r="I1034" s="138"/>
      <c r="J1034" s="502">
        <f t="shared" si="130"/>
        <v>77800</v>
      </c>
      <c r="K1034" s="318">
        <v>43902</v>
      </c>
      <c r="L1034" s="95">
        <v>0</v>
      </c>
      <c r="M1034" s="313">
        <f t="shared" si="131"/>
        <v>43902</v>
      </c>
      <c r="N1034" s="95" t="str">
        <f t="shared" si="132"/>
        <v>Pagado</v>
      </c>
      <c r="O1034" s="318">
        <v>43902</v>
      </c>
      <c r="P1034" s="138">
        <v>77800</v>
      </c>
      <c r="Q1034" s="95" t="s">
        <v>1070</v>
      </c>
      <c r="R1034" s="95" t="s">
        <v>2243</v>
      </c>
      <c r="S1034" s="95">
        <v>222</v>
      </c>
      <c r="T1034" s="325"/>
      <c r="U1034" s="393"/>
      <c r="V1034" s="95"/>
      <c r="W1034" s="129"/>
      <c r="X1034" s="318"/>
      <c r="Y1034" s="95"/>
      <c r="Z1034" s="426"/>
      <c r="AA1034" s="129" t="str">
        <f t="shared" si="129"/>
        <v/>
      </c>
      <c r="AB1034" s="95"/>
      <c r="AC1034" s="426">
        <f t="shared" si="133"/>
        <v>65378.151260504208</v>
      </c>
      <c r="AD1034" s="129">
        <f t="shared" si="134"/>
        <v>12421.848739495792</v>
      </c>
      <c r="AE1034" s="95" t="s">
        <v>1501</v>
      </c>
      <c r="AF1034" s="541" t="s">
        <v>3487</v>
      </c>
      <c r="AG1034" s="95" t="str">
        <f t="shared" si="135"/>
        <v>SI</v>
      </c>
      <c r="AH1034" s="284"/>
      <c r="AI1034" s="541"/>
      <c r="AJ1034" s="95" t="str">
        <f t="shared" si="136"/>
        <v>NV</v>
      </c>
      <c r="AK1034" s="303"/>
    </row>
    <row r="1035" spans="1:37" x14ac:dyDescent="0.25">
      <c r="A1035" s="542" t="s">
        <v>2011</v>
      </c>
      <c r="B1035" s="317" t="s">
        <v>2162</v>
      </c>
      <c r="C1035" s="95">
        <v>0</v>
      </c>
      <c r="D1035" s="95">
        <v>3026</v>
      </c>
      <c r="E1035" s="95"/>
      <c r="F1035" s="95"/>
      <c r="G1035" s="95">
        <v>6715</v>
      </c>
      <c r="H1035" s="138">
        <v>21200</v>
      </c>
      <c r="I1035" s="138"/>
      <c r="J1035" s="502">
        <f t="shared" si="130"/>
        <v>21200</v>
      </c>
      <c r="K1035" s="318">
        <v>43902</v>
      </c>
      <c r="L1035" s="95">
        <v>0</v>
      </c>
      <c r="M1035" s="313">
        <f t="shared" si="131"/>
        <v>43902</v>
      </c>
      <c r="N1035" s="95" t="str">
        <f t="shared" si="132"/>
        <v>Pagado</v>
      </c>
      <c r="O1035" s="318">
        <v>43902</v>
      </c>
      <c r="P1035" s="138">
        <v>21200</v>
      </c>
      <c r="Q1035" s="95" t="s">
        <v>1484</v>
      </c>
      <c r="R1035" s="95"/>
      <c r="S1035" s="95"/>
      <c r="T1035" s="325" t="s">
        <v>1496</v>
      </c>
      <c r="U1035" s="393"/>
      <c r="V1035" s="95"/>
      <c r="W1035" s="129"/>
      <c r="X1035" s="318"/>
      <c r="Y1035" s="95"/>
      <c r="Z1035" s="426"/>
      <c r="AA1035" s="129" t="str">
        <f t="shared" si="129"/>
        <v/>
      </c>
      <c r="AB1035" s="95"/>
      <c r="AC1035" s="426">
        <f t="shared" si="133"/>
        <v>17815.126050420167</v>
      </c>
      <c r="AD1035" s="129">
        <f t="shared" si="134"/>
        <v>3384.8739495798327</v>
      </c>
      <c r="AE1035" s="95" t="s">
        <v>1501</v>
      </c>
      <c r="AF1035" s="541" t="s">
        <v>3487</v>
      </c>
      <c r="AG1035" s="95" t="str">
        <f t="shared" si="135"/>
        <v>SI</v>
      </c>
      <c r="AH1035" s="284"/>
      <c r="AI1035" s="541"/>
      <c r="AJ1035" s="95" t="str">
        <f t="shared" si="136"/>
        <v>NV</v>
      </c>
      <c r="AK1035" s="303"/>
    </row>
    <row r="1036" spans="1:37" x14ac:dyDescent="0.25">
      <c r="A1036" s="542" t="s">
        <v>1192</v>
      </c>
      <c r="B1036" s="317" t="s">
        <v>1061</v>
      </c>
      <c r="C1036" s="95" t="s">
        <v>4559</v>
      </c>
      <c r="D1036" s="95">
        <v>0</v>
      </c>
      <c r="E1036" s="95"/>
      <c r="F1036" s="95"/>
      <c r="G1036" s="95" t="s">
        <v>4845</v>
      </c>
      <c r="H1036" s="138">
        <v>192983</v>
      </c>
      <c r="I1036" s="138"/>
      <c r="J1036" s="502">
        <f t="shared" si="130"/>
        <v>192983</v>
      </c>
      <c r="K1036" s="318">
        <v>43902</v>
      </c>
      <c r="L1036" s="95">
        <v>0</v>
      </c>
      <c r="M1036" s="313">
        <f t="shared" si="131"/>
        <v>43902</v>
      </c>
      <c r="N1036" s="95" t="str">
        <f t="shared" ca="1" si="132"/>
        <v>Vencido</v>
      </c>
      <c r="O1036" s="318"/>
      <c r="P1036" s="138"/>
      <c r="Q1036" s="95"/>
      <c r="R1036" s="95"/>
      <c r="S1036" s="95"/>
      <c r="T1036" s="325"/>
      <c r="U1036" s="393"/>
      <c r="V1036" s="95"/>
      <c r="W1036" s="129"/>
      <c r="X1036" s="318"/>
      <c r="Y1036" s="95"/>
      <c r="Z1036" s="426"/>
      <c r="AA1036" s="129" t="str">
        <f t="shared" si="129"/>
        <v/>
      </c>
      <c r="AB1036" s="95"/>
      <c r="AC1036" s="426">
        <f t="shared" si="133"/>
        <v>162170.58823529413</v>
      </c>
      <c r="AD1036" s="129">
        <f t="shared" si="134"/>
        <v>30812.411764705874</v>
      </c>
      <c r="AE1036" s="95" t="s">
        <v>1501</v>
      </c>
      <c r="AF1036" s="541" t="s">
        <v>3490</v>
      </c>
      <c r="AG1036" s="95" t="str">
        <f t="shared" ca="1" si="135"/>
        <v>NO</v>
      </c>
      <c r="AH1036" s="284"/>
      <c r="AI1036" s="541"/>
      <c r="AJ1036" s="95" t="str">
        <f t="shared" si="136"/>
        <v>Factura</v>
      </c>
      <c r="AK1036" s="303"/>
    </row>
    <row r="1037" spans="1:37" x14ac:dyDescent="0.25">
      <c r="A1037" s="542" t="s">
        <v>5930</v>
      </c>
      <c r="B1037" s="317" t="s">
        <v>5931</v>
      </c>
      <c r="C1037" s="95">
        <v>0</v>
      </c>
      <c r="D1037" s="95">
        <v>0</v>
      </c>
      <c r="E1037" s="95"/>
      <c r="F1037" s="95"/>
      <c r="G1037" s="95">
        <v>6517</v>
      </c>
      <c r="H1037" s="138">
        <v>13200</v>
      </c>
      <c r="I1037" s="138"/>
      <c r="J1037" s="502">
        <f t="shared" si="130"/>
        <v>13200</v>
      </c>
      <c r="K1037" s="318">
        <v>43902</v>
      </c>
      <c r="L1037" s="95">
        <v>0</v>
      </c>
      <c r="M1037" s="313">
        <f t="shared" si="131"/>
        <v>43902</v>
      </c>
      <c r="N1037" s="95" t="str">
        <f t="shared" si="132"/>
        <v>Pagado</v>
      </c>
      <c r="O1037" s="318">
        <v>43902</v>
      </c>
      <c r="P1037" s="138">
        <v>13200</v>
      </c>
      <c r="Q1037" s="95" t="s">
        <v>1481</v>
      </c>
      <c r="R1037" s="95"/>
      <c r="S1037" s="95"/>
      <c r="T1037" s="325"/>
      <c r="U1037" s="393"/>
      <c r="V1037" s="95">
        <v>464955371</v>
      </c>
      <c r="W1037" s="129">
        <v>13200</v>
      </c>
      <c r="X1037" s="318">
        <v>43903</v>
      </c>
      <c r="Y1037" s="95" t="s">
        <v>1488</v>
      </c>
      <c r="Z1037" s="426"/>
      <c r="AA1037" s="129" t="str">
        <f t="shared" si="129"/>
        <v/>
      </c>
      <c r="AB1037" s="95"/>
      <c r="AC1037" s="426">
        <f t="shared" si="133"/>
        <v>11092.436974789916</v>
      </c>
      <c r="AD1037" s="129">
        <f t="shared" si="134"/>
        <v>2107.5630252100837</v>
      </c>
      <c r="AE1037" s="95" t="s">
        <v>1501</v>
      </c>
      <c r="AF1037" s="541" t="s">
        <v>3489</v>
      </c>
      <c r="AG1037" s="95" t="str">
        <f t="shared" si="135"/>
        <v>SI</v>
      </c>
      <c r="AH1037" s="284"/>
      <c r="AI1037" s="541"/>
      <c r="AJ1037" s="95" t="str">
        <f t="shared" si="136"/>
        <v>NV</v>
      </c>
      <c r="AK1037" s="303"/>
    </row>
    <row r="1038" spans="1:37" x14ac:dyDescent="0.25">
      <c r="A1038" s="542" t="s">
        <v>3175</v>
      </c>
      <c r="B1038" s="317" t="s">
        <v>3176</v>
      </c>
      <c r="C1038" s="95">
        <v>0</v>
      </c>
      <c r="D1038" s="95">
        <v>3030</v>
      </c>
      <c r="E1038" s="95"/>
      <c r="F1038" s="95"/>
      <c r="G1038" s="95">
        <v>6716</v>
      </c>
      <c r="H1038" s="138">
        <v>31500</v>
      </c>
      <c r="I1038" s="138"/>
      <c r="J1038" s="502">
        <f t="shared" si="130"/>
        <v>31500</v>
      </c>
      <c r="K1038" s="318">
        <v>43903</v>
      </c>
      <c r="L1038" s="95">
        <v>0</v>
      </c>
      <c r="M1038" s="313">
        <f t="shared" si="131"/>
        <v>43903</v>
      </c>
      <c r="N1038" s="95" t="str">
        <f t="shared" ca="1" si="132"/>
        <v>Vencido</v>
      </c>
      <c r="O1038" s="318"/>
      <c r="P1038" s="138"/>
      <c r="Q1038" s="95"/>
      <c r="R1038" s="95"/>
      <c r="S1038" s="95"/>
      <c r="T1038" s="325"/>
      <c r="U1038" s="393"/>
      <c r="V1038" s="95"/>
      <c r="W1038" s="129"/>
      <c r="X1038" s="318"/>
      <c r="Y1038" s="95"/>
      <c r="Z1038" s="426"/>
      <c r="AA1038" s="129" t="str">
        <f t="shared" si="129"/>
        <v/>
      </c>
      <c r="AB1038" s="95"/>
      <c r="AC1038" s="426">
        <f t="shared" si="133"/>
        <v>26470.588235294119</v>
      </c>
      <c r="AD1038" s="129">
        <f t="shared" si="134"/>
        <v>5029.4117647058811</v>
      </c>
      <c r="AE1038" s="95" t="s">
        <v>1501</v>
      </c>
      <c r="AF1038" s="541" t="s">
        <v>3489</v>
      </c>
      <c r="AG1038" s="95" t="str">
        <f t="shared" ca="1" si="135"/>
        <v>NO</v>
      </c>
      <c r="AH1038" s="284"/>
      <c r="AI1038" s="541"/>
      <c r="AJ1038" s="95" t="str">
        <f t="shared" si="136"/>
        <v>NV</v>
      </c>
      <c r="AK1038" s="303"/>
    </row>
    <row r="1039" spans="1:37" x14ac:dyDescent="0.25">
      <c r="A1039" s="542" t="s">
        <v>4800</v>
      </c>
      <c r="B1039" s="317" t="s">
        <v>4801</v>
      </c>
      <c r="C1039" s="95">
        <v>0</v>
      </c>
      <c r="D1039" s="95">
        <v>223</v>
      </c>
      <c r="E1039" s="95"/>
      <c r="F1039" s="95"/>
      <c r="G1039" s="95">
        <v>6711</v>
      </c>
      <c r="H1039" s="138">
        <v>60000</v>
      </c>
      <c r="I1039" s="138"/>
      <c r="J1039" s="502">
        <f t="shared" si="130"/>
        <v>60000</v>
      </c>
      <c r="K1039" s="318">
        <v>43903</v>
      </c>
      <c r="L1039" s="95">
        <v>0</v>
      </c>
      <c r="M1039" s="313">
        <f t="shared" si="131"/>
        <v>43903</v>
      </c>
      <c r="N1039" s="95" t="str">
        <f t="shared" si="132"/>
        <v>Pagado</v>
      </c>
      <c r="O1039" s="318">
        <v>43903</v>
      </c>
      <c r="P1039" s="138">
        <v>60000</v>
      </c>
      <c r="Q1039" s="95" t="s">
        <v>1070</v>
      </c>
      <c r="R1039" s="95" t="s">
        <v>1478</v>
      </c>
      <c r="S1039" s="95">
        <v>223</v>
      </c>
      <c r="T1039" s="325"/>
      <c r="U1039" s="393"/>
      <c r="V1039" s="95"/>
      <c r="W1039" s="129"/>
      <c r="X1039" s="318"/>
      <c r="Y1039" s="95"/>
      <c r="Z1039" s="426"/>
      <c r="AA1039" s="129" t="str">
        <f t="shared" si="129"/>
        <v/>
      </c>
      <c r="AB1039" s="95"/>
      <c r="AC1039" s="426">
        <f t="shared" si="133"/>
        <v>50420.168067226892</v>
      </c>
      <c r="AD1039" s="129">
        <f t="shared" si="134"/>
        <v>9579.8319327731078</v>
      </c>
      <c r="AE1039" s="95" t="s">
        <v>1501</v>
      </c>
      <c r="AF1039" s="541" t="s">
        <v>4803</v>
      </c>
      <c r="AG1039" s="95" t="str">
        <f t="shared" si="135"/>
        <v>SI</v>
      </c>
      <c r="AH1039" s="284"/>
      <c r="AI1039" s="541"/>
      <c r="AJ1039" s="95" t="str">
        <f t="shared" si="136"/>
        <v>NV</v>
      </c>
      <c r="AK1039" s="303"/>
    </row>
    <row r="1040" spans="1:37" x14ac:dyDescent="0.25">
      <c r="A1040" s="542" t="s">
        <v>2360</v>
      </c>
      <c r="B1040" s="317" t="s">
        <v>4296</v>
      </c>
      <c r="C1040" s="95">
        <v>0</v>
      </c>
      <c r="D1040" s="95">
        <v>3131</v>
      </c>
      <c r="E1040" s="95"/>
      <c r="F1040" s="95"/>
      <c r="G1040" s="95">
        <v>6718</v>
      </c>
      <c r="H1040" s="138">
        <v>35000</v>
      </c>
      <c r="I1040" s="138"/>
      <c r="J1040" s="502">
        <f t="shared" si="130"/>
        <v>35000</v>
      </c>
      <c r="K1040" s="318">
        <v>43903</v>
      </c>
      <c r="L1040" s="95">
        <v>0</v>
      </c>
      <c r="M1040" s="313">
        <f t="shared" si="131"/>
        <v>43903</v>
      </c>
      <c r="N1040" s="95" t="str">
        <f t="shared" si="132"/>
        <v>Abonado</v>
      </c>
      <c r="O1040" s="318">
        <v>43903</v>
      </c>
      <c r="P1040" s="138">
        <v>31500</v>
      </c>
      <c r="Q1040" s="95" t="s">
        <v>1484</v>
      </c>
      <c r="R1040" s="95"/>
      <c r="S1040" s="95"/>
      <c r="T1040" s="325" t="s">
        <v>1496</v>
      </c>
      <c r="U1040" s="393"/>
      <c r="V1040" s="95"/>
      <c r="W1040" s="129"/>
      <c r="X1040" s="318"/>
      <c r="Y1040" s="95"/>
      <c r="Z1040" s="426"/>
      <c r="AA1040" s="129" t="str">
        <f t="shared" si="129"/>
        <v/>
      </c>
      <c r="AB1040" s="95"/>
      <c r="AC1040" s="426">
        <f t="shared" si="133"/>
        <v>29411.764705882353</v>
      </c>
      <c r="AD1040" s="129">
        <f t="shared" si="134"/>
        <v>5588.2352941176468</v>
      </c>
      <c r="AE1040" s="95" t="s">
        <v>1501</v>
      </c>
      <c r="AF1040" s="541" t="s">
        <v>3487</v>
      </c>
      <c r="AG1040" s="95" t="str">
        <f t="shared" si="135"/>
        <v>NO</v>
      </c>
      <c r="AH1040" s="284"/>
      <c r="AI1040" s="541"/>
      <c r="AJ1040" s="95" t="str">
        <f t="shared" si="136"/>
        <v>NV</v>
      </c>
      <c r="AK1040" s="303"/>
    </row>
    <row r="1041" spans="1:37" x14ac:dyDescent="0.25">
      <c r="A1041" s="542" t="s">
        <v>5228</v>
      </c>
      <c r="B1041" s="317" t="s">
        <v>5229</v>
      </c>
      <c r="C1041" s="95">
        <v>0</v>
      </c>
      <c r="D1041" s="95">
        <v>3032</v>
      </c>
      <c r="E1041" s="95"/>
      <c r="F1041" s="95"/>
      <c r="G1041" s="95">
        <v>6719</v>
      </c>
      <c r="H1041" s="138">
        <v>23700</v>
      </c>
      <c r="I1041" s="138"/>
      <c r="J1041" s="502">
        <f t="shared" si="130"/>
        <v>23700</v>
      </c>
      <c r="K1041" s="318">
        <v>43903</v>
      </c>
      <c r="L1041" s="95">
        <v>0</v>
      </c>
      <c r="M1041" s="313">
        <f t="shared" si="131"/>
        <v>43903</v>
      </c>
      <c r="N1041" s="95" t="str">
        <f t="shared" si="132"/>
        <v>Pagado</v>
      </c>
      <c r="O1041" s="318">
        <v>43903</v>
      </c>
      <c r="P1041" s="138">
        <v>23700</v>
      </c>
      <c r="Q1041" s="95" t="s">
        <v>2132</v>
      </c>
      <c r="R1041" s="95"/>
      <c r="S1041" s="95">
        <v>7205154</v>
      </c>
      <c r="T1041" s="325" t="s">
        <v>1489</v>
      </c>
      <c r="U1041" s="393">
        <v>43902</v>
      </c>
      <c r="V1041" s="95">
        <v>4955375</v>
      </c>
      <c r="W1041" s="129">
        <v>23700</v>
      </c>
      <c r="X1041" s="318"/>
      <c r="Y1041" s="95" t="s">
        <v>1488</v>
      </c>
      <c r="Z1041" s="426"/>
      <c r="AA1041" s="129" t="str">
        <f t="shared" si="129"/>
        <v>Otros</v>
      </c>
      <c r="AB1041" s="95"/>
      <c r="AC1041" s="426">
        <f t="shared" si="133"/>
        <v>19915.966386554624</v>
      </c>
      <c r="AD1041" s="129">
        <f t="shared" si="134"/>
        <v>3784.0336134453755</v>
      </c>
      <c r="AE1041" s="95" t="s">
        <v>1501</v>
      </c>
      <c r="AF1041" s="541" t="s">
        <v>3487</v>
      </c>
      <c r="AG1041" s="95" t="str">
        <f t="shared" si="135"/>
        <v>SI</v>
      </c>
      <c r="AH1041" s="284"/>
      <c r="AI1041" s="541"/>
      <c r="AJ1041" s="95" t="str">
        <f t="shared" si="136"/>
        <v>NV</v>
      </c>
      <c r="AK1041" s="303"/>
    </row>
    <row r="1042" spans="1:37" x14ac:dyDescent="0.25">
      <c r="A1042" s="542" t="s">
        <v>5911</v>
      </c>
      <c r="B1042" s="317" t="s">
        <v>4934</v>
      </c>
      <c r="C1042" s="95">
        <v>3155</v>
      </c>
      <c r="D1042" s="95">
        <v>0</v>
      </c>
      <c r="E1042" s="95"/>
      <c r="F1042" s="95"/>
      <c r="G1042" s="95" t="s">
        <v>2528</v>
      </c>
      <c r="H1042" s="138">
        <v>34128</v>
      </c>
      <c r="I1042" s="138"/>
      <c r="J1042" s="502">
        <f t="shared" si="130"/>
        <v>34128</v>
      </c>
      <c r="K1042" s="318">
        <v>43903</v>
      </c>
      <c r="L1042" s="95">
        <v>30</v>
      </c>
      <c r="M1042" s="313">
        <f t="shared" si="131"/>
        <v>43933</v>
      </c>
      <c r="N1042" s="95" t="str">
        <f t="shared" ca="1" si="132"/>
        <v>Vencido</v>
      </c>
      <c r="O1042" s="318"/>
      <c r="P1042" s="138"/>
      <c r="Q1042" s="95"/>
      <c r="R1042" s="95"/>
      <c r="S1042" s="95"/>
      <c r="T1042" s="325"/>
      <c r="U1042" s="393"/>
      <c r="V1042" s="95"/>
      <c r="W1042" s="129"/>
      <c r="X1042" s="318"/>
      <c r="Y1042" s="95"/>
      <c r="Z1042" s="426"/>
      <c r="AA1042" s="129" t="str">
        <f t="shared" si="129"/>
        <v/>
      </c>
      <c r="AB1042" s="95"/>
      <c r="AC1042" s="426">
        <f t="shared" si="133"/>
        <v>28678.991596638658</v>
      </c>
      <c r="AD1042" s="129">
        <f t="shared" si="134"/>
        <v>5449.0084033613421</v>
      </c>
      <c r="AE1042" s="95" t="s">
        <v>1849</v>
      </c>
      <c r="AF1042" s="541" t="s">
        <v>3490</v>
      </c>
      <c r="AG1042" s="95" t="str">
        <f t="shared" ca="1" si="135"/>
        <v>NO</v>
      </c>
      <c r="AH1042" s="284"/>
      <c r="AI1042" s="541"/>
      <c r="AJ1042" s="95" t="str">
        <f t="shared" si="136"/>
        <v>Factura</v>
      </c>
      <c r="AK1042" s="303"/>
    </row>
    <row r="1043" spans="1:37" x14ac:dyDescent="0.25">
      <c r="A1043" s="542" t="s">
        <v>5914</v>
      </c>
      <c r="B1043" s="317" t="s">
        <v>5915</v>
      </c>
      <c r="C1043" s="95">
        <v>3156</v>
      </c>
      <c r="D1043" s="95">
        <v>0</v>
      </c>
      <c r="E1043" s="95"/>
      <c r="F1043" s="95"/>
      <c r="G1043" s="95" t="s">
        <v>2528</v>
      </c>
      <c r="H1043" s="138">
        <v>525000</v>
      </c>
      <c r="I1043" s="138"/>
      <c r="J1043" s="502">
        <f t="shared" si="130"/>
        <v>525000</v>
      </c>
      <c r="K1043" s="318">
        <v>43903</v>
      </c>
      <c r="L1043" s="95">
        <v>0</v>
      </c>
      <c r="M1043" s="313">
        <f t="shared" si="131"/>
        <v>43903</v>
      </c>
      <c r="N1043" s="95" t="str">
        <f t="shared" si="132"/>
        <v>Pagado</v>
      </c>
      <c r="O1043" s="318">
        <v>43903</v>
      </c>
      <c r="P1043" s="138">
        <v>525004</v>
      </c>
      <c r="Q1043" s="95" t="s">
        <v>2132</v>
      </c>
      <c r="R1043" s="95"/>
      <c r="S1043" s="95">
        <v>5735422</v>
      </c>
      <c r="T1043" s="325" t="s">
        <v>1488</v>
      </c>
      <c r="U1043" s="393">
        <v>43903</v>
      </c>
      <c r="V1043" s="95">
        <v>7679493</v>
      </c>
      <c r="W1043" s="129">
        <v>525000</v>
      </c>
      <c r="X1043" s="318">
        <v>43903</v>
      </c>
      <c r="Y1043" s="95" t="s">
        <v>1488</v>
      </c>
      <c r="Z1043" s="426"/>
      <c r="AA1043" s="129" t="str">
        <f t="shared" si="129"/>
        <v>Chile</v>
      </c>
      <c r="AB1043" s="95"/>
      <c r="AC1043" s="426">
        <f t="shared" si="133"/>
        <v>441176.4705882353</v>
      </c>
      <c r="AD1043" s="129">
        <f t="shared" si="134"/>
        <v>83823.529411764699</v>
      </c>
      <c r="AE1043" s="95" t="s">
        <v>1445</v>
      </c>
      <c r="AF1043" s="541" t="s">
        <v>3490</v>
      </c>
      <c r="AG1043" s="95" t="str">
        <f t="shared" si="135"/>
        <v>SI</v>
      </c>
      <c r="AH1043" s="284"/>
      <c r="AI1043" s="541"/>
      <c r="AJ1043" s="95" t="str">
        <f t="shared" si="136"/>
        <v>Factura</v>
      </c>
      <c r="AK1043" s="303"/>
    </row>
    <row r="1044" spans="1:37" x14ac:dyDescent="0.25">
      <c r="A1044" s="542" t="s">
        <v>4907</v>
      </c>
      <c r="B1044" s="317" t="s">
        <v>4908</v>
      </c>
      <c r="C1044" s="95">
        <v>3159</v>
      </c>
      <c r="D1044" s="95">
        <v>0</v>
      </c>
      <c r="E1044" s="95"/>
      <c r="F1044" s="95"/>
      <c r="G1044" s="95" t="s">
        <v>2528</v>
      </c>
      <c r="H1044" s="138">
        <v>50262</v>
      </c>
      <c r="I1044" s="138"/>
      <c r="J1044" s="502">
        <f t="shared" si="130"/>
        <v>50262</v>
      </c>
      <c r="K1044" s="318">
        <v>43903</v>
      </c>
      <c r="L1044" s="95">
        <v>30</v>
      </c>
      <c r="M1044" s="313">
        <f t="shared" si="131"/>
        <v>43933</v>
      </c>
      <c r="N1044" s="95" t="str">
        <f t="shared" ca="1" si="132"/>
        <v>Vencido</v>
      </c>
      <c r="O1044" s="318"/>
      <c r="P1044" s="138"/>
      <c r="Q1044" s="95"/>
      <c r="R1044" s="95"/>
      <c r="S1044" s="95"/>
      <c r="T1044" s="325"/>
      <c r="U1044" s="393"/>
      <c r="V1044" s="95"/>
      <c r="W1044" s="129"/>
      <c r="X1044" s="318"/>
      <c r="Y1044" s="95"/>
      <c r="Z1044" s="426"/>
      <c r="AA1044" s="129" t="str">
        <f t="shared" si="129"/>
        <v/>
      </c>
      <c r="AB1044" s="95"/>
      <c r="AC1044" s="426">
        <f t="shared" si="133"/>
        <v>42236.97478991597</v>
      </c>
      <c r="AD1044" s="129">
        <f t="shared" si="134"/>
        <v>8025.0252100840298</v>
      </c>
      <c r="AE1044" s="95" t="s">
        <v>1445</v>
      </c>
      <c r="AF1044" s="541" t="s">
        <v>3490</v>
      </c>
      <c r="AG1044" s="95" t="str">
        <f t="shared" ca="1" si="135"/>
        <v>NO</v>
      </c>
      <c r="AH1044" s="284"/>
      <c r="AI1044" s="541"/>
      <c r="AJ1044" s="95" t="str">
        <f t="shared" si="136"/>
        <v>Factura</v>
      </c>
      <c r="AK1044" s="303"/>
    </row>
    <row r="1045" spans="1:37" x14ac:dyDescent="0.25">
      <c r="A1045" s="570" t="s">
        <v>1180</v>
      </c>
      <c r="B1045" s="317" t="s">
        <v>1048</v>
      </c>
      <c r="C1045" s="95">
        <v>3157</v>
      </c>
      <c r="D1045" s="95">
        <v>0</v>
      </c>
      <c r="E1045" s="95"/>
      <c r="F1045" s="95"/>
      <c r="G1045" s="95" t="s">
        <v>2528</v>
      </c>
      <c r="H1045" s="138">
        <v>104826</v>
      </c>
      <c r="I1045" s="138"/>
      <c r="J1045" s="502">
        <f t="shared" si="130"/>
        <v>104826</v>
      </c>
      <c r="K1045" s="318">
        <v>43903</v>
      </c>
      <c r="L1045" s="95">
        <v>30</v>
      </c>
      <c r="M1045" s="313">
        <f t="shared" si="131"/>
        <v>43933</v>
      </c>
      <c r="N1045" s="95" t="str">
        <f t="shared" si="132"/>
        <v>Pagado</v>
      </c>
      <c r="O1045" s="318">
        <v>43918</v>
      </c>
      <c r="P1045" s="138">
        <v>104826</v>
      </c>
      <c r="Q1045" s="95" t="s">
        <v>2131</v>
      </c>
      <c r="R1045" s="95"/>
      <c r="S1045" s="95">
        <v>738</v>
      </c>
      <c r="T1045" s="325" t="s">
        <v>1494</v>
      </c>
      <c r="U1045" s="393">
        <v>43903</v>
      </c>
      <c r="V1045" s="95"/>
      <c r="W1045" s="129"/>
      <c r="X1045" s="318"/>
      <c r="Y1045" s="95"/>
      <c r="Z1045" s="426"/>
      <c r="AA1045" s="129" t="str">
        <f t="shared" ref="AA1045:AA1138" si="137">+IF(LEFT(Q1045,6)="Cheque",IF(T1045="Chile","Chile","Otros"),"")</f>
        <v>Otros</v>
      </c>
      <c r="AB1045" s="95"/>
      <c r="AC1045" s="426">
        <f t="shared" si="133"/>
        <v>88089.075630252104</v>
      </c>
      <c r="AD1045" s="129">
        <f t="shared" si="134"/>
        <v>16736.924369747896</v>
      </c>
      <c r="AE1045" s="95" t="s">
        <v>1445</v>
      </c>
      <c r="AF1045" s="569" t="s">
        <v>3490</v>
      </c>
      <c r="AG1045" s="95" t="str">
        <f t="shared" si="135"/>
        <v>SI</v>
      </c>
      <c r="AH1045" s="284"/>
      <c r="AI1045" s="569"/>
      <c r="AJ1045" s="95" t="str">
        <f t="shared" si="136"/>
        <v>Factura</v>
      </c>
      <c r="AK1045" s="303"/>
    </row>
    <row r="1046" spans="1:37" x14ac:dyDescent="0.25">
      <c r="A1046" s="570" t="s">
        <v>1182</v>
      </c>
      <c r="B1046" s="317" t="s">
        <v>1044</v>
      </c>
      <c r="C1046" s="95">
        <v>3161</v>
      </c>
      <c r="D1046" s="95">
        <v>0</v>
      </c>
      <c r="E1046" s="95">
        <v>305</v>
      </c>
      <c r="F1046" s="95"/>
      <c r="G1046" s="95" t="s">
        <v>2528</v>
      </c>
      <c r="H1046" s="138">
        <v>107618</v>
      </c>
      <c r="I1046" s="138">
        <v>-10799</v>
      </c>
      <c r="J1046" s="502">
        <f t="shared" si="130"/>
        <v>96819</v>
      </c>
      <c r="K1046" s="318">
        <v>43903</v>
      </c>
      <c r="L1046" s="95">
        <v>7</v>
      </c>
      <c r="M1046" s="313">
        <f t="shared" si="131"/>
        <v>43910</v>
      </c>
      <c r="N1046" s="95" t="str">
        <f t="shared" si="132"/>
        <v>Pagado</v>
      </c>
      <c r="O1046" s="318">
        <v>43903</v>
      </c>
      <c r="P1046" s="138">
        <v>96819</v>
      </c>
      <c r="Q1046" s="95" t="s">
        <v>2131</v>
      </c>
      <c r="R1046" s="95"/>
      <c r="S1046" s="95"/>
      <c r="T1046" s="325"/>
      <c r="U1046" s="393"/>
      <c r="V1046" s="95"/>
      <c r="W1046" s="129"/>
      <c r="X1046" s="318"/>
      <c r="Y1046" s="95"/>
      <c r="Z1046" s="426"/>
      <c r="AA1046" s="129" t="str">
        <f t="shared" si="137"/>
        <v>Otros</v>
      </c>
      <c r="AB1046" s="95"/>
      <c r="AC1046" s="426">
        <f t="shared" si="133"/>
        <v>90435.294117647063</v>
      </c>
      <c r="AD1046" s="129">
        <f t="shared" si="134"/>
        <v>17182.705882352937</v>
      </c>
      <c r="AE1046" s="95" t="s">
        <v>1445</v>
      </c>
      <c r="AF1046" s="569" t="s">
        <v>3490</v>
      </c>
      <c r="AG1046" s="95" t="str">
        <f t="shared" si="135"/>
        <v>SI</v>
      </c>
      <c r="AH1046" s="284"/>
      <c r="AI1046" s="569"/>
      <c r="AJ1046" s="95" t="str">
        <f t="shared" si="136"/>
        <v>Factura</v>
      </c>
      <c r="AK1046" s="303"/>
    </row>
    <row r="1047" spans="1:37" x14ac:dyDescent="0.25">
      <c r="A1047" s="570" t="s">
        <v>1189</v>
      </c>
      <c r="B1047" s="317" t="s">
        <v>940</v>
      </c>
      <c r="C1047" s="95">
        <v>3160</v>
      </c>
      <c r="D1047" s="95">
        <v>0</v>
      </c>
      <c r="E1047" s="95"/>
      <c r="F1047" s="95"/>
      <c r="G1047" s="95" t="s">
        <v>2528</v>
      </c>
      <c r="H1047" s="138">
        <v>70574</v>
      </c>
      <c r="I1047" s="138"/>
      <c r="J1047" s="502">
        <f t="shared" si="130"/>
        <v>70574</v>
      </c>
      <c r="K1047" s="318">
        <v>43903</v>
      </c>
      <c r="L1047" s="95">
        <v>0</v>
      </c>
      <c r="M1047" s="313">
        <f t="shared" si="131"/>
        <v>43903</v>
      </c>
      <c r="N1047" s="95" t="str">
        <f t="shared" si="132"/>
        <v>Pagado</v>
      </c>
      <c r="O1047" s="318">
        <v>43903</v>
      </c>
      <c r="P1047" s="138">
        <v>70574</v>
      </c>
      <c r="Q1047" s="95" t="s">
        <v>1481</v>
      </c>
      <c r="R1047" s="95"/>
      <c r="S1047" s="95"/>
      <c r="T1047" s="325"/>
      <c r="U1047" s="393"/>
      <c r="V1047" s="95"/>
      <c r="W1047" s="129"/>
      <c r="X1047" s="318"/>
      <c r="Y1047" s="95"/>
      <c r="Z1047" s="426"/>
      <c r="AA1047" s="129" t="str">
        <f t="shared" si="137"/>
        <v/>
      </c>
      <c r="AB1047" s="95"/>
      <c r="AC1047" s="426">
        <f t="shared" si="133"/>
        <v>59305.882352941182</v>
      </c>
      <c r="AD1047" s="129">
        <f t="shared" si="134"/>
        <v>11268.117647058818</v>
      </c>
      <c r="AE1047" s="95" t="s">
        <v>1445</v>
      </c>
      <c r="AF1047" s="569" t="s">
        <v>3490</v>
      </c>
      <c r="AG1047" s="95" t="str">
        <f t="shared" si="135"/>
        <v>SI</v>
      </c>
      <c r="AH1047" s="284"/>
      <c r="AI1047" s="569"/>
      <c r="AJ1047" s="95" t="str">
        <f t="shared" si="136"/>
        <v>Factura</v>
      </c>
      <c r="AK1047" s="303"/>
    </row>
    <row r="1048" spans="1:37" x14ac:dyDescent="0.25">
      <c r="A1048" s="570" t="s">
        <v>1275</v>
      </c>
      <c r="B1048" s="317" t="s">
        <v>2218</v>
      </c>
      <c r="C1048" s="95">
        <v>3185</v>
      </c>
      <c r="D1048" s="95">
        <v>0</v>
      </c>
      <c r="E1048" s="95"/>
      <c r="F1048" s="95"/>
      <c r="G1048" s="95" t="s">
        <v>2528</v>
      </c>
      <c r="H1048" s="138">
        <v>30852</v>
      </c>
      <c r="I1048" s="138"/>
      <c r="J1048" s="502">
        <f t="shared" si="130"/>
        <v>30852</v>
      </c>
      <c r="K1048" s="318">
        <v>43903</v>
      </c>
      <c r="L1048" s="95">
        <v>0</v>
      </c>
      <c r="M1048" s="313">
        <f t="shared" si="131"/>
        <v>43903</v>
      </c>
      <c r="N1048" s="95" t="str">
        <f t="shared" si="132"/>
        <v>Pagado</v>
      </c>
      <c r="O1048" s="318">
        <v>43903</v>
      </c>
      <c r="P1048" s="138">
        <v>30852</v>
      </c>
      <c r="Q1048" s="95" t="s">
        <v>1481</v>
      </c>
      <c r="R1048" s="95"/>
      <c r="S1048" s="95"/>
      <c r="T1048" s="325"/>
      <c r="U1048" s="393"/>
      <c r="V1048" s="95"/>
      <c r="W1048" s="129"/>
      <c r="X1048" s="318"/>
      <c r="Y1048" s="95"/>
      <c r="Z1048" s="426"/>
      <c r="AA1048" s="129" t="str">
        <f t="shared" si="137"/>
        <v/>
      </c>
      <c r="AB1048" s="95"/>
      <c r="AC1048" s="426">
        <f t="shared" si="133"/>
        <v>25926.050420168067</v>
      </c>
      <c r="AD1048" s="129">
        <f t="shared" si="134"/>
        <v>4925.9495798319331</v>
      </c>
      <c r="AE1048" s="95" t="s">
        <v>1445</v>
      </c>
      <c r="AF1048" s="569" t="s">
        <v>3490</v>
      </c>
      <c r="AG1048" s="95" t="str">
        <f t="shared" si="135"/>
        <v>SI</v>
      </c>
      <c r="AH1048" s="284"/>
      <c r="AI1048" s="569"/>
      <c r="AJ1048" s="95" t="str">
        <f t="shared" si="136"/>
        <v>Factura</v>
      </c>
      <c r="AK1048" s="303"/>
    </row>
    <row r="1049" spans="1:37" x14ac:dyDescent="0.25">
      <c r="A1049" s="570" t="s">
        <v>5952</v>
      </c>
      <c r="B1049" s="317" t="s">
        <v>5953</v>
      </c>
      <c r="C1049" s="95">
        <v>0</v>
      </c>
      <c r="D1049" s="95">
        <v>224</v>
      </c>
      <c r="E1049" s="95"/>
      <c r="F1049" s="95"/>
      <c r="G1049" s="95">
        <v>6720</v>
      </c>
      <c r="H1049" s="138">
        <v>12500</v>
      </c>
      <c r="I1049" s="138"/>
      <c r="J1049" s="502">
        <f t="shared" si="130"/>
        <v>12500</v>
      </c>
      <c r="K1049" s="318">
        <v>43904</v>
      </c>
      <c r="L1049" s="95">
        <v>0</v>
      </c>
      <c r="M1049" s="313">
        <f t="shared" si="131"/>
        <v>43904</v>
      </c>
      <c r="N1049" s="95" t="str">
        <f t="shared" si="132"/>
        <v>Pagado</v>
      </c>
      <c r="O1049" s="318">
        <v>43904</v>
      </c>
      <c r="P1049" s="138">
        <v>12500</v>
      </c>
      <c r="Q1049" s="95" t="s">
        <v>1070</v>
      </c>
      <c r="R1049" s="95" t="s">
        <v>2243</v>
      </c>
      <c r="S1049" s="95">
        <v>224</v>
      </c>
      <c r="T1049" s="325"/>
      <c r="U1049" s="393"/>
      <c r="V1049" s="95"/>
      <c r="W1049" s="129"/>
      <c r="X1049" s="318"/>
      <c r="Y1049" s="95"/>
      <c r="Z1049" s="426"/>
      <c r="AA1049" s="129" t="str">
        <f t="shared" si="137"/>
        <v/>
      </c>
      <c r="AB1049" s="95"/>
      <c r="AC1049" s="426">
        <f t="shared" si="133"/>
        <v>10504.20168067227</v>
      </c>
      <c r="AD1049" s="129">
        <f t="shared" si="134"/>
        <v>1995.7983193277305</v>
      </c>
      <c r="AE1049" s="95" t="s">
        <v>1501</v>
      </c>
      <c r="AF1049" s="569" t="s">
        <v>3487</v>
      </c>
      <c r="AG1049" s="95" t="str">
        <f t="shared" si="135"/>
        <v>SI</v>
      </c>
      <c r="AH1049" s="284"/>
      <c r="AI1049" s="569"/>
      <c r="AJ1049" s="95" t="str">
        <f t="shared" si="136"/>
        <v>NV</v>
      </c>
      <c r="AK1049" s="303"/>
    </row>
    <row r="1050" spans="1:37" x14ac:dyDescent="0.25">
      <c r="A1050" s="570" t="s">
        <v>3460</v>
      </c>
      <c r="B1050" s="317" t="s">
        <v>3461</v>
      </c>
      <c r="C1050" s="95">
        <v>3162</v>
      </c>
      <c r="D1050" s="95">
        <v>0</v>
      </c>
      <c r="E1050" s="95"/>
      <c r="F1050" s="95"/>
      <c r="G1050" s="95" t="s">
        <v>2528</v>
      </c>
      <c r="H1050" s="138">
        <v>39557</v>
      </c>
      <c r="I1050" s="138"/>
      <c r="J1050" s="502">
        <f t="shared" si="130"/>
        <v>39557</v>
      </c>
      <c r="K1050" s="318">
        <v>43904</v>
      </c>
      <c r="L1050" s="95">
        <v>0</v>
      </c>
      <c r="M1050" s="313">
        <f t="shared" si="131"/>
        <v>43904</v>
      </c>
      <c r="N1050" s="95" t="str">
        <f t="shared" si="132"/>
        <v>Pagado</v>
      </c>
      <c r="O1050" s="318">
        <v>43923</v>
      </c>
      <c r="P1050" s="138">
        <v>39557</v>
      </c>
      <c r="Q1050" s="95" t="s">
        <v>1484</v>
      </c>
      <c r="R1050" s="95"/>
      <c r="S1050" s="95"/>
      <c r="T1050" s="325"/>
      <c r="U1050" s="393"/>
      <c r="V1050" s="95"/>
      <c r="W1050" s="129"/>
      <c r="X1050" s="318"/>
      <c r="Y1050" s="95"/>
      <c r="Z1050" s="426"/>
      <c r="AA1050" s="129" t="str">
        <f t="shared" si="137"/>
        <v/>
      </c>
      <c r="AB1050" s="95"/>
      <c r="AC1050" s="426">
        <f t="shared" si="133"/>
        <v>33241.176470588238</v>
      </c>
      <c r="AD1050" s="129">
        <f t="shared" si="134"/>
        <v>6315.8235294117621</v>
      </c>
      <c r="AE1050" s="95" t="s">
        <v>1501</v>
      </c>
      <c r="AF1050" s="569" t="s">
        <v>3490</v>
      </c>
      <c r="AG1050" s="95" t="str">
        <f t="shared" si="135"/>
        <v>SI</v>
      </c>
      <c r="AH1050" s="284"/>
      <c r="AI1050" s="569"/>
      <c r="AJ1050" s="95" t="str">
        <f t="shared" si="136"/>
        <v>Factura</v>
      </c>
      <c r="AK1050" s="303"/>
    </row>
    <row r="1051" spans="1:37" x14ac:dyDescent="0.25">
      <c r="A1051" s="570" t="s">
        <v>1411</v>
      </c>
      <c r="B1051" s="317" t="s">
        <v>1150</v>
      </c>
      <c r="C1051" s="95">
        <v>0</v>
      </c>
      <c r="D1051" s="95">
        <v>225</v>
      </c>
      <c r="E1051" s="95"/>
      <c r="F1051" s="95"/>
      <c r="G1051" s="95">
        <v>6721</v>
      </c>
      <c r="H1051" s="138">
        <v>26800</v>
      </c>
      <c r="I1051" s="138"/>
      <c r="J1051" s="502">
        <f t="shared" si="130"/>
        <v>26800</v>
      </c>
      <c r="K1051" s="318">
        <v>43904</v>
      </c>
      <c r="L1051" s="95">
        <v>0</v>
      </c>
      <c r="M1051" s="313">
        <f t="shared" si="131"/>
        <v>43904</v>
      </c>
      <c r="N1051" s="95" t="str">
        <f t="shared" si="132"/>
        <v>Pagado</v>
      </c>
      <c r="O1051" s="318">
        <v>43904</v>
      </c>
      <c r="P1051" s="138">
        <v>26800</v>
      </c>
      <c r="Q1051" s="95" t="s">
        <v>1070</v>
      </c>
      <c r="R1051" s="95" t="s">
        <v>2243</v>
      </c>
      <c r="S1051" s="95">
        <v>225</v>
      </c>
      <c r="T1051" s="325"/>
      <c r="U1051" s="393"/>
      <c r="V1051" s="95"/>
      <c r="W1051" s="129"/>
      <c r="X1051" s="318"/>
      <c r="Y1051" s="95"/>
      <c r="Z1051" s="426"/>
      <c r="AA1051" s="129" t="str">
        <f t="shared" si="137"/>
        <v/>
      </c>
      <c r="AB1051" s="95"/>
      <c r="AC1051" s="426">
        <f t="shared" si="133"/>
        <v>22521.008403361346</v>
      </c>
      <c r="AD1051" s="129">
        <f t="shared" si="134"/>
        <v>4278.9915966386543</v>
      </c>
      <c r="AE1051" s="95" t="s">
        <v>1501</v>
      </c>
      <c r="AF1051" s="569" t="s">
        <v>3487</v>
      </c>
      <c r="AG1051" s="95" t="str">
        <f t="shared" si="135"/>
        <v>SI</v>
      </c>
      <c r="AH1051" s="284"/>
      <c r="AI1051" s="569"/>
      <c r="AJ1051" s="95" t="str">
        <f t="shared" si="136"/>
        <v>NV</v>
      </c>
      <c r="AK1051" s="303"/>
    </row>
    <row r="1052" spans="1:37" x14ac:dyDescent="0.25">
      <c r="A1052" s="570" t="s">
        <v>1176</v>
      </c>
      <c r="B1052" s="317" t="s">
        <v>949</v>
      </c>
      <c r="C1052" s="95">
        <v>3163</v>
      </c>
      <c r="D1052" s="95">
        <v>0</v>
      </c>
      <c r="E1052" s="95"/>
      <c r="F1052" s="95"/>
      <c r="G1052" s="95" t="s">
        <v>2528</v>
      </c>
      <c r="H1052" s="138">
        <v>69224</v>
      </c>
      <c r="I1052" s="138"/>
      <c r="J1052" s="502">
        <f t="shared" si="130"/>
        <v>69224</v>
      </c>
      <c r="K1052" s="318">
        <v>43904</v>
      </c>
      <c r="L1052" s="95">
        <v>30</v>
      </c>
      <c r="M1052" s="313">
        <f t="shared" si="131"/>
        <v>43934</v>
      </c>
      <c r="N1052" s="95" t="str">
        <f t="shared" ca="1" si="132"/>
        <v>Vencido</v>
      </c>
      <c r="O1052" s="318"/>
      <c r="P1052" s="138"/>
      <c r="Q1052" s="95"/>
      <c r="R1052" s="95"/>
      <c r="S1052" s="95"/>
      <c r="T1052" s="325"/>
      <c r="U1052" s="393"/>
      <c r="V1052" s="95"/>
      <c r="W1052" s="129"/>
      <c r="X1052" s="318"/>
      <c r="Y1052" s="95"/>
      <c r="Z1052" s="426"/>
      <c r="AA1052" s="129" t="str">
        <f t="shared" si="137"/>
        <v/>
      </c>
      <c r="AB1052" s="95"/>
      <c r="AC1052" s="426">
        <f t="shared" si="133"/>
        <v>58171.428571428572</v>
      </c>
      <c r="AD1052" s="129">
        <f t="shared" si="134"/>
        <v>11052.571428571428</v>
      </c>
      <c r="AE1052" s="95" t="s">
        <v>1501</v>
      </c>
      <c r="AF1052" s="569" t="s">
        <v>3490</v>
      </c>
      <c r="AG1052" s="95" t="str">
        <f t="shared" ca="1" si="135"/>
        <v>NO</v>
      </c>
      <c r="AH1052" s="284"/>
      <c r="AI1052" s="569"/>
      <c r="AJ1052" s="95" t="str">
        <f t="shared" si="136"/>
        <v>Factura</v>
      </c>
      <c r="AK1052" s="303"/>
    </row>
    <row r="1053" spans="1:37" x14ac:dyDescent="0.25">
      <c r="A1053" s="570" t="s">
        <v>1258</v>
      </c>
      <c r="B1053" s="317" t="s">
        <v>1059</v>
      </c>
      <c r="C1053" s="95">
        <v>0</v>
      </c>
      <c r="D1053" s="95">
        <v>3033</v>
      </c>
      <c r="E1053" s="95"/>
      <c r="F1053" s="95"/>
      <c r="G1053" s="95">
        <v>6722</v>
      </c>
      <c r="H1053" s="138">
        <v>115000</v>
      </c>
      <c r="I1053" s="138"/>
      <c r="J1053" s="502">
        <f t="shared" si="130"/>
        <v>115000</v>
      </c>
      <c r="K1053" s="318">
        <v>43906</v>
      </c>
      <c r="L1053" s="95">
        <v>0</v>
      </c>
      <c r="M1053" s="313">
        <f t="shared" si="131"/>
        <v>43906</v>
      </c>
      <c r="N1053" s="95" t="str">
        <f t="shared" si="132"/>
        <v>Pagado</v>
      </c>
      <c r="O1053" s="318">
        <v>43907</v>
      </c>
      <c r="P1053" s="138">
        <v>115000</v>
      </c>
      <c r="Q1053" s="95" t="s">
        <v>1484</v>
      </c>
      <c r="R1053" s="95"/>
      <c r="S1053" s="95"/>
      <c r="T1053" s="325" t="s">
        <v>1491</v>
      </c>
      <c r="U1053" s="393"/>
      <c r="V1053" s="95"/>
      <c r="W1053" s="129"/>
      <c r="X1053" s="318"/>
      <c r="Y1053" s="95"/>
      <c r="Z1053" s="426"/>
      <c r="AA1053" s="129" t="str">
        <f t="shared" si="137"/>
        <v/>
      </c>
      <c r="AB1053" s="95"/>
      <c r="AC1053" s="426">
        <f t="shared" si="133"/>
        <v>96638.655462184877</v>
      </c>
      <c r="AD1053" s="129">
        <f t="shared" si="134"/>
        <v>18361.344537815123</v>
      </c>
      <c r="AE1053" s="95" t="s">
        <v>1501</v>
      </c>
      <c r="AF1053" s="569" t="s">
        <v>3487</v>
      </c>
      <c r="AG1053" s="95" t="str">
        <f t="shared" si="135"/>
        <v>SI</v>
      </c>
      <c r="AH1053" s="284"/>
      <c r="AI1053" s="569"/>
      <c r="AJ1053" s="95" t="str">
        <f t="shared" si="136"/>
        <v>NV</v>
      </c>
      <c r="AK1053" s="303"/>
    </row>
    <row r="1054" spans="1:37" x14ac:dyDescent="0.25">
      <c r="A1054" s="596" t="s">
        <v>4040</v>
      </c>
      <c r="B1054" s="317" t="s">
        <v>4038</v>
      </c>
      <c r="C1054" s="95">
        <v>0</v>
      </c>
      <c r="D1054" s="95">
        <v>218</v>
      </c>
      <c r="E1054" s="95"/>
      <c r="F1054" s="95"/>
      <c r="G1054" s="95">
        <v>6723</v>
      </c>
      <c r="H1054" s="138">
        <v>46000</v>
      </c>
      <c r="I1054" s="138"/>
      <c r="J1054" s="502">
        <f t="shared" si="130"/>
        <v>46000</v>
      </c>
      <c r="K1054" s="318">
        <v>43906</v>
      </c>
      <c r="L1054" s="95">
        <v>0</v>
      </c>
      <c r="M1054" s="313">
        <f t="shared" si="131"/>
        <v>43906</v>
      </c>
      <c r="N1054" s="95" t="str">
        <f t="shared" si="132"/>
        <v>Pagado</v>
      </c>
      <c r="O1054" s="318">
        <v>43906</v>
      </c>
      <c r="P1054" s="138">
        <v>46000</v>
      </c>
      <c r="Q1054" s="95" t="s">
        <v>1070</v>
      </c>
      <c r="R1054" s="95" t="s">
        <v>1478</v>
      </c>
      <c r="S1054" s="95">
        <v>218</v>
      </c>
      <c r="T1054" s="325"/>
      <c r="U1054" s="393"/>
      <c r="V1054" s="95"/>
      <c r="W1054" s="129"/>
      <c r="X1054" s="318"/>
      <c r="Y1054" s="95"/>
      <c r="Z1054" s="426"/>
      <c r="AA1054" s="129" t="str">
        <f t="shared" si="137"/>
        <v/>
      </c>
      <c r="AB1054" s="95"/>
      <c r="AC1054" s="426">
        <f t="shared" si="133"/>
        <v>38655.462184873948</v>
      </c>
      <c r="AD1054" s="129">
        <f t="shared" si="134"/>
        <v>7344.537815126052</v>
      </c>
      <c r="AE1054" s="95" t="s">
        <v>1501</v>
      </c>
      <c r="AF1054" s="595" t="s">
        <v>3489</v>
      </c>
      <c r="AG1054" s="95" t="str">
        <f t="shared" si="135"/>
        <v>SI</v>
      </c>
      <c r="AH1054" s="284"/>
      <c r="AI1054" s="595"/>
      <c r="AJ1054" s="95" t="str">
        <f t="shared" si="136"/>
        <v>NV</v>
      </c>
      <c r="AK1054" s="303"/>
    </row>
    <row r="1055" spans="1:37" x14ac:dyDescent="0.25">
      <c r="A1055" s="596" t="s">
        <v>1368</v>
      </c>
      <c r="B1055" s="317" t="s">
        <v>2387</v>
      </c>
      <c r="C1055" s="95">
        <v>0</v>
      </c>
      <c r="D1055" s="95">
        <v>3028</v>
      </c>
      <c r="E1055" s="95"/>
      <c r="F1055" s="95"/>
      <c r="G1055" s="95">
        <v>6724</v>
      </c>
      <c r="H1055" s="138">
        <v>38000</v>
      </c>
      <c r="I1055" s="138"/>
      <c r="J1055" s="502">
        <f t="shared" si="130"/>
        <v>38000</v>
      </c>
      <c r="K1055" s="318">
        <v>43906</v>
      </c>
      <c r="L1055" s="95">
        <v>0</v>
      </c>
      <c r="M1055" s="313">
        <f t="shared" si="131"/>
        <v>43906</v>
      </c>
      <c r="N1055" s="95" t="str">
        <f t="shared" si="132"/>
        <v>Pagado</v>
      </c>
      <c r="O1055" s="318">
        <v>43906</v>
      </c>
      <c r="P1055" s="138">
        <v>38000</v>
      </c>
      <c r="Q1055" s="95" t="s">
        <v>1484</v>
      </c>
      <c r="R1055" s="95"/>
      <c r="S1055" s="95"/>
      <c r="T1055" s="325" t="s">
        <v>1488</v>
      </c>
      <c r="U1055" s="393"/>
      <c r="V1055" s="95"/>
      <c r="W1055" s="129"/>
      <c r="X1055" s="318"/>
      <c r="Y1055" s="95"/>
      <c r="Z1055" s="426"/>
      <c r="AA1055" s="129" t="str">
        <f t="shared" si="137"/>
        <v/>
      </c>
      <c r="AB1055" s="95"/>
      <c r="AC1055" s="426">
        <f t="shared" si="133"/>
        <v>31932.773109243699</v>
      </c>
      <c r="AD1055" s="129">
        <f t="shared" si="134"/>
        <v>6067.2268907563011</v>
      </c>
      <c r="AE1055" s="95" t="s">
        <v>1501</v>
      </c>
      <c r="AF1055" s="595" t="s">
        <v>3487</v>
      </c>
      <c r="AG1055" s="95" t="str">
        <f t="shared" si="135"/>
        <v>SI</v>
      </c>
      <c r="AH1055" s="284"/>
      <c r="AI1055" s="595"/>
      <c r="AJ1055" s="95" t="str">
        <f t="shared" si="136"/>
        <v>NV</v>
      </c>
      <c r="AK1055" s="303"/>
    </row>
    <row r="1056" spans="1:37" x14ac:dyDescent="0.25">
      <c r="A1056" s="270" t="s">
        <v>4953</v>
      </c>
      <c r="B1056" s="317" t="s">
        <v>4954</v>
      </c>
      <c r="C1056" s="2">
        <v>0</v>
      </c>
      <c r="D1056" s="2">
        <v>3037</v>
      </c>
      <c r="E1056" s="2"/>
      <c r="F1056" s="2"/>
      <c r="G1056" s="2">
        <v>6725</v>
      </c>
      <c r="H1056" s="293">
        <v>39400</v>
      </c>
      <c r="I1056" s="293"/>
      <c r="J1056" s="126">
        <f t="shared" si="130"/>
        <v>39400</v>
      </c>
      <c r="K1056" s="318">
        <v>43906</v>
      </c>
      <c r="L1056" s="95">
        <v>0</v>
      </c>
      <c r="M1056" s="313">
        <f t="shared" si="131"/>
        <v>43906</v>
      </c>
      <c r="N1056" s="2" t="str">
        <f t="shared" si="132"/>
        <v>Pagado</v>
      </c>
      <c r="O1056" s="310">
        <v>43906</v>
      </c>
      <c r="P1056" s="293">
        <v>39400</v>
      </c>
      <c r="Q1056" s="2" t="s">
        <v>1484</v>
      </c>
      <c r="R1056" s="2"/>
      <c r="S1056" s="2"/>
      <c r="T1056" s="326" t="s">
        <v>1496</v>
      </c>
      <c r="U1056" s="392"/>
      <c r="V1056" s="2"/>
      <c r="W1056" s="108"/>
      <c r="X1056" s="310"/>
      <c r="Y1056" s="2"/>
      <c r="Z1056" s="131"/>
      <c r="AA1056" s="108" t="str">
        <f t="shared" si="137"/>
        <v/>
      </c>
      <c r="AB1056" s="2"/>
      <c r="AC1056" s="131">
        <f t="shared" si="133"/>
        <v>33109.243697478996</v>
      </c>
      <c r="AD1056" s="108">
        <f t="shared" si="134"/>
        <v>6290.7563025210038</v>
      </c>
      <c r="AE1056" s="2" t="s">
        <v>1501</v>
      </c>
      <c r="AF1056" s="23" t="s">
        <v>3487</v>
      </c>
      <c r="AG1056" s="2" t="str">
        <f t="shared" si="135"/>
        <v>SI</v>
      </c>
      <c r="AH1056" s="14"/>
      <c r="AI1056" s="23"/>
      <c r="AJ1056" s="2" t="str">
        <f t="shared" si="136"/>
        <v>NV</v>
      </c>
      <c r="AK1056" s="294"/>
    </row>
    <row r="1057" spans="1:37" x14ac:dyDescent="0.25">
      <c r="A1057" s="596" t="s">
        <v>4041</v>
      </c>
      <c r="B1057" s="317" t="s">
        <v>4042</v>
      </c>
      <c r="C1057" s="95">
        <v>0</v>
      </c>
      <c r="D1057" s="95">
        <v>3036</v>
      </c>
      <c r="E1057" s="95"/>
      <c r="F1057" s="95"/>
      <c r="G1057" s="95">
        <v>6726</v>
      </c>
      <c r="H1057" s="138">
        <v>15800</v>
      </c>
      <c r="I1057" s="138"/>
      <c r="J1057" s="502">
        <f t="shared" si="130"/>
        <v>15800</v>
      </c>
      <c r="K1057" s="318">
        <v>43906</v>
      </c>
      <c r="L1057" s="95">
        <v>0</v>
      </c>
      <c r="M1057" s="313">
        <f t="shared" si="131"/>
        <v>43906</v>
      </c>
      <c r="N1057" s="95" t="str">
        <f t="shared" si="132"/>
        <v>Pagado</v>
      </c>
      <c r="O1057" s="318">
        <v>43906</v>
      </c>
      <c r="P1057" s="138">
        <v>15800</v>
      </c>
      <c r="Q1057" s="95" t="s">
        <v>1484</v>
      </c>
      <c r="R1057" s="95"/>
      <c r="S1057" s="95"/>
      <c r="T1057" s="325" t="s">
        <v>1462</v>
      </c>
      <c r="U1057" s="393"/>
      <c r="V1057" s="95"/>
      <c r="W1057" s="129"/>
      <c r="X1057" s="318"/>
      <c r="Y1057" s="95"/>
      <c r="Z1057" s="426"/>
      <c r="AA1057" s="129" t="str">
        <f t="shared" si="137"/>
        <v/>
      </c>
      <c r="AB1057" s="95"/>
      <c r="AC1057" s="426">
        <f t="shared" si="133"/>
        <v>13277.310924369749</v>
      </c>
      <c r="AD1057" s="129">
        <f t="shared" si="134"/>
        <v>2522.689075630251</v>
      </c>
      <c r="AE1057" s="95" t="s">
        <v>1501</v>
      </c>
      <c r="AF1057" s="595" t="s">
        <v>3489</v>
      </c>
      <c r="AG1057" s="95" t="str">
        <f t="shared" si="135"/>
        <v>SI</v>
      </c>
      <c r="AH1057" s="284"/>
      <c r="AI1057" s="595"/>
      <c r="AJ1057" s="95" t="str">
        <f t="shared" si="136"/>
        <v>NV</v>
      </c>
      <c r="AK1057" s="303"/>
    </row>
    <row r="1058" spans="1:37" x14ac:dyDescent="0.25">
      <c r="A1058" s="596" t="s">
        <v>1320</v>
      </c>
      <c r="B1058" s="317" t="s">
        <v>3394</v>
      </c>
      <c r="C1058" s="95">
        <v>0</v>
      </c>
      <c r="D1058" s="95">
        <v>3035</v>
      </c>
      <c r="E1058" s="95"/>
      <c r="F1058" s="95"/>
      <c r="G1058" s="95">
        <v>6727</v>
      </c>
      <c r="H1058" s="138">
        <v>57100</v>
      </c>
      <c r="I1058" s="138"/>
      <c r="J1058" s="502">
        <f t="shared" si="130"/>
        <v>57100</v>
      </c>
      <c r="K1058" s="318">
        <v>43906</v>
      </c>
      <c r="L1058" s="95">
        <v>0</v>
      </c>
      <c r="M1058" s="313">
        <f t="shared" si="131"/>
        <v>43906</v>
      </c>
      <c r="N1058" s="95" t="str">
        <f t="shared" si="132"/>
        <v>Pagado</v>
      </c>
      <c r="O1058" s="318">
        <v>43906</v>
      </c>
      <c r="P1058" s="138">
        <v>57100</v>
      </c>
      <c r="Q1058" s="95" t="s">
        <v>1484</v>
      </c>
      <c r="R1058" s="95"/>
      <c r="S1058" s="95"/>
      <c r="T1058" s="325" t="s">
        <v>1496</v>
      </c>
      <c r="U1058" s="393"/>
      <c r="V1058" s="95"/>
      <c r="W1058" s="129"/>
      <c r="X1058" s="318"/>
      <c r="Y1058" s="95"/>
      <c r="Z1058" s="426"/>
      <c r="AA1058" s="129" t="str">
        <f t="shared" si="137"/>
        <v/>
      </c>
      <c r="AB1058" s="95"/>
      <c r="AC1058" s="426">
        <f t="shared" si="133"/>
        <v>47983.193277310929</v>
      </c>
      <c r="AD1058" s="129">
        <f t="shared" si="134"/>
        <v>9116.8067226890707</v>
      </c>
      <c r="AE1058" s="95" t="s">
        <v>1501</v>
      </c>
      <c r="AF1058" s="595" t="s">
        <v>3489</v>
      </c>
      <c r="AG1058" s="95" t="str">
        <f t="shared" si="135"/>
        <v>SI</v>
      </c>
      <c r="AH1058" s="284"/>
      <c r="AI1058" s="595"/>
      <c r="AJ1058" s="95" t="str">
        <f t="shared" si="136"/>
        <v>NV</v>
      </c>
      <c r="AK1058" s="303"/>
    </row>
    <row r="1059" spans="1:37" x14ac:dyDescent="0.25">
      <c r="A1059" s="596" t="s">
        <v>1250</v>
      </c>
      <c r="B1059" s="317" t="s">
        <v>3398</v>
      </c>
      <c r="C1059" s="95">
        <v>0</v>
      </c>
      <c r="D1059" s="95">
        <v>3034</v>
      </c>
      <c r="E1059" s="95"/>
      <c r="F1059" s="95"/>
      <c r="G1059" s="95">
        <v>6728</v>
      </c>
      <c r="H1059" s="138">
        <v>27300</v>
      </c>
      <c r="I1059" s="138"/>
      <c r="J1059" s="502">
        <f t="shared" si="130"/>
        <v>27300</v>
      </c>
      <c r="K1059" s="318">
        <v>43906</v>
      </c>
      <c r="L1059" s="95">
        <v>0</v>
      </c>
      <c r="M1059" s="313">
        <f t="shared" si="131"/>
        <v>43906</v>
      </c>
      <c r="N1059" s="95" t="str">
        <f t="shared" si="132"/>
        <v>Pagado</v>
      </c>
      <c r="O1059" s="318">
        <v>43908</v>
      </c>
      <c r="P1059" s="138">
        <v>27300</v>
      </c>
      <c r="Q1059" s="95" t="s">
        <v>1484</v>
      </c>
      <c r="R1059" s="95"/>
      <c r="S1059" s="95"/>
      <c r="T1059" s="325" t="s">
        <v>1488</v>
      </c>
      <c r="U1059" s="393"/>
      <c r="V1059" s="95"/>
      <c r="W1059" s="129"/>
      <c r="X1059" s="318"/>
      <c r="Y1059" s="95"/>
      <c r="Z1059" s="426"/>
      <c r="AA1059" s="129" t="str">
        <f t="shared" si="137"/>
        <v/>
      </c>
      <c r="AB1059" s="95"/>
      <c r="AC1059" s="426">
        <f t="shared" si="133"/>
        <v>22941.176470588238</v>
      </c>
      <c r="AD1059" s="129">
        <f t="shared" si="134"/>
        <v>4358.8235294117621</v>
      </c>
      <c r="AE1059" s="95" t="s">
        <v>1501</v>
      </c>
      <c r="AF1059" s="595" t="s">
        <v>3489</v>
      </c>
      <c r="AG1059" s="95" t="str">
        <f t="shared" si="135"/>
        <v>SI</v>
      </c>
      <c r="AH1059" s="284"/>
      <c r="AI1059" s="595"/>
      <c r="AJ1059" s="95" t="str">
        <f t="shared" si="136"/>
        <v>NV</v>
      </c>
      <c r="AK1059" s="303"/>
    </row>
    <row r="1060" spans="1:37" x14ac:dyDescent="0.25">
      <c r="A1060" s="596" t="s">
        <v>1233</v>
      </c>
      <c r="B1060" s="317" t="s">
        <v>1046</v>
      </c>
      <c r="C1060" s="95">
        <v>0</v>
      </c>
      <c r="D1060" s="95">
        <v>0</v>
      </c>
      <c r="E1060" s="95"/>
      <c r="F1060" s="95"/>
      <c r="G1060" s="95">
        <v>6729</v>
      </c>
      <c r="H1060" s="138">
        <v>80266</v>
      </c>
      <c r="I1060" s="138"/>
      <c r="J1060" s="502">
        <f t="shared" si="130"/>
        <v>80266</v>
      </c>
      <c r="K1060" s="318">
        <v>43906</v>
      </c>
      <c r="L1060" s="95">
        <v>0</v>
      </c>
      <c r="M1060" s="313">
        <f t="shared" si="131"/>
        <v>43906</v>
      </c>
      <c r="N1060" s="95" t="str">
        <f t="shared" si="132"/>
        <v>Pagado</v>
      </c>
      <c r="O1060" s="318">
        <v>43909</v>
      </c>
      <c r="P1060" s="138">
        <v>80266</v>
      </c>
      <c r="Q1060" s="95" t="s">
        <v>1484</v>
      </c>
      <c r="R1060" s="95"/>
      <c r="S1060" s="95"/>
      <c r="T1060" s="325" t="s">
        <v>1492</v>
      </c>
      <c r="U1060" s="393"/>
      <c r="V1060" s="95"/>
      <c r="W1060" s="129"/>
      <c r="X1060" s="318"/>
      <c r="Y1060" s="95"/>
      <c r="Z1060" s="426"/>
      <c r="AA1060" s="129" t="str">
        <f t="shared" si="137"/>
        <v/>
      </c>
      <c r="AB1060" s="95"/>
      <c r="AC1060" s="426">
        <f t="shared" si="133"/>
        <v>67450.420168067227</v>
      </c>
      <c r="AD1060" s="129">
        <f t="shared" si="134"/>
        <v>12815.579831932773</v>
      </c>
      <c r="AE1060" s="95" t="s">
        <v>1501</v>
      </c>
      <c r="AF1060" s="595" t="s">
        <v>3489</v>
      </c>
      <c r="AG1060" s="95" t="str">
        <f t="shared" si="135"/>
        <v>SI</v>
      </c>
      <c r="AH1060" s="284"/>
      <c r="AI1060" s="595"/>
      <c r="AJ1060" s="95" t="str">
        <f t="shared" si="136"/>
        <v>NV</v>
      </c>
      <c r="AK1060" s="303"/>
    </row>
    <row r="1061" spans="1:37" x14ac:dyDescent="0.25">
      <c r="A1061" s="596" t="s">
        <v>5443</v>
      </c>
      <c r="B1061" s="317" t="s">
        <v>5909</v>
      </c>
      <c r="C1061" s="95">
        <v>0</v>
      </c>
      <c r="D1061" s="95">
        <v>3041</v>
      </c>
      <c r="E1061" s="95"/>
      <c r="F1061" s="95"/>
      <c r="G1061" s="95">
        <v>6730</v>
      </c>
      <c r="H1061" s="138">
        <v>19000</v>
      </c>
      <c r="I1061" s="138"/>
      <c r="J1061" s="502">
        <f t="shared" si="130"/>
        <v>19000</v>
      </c>
      <c r="K1061" s="318">
        <v>43906</v>
      </c>
      <c r="L1061" s="95">
        <v>0</v>
      </c>
      <c r="M1061" s="313">
        <f t="shared" si="131"/>
        <v>43906</v>
      </c>
      <c r="N1061" s="95" t="str">
        <f t="shared" si="132"/>
        <v>Pagado</v>
      </c>
      <c r="O1061" s="318">
        <v>43907</v>
      </c>
      <c r="P1061" s="138">
        <v>19000</v>
      </c>
      <c r="Q1061" s="95" t="s">
        <v>1484</v>
      </c>
      <c r="R1061" s="95"/>
      <c r="S1061" s="95"/>
      <c r="T1061" s="325" t="s">
        <v>1493</v>
      </c>
      <c r="U1061" s="393"/>
      <c r="V1061" s="95"/>
      <c r="W1061" s="129"/>
      <c r="X1061" s="318"/>
      <c r="Y1061" s="95"/>
      <c r="Z1061" s="426"/>
      <c r="AA1061" s="129" t="str">
        <f t="shared" si="137"/>
        <v/>
      </c>
      <c r="AB1061" s="95"/>
      <c r="AC1061" s="426">
        <f t="shared" si="133"/>
        <v>15966.386554621849</v>
      </c>
      <c r="AD1061" s="129">
        <f t="shared" si="134"/>
        <v>3033.6134453781506</v>
      </c>
      <c r="AE1061" s="95" t="s">
        <v>1501</v>
      </c>
      <c r="AF1061" s="595" t="s">
        <v>3487</v>
      </c>
      <c r="AG1061" s="95" t="str">
        <f t="shared" si="135"/>
        <v>SI</v>
      </c>
      <c r="AH1061" s="284"/>
      <c r="AI1061" s="595"/>
      <c r="AJ1061" s="95" t="str">
        <f t="shared" si="136"/>
        <v>NV</v>
      </c>
      <c r="AK1061" s="303"/>
    </row>
    <row r="1062" spans="1:37" x14ac:dyDescent="0.25">
      <c r="A1062" s="270" t="s">
        <v>4713</v>
      </c>
      <c r="B1062" s="317" t="s">
        <v>4714</v>
      </c>
      <c r="C1062" s="2">
        <v>3172</v>
      </c>
      <c r="D1062" s="2">
        <v>0</v>
      </c>
      <c r="E1062" s="2"/>
      <c r="F1062" s="2"/>
      <c r="G1062" s="2" t="s">
        <v>2528</v>
      </c>
      <c r="H1062" s="293">
        <v>709382</v>
      </c>
      <c r="I1062" s="293"/>
      <c r="J1062" s="126">
        <f t="shared" si="130"/>
        <v>709382</v>
      </c>
      <c r="K1062" s="310">
        <v>43908</v>
      </c>
      <c r="L1062" s="2">
        <v>30</v>
      </c>
      <c r="M1062" s="313">
        <f t="shared" si="131"/>
        <v>43938</v>
      </c>
      <c r="N1062" s="2" t="str">
        <f t="shared" si="132"/>
        <v>Pagado</v>
      </c>
      <c r="O1062" s="310">
        <v>43908</v>
      </c>
      <c r="P1062" s="293">
        <v>709382</v>
      </c>
      <c r="Q1062" s="2" t="s">
        <v>2132</v>
      </c>
      <c r="R1062" s="2"/>
      <c r="S1062" s="2">
        <v>4591692</v>
      </c>
      <c r="T1062" s="326" t="s">
        <v>1492</v>
      </c>
      <c r="U1062" s="392">
        <v>43908</v>
      </c>
      <c r="V1062" s="2">
        <v>1859692</v>
      </c>
      <c r="W1062" s="108">
        <v>709382</v>
      </c>
      <c r="X1062" s="310">
        <v>43909</v>
      </c>
      <c r="Y1062" s="2" t="s">
        <v>1488</v>
      </c>
      <c r="Z1062" s="131"/>
      <c r="AA1062" s="108" t="str">
        <f t="shared" si="137"/>
        <v>Otros</v>
      </c>
      <c r="AB1062" s="2"/>
      <c r="AC1062" s="131">
        <f t="shared" si="133"/>
        <v>596119.32773109246</v>
      </c>
      <c r="AD1062" s="108">
        <f t="shared" si="134"/>
        <v>113262.67226890754</v>
      </c>
      <c r="AE1062" s="2" t="s">
        <v>2050</v>
      </c>
      <c r="AF1062" s="23" t="s">
        <v>3490</v>
      </c>
      <c r="AG1062" s="2" t="str">
        <f t="shared" si="135"/>
        <v>SI</v>
      </c>
      <c r="AH1062" s="14"/>
      <c r="AI1062" s="23"/>
      <c r="AJ1062" s="2" t="str">
        <f t="shared" si="136"/>
        <v>Factura</v>
      </c>
      <c r="AK1062" s="294"/>
    </row>
    <row r="1063" spans="1:37" x14ac:dyDescent="0.25">
      <c r="A1063" s="596" t="s">
        <v>1179</v>
      </c>
      <c r="B1063" s="317" t="s">
        <v>952</v>
      </c>
      <c r="C1063" s="95">
        <v>3171</v>
      </c>
      <c r="D1063" s="95">
        <v>0</v>
      </c>
      <c r="E1063" s="95"/>
      <c r="F1063" s="95"/>
      <c r="G1063" s="95" t="s">
        <v>2528</v>
      </c>
      <c r="H1063" s="138">
        <v>100000</v>
      </c>
      <c r="I1063" s="138"/>
      <c r="J1063" s="126">
        <f t="shared" si="130"/>
        <v>100000</v>
      </c>
      <c r="K1063" s="318">
        <v>43908</v>
      </c>
      <c r="L1063" s="95">
        <v>7</v>
      </c>
      <c r="M1063" s="313">
        <f t="shared" si="131"/>
        <v>43915</v>
      </c>
      <c r="N1063" s="95" t="str">
        <f t="shared" si="132"/>
        <v>Pagado</v>
      </c>
      <c r="O1063" s="318">
        <v>43916</v>
      </c>
      <c r="P1063" s="138">
        <v>100000</v>
      </c>
      <c r="Q1063" s="95" t="s">
        <v>1481</v>
      </c>
      <c r="R1063" s="95"/>
      <c r="S1063" s="95"/>
      <c r="T1063" s="325"/>
      <c r="U1063" s="393"/>
      <c r="V1063" s="95"/>
      <c r="W1063" s="129"/>
      <c r="X1063" s="318"/>
      <c r="Y1063" s="95"/>
      <c r="Z1063" s="426"/>
      <c r="AA1063" s="129" t="str">
        <f t="shared" si="137"/>
        <v/>
      </c>
      <c r="AB1063" s="95"/>
      <c r="AC1063" s="426">
        <f t="shared" si="133"/>
        <v>84033.613445378156</v>
      </c>
      <c r="AD1063" s="129">
        <f t="shared" si="134"/>
        <v>15966.386554621844</v>
      </c>
      <c r="AE1063" s="95" t="s">
        <v>2050</v>
      </c>
      <c r="AF1063" s="595" t="s">
        <v>3490</v>
      </c>
      <c r="AG1063" s="95" t="str">
        <f t="shared" si="135"/>
        <v>SI</v>
      </c>
      <c r="AH1063" s="284"/>
      <c r="AI1063" s="595"/>
      <c r="AJ1063" s="95" t="str">
        <f t="shared" si="136"/>
        <v>Factura</v>
      </c>
      <c r="AK1063" s="303"/>
    </row>
    <row r="1064" spans="1:37" x14ac:dyDescent="0.25">
      <c r="A1064" s="625" t="s">
        <v>1179</v>
      </c>
      <c r="B1064" s="317" t="s">
        <v>952</v>
      </c>
      <c r="C1064" s="95">
        <v>3171</v>
      </c>
      <c r="D1064" s="95">
        <v>0</v>
      </c>
      <c r="E1064" s="95"/>
      <c r="F1064" s="95"/>
      <c r="G1064" s="95"/>
      <c r="H1064" s="138">
        <v>65681</v>
      </c>
      <c r="I1064" s="138"/>
      <c r="J1064" s="502">
        <f t="shared" si="130"/>
        <v>65681</v>
      </c>
      <c r="K1064" s="318">
        <v>43908</v>
      </c>
      <c r="L1064" s="95">
        <v>7</v>
      </c>
      <c r="M1064" s="313">
        <f t="shared" si="131"/>
        <v>43915</v>
      </c>
      <c r="N1064" s="95" t="str">
        <f t="shared" si="132"/>
        <v>Pagado</v>
      </c>
      <c r="O1064" s="318">
        <v>43923</v>
      </c>
      <c r="P1064" s="138">
        <v>65681</v>
      </c>
      <c r="Q1064" s="95" t="s">
        <v>1481</v>
      </c>
      <c r="R1064" s="95"/>
      <c r="S1064" s="95"/>
      <c r="T1064" s="325"/>
      <c r="U1064" s="393"/>
      <c r="V1064" s="95"/>
      <c r="W1064" s="129"/>
      <c r="X1064" s="318"/>
      <c r="Y1064" s="95"/>
      <c r="Z1064" s="426"/>
      <c r="AA1064" s="129" t="str">
        <f t="shared" si="137"/>
        <v/>
      </c>
      <c r="AB1064" s="95"/>
      <c r="AC1064" s="426">
        <f t="shared" si="133"/>
        <v>55194.117647058825</v>
      </c>
      <c r="AD1064" s="129">
        <f t="shared" si="134"/>
        <v>10486.882352941175</v>
      </c>
      <c r="AE1064" s="95"/>
      <c r="AF1064" s="624"/>
      <c r="AG1064" s="95" t="str">
        <f t="shared" si="135"/>
        <v>SI</v>
      </c>
      <c r="AH1064" s="284"/>
      <c r="AI1064" s="624"/>
      <c r="AJ1064" s="95" t="str">
        <f t="shared" si="136"/>
        <v>Factura</v>
      </c>
      <c r="AK1064" s="303"/>
    </row>
    <row r="1065" spans="1:37" x14ac:dyDescent="0.25">
      <c r="A1065" s="596" t="s">
        <v>1175</v>
      </c>
      <c r="B1065" s="317" t="s">
        <v>1144</v>
      </c>
      <c r="C1065" s="95">
        <v>3175</v>
      </c>
      <c r="D1065" s="95">
        <v>0</v>
      </c>
      <c r="E1065" s="95">
        <v>304</v>
      </c>
      <c r="F1065" s="95"/>
      <c r="G1065" s="95" t="s">
        <v>2528</v>
      </c>
      <c r="H1065" s="138">
        <v>379205</v>
      </c>
      <c r="I1065" s="138">
        <v>-33864</v>
      </c>
      <c r="J1065" s="502">
        <f t="shared" si="130"/>
        <v>345341</v>
      </c>
      <c r="K1065" s="318">
        <v>43908</v>
      </c>
      <c r="L1065" s="95">
        <v>30</v>
      </c>
      <c r="M1065" s="313">
        <f t="shared" si="131"/>
        <v>43938</v>
      </c>
      <c r="N1065" s="95" t="str">
        <f t="shared" ca="1" si="132"/>
        <v>Vencido</v>
      </c>
      <c r="O1065" s="318"/>
      <c r="P1065" s="138"/>
      <c r="Q1065" s="95"/>
      <c r="R1065" s="95"/>
      <c r="S1065" s="95"/>
      <c r="T1065" s="325"/>
      <c r="U1065" s="393"/>
      <c r="V1065" s="95"/>
      <c r="W1065" s="129"/>
      <c r="X1065" s="318"/>
      <c r="Y1065" s="95"/>
      <c r="Z1065" s="426"/>
      <c r="AA1065" s="129" t="str">
        <f t="shared" si="137"/>
        <v/>
      </c>
      <c r="AB1065" s="95"/>
      <c r="AC1065" s="426">
        <f t="shared" si="133"/>
        <v>318659.66386554623</v>
      </c>
      <c r="AD1065" s="129">
        <f t="shared" si="134"/>
        <v>60545.33613445377</v>
      </c>
      <c r="AE1065" s="95" t="s">
        <v>2050</v>
      </c>
      <c r="AF1065" s="595" t="s">
        <v>3490</v>
      </c>
      <c r="AG1065" s="95" t="str">
        <f t="shared" ca="1" si="135"/>
        <v>NO</v>
      </c>
      <c r="AH1065" s="284"/>
      <c r="AI1065" s="595"/>
      <c r="AJ1065" s="95" t="str">
        <f t="shared" si="136"/>
        <v>Factura</v>
      </c>
      <c r="AK1065" s="303"/>
    </row>
    <row r="1066" spans="1:37" x14ac:dyDescent="0.25">
      <c r="A1066" s="596" t="s">
        <v>1175</v>
      </c>
      <c r="B1066" s="317" t="s">
        <v>1144</v>
      </c>
      <c r="C1066" s="95">
        <v>3173</v>
      </c>
      <c r="D1066" s="95">
        <v>0</v>
      </c>
      <c r="E1066" s="95"/>
      <c r="F1066" s="95"/>
      <c r="G1066" s="95" t="s">
        <v>2528</v>
      </c>
      <c r="H1066" s="138">
        <v>42101</v>
      </c>
      <c r="I1066" s="138"/>
      <c r="J1066" s="502">
        <f t="shared" si="130"/>
        <v>42101</v>
      </c>
      <c r="K1066" s="318">
        <v>43908</v>
      </c>
      <c r="L1066" s="95">
        <v>30</v>
      </c>
      <c r="M1066" s="313">
        <f t="shared" si="131"/>
        <v>43938</v>
      </c>
      <c r="N1066" s="95" t="str">
        <f t="shared" ca="1" si="132"/>
        <v>Vencido</v>
      </c>
      <c r="O1066" s="318"/>
      <c r="P1066" s="138"/>
      <c r="Q1066" s="95"/>
      <c r="R1066" s="95"/>
      <c r="S1066" s="95"/>
      <c r="T1066" s="325"/>
      <c r="U1066" s="393"/>
      <c r="V1066" s="95"/>
      <c r="W1066" s="129"/>
      <c r="X1066" s="318"/>
      <c r="Y1066" s="95"/>
      <c r="Z1066" s="426"/>
      <c r="AA1066" s="129" t="str">
        <f t="shared" si="137"/>
        <v/>
      </c>
      <c r="AB1066" s="95"/>
      <c r="AC1066" s="426">
        <f t="shared" si="133"/>
        <v>35378.991596638654</v>
      </c>
      <c r="AD1066" s="129">
        <f t="shared" si="134"/>
        <v>6722.0084033613457</v>
      </c>
      <c r="AE1066" s="95" t="s">
        <v>2050</v>
      </c>
      <c r="AF1066" s="595" t="s">
        <v>3490</v>
      </c>
      <c r="AG1066" s="95" t="str">
        <f t="shared" ca="1" si="135"/>
        <v>NO</v>
      </c>
      <c r="AH1066" s="284"/>
      <c r="AI1066" s="595"/>
      <c r="AJ1066" s="95" t="str">
        <f t="shared" si="136"/>
        <v>Factura</v>
      </c>
      <c r="AK1066" s="303"/>
    </row>
    <row r="1067" spans="1:37" x14ac:dyDescent="0.25">
      <c r="A1067" s="596" t="s">
        <v>1175</v>
      </c>
      <c r="B1067" s="317" t="s">
        <v>1144</v>
      </c>
      <c r="C1067" s="95">
        <v>3174</v>
      </c>
      <c r="D1067" s="95">
        <v>0</v>
      </c>
      <c r="E1067" s="95"/>
      <c r="F1067" s="95"/>
      <c r="G1067" s="95" t="s">
        <v>2528</v>
      </c>
      <c r="H1067" s="138">
        <v>218735</v>
      </c>
      <c r="I1067" s="138"/>
      <c r="J1067" s="502">
        <f t="shared" si="130"/>
        <v>218735</v>
      </c>
      <c r="K1067" s="318">
        <v>43908</v>
      </c>
      <c r="L1067" s="95">
        <v>30</v>
      </c>
      <c r="M1067" s="313">
        <f t="shared" si="131"/>
        <v>43938</v>
      </c>
      <c r="N1067" s="95" t="str">
        <f t="shared" ca="1" si="132"/>
        <v>Vencido</v>
      </c>
      <c r="O1067" s="318"/>
      <c r="P1067" s="138"/>
      <c r="Q1067" s="95"/>
      <c r="R1067" s="95"/>
      <c r="S1067" s="95"/>
      <c r="T1067" s="325"/>
      <c r="U1067" s="393"/>
      <c r="V1067" s="95"/>
      <c r="W1067" s="129"/>
      <c r="X1067" s="318"/>
      <c r="Y1067" s="95"/>
      <c r="Z1067" s="426"/>
      <c r="AA1067" s="129" t="str">
        <f t="shared" si="137"/>
        <v/>
      </c>
      <c r="AB1067" s="95"/>
      <c r="AC1067" s="426">
        <f t="shared" si="133"/>
        <v>183810.9243697479</v>
      </c>
      <c r="AD1067" s="129">
        <f t="shared" si="134"/>
        <v>34924.075630252104</v>
      </c>
      <c r="AE1067" s="95" t="s">
        <v>2050</v>
      </c>
      <c r="AF1067" s="595" t="s">
        <v>3490</v>
      </c>
      <c r="AG1067" s="95" t="str">
        <f t="shared" ca="1" si="135"/>
        <v>NO</v>
      </c>
      <c r="AH1067" s="284"/>
      <c r="AI1067" s="595"/>
      <c r="AJ1067" s="95" t="str">
        <f t="shared" si="136"/>
        <v>Factura</v>
      </c>
      <c r="AK1067" s="303"/>
    </row>
    <row r="1068" spans="1:37" x14ac:dyDescent="0.25">
      <c r="A1068" s="596" t="s">
        <v>1175</v>
      </c>
      <c r="B1068" s="317" t="s">
        <v>1144</v>
      </c>
      <c r="C1068" s="95">
        <v>3178</v>
      </c>
      <c r="D1068" s="95">
        <v>0</v>
      </c>
      <c r="E1068" s="95">
        <v>306</v>
      </c>
      <c r="F1068" s="95"/>
      <c r="G1068" s="95" t="s">
        <v>2528</v>
      </c>
      <c r="H1068" s="138">
        <v>194273</v>
      </c>
      <c r="I1068" s="138">
        <v>-59300</v>
      </c>
      <c r="J1068" s="502">
        <f t="shared" si="130"/>
        <v>134973</v>
      </c>
      <c r="K1068" s="318">
        <v>43916</v>
      </c>
      <c r="L1068" s="95">
        <v>30</v>
      </c>
      <c r="M1068" s="313">
        <f t="shared" si="131"/>
        <v>43946</v>
      </c>
      <c r="N1068" s="95" t="str">
        <f t="shared" ca="1" si="132"/>
        <v>Vencido</v>
      </c>
      <c r="O1068" s="318"/>
      <c r="P1068" s="138"/>
      <c r="Q1068" s="95"/>
      <c r="R1068" s="95"/>
      <c r="S1068" s="95"/>
      <c r="T1068" s="325"/>
      <c r="U1068" s="393"/>
      <c r="V1068" s="95"/>
      <c r="W1068" s="129"/>
      <c r="X1068" s="318"/>
      <c r="Y1068" s="95"/>
      <c r="Z1068" s="426"/>
      <c r="AA1068" s="129" t="str">
        <f t="shared" si="137"/>
        <v/>
      </c>
      <c r="AB1068" s="95"/>
      <c r="AC1068" s="426">
        <f t="shared" si="133"/>
        <v>163254.62184873951</v>
      </c>
      <c r="AD1068" s="129">
        <f t="shared" si="134"/>
        <v>31018.378151260491</v>
      </c>
      <c r="AE1068" s="95" t="s">
        <v>2050</v>
      </c>
      <c r="AF1068" s="595" t="s">
        <v>3490</v>
      </c>
      <c r="AG1068" s="95" t="str">
        <f t="shared" ca="1" si="135"/>
        <v>NO</v>
      </c>
      <c r="AH1068" s="284"/>
      <c r="AI1068" s="595"/>
      <c r="AJ1068" s="95" t="str">
        <f t="shared" si="136"/>
        <v>Factura</v>
      </c>
      <c r="AK1068" s="303"/>
    </row>
    <row r="1069" spans="1:37" x14ac:dyDescent="0.25">
      <c r="A1069" s="596" t="s">
        <v>1179</v>
      </c>
      <c r="B1069" s="317" t="s">
        <v>952</v>
      </c>
      <c r="C1069" s="95">
        <v>3177</v>
      </c>
      <c r="D1069" s="95">
        <v>0</v>
      </c>
      <c r="E1069" s="95"/>
      <c r="F1069" s="95"/>
      <c r="G1069" s="95" t="s">
        <v>2528</v>
      </c>
      <c r="H1069" s="138">
        <v>34319</v>
      </c>
      <c r="I1069" s="138"/>
      <c r="J1069" s="502">
        <f t="shared" si="130"/>
        <v>34319</v>
      </c>
      <c r="K1069" s="318">
        <v>43916</v>
      </c>
      <c r="L1069" s="95">
        <v>7</v>
      </c>
      <c r="M1069" s="313">
        <f t="shared" si="131"/>
        <v>43923</v>
      </c>
      <c r="N1069" s="95" t="str">
        <f t="shared" si="132"/>
        <v>Pagado</v>
      </c>
      <c r="O1069" s="318">
        <v>43923</v>
      </c>
      <c r="P1069" s="138">
        <v>34319</v>
      </c>
      <c r="Q1069" s="95" t="s">
        <v>1481</v>
      </c>
      <c r="R1069" s="95"/>
      <c r="S1069" s="95"/>
      <c r="T1069" s="325"/>
      <c r="U1069" s="393"/>
      <c r="V1069" s="95"/>
      <c r="W1069" s="129"/>
      <c r="X1069" s="318"/>
      <c r="Y1069" s="95"/>
      <c r="Z1069" s="426"/>
      <c r="AA1069" s="129" t="str">
        <f t="shared" si="137"/>
        <v/>
      </c>
      <c r="AB1069" s="95"/>
      <c r="AC1069" s="426">
        <f t="shared" si="133"/>
        <v>28839.495798319331</v>
      </c>
      <c r="AD1069" s="129">
        <f t="shared" si="134"/>
        <v>5479.5042016806692</v>
      </c>
      <c r="AE1069" s="95" t="s">
        <v>2050</v>
      </c>
      <c r="AF1069" s="595" t="s">
        <v>3490</v>
      </c>
      <c r="AG1069" s="95" t="str">
        <f t="shared" si="135"/>
        <v>SI</v>
      </c>
      <c r="AH1069" s="284"/>
      <c r="AI1069" s="595"/>
      <c r="AJ1069" s="95" t="str">
        <f t="shared" si="136"/>
        <v>Factura</v>
      </c>
      <c r="AK1069" s="303"/>
    </row>
    <row r="1070" spans="1:37" x14ac:dyDescent="0.25">
      <c r="A1070" s="625" t="s">
        <v>1179</v>
      </c>
      <c r="B1070" s="317" t="s">
        <v>952</v>
      </c>
      <c r="C1070" s="95">
        <v>3177</v>
      </c>
      <c r="D1070" s="95">
        <v>0</v>
      </c>
      <c r="E1070" s="95"/>
      <c r="F1070" s="95"/>
      <c r="G1070" s="95"/>
      <c r="H1070" s="138">
        <v>8996</v>
      </c>
      <c r="I1070" s="138"/>
      <c r="J1070" s="502">
        <f t="shared" si="130"/>
        <v>8996</v>
      </c>
      <c r="K1070" s="318">
        <v>43916</v>
      </c>
      <c r="L1070" s="95">
        <v>7</v>
      </c>
      <c r="M1070" s="326">
        <f t="shared" si="131"/>
        <v>43923</v>
      </c>
      <c r="N1070" s="95" t="str">
        <f t="shared" ca="1" si="132"/>
        <v>Vencido</v>
      </c>
      <c r="O1070" s="318"/>
      <c r="P1070" s="138"/>
      <c r="Q1070" s="95"/>
      <c r="R1070" s="95"/>
      <c r="S1070" s="95"/>
      <c r="T1070" s="325"/>
      <c r="U1070" s="393"/>
      <c r="V1070" s="95"/>
      <c r="W1070" s="129"/>
      <c r="X1070" s="318"/>
      <c r="Y1070" s="95"/>
      <c r="Z1070" s="426"/>
      <c r="AA1070" s="129" t="str">
        <f t="shared" si="137"/>
        <v/>
      </c>
      <c r="AB1070" s="95"/>
      <c r="AC1070" s="426">
        <f t="shared" si="133"/>
        <v>7559.6638655462184</v>
      </c>
      <c r="AD1070" s="129">
        <f t="shared" si="134"/>
        <v>1436.3361344537816</v>
      </c>
      <c r="AE1070" s="95"/>
      <c r="AF1070" s="624"/>
      <c r="AG1070" s="95" t="str">
        <f t="shared" ca="1" si="135"/>
        <v>NO</v>
      </c>
      <c r="AH1070" s="284"/>
      <c r="AI1070" s="624"/>
      <c r="AJ1070" s="95" t="str">
        <f t="shared" si="136"/>
        <v>Factura</v>
      </c>
      <c r="AK1070" s="303"/>
    </row>
    <row r="1071" spans="1:37" x14ac:dyDescent="0.25">
      <c r="A1071" s="596" t="s">
        <v>1259</v>
      </c>
      <c r="B1071" s="317" t="s">
        <v>2778</v>
      </c>
      <c r="C1071" s="95">
        <v>3180</v>
      </c>
      <c r="D1071" s="95">
        <v>0</v>
      </c>
      <c r="E1071" s="95"/>
      <c r="F1071" s="95"/>
      <c r="G1071" s="95" t="s">
        <v>2528</v>
      </c>
      <c r="H1071" s="138">
        <v>58001</v>
      </c>
      <c r="I1071" s="138"/>
      <c r="J1071" s="502">
        <f t="shared" si="130"/>
        <v>58001</v>
      </c>
      <c r="K1071" s="318">
        <v>43916</v>
      </c>
      <c r="L1071" s="95">
        <v>30</v>
      </c>
      <c r="M1071" s="313">
        <f t="shared" si="131"/>
        <v>43946</v>
      </c>
      <c r="N1071" s="95" t="str">
        <f t="shared" si="132"/>
        <v>Pagado</v>
      </c>
      <c r="O1071" s="318">
        <v>43916</v>
      </c>
      <c r="P1071" s="138">
        <v>58001</v>
      </c>
      <c r="Q1071" s="95" t="s">
        <v>2131</v>
      </c>
      <c r="R1071" s="95"/>
      <c r="S1071" s="95">
        <v>6411308</v>
      </c>
      <c r="T1071" s="325" t="s">
        <v>1488</v>
      </c>
      <c r="U1071" s="393">
        <v>43934</v>
      </c>
      <c r="V1071" s="95"/>
      <c r="W1071" s="129"/>
      <c r="X1071" s="318"/>
      <c r="Y1071" s="95"/>
      <c r="Z1071" s="426"/>
      <c r="AA1071" s="129" t="str">
        <f t="shared" si="137"/>
        <v>Chile</v>
      </c>
      <c r="AB1071" s="95"/>
      <c r="AC1071" s="426">
        <f t="shared" si="133"/>
        <v>48740.336134453784</v>
      </c>
      <c r="AD1071" s="129">
        <f t="shared" si="134"/>
        <v>9260.6638655462157</v>
      </c>
      <c r="AE1071" s="95" t="s">
        <v>2050</v>
      </c>
      <c r="AF1071" s="595" t="s">
        <v>3490</v>
      </c>
      <c r="AG1071" s="95" t="str">
        <f t="shared" si="135"/>
        <v>SI</v>
      </c>
      <c r="AH1071" s="284"/>
      <c r="AI1071" s="595"/>
      <c r="AJ1071" s="95" t="str">
        <f t="shared" si="136"/>
        <v>Factura</v>
      </c>
      <c r="AK1071" s="303"/>
    </row>
    <row r="1072" spans="1:37" x14ac:dyDescent="0.25">
      <c r="A1072" s="596" t="s">
        <v>1209</v>
      </c>
      <c r="B1072" s="317" t="s">
        <v>974</v>
      </c>
      <c r="C1072" s="95">
        <v>0</v>
      </c>
      <c r="D1072" s="95">
        <v>3089</v>
      </c>
      <c r="E1072" s="95"/>
      <c r="F1072" s="95"/>
      <c r="G1072" s="95">
        <v>6799</v>
      </c>
      <c r="H1072" s="138">
        <v>69600</v>
      </c>
      <c r="I1072" s="138"/>
      <c r="J1072" s="502">
        <f t="shared" si="130"/>
        <v>69600</v>
      </c>
      <c r="K1072" s="318">
        <v>43916</v>
      </c>
      <c r="L1072" s="95">
        <v>0</v>
      </c>
      <c r="M1072" s="313">
        <f t="shared" si="131"/>
        <v>43916</v>
      </c>
      <c r="N1072" s="95" t="str">
        <f t="shared" si="132"/>
        <v>Pagado</v>
      </c>
      <c r="O1072" s="318">
        <v>43920</v>
      </c>
      <c r="P1072" s="138">
        <v>69600</v>
      </c>
      <c r="Q1072" s="95" t="s">
        <v>1484</v>
      </c>
      <c r="R1072" s="95"/>
      <c r="S1072" s="95"/>
      <c r="T1072" s="325" t="s">
        <v>1490</v>
      </c>
      <c r="U1072" s="393"/>
      <c r="V1072" s="95"/>
      <c r="W1072" s="129"/>
      <c r="X1072" s="318"/>
      <c r="Y1072" s="95"/>
      <c r="Z1072" s="426"/>
      <c r="AA1072" s="129" t="str">
        <f t="shared" si="137"/>
        <v/>
      </c>
      <c r="AB1072" s="95"/>
      <c r="AC1072" s="426">
        <f t="shared" si="133"/>
        <v>58487.394957983197</v>
      </c>
      <c r="AD1072" s="129">
        <f t="shared" si="134"/>
        <v>11112.605042016803</v>
      </c>
      <c r="AE1072" s="95" t="s">
        <v>2050</v>
      </c>
      <c r="AF1072" s="595" t="s">
        <v>3487</v>
      </c>
      <c r="AG1072" s="95" t="str">
        <f t="shared" si="135"/>
        <v>SI</v>
      </c>
      <c r="AH1072" s="284"/>
      <c r="AI1072" s="595"/>
      <c r="AJ1072" s="95" t="str">
        <f t="shared" si="136"/>
        <v>NV</v>
      </c>
      <c r="AK1072" s="303"/>
    </row>
    <row r="1073" spans="1:37" x14ac:dyDescent="0.25">
      <c r="A1073" s="596" t="s">
        <v>4406</v>
      </c>
      <c r="B1073" s="317" t="s">
        <v>4407</v>
      </c>
      <c r="C1073" s="95">
        <v>0</v>
      </c>
      <c r="D1073" s="95" t="s">
        <v>2528</v>
      </c>
      <c r="E1073" s="95"/>
      <c r="F1073" s="95"/>
      <c r="G1073" s="95">
        <v>6798</v>
      </c>
      <c r="H1073" s="138">
        <v>76000</v>
      </c>
      <c r="I1073" s="138"/>
      <c r="J1073" s="502">
        <f t="shared" si="130"/>
        <v>76000</v>
      </c>
      <c r="K1073" s="318">
        <v>43918</v>
      </c>
      <c r="L1073" s="95">
        <v>0</v>
      </c>
      <c r="M1073" s="313">
        <f t="shared" si="131"/>
        <v>43918</v>
      </c>
      <c r="N1073" s="95" t="str">
        <f t="shared" si="132"/>
        <v>Pagado</v>
      </c>
      <c r="O1073" s="318">
        <v>43920</v>
      </c>
      <c r="P1073" s="138">
        <v>76000</v>
      </c>
      <c r="Q1073" s="95" t="s">
        <v>1484</v>
      </c>
      <c r="R1073" s="95"/>
      <c r="S1073" s="95"/>
      <c r="T1073" s="325"/>
      <c r="U1073" s="393"/>
      <c r="V1073" s="95"/>
      <c r="W1073" s="129"/>
      <c r="X1073" s="318"/>
      <c r="Y1073" s="95"/>
      <c r="Z1073" s="426"/>
      <c r="AA1073" s="129" t="str">
        <f t="shared" si="137"/>
        <v/>
      </c>
      <c r="AB1073" s="95"/>
      <c r="AC1073" s="426">
        <f t="shared" si="133"/>
        <v>63865.546218487398</v>
      </c>
      <c r="AD1073" s="129">
        <f t="shared" si="134"/>
        <v>12134.453781512602</v>
      </c>
      <c r="AE1073" s="95" t="s">
        <v>1445</v>
      </c>
      <c r="AF1073" s="595" t="s">
        <v>4409</v>
      </c>
      <c r="AG1073" s="95" t="str">
        <f t="shared" si="135"/>
        <v>SI</v>
      </c>
      <c r="AH1073" s="284"/>
      <c r="AI1073" s="595"/>
      <c r="AJ1073" s="95" t="str">
        <f t="shared" si="136"/>
        <v>NV</v>
      </c>
      <c r="AK1073" s="303"/>
    </row>
    <row r="1074" spans="1:37" x14ac:dyDescent="0.25">
      <c r="A1074" s="603" t="s">
        <v>1207</v>
      </c>
      <c r="B1074" s="317" t="s">
        <v>963</v>
      </c>
      <c r="C1074" s="95">
        <v>3181</v>
      </c>
      <c r="D1074" s="95">
        <v>0</v>
      </c>
      <c r="E1074" s="95"/>
      <c r="F1074" s="95"/>
      <c r="G1074" s="95" t="s">
        <v>2528</v>
      </c>
      <c r="H1074" s="138">
        <v>38651</v>
      </c>
      <c r="I1074" s="138"/>
      <c r="J1074" s="502">
        <f t="shared" si="130"/>
        <v>38651</v>
      </c>
      <c r="K1074" s="318">
        <v>43918</v>
      </c>
      <c r="L1074" s="95">
        <v>0</v>
      </c>
      <c r="M1074" s="313">
        <f t="shared" si="131"/>
        <v>43918</v>
      </c>
      <c r="N1074" s="95" t="str">
        <f t="shared" si="132"/>
        <v>Pagado</v>
      </c>
      <c r="O1074" s="318">
        <v>43918</v>
      </c>
      <c r="P1074" s="138">
        <v>38651</v>
      </c>
      <c r="Q1074" s="95" t="s">
        <v>1481</v>
      </c>
      <c r="R1074" s="95"/>
      <c r="S1074" s="95"/>
      <c r="T1074" s="325"/>
      <c r="U1074" s="393"/>
      <c r="V1074" s="95"/>
      <c r="W1074" s="129"/>
      <c r="X1074" s="318"/>
      <c r="Y1074" s="95"/>
      <c r="Z1074" s="426"/>
      <c r="AA1074" s="129" t="str">
        <f t="shared" si="137"/>
        <v/>
      </c>
      <c r="AB1074" s="95"/>
      <c r="AC1074" s="426">
        <f t="shared" si="133"/>
        <v>32479.831932773111</v>
      </c>
      <c r="AD1074" s="129">
        <f t="shared" si="134"/>
        <v>6171.1680672268885</v>
      </c>
      <c r="AE1074" s="95" t="s">
        <v>1445</v>
      </c>
      <c r="AF1074" s="602" t="s">
        <v>3490</v>
      </c>
      <c r="AG1074" s="95" t="str">
        <f t="shared" si="135"/>
        <v>SI</v>
      </c>
      <c r="AH1074" s="284"/>
      <c r="AI1074" s="602"/>
      <c r="AJ1074" s="95" t="str">
        <f t="shared" si="136"/>
        <v>Factura</v>
      </c>
      <c r="AK1074" s="303"/>
    </row>
    <row r="1075" spans="1:37" x14ac:dyDescent="0.25">
      <c r="A1075" s="603" t="s">
        <v>1189</v>
      </c>
      <c r="B1075" s="317" t="s">
        <v>940</v>
      </c>
      <c r="C1075" s="95">
        <v>3183</v>
      </c>
      <c r="D1075" s="95">
        <v>0</v>
      </c>
      <c r="E1075" s="95"/>
      <c r="F1075" s="95"/>
      <c r="G1075" s="95" t="s">
        <v>2528</v>
      </c>
      <c r="H1075" s="138">
        <v>122432</v>
      </c>
      <c r="I1075" s="138"/>
      <c r="J1075" s="502">
        <f t="shared" si="130"/>
        <v>122432</v>
      </c>
      <c r="K1075" s="318">
        <v>43920</v>
      </c>
      <c r="L1075" s="95">
        <v>0</v>
      </c>
      <c r="M1075" s="313">
        <f t="shared" si="131"/>
        <v>43920</v>
      </c>
      <c r="N1075" s="95" t="str">
        <f t="shared" si="132"/>
        <v>Pagado</v>
      </c>
      <c r="O1075" s="318">
        <v>43906</v>
      </c>
      <c r="P1075" s="138">
        <v>122432</v>
      </c>
      <c r="Q1075" s="95" t="s">
        <v>1481</v>
      </c>
      <c r="R1075" s="95"/>
      <c r="S1075" s="95"/>
      <c r="T1075" s="325"/>
      <c r="U1075" s="393"/>
      <c r="V1075" s="95"/>
      <c r="W1075" s="129"/>
      <c r="X1075" s="318"/>
      <c r="Y1075" s="95"/>
      <c r="Z1075" s="426"/>
      <c r="AA1075" s="129" t="str">
        <f t="shared" si="137"/>
        <v/>
      </c>
      <c r="AB1075" s="95"/>
      <c r="AC1075" s="426">
        <f t="shared" si="133"/>
        <v>102884.03361344538</v>
      </c>
      <c r="AD1075" s="129">
        <f t="shared" si="134"/>
        <v>19547.966386554617</v>
      </c>
      <c r="AE1075" s="95" t="s">
        <v>1445</v>
      </c>
      <c r="AF1075" s="602" t="s">
        <v>3490</v>
      </c>
      <c r="AG1075" s="95" t="str">
        <f t="shared" si="135"/>
        <v>SI</v>
      </c>
      <c r="AH1075" s="284"/>
      <c r="AI1075" s="602"/>
      <c r="AJ1075" s="95" t="str">
        <f t="shared" si="136"/>
        <v>Factura</v>
      </c>
      <c r="AK1075" s="303"/>
    </row>
    <row r="1076" spans="1:37" x14ac:dyDescent="0.25">
      <c r="A1076" s="621" t="s">
        <v>5409</v>
      </c>
      <c r="B1076" s="317" t="s">
        <v>5410</v>
      </c>
      <c r="C1076" s="95">
        <v>3183</v>
      </c>
      <c r="D1076" s="95">
        <v>0</v>
      </c>
      <c r="E1076" s="95"/>
      <c r="F1076" s="95"/>
      <c r="G1076" s="95" t="s">
        <v>2528</v>
      </c>
      <c r="H1076" s="138">
        <v>898435</v>
      </c>
      <c r="I1076" s="138"/>
      <c r="J1076" s="502">
        <f t="shared" si="130"/>
        <v>898435</v>
      </c>
      <c r="K1076" s="318">
        <v>43920</v>
      </c>
      <c r="L1076" s="95">
        <v>0</v>
      </c>
      <c r="M1076" s="313">
        <f t="shared" si="131"/>
        <v>43920</v>
      </c>
      <c r="N1076" s="95" t="str">
        <f t="shared" si="132"/>
        <v>Pagado</v>
      </c>
      <c r="O1076" s="318">
        <v>43922</v>
      </c>
      <c r="P1076" s="138">
        <v>898435</v>
      </c>
      <c r="Q1076" s="95" t="s">
        <v>2132</v>
      </c>
      <c r="R1076" s="95"/>
      <c r="S1076" s="95">
        <v>5829130</v>
      </c>
      <c r="T1076" s="325" t="s">
        <v>1488</v>
      </c>
      <c r="U1076" s="393">
        <v>43922</v>
      </c>
      <c r="V1076" s="95">
        <v>1867574</v>
      </c>
      <c r="W1076" s="129">
        <v>898435</v>
      </c>
      <c r="X1076" s="318">
        <v>43923</v>
      </c>
      <c r="Y1076" s="95" t="s">
        <v>1488</v>
      </c>
      <c r="Z1076" s="426"/>
      <c r="AA1076" s="129" t="str">
        <f t="shared" si="137"/>
        <v>Chile</v>
      </c>
      <c r="AB1076" s="95"/>
      <c r="AC1076" s="426">
        <f t="shared" si="133"/>
        <v>754987.39495798328</v>
      </c>
      <c r="AD1076" s="129">
        <f t="shared" si="134"/>
        <v>143447.60504201672</v>
      </c>
      <c r="AE1076" s="95" t="s">
        <v>1445</v>
      </c>
      <c r="AF1076" s="620" t="s">
        <v>3490</v>
      </c>
      <c r="AG1076" s="95" t="str">
        <f t="shared" si="135"/>
        <v>SI</v>
      </c>
      <c r="AH1076" s="284"/>
      <c r="AI1076" s="620"/>
      <c r="AJ1076" s="95" t="str">
        <f t="shared" si="136"/>
        <v>Factura</v>
      </c>
      <c r="AK1076" s="303"/>
    </row>
    <row r="1077" spans="1:37" x14ac:dyDescent="0.25">
      <c r="A1077" s="621" t="s">
        <v>5399</v>
      </c>
      <c r="B1077" s="317" t="s">
        <v>5400</v>
      </c>
      <c r="C1077" s="95" t="s">
        <v>2528</v>
      </c>
      <c r="D1077" s="95">
        <v>0</v>
      </c>
      <c r="E1077" s="95"/>
      <c r="F1077" s="95"/>
      <c r="G1077" s="95">
        <v>6817</v>
      </c>
      <c r="H1077" s="138">
        <v>33000</v>
      </c>
      <c r="I1077" s="138"/>
      <c r="J1077" s="502">
        <f t="shared" si="130"/>
        <v>33000</v>
      </c>
      <c r="K1077" s="318">
        <v>43923</v>
      </c>
      <c r="L1077" s="95">
        <v>0</v>
      </c>
      <c r="M1077" s="313">
        <f t="shared" si="131"/>
        <v>43923</v>
      </c>
      <c r="N1077" s="95" t="str">
        <f t="shared" si="132"/>
        <v>Pagado</v>
      </c>
      <c r="O1077" s="318">
        <v>43923</v>
      </c>
      <c r="P1077" s="138">
        <v>33000</v>
      </c>
      <c r="Q1077" s="95" t="s">
        <v>1484</v>
      </c>
      <c r="R1077" s="95"/>
      <c r="S1077" s="95"/>
      <c r="T1077" s="325"/>
      <c r="U1077" s="393"/>
      <c r="V1077" s="95"/>
      <c r="W1077" s="129"/>
      <c r="X1077" s="318"/>
      <c r="Y1077" s="95"/>
      <c r="Z1077" s="426"/>
      <c r="AA1077" s="129" t="str">
        <f t="shared" si="137"/>
        <v/>
      </c>
      <c r="AB1077" s="95"/>
      <c r="AC1077" s="426">
        <f t="shared" si="133"/>
        <v>27731.092436974792</v>
      </c>
      <c r="AD1077" s="129">
        <f t="shared" si="134"/>
        <v>5268.9075630252082</v>
      </c>
      <c r="AE1077" s="95" t="s">
        <v>1501</v>
      </c>
      <c r="AF1077" s="620" t="s">
        <v>3487</v>
      </c>
      <c r="AG1077" s="95" t="str">
        <f t="shared" si="135"/>
        <v>SI</v>
      </c>
      <c r="AH1077" s="284"/>
      <c r="AI1077" s="620"/>
      <c r="AJ1077" s="95" t="str">
        <f t="shared" si="136"/>
        <v>Factura</v>
      </c>
      <c r="AK1077" s="303"/>
    </row>
    <row r="1078" spans="1:37" x14ac:dyDescent="0.25">
      <c r="A1078" s="621" t="s">
        <v>1177</v>
      </c>
      <c r="B1078" s="317" t="s">
        <v>1060</v>
      </c>
      <c r="C1078" s="95">
        <v>3184</v>
      </c>
      <c r="D1078" s="95">
        <v>0</v>
      </c>
      <c r="E1078" s="95"/>
      <c r="F1078" s="95"/>
      <c r="G1078" s="95" t="s">
        <v>2528</v>
      </c>
      <c r="H1078" s="138">
        <v>293036</v>
      </c>
      <c r="I1078" s="138"/>
      <c r="J1078" s="502">
        <f t="shared" si="130"/>
        <v>293036</v>
      </c>
      <c r="K1078" s="318">
        <v>43923</v>
      </c>
      <c r="L1078" s="95">
        <v>30</v>
      </c>
      <c r="M1078" s="313">
        <f t="shared" si="131"/>
        <v>43953</v>
      </c>
      <c r="N1078" s="95" t="str">
        <f t="shared" ca="1" si="132"/>
        <v>Vencido</v>
      </c>
      <c r="O1078" s="318"/>
      <c r="P1078" s="138"/>
      <c r="Q1078" s="95"/>
      <c r="R1078" s="95"/>
      <c r="S1078" s="95"/>
      <c r="T1078" s="325"/>
      <c r="U1078" s="393"/>
      <c r="V1078" s="95"/>
      <c r="W1078" s="129"/>
      <c r="X1078" s="318"/>
      <c r="Y1078" s="95"/>
      <c r="Z1078" s="426"/>
      <c r="AA1078" s="129" t="str">
        <f t="shared" si="137"/>
        <v/>
      </c>
      <c r="AB1078" s="95"/>
      <c r="AC1078" s="426">
        <f t="shared" si="133"/>
        <v>246248.73949579833</v>
      </c>
      <c r="AD1078" s="129">
        <f t="shared" si="134"/>
        <v>46787.260504201666</v>
      </c>
      <c r="AE1078" s="95" t="s">
        <v>2050</v>
      </c>
      <c r="AF1078" s="620" t="s">
        <v>3490</v>
      </c>
      <c r="AG1078" s="95" t="str">
        <f t="shared" ca="1" si="135"/>
        <v>NO</v>
      </c>
      <c r="AH1078" s="284"/>
      <c r="AI1078" s="620"/>
      <c r="AJ1078" s="95" t="str">
        <f t="shared" si="136"/>
        <v>Factura</v>
      </c>
      <c r="AK1078" s="303"/>
    </row>
    <row r="1079" spans="1:37" x14ac:dyDescent="0.25">
      <c r="A1079" s="621" t="s">
        <v>1175</v>
      </c>
      <c r="B1079" s="317" t="s">
        <v>1144</v>
      </c>
      <c r="C1079" s="95">
        <v>3185</v>
      </c>
      <c r="D1079" s="95">
        <v>0</v>
      </c>
      <c r="E1079" s="95"/>
      <c r="F1079" s="95"/>
      <c r="G1079" s="95" t="s">
        <v>2528</v>
      </c>
      <c r="H1079" s="138">
        <v>189001</v>
      </c>
      <c r="I1079" s="138"/>
      <c r="J1079" s="502">
        <f t="shared" si="130"/>
        <v>189001</v>
      </c>
      <c r="K1079" s="318">
        <v>43923</v>
      </c>
      <c r="L1079" s="95">
        <v>30</v>
      </c>
      <c r="M1079" s="313">
        <f t="shared" si="131"/>
        <v>43953</v>
      </c>
      <c r="N1079" s="95" t="str">
        <f t="shared" ca="1" si="132"/>
        <v>Vencido</v>
      </c>
      <c r="O1079" s="318"/>
      <c r="P1079" s="138"/>
      <c r="Q1079" s="95"/>
      <c r="R1079" s="95"/>
      <c r="S1079" s="95"/>
      <c r="T1079" s="325"/>
      <c r="U1079" s="393"/>
      <c r="V1079" s="95"/>
      <c r="W1079" s="129"/>
      <c r="X1079" s="318"/>
      <c r="Y1079" s="95"/>
      <c r="Z1079" s="426"/>
      <c r="AA1079" s="129" t="str">
        <f t="shared" si="137"/>
        <v/>
      </c>
      <c r="AB1079" s="95"/>
      <c r="AC1079" s="426">
        <f t="shared" si="133"/>
        <v>158824.36974789915</v>
      </c>
      <c r="AD1079" s="129">
        <f t="shared" si="134"/>
        <v>30176.630252100847</v>
      </c>
      <c r="AE1079" s="95" t="s">
        <v>2050</v>
      </c>
      <c r="AF1079" s="620" t="s">
        <v>3490</v>
      </c>
      <c r="AG1079" s="95" t="str">
        <f t="shared" ca="1" si="135"/>
        <v>NO</v>
      </c>
      <c r="AH1079" s="284"/>
      <c r="AI1079" s="620"/>
      <c r="AJ1079" s="95" t="str">
        <f t="shared" si="136"/>
        <v>Factura</v>
      </c>
      <c r="AK1079" s="303"/>
    </row>
    <row r="1080" spans="1:37" x14ac:dyDescent="0.25">
      <c r="A1080" s="633" t="s">
        <v>5154</v>
      </c>
      <c r="B1080" s="317" t="s">
        <v>5155</v>
      </c>
      <c r="C1080" s="95">
        <v>0</v>
      </c>
      <c r="D1080" s="95">
        <v>3039</v>
      </c>
      <c r="E1080" s="95"/>
      <c r="F1080" s="95"/>
      <c r="G1080" s="95">
        <v>6731</v>
      </c>
      <c r="H1080" s="138">
        <v>33000</v>
      </c>
      <c r="I1080" s="138"/>
      <c r="J1080" s="502">
        <f t="shared" si="130"/>
        <v>33000</v>
      </c>
      <c r="K1080" s="318">
        <v>43907</v>
      </c>
      <c r="L1080" s="95">
        <v>0</v>
      </c>
      <c r="M1080" s="313">
        <f t="shared" si="131"/>
        <v>43907</v>
      </c>
      <c r="N1080" s="95" t="str">
        <f t="shared" si="132"/>
        <v>Pagado</v>
      </c>
      <c r="O1080" s="318">
        <v>43907</v>
      </c>
      <c r="P1080" s="138">
        <v>33000</v>
      </c>
      <c r="Q1080" s="95" t="s">
        <v>1481</v>
      </c>
      <c r="R1080" s="95"/>
      <c r="S1080" s="95"/>
      <c r="T1080" s="325"/>
      <c r="U1080" s="393"/>
      <c r="V1080" s="95">
        <v>1858374</v>
      </c>
      <c r="W1080" s="129">
        <v>33000</v>
      </c>
      <c r="X1080" s="318">
        <v>43914</v>
      </c>
      <c r="Y1080" s="95" t="s">
        <v>1488</v>
      </c>
      <c r="Z1080" s="426"/>
      <c r="AA1080" s="129" t="str">
        <f t="shared" si="137"/>
        <v/>
      </c>
      <c r="AB1080" s="95"/>
      <c r="AC1080" s="426">
        <f t="shared" si="133"/>
        <v>27731.092436974792</v>
      </c>
      <c r="AD1080" s="129">
        <f t="shared" si="134"/>
        <v>5268.9075630252082</v>
      </c>
      <c r="AE1080" s="95" t="s">
        <v>1501</v>
      </c>
      <c r="AF1080" s="632" t="s">
        <v>3487</v>
      </c>
      <c r="AG1080" s="95" t="str">
        <f t="shared" si="135"/>
        <v>SI</v>
      </c>
      <c r="AH1080" s="284"/>
      <c r="AI1080" s="632"/>
      <c r="AJ1080" s="95" t="str">
        <f t="shared" si="136"/>
        <v>NV</v>
      </c>
      <c r="AK1080" s="303"/>
    </row>
    <row r="1081" spans="1:37" x14ac:dyDescent="0.25">
      <c r="A1081" s="633" t="s">
        <v>3200</v>
      </c>
      <c r="B1081" s="317" t="s">
        <v>3201</v>
      </c>
      <c r="C1081" s="95">
        <v>0</v>
      </c>
      <c r="D1081" s="95">
        <v>3040</v>
      </c>
      <c r="E1081" s="95"/>
      <c r="F1081" s="95"/>
      <c r="G1081" s="95">
        <v>6732</v>
      </c>
      <c r="H1081" s="138">
        <v>27800</v>
      </c>
      <c r="I1081" s="138"/>
      <c r="J1081" s="502">
        <f t="shared" si="130"/>
        <v>27800</v>
      </c>
      <c r="K1081" s="318">
        <v>43907</v>
      </c>
      <c r="L1081" s="95">
        <v>0</v>
      </c>
      <c r="M1081" s="313">
        <f t="shared" si="131"/>
        <v>43907</v>
      </c>
      <c r="N1081" s="95" t="str">
        <f t="shared" si="132"/>
        <v>Pagado</v>
      </c>
      <c r="O1081" s="318">
        <v>43907</v>
      </c>
      <c r="P1081" s="138">
        <v>27800</v>
      </c>
      <c r="Q1081" s="95" t="s">
        <v>1484</v>
      </c>
      <c r="R1081" s="95"/>
      <c r="S1081" s="95"/>
      <c r="T1081" s="325" t="s">
        <v>1462</v>
      </c>
      <c r="U1081" s="393"/>
      <c r="V1081" s="95"/>
      <c r="W1081" s="129"/>
      <c r="X1081" s="318"/>
      <c r="Y1081" s="95"/>
      <c r="Z1081" s="426"/>
      <c r="AA1081" s="129" t="str">
        <f t="shared" si="137"/>
        <v/>
      </c>
      <c r="AB1081" s="95"/>
      <c r="AC1081" s="426">
        <f t="shared" si="133"/>
        <v>23361.344537815126</v>
      </c>
      <c r="AD1081" s="129">
        <f t="shared" si="134"/>
        <v>4438.6554621848736</v>
      </c>
      <c r="AE1081" s="95" t="s">
        <v>1501</v>
      </c>
      <c r="AF1081" s="632" t="s">
        <v>3487</v>
      </c>
      <c r="AG1081" s="95" t="str">
        <f t="shared" si="135"/>
        <v>SI</v>
      </c>
      <c r="AH1081" s="284"/>
      <c r="AI1081" s="632"/>
      <c r="AJ1081" s="95" t="str">
        <f t="shared" si="136"/>
        <v>NV</v>
      </c>
      <c r="AK1081" s="303"/>
    </row>
    <row r="1082" spans="1:37" x14ac:dyDescent="0.25">
      <c r="A1082" s="633" t="s">
        <v>1236</v>
      </c>
      <c r="B1082" s="317" t="s">
        <v>1920</v>
      </c>
      <c r="C1082" s="95">
        <v>0</v>
      </c>
      <c r="D1082" s="95">
        <v>3047</v>
      </c>
      <c r="E1082" s="95"/>
      <c r="F1082" s="95"/>
      <c r="G1082" s="95">
        <v>6733</v>
      </c>
      <c r="H1082" s="138">
        <v>36400</v>
      </c>
      <c r="I1082" s="138"/>
      <c r="J1082" s="502">
        <f t="shared" si="130"/>
        <v>36400</v>
      </c>
      <c r="K1082" s="318">
        <v>43907</v>
      </c>
      <c r="L1082" s="95">
        <v>0</v>
      </c>
      <c r="M1082" s="313">
        <f t="shared" si="131"/>
        <v>43907</v>
      </c>
      <c r="N1082" s="95" t="str">
        <f t="shared" si="132"/>
        <v>Pagado</v>
      </c>
      <c r="O1082" s="318">
        <v>43907</v>
      </c>
      <c r="P1082" s="138">
        <v>36400</v>
      </c>
      <c r="Q1082" s="95" t="s">
        <v>2131</v>
      </c>
      <c r="R1082" s="95"/>
      <c r="S1082" s="95">
        <v>2874834</v>
      </c>
      <c r="T1082" s="325" t="s">
        <v>1491</v>
      </c>
      <c r="U1082" s="393">
        <v>43928</v>
      </c>
      <c r="V1082" s="95"/>
      <c r="W1082" s="129"/>
      <c r="X1082" s="318"/>
      <c r="Y1082" s="95"/>
      <c r="Z1082" s="426"/>
      <c r="AA1082" s="129" t="str">
        <f t="shared" si="137"/>
        <v>Otros</v>
      </c>
      <c r="AB1082" s="95"/>
      <c r="AC1082" s="426">
        <f t="shared" si="133"/>
        <v>30588.235294117647</v>
      </c>
      <c r="AD1082" s="129">
        <f t="shared" si="134"/>
        <v>5811.7647058823532</v>
      </c>
      <c r="AE1082" s="95" t="s">
        <v>1501</v>
      </c>
      <c r="AF1082" s="632" t="s">
        <v>3489</v>
      </c>
      <c r="AG1082" s="95" t="str">
        <f t="shared" si="135"/>
        <v>SI</v>
      </c>
      <c r="AH1082" s="284"/>
      <c r="AI1082" s="632"/>
      <c r="AJ1082" s="95" t="str">
        <f t="shared" si="136"/>
        <v>NV</v>
      </c>
      <c r="AK1082" s="303"/>
    </row>
    <row r="1083" spans="1:37" x14ac:dyDescent="0.25">
      <c r="A1083" s="633" t="s">
        <v>1176</v>
      </c>
      <c r="B1083" s="317" t="s">
        <v>949</v>
      </c>
      <c r="C1083" s="95">
        <v>3170</v>
      </c>
      <c r="D1083" s="95">
        <v>0</v>
      </c>
      <c r="E1083" s="95"/>
      <c r="F1083" s="95"/>
      <c r="G1083" s="95" t="s">
        <v>2528</v>
      </c>
      <c r="H1083" s="138">
        <v>69225</v>
      </c>
      <c r="I1083" s="138"/>
      <c r="J1083" s="502">
        <f t="shared" si="130"/>
        <v>69225</v>
      </c>
      <c r="K1083" s="318">
        <v>43907</v>
      </c>
      <c r="L1083" s="95">
        <v>30</v>
      </c>
      <c r="M1083" s="313">
        <f t="shared" si="131"/>
        <v>43937</v>
      </c>
      <c r="N1083" s="95" t="str">
        <f t="shared" si="132"/>
        <v>Pagado</v>
      </c>
      <c r="O1083" s="318">
        <v>43922</v>
      </c>
      <c r="P1083" s="138">
        <v>69225</v>
      </c>
      <c r="Q1083" s="95" t="s">
        <v>2131</v>
      </c>
      <c r="R1083" s="95"/>
      <c r="S1083" s="95">
        <v>8761603</v>
      </c>
      <c r="T1083" s="325" t="s">
        <v>1462</v>
      </c>
      <c r="U1083" s="393">
        <v>43938</v>
      </c>
      <c r="V1083" s="95"/>
      <c r="W1083" s="129"/>
      <c r="X1083" s="318"/>
      <c r="Y1083" s="95"/>
      <c r="Z1083" s="426"/>
      <c r="AA1083" s="129" t="str">
        <f t="shared" si="137"/>
        <v>Otros</v>
      </c>
      <c r="AB1083" s="95"/>
      <c r="AC1083" s="426">
        <f t="shared" si="133"/>
        <v>58172.268907563026</v>
      </c>
      <c r="AD1083" s="129">
        <f t="shared" si="134"/>
        <v>11052.731092436974</v>
      </c>
      <c r="AE1083" s="95" t="s">
        <v>1501</v>
      </c>
      <c r="AF1083" s="632" t="s">
        <v>3490</v>
      </c>
      <c r="AG1083" s="95" t="str">
        <f t="shared" si="135"/>
        <v>SI</v>
      </c>
      <c r="AH1083" s="284"/>
      <c r="AI1083" s="632"/>
      <c r="AJ1083" s="95" t="str">
        <f t="shared" si="136"/>
        <v>Factura</v>
      </c>
      <c r="AK1083" s="303"/>
    </row>
    <row r="1084" spans="1:37" x14ac:dyDescent="0.25">
      <c r="A1084" s="633" t="s">
        <v>1234</v>
      </c>
      <c r="B1084" s="317" t="s">
        <v>970</v>
      </c>
      <c r="C1084" s="95">
        <v>0</v>
      </c>
      <c r="D1084" s="95">
        <v>3046</v>
      </c>
      <c r="E1084" s="95"/>
      <c r="F1084" s="95"/>
      <c r="G1084" s="95">
        <v>6734</v>
      </c>
      <c r="H1084" s="138">
        <v>16500</v>
      </c>
      <c r="I1084" s="138"/>
      <c r="J1084" s="502">
        <f t="shared" si="130"/>
        <v>16500</v>
      </c>
      <c r="K1084" s="318">
        <v>43907</v>
      </c>
      <c r="L1084" s="95">
        <v>0</v>
      </c>
      <c r="M1084" s="313">
        <f t="shared" si="131"/>
        <v>43907</v>
      </c>
      <c r="N1084" s="95" t="str">
        <f t="shared" ca="1" si="132"/>
        <v>Vencido</v>
      </c>
      <c r="O1084" s="318"/>
      <c r="P1084" s="138"/>
      <c r="Q1084" s="95"/>
      <c r="R1084" s="95"/>
      <c r="S1084" s="95"/>
      <c r="T1084" s="325"/>
      <c r="U1084" s="393"/>
      <c r="V1084" s="95"/>
      <c r="W1084" s="129"/>
      <c r="X1084" s="318"/>
      <c r="Y1084" s="95"/>
      <c r="Z1084" s="426"/>
      <c r="AA1084" s="129" t="str">
        <f t="shared" si="137"/>
        <v/>
      </c>
      <c r="AB1084" s="95"/>
      <c r="AC1084" s="426">
        <f t="shared" si="133"/>
        <v>13865.546218487396</v>
      </c>
      <c r="AD1084" s="129">
        <f t="shared" si="134"/>
        <v>2634.4537815126041</v>
      </c>
      <c r="AE1084" s="95" t="s">
        <v>1501</v>
      </c>
      <c r="AF1084" s="632" t="s">
        <v>3489</v>
      </c>
      <c r="AG1084" s="95" t="str">
        <f t="shared" ca="1" si="135"/>
        <v>NO</v>
      </c>
      <c r="AH1084" s="284"/>
      <c r="AI1084" s="632"/>
      <c r="AJ1084" s="95" t="str">
        <f t="shared" si="136"/>
        <v>NV</v>
      </c>
      <c r="AK1084" s="303"/>
    </row>
    <row r="1085" spans="1:37" x14ac:dyDescent="0.25">
      <c r="A1085" s="633" t="s">
        <v>4947</v>
      </c>
      <c r="B1085" s="317" t="s">
        <v>4948</v>
      </c>
      <c r="C1085" s="95">
        <v>0</v>
      </c>
      <c r="D1085" s="95">
        <v>3044</v>
      </c>
      <c r="E1085" s="95"/>
      <c r="F1085" s="95"/>
      <c r="G1085" s="95">
        <v>6735</v>
      </c>
      <c r="H1085" s="138">
        <v>31600</v>
      </c>
      <c r="I1085" s="138"/>
      <c r="J1085" s="502">
        <f t="shared" si="130"/>
        <v>31600</v>
      </c>
      <c r="K1085" s="318">
        <v>43907</v>
      </c>
      <c r="L1085" s="95">
        <v>0</v>
      </c>
      <c r="M1085" s="313">
        <f t="shared" si="131"/>
        <v>43907</v>
      </c>
      <c r="N1085" s="95" t="str">
        <f t="shared" si="132"/>
        <v>Pagado</v>
      </c>
      <c r="O1085" s="318">
        <v>43907</v>
      </c>
      <c r="P1085" s="138">
        <v>31600</v>
      </c>
      <c r="Q1085" s="95" t="s">
        <v>1484</v>
      </c>
      <c r="R1085" s="95"/>
      <c r="S1085" s="95"/>
      <c r="T1085" s="325" t="s">
        <v>1488</v>
      </c>
      <c r="U1085" s="393"/>
      <c r="V1085" s="95"/>
      <c r="W1085" s="129"/>
      <c r="X1085" s="318"/>
      <c r="Y1085" s="95"/>
      <c r="Z1085" s="426"/>
      <c r="AA1085" s="129" t="str">
        <f t="shared" si="137"/>
        <v/>
      </c>
      <c r="AB1085" s="95"/>
      <c r="AC1085" s="426">
        <f t="shared" si="133"/>
        <v>26554.621848739498</v>
      </c>
      <c r="AD1085" s="129">
        <f t="shared" si="134"/>
        <v>5045.3781512605019</v>
      </c>
      <c r="AE1085" s="95" t="s">
        <v>1501</v>
      </c>
      <c r="AF1085" s="632" t="s">
        <v>3487</v>
      </c>
      <c r="AG1085" s="95" t="str">
        <f t="shared" si="135"/>
        <v>SI</v>
      </c>
      <c r="AH1085" s="284"/>
      <c r="AI1085" s="632"/>
      <c r="AJ1085" s="95" t="str">
        <f t="shared" si="136"/>
        <v>NV</v>
      </c>
      <c r="AK1085" s="303"/>
    </row>
    <row r="1086" spans="1:37" x14ac:dyDescent="0.25">
      <c r="A1086" s="633" t="s">
        <v>1335</v>
      </c>
      <c r="B1086" s="317" t="s">
        <v>4277</v>
      </c>
      <c r="C1086" s="95">
        <v>0</v>
      </c>
      <c r="D1086" s="95">
        <v>3041</v>
      </c>
      <c r="E1086" s="95"/>
      <c r="F1086" s="95"/>
      <c r="G1086" s="95">
        <v>6738</v>
      </c>
      <c r="H1086" s="138">
        <v>19000</v>
      </c>
      <c r="I1086" s="138"/>
      <c r="J1086" s="502">
        <f t="shared" si="130"/>
        <v>19000</v>
      </c>
      <c r="K1086" s="318">
        <v>43907</v>
      </c>
      <c r="L1086" s="95">
        <v>0</v>
      </c>
      <c r="M1086" s="313">
        <f t="shared" si="131"/>
        <v>43907</v>
      </c>
      <c r="N1086" s="95" t="str">
        <f t="shared" si="132"/>
        <v>Pagado</v>
      </c>
      <c r="O1086" s="318">
        <v>43907</v>
      </c>
      <c r="P1086" s="138">
        <v>19000</v>
      </c>
      <c r="Q1086" s="95" t="s">
        <v>1484</v>
      </c>
      <c r="R1086" s="95"/>
      <c r="S1086" s="95"/>
      <c r="T1086" s="325" t="s">
        <v>1493</v>
      </c>
      <c r="U1086" s="393"/>
      <c r="V1086" s="95"/>
      <c r="W1086" s="129"/>
      <c r="X1086" s="318"/>
      <c r="Y1086" s="95"/>
      <c r="Z1086" s="426"/>
      <c r="AA1086" s="129" t="str">
        <f t="shared" si="137"/>
        <v/>
      </c>
      <c r="AB1086" s="95"/>
      <c r="AC1086" s="426">
        <f t="shared" si="133"/>
        <v>15966.386554621849</v>
      </c>
      <c r="AD1086" s="129">
        <f t="shared" si="134"/>
        <v>3033.6134453781506</v>
      </c>
      <c r="AE1086" s="95" t="s">
        <v>1501</v>
      </c>
      <c r="AF1086" s="632" t="s">
        <v>3489</v>
      </c>
      <c r="AG1086" s="95" t="str">
        <f t="shared" si="135"/>
        <v>SI</v>
      </c>
      <c r="AH1086" s="284"/>
      <c r="AI1086" s="632"/>
      <c r="AJ1086" s="95" t="str">
        <f t="shared" si="136"/>
        <v>NV</v>
      </c>
      <c r="AK1086" s="303"/>
    </row>
    <row r="1087" spans="1:37" x14ac:dyDescent="0.25">
      <c r="A1087" s="633" t="s">
        <v>2733</v>
      </c>
      <c r="B1087" s="317" t="s">
        <v>2734</v>
      </c>
      <c r="C1087" s="95">
        <v>0</v>
      </c>
      <c r="D1087" s="95">
        <v>3143</v>
      </c>
      <c r="E1087" s="95"/>
      <c r="F1087" s="95"/>
      <c r="G1087" s="95">
        <v>6739</v>
      </c>
      <c r="H1087" s="138">
        <v>21600</v>
      </c>
      <c r="I1087" s="138"/>
      <c r="J1087" s="502">
        <f t="shared" si="130"/>
        <v>21600</v>
      </c>
      <c r="K1087" s="318">
        <v>43907</v>
      </c>
      <c r="L1087" s="95">
        <v>0</v>
      </c>
      <c r="M1087" s="313">
        <f t="shared" si="131"/>
        <v>43907</v>
      </c>
      <c r="N1087" s="95" t="str">
        <f t="shared" si="132"/>
        <v>Pagado</v>
      </c>
      <c r="O1087" s="318">
        <v>43908</v>
      </c>
      <c r="P1087" s="138">
        <v>21600</v>
      </c>
      <c r="Q1087" s="95" t="s">
        <v>1484</v>
      </c>
      <c r="R1087" s="95"/>
      <c r="S1087" s="95"/>
      <c r="T1087" s="325" t="s">
        <v>1496</v>
      </c>
      <c r="U1087" s="393"/>
      <c r="V1087" s="95"/>
      <c r="W1087" s="129"/>
      <c r="X1087" s="318"/>
      <c r="Y1087" s="95"/>
      <c r="Z1087" s="426"/>
      <c r="AA1087" s="129" t="str">
        <f t="shared" si="137"/>
        <v/>
      </c>
      <c r="AB1087" s="95"/>
      <c r="AC1087" s="426">
        <f t="shared" si="133"/>
        <v>18151.26050420168</v>
      </c>
      <c r="AD1087" s="129">
        <f t="shared" si="134"/>
        <v>3448.7394957983197</v>
      </c>
      <c r="AE1087" s="95" t="s">
        <v>1501</v>
      </c>
      <c r="AF1087" s="632" t="s">
        <v>3489</v>
      </c>
      <c r="AG1087" s="95" t="str">
        <f t="shared" si="135"/>
        <v>SI</v>
      </c>
      <c r="AH1087" s="284"/>
      <c r="AI1087" s="632"/>
      <c r="AJ1087" s="95" t="str">
        <f t="shared" si="136"/>
        <v>NV</v>
      </c>
      <c r="AK1087" s="303"/>
    </row>
    <row r="1088" spans="1:37" x14ac:dyDescent="0.25">
      <c r="A1088" s="633" t="s">
        <v>1242</v>
      </c>
      <c r="B1088" s="317" t="s">
        <v>958</v>
      </c>
      <c r="C1088" s="95">
        <v>0</v>
      </c>
      <c r="D1088" s="95">
        <v>3042</v>
      </c>
      <c r="E1088" s="95"/>
      <c r="F1088" s="95"/>
      <c r="G1088" s="95">
        <v>6740</v>
      </c>
      <c r="H1088" s="138">
        <v>34400</v>
      </c>
      <c r="I1088" s="138"/>
      <c r="J1088" s="502">
        <f t="shared" si="130"/>
        <v>34400</v>
      </c>
      <c r="K1088" s="318">
        <v>43907</v>
      </c>
      <c r="L1088" s="95">
        <v>0</v>
      </c>
      <c r="M1088" s="313">
        <f t="shared" si="131"/>
        <v>43907</v>
      </c>
      <c r="N1088" s="95" t="str">
        <f t="shared" si="132"/>
        <v>Pagado</v>
      </c>
      <c r="O1088" s="318">
        <v>43910</v>
      </c>
      <c r="P1088" s="138">
        <v>34400</v>
      </c>
      <c r="Q1088" s="95" t="s">
        <v>1484</v>
      </c>
      <c r="R1088" s="95"/>
      <c r="S1088" s="95"/>
      <c r="T1088" s="325" t="s">
        <v>1488</v>
      </c>
      <c r="U1088" s="393"/>
      <c r="V1088" s="95"/>
      <c r="W1088" s="129"/>
      <c r="X1088" s="318"/>
      <c r="Y1088" s="95"/>
      <c r="Z1088" s="426"/>
      <c r="AA1088" s="129" t="str">
        <f t="shared" si="137"/>
        <v/>
      </c>
      <c r="AB1088" s="95"/>
      <c r="AC1088" s="426">
        <f t="shared" si="133"/>
        <v>28907.563025210085</v>
      </c>
      <c r="AD1088" s="129">
        <f t="shared" si="134"/>
        <v>5492.4369747899145</v>
      </c>
      <c r="AE1088" s="95" t="s">
        <v>1501</v>
      </c>
      <c r="AF1088" s="632" t="s">
        <v>3489</v>
      </c>
      <c r="AG1088" s="95" t="str">
        <f t="shared" si="135"/>
        <v>SI</v>
      </c>
      <c r="AH1088" s="284"/>
      <c r="AI1088" s="632"/>
      <c r="AJ1088" s="95" t="str">
        <f t="shared" si="136"/>
        <v>NV</v>
      </c>
      <c r="AK1088" s="303"/>
    </row>
    <row r="1089" spans="1:37" x14ac:dyDescent="0.25">
      <c r="A1089" s="633" t="s">
        <v>4853</v>
      </c>
      <c r="B1089" s="317" t="s">
        <v>4854</v>
      </c>
      <c r="C1089" s="95">
        <v>0</v>
      </c>
      <c r="D1089" s="95">
        <v>219</v>
      </c>
      <c r="E1089" s="95"/>
      <c r="F1089" s="95"/>
      <c r="G1089" s="95">
        <v>6741</v>
      </c>
      <c r="H1089" s="138">
        <v>27000</v>
      </c>
      <c r="I1089" s="138"/>
      <c r="J1089" s="502">
        <f t="shared" si="130"/>
        <v>27000</v>
      </c>
      <c r="K1089" s="318">
        <v>43907</v>
      </c>
      <c r="L1089" s="95">
        <v>0</v>
      </c>
      <c r="M1089" s="313">
        <f t="shared" si="131"/>
        <v>43907</v>
      </c>
      <c r="N1089" s="95" t="str">
        <f t="shared" si="132"/>
        <v>Pagado</v>
      </c>
      <c r="O1089" s="318">
        <v>43907</v>
      </c>
      <c r="P1089" s="138">
        <v>27000</v>
      </c>
      <c r="Q1089" s="95" t="s">
        <v>1070</v>
      </c>
      <c r="R1089" s="95" t="s">
        <v>2243</v>
      </c>
      <c r="S1089" s="95">
        <v>219</v>
      </c>
      <c r="T1089" s="325"/>
      <c r="U1089" s="393"/>
      <c r="V1089" s="95"/>
      <c r="W1089" s="129"/>
      <c r="X1089" s="318"/>
      <c r="Y1089" s="95"/>
      <c r="Z1089" s="426"/>
      <c r="AA1089" s="129" t="str">
        <f t="shared" si="137"/>
        <v/>
      </c>
      <c r="AB1089" s="95"/>
      <c r="AC1089" s="426">
        <f t="shared" si="133"/>
        <v>22689.0756302521</v>
      </c>
      <c r="AD1089" s="129">
        <f t="shared" si="134"/>
        <v>4310.9243697478996</v>
      </c>
      <c r="AE1089" s="95" t="s">
        <v>1501</v>
      </c>
      <c r="AF1089" s="632" t="s">
        <v>3487</v>
      </c>
      <c r="AG1089" s="95" t="str">
        <f t="shared" si="135"/>
        <v>SI</v>
      </c>
      <c r="AH1089" s="284"/>
      <c r="AI1089" s="632"/>
      <c r="AJ1089" s="95" t="str">
        <f t="shared" si="136"/>
        <v>NV</v>
      </c>
      <c r="AK1089" s="303"/>
    </row>
    <row r="1090" spans="1:37" x14ac:dyDescent="0.25">
      <c r="A1090" s="633" t="s">
        <v>4863</v>
      </c>
      <c r="B1090" s="317" t="s">
        <v>4864</v>
      </c>
      <c r="C1090" s="95">
        <v>0</v>
      </c>
      <c r="D1090" s="95">
        <v>3053</v>
      </c>
      <c r="E1090" s="95"/>
      <c r="F1090" s="95"/>
      <c r="G1090" s="95">
        <v>6742</v>
      </c>
      <c r="H1090" s="138">
        <v>27000</v>
      </c>
      <c r="I1090" s="138"/>
      <c r="J1090" s="502">
        <f t="shared" si="130"/>
        <v>27000</v>
      </c>
      <c r="K1090" s="318">
        <v>43907</v>
      </c>
      <c r="L1090" s="95">
        <v>0</v>
      </c>
      <c r="M1090" s="313">
        <f t="shared" si="131"/>
        <v>43907</v>
      </c>
      <c r="N1090" s="95" t="str">
        <f t="shared" si="132"/>
        <v>Pagado</v>
      </c>
      <c r="O1090" s="318">
        <v>43907</v>
      </c>
      <c r="P1090" s="138">
        <v>27000</v>
      </c>
      <c r="Q1090" s="95" t="s">
        <v>1481</v>
      </c>
      <c r="R1090" s="95"/>
      <c r="S1090" s="95"/>
      <c r="T1090" s="325"/>
      <c r="U1090" s="393"/>
      <c r="V1090" s="95">
        <v>1858374</v>
      </c>
      <c r="W1090" s="129">
        <v>27000</v>
      </c>
      <c r="X1090" s="318">
        <v>43914</v>
      </c>
      <c r="Y1090" s="95" t="s">
        <v>1488</v>
      </c>
      <c r="Z1090" s="426"/>
      <c r="AA1090" s="129" t="str">
        <f t="shared" si="137"/>
        <v/>
      </c>
      <c r="AB1090" s="95"/>
      <c r="AC1090" s="426">
        <f t="shared" si="133"/>
        <v>22689.0756302521</v>
      </c>
      <c r="AD1090" s="129">
        <f t="shared" si="134"/>
        <v>4310.9243697478996</v>
      </c>
      <c r="AE1090" s="95" t="s">
        <v>1501</v>
      </c>
      <c r="AF1090" s="632" t="s">
        <v>3487</v>
      </c>
      <c r="AG1090" s="95" t="str">
        <f t="shared" si="135"/>
        <v>SI</v>
      </c>
      <c r="AH1090" s="284"/>
      <c r="AI1090" s="632"/>
      <c r="AJ1090" s="95" t="str">
        <f t="shared" si="136"/>
        <v>NV</v>
      </c>
      <c r="AK1090" s="303"/>
    </row>
    <row r="1091" spans="1:37" x14ac:dyDescent="0.25">
      <c r="A1091" s="633" t="s">
        <v>6003</v>
      </c>
      <c r="B1091" s="317" t="s">
        <v>6004</v>
      </c>
      <c r="C1091" s="95">
        <v>0</v>
      </c>
      <c r="D1091" s="95">
        <v>3050</v>
      </c>
      <c r="E1091" s="95"/>
      <c r="F1091" s="95"/>
      <c r="G1091" s="95">
        <v>6744</v>
      </c>
      <c r="H1091" s="138">
        <v>10200</v>
      </c>
      <c r="I1091" s="138"/>
      <c r="J1091" s="502">
        <f t="shared" si="130"/>
        <v>10200</v>
      </c>
      <c r="K1091" s="318">
        <v>43908</v>
      </c>
      <c r="L1091" s="95">
        <v>0</v>
      </c>
      <c r="M1091" s="313">
        <f t="shared" si="131"/>
        <v>43908</v>
      </c>
      <c r="N1091" s="95" t="str">
        <f t="shared" si="132"/>
        <v>Pagado</v>
      </c>
      <c r="O1091" s="318">
        <v>43908</v>
      </c>
      <c r="P1091" s="138">
        <v>10200</v>
      </c>
      <c r="Q1091" s="95" t="s">
        <v>1481</v>
      </c>
      <c r="R1091" s="95"/>
      <c r="S1091" s="95"/>
      <c r="T1091" s="325"/>
      <c r="U1091" s="393"/>
      <c r="V1091" s="95">
        <v>1858374</v>
      </c>
      <c r="W1091" s="129">
        <v>10200</v>
      </c>
      <c r="X1091" s="318">
        <v>43914</v>
      </c>
      <c r="Y1091" s="95" t="s">
        <v>1488</v>
      </c>
      <c r="Z1091" s="426"/>
      <c r="AA1091" s="129" t="str">
        <f t="shared" si="137"/>
        <v/>
      </c>
      <c r="AB1091" s="95"/>
      <c r="AC1091" s="426">
        <f t="shared" si="133"/>
        <v>8571.4285714285725</v>
      </c>
      <c r="AD1091" s="129">
        <f t="shared" si="134"/>
        <v>1628.5714285714275</v>
      </c>
      <c r="AE1091" s="95" t="s">
        <v>1501</v>
      </c>
      <c r="AF1091" s="632" t="s">
        <v>3487</v>
      </c>
      <c r="AG1091" s="95" t="str">
        <f t="shared" si="135"/>
        <v>SI</v>
      </c>
      <c r="AH1091" s="284"/>
      <c r="AI1091" s="632"/>
      <c r="AJ1091" s="95" t="str">
        <f t="shared" si="136"/>
        <v>NV</v>
      </c>
      <c r="AK1091" s="303"/>
    </row>
    <row r="1092" spans="1:37" x14ac:dyDescent="0.25">
      <c r="A1092" s="633" t="s">
        <v>1278</v>
      </c>
      <c r="B1092" s="317" t="s">
        <v>1942</v>
      </c>
      <c r="C1092" s="95">
        <v>0</v>
      </c>
      <c r="D1092" s="95">
        <v>3049</v>
      </c>
      <c r="E1092" s="95"/>
      <c r="F1092" s="95"/>
      <c r="G1092" s="95">
        <v>6748</v>
      </c>
      <c r="H1092" s="138">
        <v>36400</v>
      </c>
      <c r="I1092" s="138"/>
      <c r="J1092" s="502">
        <f t="shared" si="130"/>
        <v>36400</v>
      </c>
      <c r="K1092" s="318">
        <v>43908</v>
      </c>
      <c r="L1092" s="95">
        <v>0</v>
      </c>
      <c r="M1092" s="313">
        <f t="shared" si="131"/>
        <v>43908</v>
      </c>
      <c r="N1092" s="95" t="str">
        <f t="shared" si="132"/>
        <v>Pagado</v>
      </c>
      <c r="O1092" s="318">
        <v>43908</v>
      </c>
      <c r="P1092" s="138">
        <v>36400</v>
      </c>
      <c r="Q1092" s="95" t="s">
        <v>1484</v>
      </c>
      <c r="R1092" s="95"/>
      <c r="S1092" s="95"/>
      <c r="T1092" s="325" t="s">
        <v>1496</v>
      </c>
      <c r="U1092" s="393"/>
      <c r="V1092" s="95"/>
      <c r="W1092" s="129"/>
      <c r="X1092" s="318"/>
      <c r="Y1092" s="95"/>
      <c r="Z1092" s="426"/>
      <c r="AA1092" s="129" t="str">
        <f t="shared" si="137"/>
        <v/>
      </c>
      <c r="AB1092" s="95"/>
      <c r="AC1092" s="426">
        <f t="shared" si="133"/>
        <v>30588.235294117647</v>
      </c>
      <c r="AD1092" s="129">
        <f t="shared" si="134"/>
        <v>5811.7647058823532</v>
      </c>
      <c r="AE1092" s="95" t="s">
        <v>1501</v>
      </c>
      <c r="AF1092" s="632" t="s">
        <v>3487</v>
      </c>
      <c r="AG1092" s="95" t="str">
        <f t="shared" si="135"/>
        <v>SI</v>
      </c>
      <c r="AH1092" s="284"/>
      <c r="AI1092" s="632"/>
      <c r="AJ1092" s="95" t="str">
        <f t="shared" si="136"/>
        <v>NV</v>
      </c>
      <c r="AK1092" s="303"/>
    </row>
    <row r="1093" spans="1:37" x14ac:dyDescent="0.25">
      <c r="A1093" s="633" t="s">
        <v>5564</v>
      </c>
      <c r="B1093" s="317" t="s">
        <v>5565</v>
      </c>
      <c r="C1093" s="95">
        <v>0</v>
      </c>
      <c r="D1093" s="95">
        <v>3054</v>
      </c>
      <c r="E1093" s="95"/>
      <c r="F1093" s="95"/>
      <c r="G1093" s="95">
        <v>6749</v>
      </c>
      <c r="H1093" s="138">
        <v>23000</v>
      </c>
      <c r="I1093" s="138"/>
      <c r="J1093" s="502">
        <f t="shared" si="130"/>
        <v>23000</v>
      </c>
      <c r="K1093" s="318">
        <v>43908</v>
      </c>
      <c r="L1093" s="95">
        <v>0</v>
      </c>
      <c r="M1093" s="313">
        <f t="shared" si="131"/>
        <v>43908</v>
      </c>
      <c r="N1093" s="95" t="str">
        <f t="shared" si="132"/>
        <v>Pagado</v>
      </c>
      <c r="O1093" s="318">
        <v>43909</v>
      </c>
      <c r="P1093" s="138">
        <v>23000</v>
      </c>
      <c r="Q1093" s="95" t="s">
        <v>1484</v>
      </c>
      <c r="R1093" s="95"/>
      <c r="S1093" s="95"/>
      <c r="T1093" s="325" t="s">
        <v>1496</v>
      </c>
      <c r="U1093" s="393"/>
      <c r="V1093" s="95"/>
      <c r="W1093" s="129"/>
      <c r="X1093" s="318"/>
      <c r="Y1093" s="95"/>
      <c r="Z1093" s="426"/>
      <c r="AA1093" s="129" t="str">
        <f t="shared" si="137"/>
        <v/>
      </c>
      <c r="AB1093" s="95"/>
      <c r="AC1093" s="426">
        <f t="shared" si="133"/>
        <v>19327.731092436974</v>
      </c>
      <c r="AD1093" s="129">
        <f t="shared" si="134"/>
        <v>3672.268907563026</v>
      </c>
      <c r="AE1093" s="95" t="s">
        <v>1501</v>
      </c>
      <c r="AF1093" s="632" t="s">
        <v>3487</v>
      </c>
      <c r="AG1093" s="95" t="str">
        <f t="shared" si="135"/>
        <v>SI</v>
      </c>
      <c r="AH1093" s="284"/>
      <c r="AI1093" s="632"/>
      <c r="AJ1093" s="95" t="str">
        <f t="shared" si="136"/>
        <v>NV</v>
      </c>
      <c r="AK1093" s="303"/>
    </row>
    <row r="1094" spans="1:37" x14ac:dyDescent="0.25">
      <c r="A1094" s="633" t="s">
        <v>4480</v>
      </c>
      <c r="B1094" s="317" t="s">
        <v>4481</v>
      </c>
      <c r="C1094" s="95">
        <v>0</v>
      </c>
      <c r="D1094" s="95">
        <v>3048</v>
      </c>
      <c r="E1094" s="95"/>
      <c r="F1094" s="95"/>
      <c r="G1094" s="95">
        <v>6750</v>
      </c>
      <c r="H1094" s="138">
        <v>23500</v>
      </c>
      <c r="I1094" s="138"/>
      <c r="J1094" s="502">
        <f t="shared" si="130"/>
        <v>23500</v>
      </c>
      <c r="K1094" s="318">
        <v>43908</v>
      </c>
      <c r="L1094" s="95">
        <v>0</v>
      </c>
      <c r="M1094" s="313">
        <f t="shared" si="131"/>
        <v>43908</v>
      </c>
      <c r="N1094" s="95" t="str">
        <f t="shared" si="132"/>
        <v>Pagado</v>
      </c>
      <c r="O1094" s="318">
        <v>43908</v>
      </c>
      <c r="P1094" s="138">
        <v>23500</v>
      </c>
      <c r="Q1094" s="95" t="s">
        <v>1484</v>
      </c>
      <c r="R1094" s="95"/>
      <c r="S1094" s="95"/>
      <c r="T1094" s="325" t="s">
        <v>1488</v>
      </c>
      <c r="U1094" s="393"/>
      <c r="V1094" s="95"/>
      <c r="W1094" s="129"/>
      <c r="X1094" s="318"/>
      <c r="Y1094" s="95"/>
      <c r="Z1094" s="426"/>
      <c r="AA1094" s="129" t="str">
        <f t="shared" si="137"/>
        <v/>
      </c>
      <c r="AB1094" s="95"/>
      <c r="AC1094" s="426">
        <f t="shared" si="133"/>
        <v>19747.899159663866</v>
      </c>
      <c r="AD1094" s="129">
        <f t="shared" si="134"/>
        <v>3752.1008403361338</v>
      </c>
      <c r="AE1094" s="95" t="s">
        <v>1501</v>
      </c>
      <c r="AF1094" s="632" t="s">
        <v>3487</v>
      </c>
      <c r="AG1094" s="95" t="str">
        <f t="shared" si="135"/>
        <v>SI</v>
      </c>
      <c r="AH1094" s="284"/>
      <c r="AI1094" s="632"/>
      <c r="AJ1094" s="95" t="str">
        <f t="shared" si="136"/>
        <v>NV</v>
      </c>
      <c r="AK1094" s="303"/>
    </row>
    <row r="1095" spans="1:37" x14ac:dyDescent="0.25">
      <c r="A1095" s="633" t="s">
        <v>5558</v>
      </c>
      <c r="B1095" s="317" t="s">
        <v>5559</v>
      </c>
      <c r="C1095" s="95">
        <v>0</v>
      </c>
      <c r="D1095" s="95">
        <v>226</v>
      </c>
      <c r="E1095" s="95"/>
      <c r="F1095" s="95"/>
      <c r="G1095" s="95">
        <v>6752</v>
      </c>
      <c r="H1095" s="138">
        <v>15800</v>
      </c>
      <c r="I1095" s="138"/>
      <c r="J1095" s="502">
        <f t="shared" si="130"/>
        <v>15800</v>
      </c>
      <c r="K1095" s="318">
        <v>43908</v>
      </c>
      <c r="L1095" s="95">
        <v>0</v>
      </c>
      <c r="M1095" s="313">
        <f t="shared" si="131"/>
        <v>43908</v>
      </c>
      <c r="N1095" s="95" t="str">
        <f t="shared" si="132"/>
        <v>Pagado</v>
      </c>
      <c r="O1095" s="318">
        <v>43908</v>
      </c>
      <c r="P1095" s="138">
        <v>15800</v>
      </c>
      <c r="Q1095" s="95" t="s">
        <v>1070</v>
      </c>
      <c r="R1095" s="95" t="s">
        <v>1478</v>
      </c>
      <c r="S1095" s="95">
        <v>226</v>
      </c>
      <c r="T1095" s="325"/>
      <c r="U1095" s="393"/>
      <c r="V1095" s="95"/>
      <c r="W1095" s="129"/>
      <c r="X1095" s="318"/>
      <c r="Y1095" s="95"/>
      <c r="Z1095" s="426"/>
      <c r="AA1095" s="129" t="str">
        <f t="shared" si="137"/>
        <v/>
      </c>
      <c r="AB1095" s="95"/>
      <c r="AC1095" s="426">
        <f t="shared" si="133"/>
        <v>13277.310924369749</v>
      </c>
      <c r="AD1095" s="129">
        <f t="shared" si="134"/>
        <v>2522.689075630251</v>
      </c>
      <c r="AE1095" s="95" t="s">
        <v>1501</v>
      </c>
      <c r="AF1095" s="632" t="s">
        <v>3487</v>
      </c>
      <c r="AG1095" s="95" t="str">
        <f t="shared" si="135"/>
        <v>SI</v>
      </c>
      <c r="AH1095" s="284"/>
      <c r="AI1095" s="632"/>
      <c r="AJ1095" s="95" t="str">
        <f t="shared" si="136"/>
        <v>NV</v>
      </c>
      <c r="AK1095" s="303"/>
    </row>
    <row r="1096" spans="1:37" x14ac:dyDescent="0.25">
      <c r="A1096" s="633" t="s">
        <v>2729</v>
      </c>
      <c r="B1096" s="317" t="s">
        <v>2730</v>
      </c>
      <c r="C1096" s="95" t="s">
        <v>4559</v>
      </c>
      <c r="D1096" s="95">
        <v>0</v>
      </c>
      <c r="E1096" s="95"/>
      <c r="F1096" s="95"/>
      <c r="G1096" s="95">
        <v>6753</v>
      </c>
      <c r="H1096" s="138">
        <v>37500</v>
      </c>
      <c r="I1096" s="138"/>
      <c r="J1096" s="502">
        <f t="shared" si="130"/>
        <v>37500</v>
      </c>
      <c r="K1096" s="318">
        <v>43908</v>
      </c>
      <c r="L1096" s="95">
        <v>0</v>
      </c>
      <c r="M1096" s="313">
        <f t="shared" si="131"/>
        <v>43908</v>
      </c>
      <c r="N1096" s="95" t="str">
        <f t="shared" si="132"/>
        <v>Pagado</v>
      </c>
      <c r="O1096" s="318">
        <v>43908</v>
      </c>
      <c r="P1096" s="138">
        <v>37500</v>
      </c>
      <c r="Q1096" s="95" t="s">
        <v>1484</v>
      </c>
      <c r="R1096" s="95"/>
      <c r="S1096" s="95"/>
      <c r="T1096" s="325" t="s">
        <v>1462</v>
      </c>
      <c r="U1096" s="393"/>
      <c r="V1096" s="95"/>
      <c r="W1096" s="129"/>
      <c r="X1096" s="318"/>
      <c r="Y1096" s="95"/>
      <c r="Z1096" s="426"/>
      <c r="AA1096" s="129" t="str">
        <f t="shared" si="137"/>
        <v/>
      </c>
      <c r="AB1096" s="95"/>
      <c r="AC1096" s="426">
        <f t="shared" si="133"/>
        <v>31512.605042016807</v>
      </c>
      <c r="AD1096" s="129">
        <f t="shared" si="134"/>
        <v>5987.3949579831933</v>
      </c>
      <c r="AE1096" s="95" t="s">
        <v>1501</v>
      </c>
      <c r="AF1096" s="632" t="s">
        <v>3489</v>
      </c>
      <c r="AG1096" s="95" t="str">
        <f t="shared" si="135"/>
        <v>SI</v>
      </c>
      <c r="AH1096" s="284"/>
      <c r="AI1096" s="632"/>
      <c r="AJ1096" s="95" t="str">
        <f t="shared" si="136"/>
        <v>Factura</v>
      </c>
      <c r="AK1096" s="303"/>
    </row>
    <row r="1097" spans="1:37" x14ac:dyDescent="0.25">
      <c r="A1097" s="633" t="s">
        <v>2733</v>
      </c>
      <c r="B1097" s="317" t="s">
        <v>2734</v>
      </c>
      <c r="C1097" s="95">
        <v>0</v>
      </c>
      <c r="D1097" s="95">
        <v>3055</v>
      </c>
      <c r="E1097" s="95"/>
      <c r="F1097" s="95"/>
      <c r="G1097" s="95">
        <v>6754</v>
      </c>
      <c r="H1097" s="138">
        <v>7000</v>
      </c>
      <c r="I1097" s="138"/>
      <c r="J1097" s="502">
        <f t="shared" si="130"/>
        <v>7000</v>
      </c>
      <c r="K1097" s="318">
        <v>43908</v>
      </c>
      <c r="L1097" s="95">
        <v>0</v>
      </c>
      <c r="M1097" s="313">
        <f t="shared" si="131"/>
        <v>43908</v>
      </c>
      <c r="N1097" s="95" t="str">
        <f t="shared" si="132"/>
        <v>Pagado</v>
      </c>
      <c r="O1097" s="318">
        <v>43908</v>
      </c>
      <c r="P1097" s="138">
        <v>7000</v>
      </c>
      <c r="Q1097" s="95" t="s">
        <v>1484</v>
      </c>
      <c r="R1097" s="95"/>
      <c r="S1097" s="95"/>
      <c r="T1097" s="325" t="s">
        <v>1496</v>
      </c>
      <c r="U1097" s="393"/>
      <c r="V1097" s="95"/>
      <c r="W1097" s="129"/>
      <c r="X1097" s="318"/>
      <c r="Y1097" s="95"/>
      <c r="Z1097" s="426"/>
      <c r="AA1097" s="129" t="str">
        <f t="shared" si="137"/>
        <v/>
      </c>
      <c r="AB1097" s="95"/>
      <c r="AC1097" s="426">
        <f t="shared" si="133"/>
        <v>5882.3529411764712</v>
      </c>
      <c r="AD1097" s="129">
        <f t="shared" si="134"/>
        <v>1117.6470588235288</v>
      </c>
      <c r="AE1097" s="95" t="s">
        <v>1501</v>
      </c>
      <c r="AF1097" s="632" t="s">
        <v>3489</v>
      </c>
      <c r="AG1097" s="95" t="str">
        <f t="shared" si="135"/>
        <v>SI</v>
      </c>
      <c r="AH1097" s="284"/>
      <c r="AI1097" s="632"/>
      <c r="AJ1097" s="95" t="str">
        <f t="shared" si="136"/>
        <v>NV</v>
      </c>
      <c r="AK1097" s="303"/>
    </row>
    <row r="1098" spans="1:37" x14ac:dyDescent="0.25">
      <c r="A1098" s="633" t="s">
        <v>1405</v>
      </c>
      <c r="B1098" s="317" t="s">
        <v>1142</v>
      </c>
      <c r="C1098" s="95">
        <v>0</v>
      </c>
      <c r="D1098" s="95">
        <v>3051</v>
      </c>
      <c r="E1098" s="95"/>
      <c r="F1098" s="95"/>
      <c r="G1098" s="95">
        <v>6755</v>
      </c>
      <c r="H1098" s="138">
        <v>21200</v>
      </c>
      <c r="I1098" s="138"/>
      <c r="J1098" s="502">
        <f t="shared" si="130"/>
        <v>21200</v>
      </c>
      <c r="K1098" s="318">
        <v>43908</v>
      </c>
      <c r="L1098" s="95">
        <v>0</v>
      </c>
      <c r="M1098" s="313">
        <f t="shared" si="131"/>
        <v>43908</v>
      </c>
      <c r="N1098" s="95" t="str">
        <f t="shared" si="132"/>
        <v>Pagado</v>
      </c>
      <c r="O1098" s="318">
        <v>43908</v>
      </c>
      <c r="P1098" s="138">
        <v>21200</v>
      </c>
      <c r="Q1098" s="95" t="s">
        <v>1484</v>
      </c>
      <c r="R1098" s="95"/>
      <c r="S1098" s="95"/>
      <c r="T1098" s="325" t="s">
        <v>1462</v>
      </c>
      <c r="U1098" s="393"/>
      <c r="V1098" s="95"/>
      <c r="W1098" s="129"/>
      <c r="X1098" s="318"/>
      <c r="Y1098" s="95"/>
      <c r="Z1098" s="426"/>
      <c r="AA1098" s="129" t="str">
        <f t="shared" si="137"/>
        <v/>
      </c>
      <c r="AB1098" s="95"/>
      <c r="AC1098" s="426">
        <f t="shared" si="133"/>
        <v>17815.126050420167</v>
      </c>
      <c r="AD1098" s="129">
        <f t="shared" si="134"/>
        <v>3384.8739495798327</v>
      </c>
      <c r="AE1098" s="95" t="s">
        <v>1501</v>
      </c>
      <c r="AF1098" s="632" t="s">
        <v>3487</v>
      </c>
      <c r="AG1098" s="95" t="str">
        <f t="shared" si="135"/>
        <v>SI</v>
      </c>
      <c r="AH1098" s="284"/>
      <c r="AI1098" s="632"/>
      <c r="AJ1098" s="95" t="str">
        <f t="shared" si="136"/>
        <v>NV</v>
      </c>
      <c r="AK1098" s="303"/>
    </row>
    <row r="1099" spans="1:37" x14ac:dyDescent="0.25">
      <c r="A1099" s="633" t="s">
        <v>1267</v>
      </c>
      <c r="B1099" s="317" t="s">
        <v>1036</v>
      </c>
      <c r="C1099" s="95">
        <v>0</v>
      </c>
      <c r="D1099" s="95">
        <v>0</v>
      </c>
      <c r="E1099" s="95"/>
      <c r="F1099" s="95"/>
      <c r="G1099" s="95">
        <v>6553</v>
      </c>
      <c r="H1099" s="138">
        <v>53200</v>
      </c>
      <c r="I1099" s="138"/>
      <c r="J1099" s="502">
        <f t="shared" si="130"/>
        <v>53200</v>
      </c>
      <c r="K1099" s="318">
        <v>43908</v>
      </c>
      <c r="L1099" s="95">
        <v>0</v>
      </c>
      <c r="M1099" s="313">
        <f t="shared" si="131"/>
        <v>43908</v>
      </c>
      <c r="N1099" s="95" t="str">
        <f t="shared" si="132"/>
        <v>Pagado</v>
      </c>
      <c r="O1099" s="318">
        <v>43922</v>
      </c>
      <c r="P1099" s="138">
        <v>53200</v>
      </c>
      <c r="Q1099" s="95" t="s">
        <v>1481</v>
      </c>
      <c r="R1099" s="95"/>
      <c r="S1099" s="95"/>
      <c r="T1099" s="325"/>
      <c r="U1099" s="393"/>
      <c r="V1099" s="95"/>
      <c r="W1099" s="129"/>
      <c r="X1099" s="318"/>
      <c r="Y1099" s="95"/>
      <c r="Z1099" s="426"/>
      <c r="AA1099" s="129" t="str">
        <f t="shared" si="137"/>
        <v/>
      </c>
      <c r="AB1099" s="95"/>
      <c r="AC1099" s="426">
        <f t="shared" si="133"/>
        <v>44705.882352941182</v>
      </c>
      <c r="AD1099" s="129">
        <f t="shared" si="134"/>
        <v>8494.117647058818</v>
      </c>
      <c r="AE1099" s="95" t="s">
        <v>1501</v>
      </c>
      <c r="AF1099" s="632" t="s">
        <v>3489</v>
      </c>
      <c r="AG1099" s="95" t="str">
        <f t="shared" si="135"/>
        <v>SI</v>
      </c>
      <c r="AH1099" s="284"/>
      <c r="AI1099" s="632"/>
      <c r="AJ1099" s="95" t="str">
        <f t="shared" si="136"/>
        <v>NV</v>
      </c>
      <c r="AK1099" s="303"/>
    </row>
    <row r="1100" spans="1:37" x14ac:dyDescent="0.25">
      <c r="A1100" s="633" t="s">
        <v>1243</v>
      </c>
      <c r="B1100" s="317" t="s">
        <v>986</v>
      </c>
      <c r="C1100" s="95">
        <v>0</v>
      </c>
      <c r="D1100" s="95">
        <v>220</v>
      </c>
      <c r="E1100" s="95"/>
      <c r="F1100" s="95"/>
      <c r="G1100" s="95">
        <v>6756</v>
      </c>
      <c r="H1100" s="138">
        <v>47900</v>
      </c>
      <c r="I1100" s="138"/>
      <c r="J1100" s="502">
        <f t="shared" si="130"/>
        <v>47900</v>
      </c>
      <c r="K1100" s="318">
        <v>43908</v>
      </c>
      <c r="L1100" s="95">
        <v>0</v>
      </c>
      <c r="M1100" s="313">
        <f t="shared" si="131"/>
        <v>43908</v>
      </c>
      <c r="N1100" s="95" t="str">
        <f t="shared" si="132"/>
        <v>Pagado</v>
      </c>
      <c r="O1100" s="318">
        <v>43908</v>
      </c>
      <c r="P1100" s="138">
        <v>47900</v>
      </c>
      <c r="Q1100" s="95" t="s">
        <v>1070</v>
      </c>
      <c r="R1100" s="95" t="s">
        <v>2243</v>
      </c>
      <c r="S1100" s="95">
        <v>220</v>
      </c>
      <c r="T1100" s="325"/>
      <c r="U1100" s="393"/>
      <c r="V1100" s="95"/>
      <c r="W1100" s="129"/>
      <c r="X1100" s="318"/>
      <c r="Y1100" s="95"/>
      <c r="Z1100" s="426"/>
      <c r="AA1100" s="129" t="str">
        <f t="shared" si="137"/>
        <v/>
      </c>
      <c r="AB1100" s="95"/>
      <c r="AC1100" s="426">
        <f t="shared" si="133"/>
        <v>40252.100840336134</v>
      </c>
      <c r="AD1100" s="129">
        <f t="shared" si="134"/>
        <v>7647.8991596638662</v>
      </c>
      <c r="AE1100" s="95" t="s">
        <v>1501</v>
      </c>
      <c r="AF1100" s="632" t="s">
        <v>3489</v>
      </c>
      <c r="AG1100" s="95" t="str">
        <f t="shared" si="135"/>
        <v>SI</v>
      </c>
      <c r="AH1100" s="284"/>
      <c r="AI1100" s="632"/>
      <c r="AJ1100" s="95" t="str">
        <f t="shared" si="136"/>
        <v>NV</v>
      </c>
      <c r="AK1100" s="303"/>
    </row>
    <row r="1101" spans="1:37" x14ac:dyDescent="0.25">
      <c r="A1101" s="633" t="s">
        <v>3683</v>
      </c>
      <c r="B1101" s="317" t="s">
        <v>3684</v>
      </c>
      <c r="C1101" s="95">
        <v>0</v>
      </c>
      <c r="D1101" s="95">
        <v>3056</v>
      </c>
      <c r="E1101" s="95"/>
      <c r="F1101" s="95"/>
      <c r="G1101" s="95">
        <v>6735</v>
      </c>
      <c r="H1101" s="138">
        <v>19700</v>
      </c>
      <c r="I1101" s="138"/>
      <c r="J1101" s="502">
        <f t="shared" si="130"/>
        <v>19700</v>
      </c>
      <c r="K1101" s="318">
        <v>43909</v>
      </c>
      <c r="L1101" s="95">
        <v>0</v>
      </c>
      <c r="M1101" s="313">
        <f t="shared" si="131"/>
        <v>43909</v>
      </c>
      <c r="N1101" s="95" t="str">
        <f t="shared" si="132"/>
        <v>Pagado</v>
      </c>
      <c r="O1101" s="318">
        <v>43908</v>
      </c>
      <c r="P1101" s="138">
        <v>19700</v>
      </c>
      <c r="Q1101" s="95" t="s">
        <v>1484</v>
      </c>
      <c r="R1101" s="95"/>
      <c r="S1101" s="95"/>
      <c r="T1101" s="325" t="s">
        <v>1496</v>
      </c>
      <c r="U1101" s="393"/>
      <c r="V1101" s="95"/>
      <c r="W1101" s="129"/>
      <c r="X1101" s="318"/>
      <c r="Y1101" s="95"/>
      <c r="Z1101" s="426"/>
      <c r="AA1101" s="129" t="str">
        <f t="shared" si="137"/>
        <v/>
      </c>
      <c r="AB1101" s="95"/>
      <c r="AC1101" s="426">
        <f t="shared" si="133"/>
        <v>16554.621848739498</v>
      </c>
      <c r="AD1101" s="129">
        <f t="shared" si="134"/>
        <v>3145.3781512605019</v>
      </c>
      <c r="AE1101" s="95" t="s">
        <v>1501</v>
      </c>
      <c r="AF1101" s="632" t="s">
        <v>3487</v>
      </c>
      <c r="AG1101" s="95" t="str">
        <f t="shared" si="135"/>
        <v>SI</v>
      </c>
      <c r="AH1101" s="284"/>
      <c r="AI1101" s="632"/>
      <c r="AJ1101" s="95" t="str">
        <f t="shared" si="136"/>
        <v>NV</v>
      </c>
      <c r="AK1101" s="303"/>
    </row>
    <row r="1102" spans="1:37" x14ac:dyDescent="0.25">
      <c r="A1102" s="633" t="s">
        <v>5402</v>
      </c>
      <c r="B1102" s="317" t="s">
        <v>5403</v>
      </c>
      <c r="C1102" s="95">
        <v>0</v>
      </c>
      <c r="D1102" s="95">
        <v>3066</v>
      </c>
      <c r="E1102" s="95"/>
      <c r="F1102" s="95"/>
      <c r="G1102" s="95">
        <v>6743</v>
      </c>
      <c r="H1102" s="138">
        <v>59700</v>
      </c>
      <c r="I1102" s="138"/>
      <c r="J1102" s="502">
        <f t="shared" si="130"/>
        <v>59700</v>
      </c>
      <c r="K1102" s="318">
        <v>43909</v>
      </c>
      <c r="L1102" s="95">
        <v>0</v>
      </c>
      <c r="M1102" s="313">
        <f t="shared" si="131"/>
        <v>43909</v>
      </c>
      <c r="N1102" s="95" t="str">
        <f t="shared" si="132"/>
        <v>Pagado</v>
      </c>
      <c r="O1102" s="318">
        <v>43913</v>
      </c>
      <c r="P1102" s="138">
        <v>59700</v>
      </c>
      <c r="Q1102" s="95" t="s">
        <v>1484</v>
      </c>
      <c r="R1102" s="95"/>
      <c r="S1102" s="95"/>
      <c r="T1102" s="325" t="s">
        <v>1462</v>
      </c>
      <c r="U1102" s="393"/>
      <c r="V1102" s="95"/>
      <c r="W1102" s="129"/>
      <c r="X1102" s="318"/>
      <c r="Y1102" s="95"/>
      <c r="Z1102" s="426"/>
      <c r="AA1102" s="129" t="str">
        <f t="shared" si="137"/>
        <v/>
      </c>
      <c r="AB1102" s="95"/>
      <c r="AC1102" s="426">
        <f t="shared" si="133"/>
        <v>50168.067226890758</v>
      </c>
      <c r="AD1102" s="129">
        <f t="shared" si="134"/>
        <v>9531.9327731092417</v>
      </c>
      <c r="AE1102" s="95" t="s">
        <v>1501</v>
      </c>
      <c r="AF1102" s="632" t="s">
        <v>3489</v>
      </c>
      <c r="AG1102" s="95" t="str">
        <f t="shared" si="135"/>
        <v>SI</v>
      </c>
      <c r="AH1102" s="284"/>
      <c r="AI1102" s="632"/>
      <c r="AJ1102" s="95" t="str">
        <f t="shared" si="136"/>
        <v>NV</v>
      </c>
      <c r="AK1102" s="303"/>
    </row>
    <row r="1103" spans="1:37" x14ac:dyDescent="0.25">
      <c r="A1103" s="633" t="s">
        <v>5762</v>
      </c>
      <c r="B1103" s="317" t="s">
        <v>5763</v>
      </c>
      <c r="C1103" s="95">
        <v>0</v>
      </c>
      <c r="D1103" s="95">
        <v>3057</v>
      </c>
      <c r="E1103" s="95"/>
      <c r="F1103" s="95"/>
      <c r="G1103" s="95">
        <v>6745</v>
      </c>
      <c r="H1103" s="138">
        <v>46700</v>
      </c>
      <c r="I1103" s="138"/>
      <c r="J1103" s="502">
        <f t="shared" si="130"/>
        <v>46700</v>
      </c>
      <c r="K1103" s="318">
        <v>43909</v>
      </c>
      <c r="L1103" s="95">
        <v>0</v>
      </c>
      <c r="M1103" s="313">
        <f t="shared" si="131"/>
        <v>43909</v>
      </c>
      <c r="N1103" s="95" t="str">
        <f t="shared" si="132"/>
        <v>Pagado</v>
      </c>
      <c r="O1103" s="318">
        <v>43909</v>
      </c>
      <c r="P1103" s="138">
        <v>46700</v>
      </c>
      <c r="Q1103" s="95" t="s">
        <v>2132</v>
      </c>
      <c r="R1103" s="95"/>
      <c r="S1103" s="95">
        <v>2350685</v>
      </c>
      <c r="T1103" s="325" t="s">
        <v>1488</v>
      </c>
      <c r="U1103" s="393"/>
      <c r="V1103" s="95">
        <v>1859693</v>
      </c>
      <c r="W1103" s="129">
        <v>46700</v>
      </c>
      <c r="X1103" s="318">
        <v>43914</v>
      </c>
      <c r="Y1103" s="95" t="s">
        <v>1488</v>
      </c>
      <c r="Z1103" s="426"/>
      <c r="AA1103" s="129" t="str">
        <f t="shared" si="137"/>
        <v>Chile</v>
      </c>
      <c r="AB1103" s="95"/>
      <c r="AC1103" s="426">
        <f t="shared" si="133"/>
        <v>39243.697478991598</v>
      </c>
      <c r="AD1103" s="129">
        <f t="shared" si="134"/>
        <v>7456.3025210084015</v>
      </c>
      <c r="AE1103" s="95" t="s">
        <v>1501</v>
      </c>
      <c r="AF1103" s="632" t="s">
        <v>3487</v>
      </c>
      <c r="AG1103" s="95" t="str">
        <f t="shared" si="135"/>
        <v>SI</v>
      </c>
      <c r="AH1103" s="284"/>
      <c r="AI1103" s="632"/>
      <c r="AJ1103" s="95" t="str">
        <f t="shared" si="136"/>
        <v>NV</v>
      </c>
      <c r="AK1103" s="303"/>
    </row>
    <row r="1104" spans="1:37" x14ac:dyDescent="0.25">
      <c r="A1104" s="633" t="s">
        <v>2619</v>
      </c>
      <c r="B1104" s="317" t="s">
        <v>3361</v>
      </c>
      <c r="C1104" s="95">
        <v>0</v>
      </c>
      <c r="D1104" s="95">
        <v>3058</v>
      </c>
      <c r="E1104" s="95"/>
      <c r="F1104" s="95"/>
      <c r="G1104" s="95">
        <v>6747</v>
      </c>
      <c r="H1104" s="138">
        <v>29900</v>
      </c>
      <c r="I1104" s="138"/>
      <c r="J1104" s="502">
        <f t="shared" si="130"/>
        <v>29900</v>
      </c>
      <c r="K1104" s="318">
        <v>43909</v>
      </c>
      <c r="L1104" s="95">
        <v>0</v>
      </c>
      <c r="M1104" s="313">
        <f t="shared" si="131"/>
        <v>43909</v>
      </c>
      <c r="N1104" s="95" t="str">
        <f t="shared" si="132"/>
        <v>Pagado</v>
      </c>
      <c r="O1104" s="318">
        <v>43916</v>
      </c>
      <c r="P1104" s="138">
        <v>29900</v>
      </c>
      <c r="Q1104" s="95" t="s">
        <v>1484</v>
      </c>
      <c r="R1104" s="95"/>
      <c r="S1104" s="95"/>
      <c r="T1104" s="325" t="s">
        <v>1496</v>
      </c>
      <c r="U1104" s="393"/>
      <c r="V1104" s="95"/>
      <c r="W1104" s="129"/>
      <c r="X1104" s="318"/>
      <c r="Y1104" s="95"/>
      <c r="Z1104" s="426"/>
      <c r="AA1104" s="129" t="str">
        <f t="shared" si="137"/>
        <v/>
      </c>
      <c r="AB1104" s="95"/>
      <c r="AC1104" s="426">
        <f t="shared" si="133"/>
        <v>25126.050420168067</v>
      </c>
      <c r="AD1104" s="129">
        <f t="shared" si="134"/>
        <v>4773.9495798319331</v>
      </c>
      <c r="AE1104" s="95" t="s">
        <v>1501</v>
      </c>
      <c r="AF1104" s="632" t="s">
        <v>3489</v>
      </c>
      <c r="AG1104" s="95" t="str">
        <f t="shared" si="135"/>
        <v>SI</v>
      </c>
      <c r="AH1104" s="284"/>
      <c r="AI1104" s="632"/>
      <c r="AJ1104" s="95" t="str">
        <f t="shared" si="136"/>
        <v>NV</v>
      </c>
      <c r="AK1104" s="303"/>
    </row>
    <row r="1105" spans="1:37" x14ac:dyDescent="0.25">
      <c r="A1105" s="633" t="s">
        <v>3683</v>
      </c>
      <c r="B1105" s="317" t="s">
        <v>3684</v>
      </c>
      <c r="C1105" s="95">
        <v>0</v>
      </c>
      <c r="D1105" s="95">
        <v>3056</v>
      </c>
      <c r="E1105" s="95"/>
      <c r="F1105" s="95"/>
      <c r="G1105" s="95">
        <v>6751</v>
      </c>
      <c r="H1105" s="138">
        <v>92600</v>
      </c>
      <c r="I1105" s="138"/>
      <c r="J1105" s="502">
        <f t="shared" si="130"/>
        <v>92600</v>
      </c>
      <c r="K1105" s="318">
        <v>43909</v>
      </c>
      <c r="L1105" s="95">
        <v>0</v>
      </c>
      <c r="M1105" s="313">
        <f t="shared" si="131"/>
        <v>43909</v>
      </c>
      <c r="N1105" s="95" t="str">
        <f t="shared" si="132"/>
        <v>Pagado</v>
      </c>
      <c r="O1105" s="318">
        <v>43908</v>
      </c>
      <c r="P1105" s="138">
        <v>92600</v>
      </c>
      <c r="Q1105" s="95" t="s">
        <v>1484</v>
      </c>
      <c r="R1105" s="95"/>
      <c r="S1105" s="95"/>
      <c r="T1105" s="325" t="s">
        <v>1496</v>
      </c>
      <c r="U1105" s="393"/>
      <c r="V1105" s="95"/>
      <c r="W1105" s="129"/>
      <c r="X1105" s="318"/>
      <c r="Y1105" s="95"/>
      <c r="Z1105" s="426"/>
      <c r="AA1105" s="129" t="str">
        <f t="shared" si="137"/>
        <v/>
      </c>
      <c r="AB1105" s="95"/>
      <c r="AC1105" s="426">
        <f t="shared" si="133"/>
        <v>77815.126050420178</v>
      </c>
      <c r="AD1105" s="129">
        <f t="shared" si="134"/>
        <v>14784.873949579822</v>
      </c>
      <c r="AE1105" s="95" t="s">
        <v>1501</v>
      </c>
      <c r="AF1105" s="632" t="s">
        <v>3487</v>
      </c>
      <c r="AG1105" s="95" t="str">
        <f t="shared" si="135"/>
        <v>SI</v>
      </c>
      <c r="AH1105" s="284"/>
      <c r="AI1105" s="632"/>
      <c r="AJ1105" s="95" t="str">
        <f t="shared" si="136"/>
        <v>NV</v>
      </c>
      <c r="AK1105" s="303"/>
    </row>
    <row r="1106" spans="1:37" x14ac:dyDescent="0.25">
      <c r="A1106" s="633" t="s">
        <v>4863</v>
      </c>
      <c r="B1106" s="317" t="s">
        <v>4864</v>
      </c>
      <c r="C1106" s="95">
        <v>0</v>
      </c>
      <c r="D1106" s="95">
        <v>3053</v>
      </c>
      <c r="E1106" s="95"/>
      <c r="F1106" s="95"/>
      <c r="G1106" s="95">
        <v>6757</v>
      </c>
      <c r="H1106" s="138">
        <v>35500</v>
      </c>
      <c r="I1106" s="138"/>
      <c r="J1106" s="502">
        <f t="shared" si="130"/>
        <v>35500</v>
      </c>
      <c r="K1106" s="318">
        <v>43909</v>
      </c>
      <c r="L1106" s="95">
        <v>0</v>
      </c>
      <c r="M1106" s="313">
        <f t="shared" si="131"/>
        <v>43909</v>
      </c>
      <c r="N1106" s="95" t="str">
        <f t="shared" si="132"/>
        <v>Pagado</v>
      </c>
      <c r="O1106" s="318">
        <v>43908</v>
      </c>
      <c r="P1106" s="138">
        <v>35500</v>
      </c>
      <c r="Q1106" s="95" t="s">
        <v>1481</v>
      </c>
      <c r="R1106" s="95"/>
      <c r="S1106" s="95"/>
      <c r="T1106" s="325"/>
      <c r="U1106" s="393"/>
      <c r="V1106" s="95">
        <v>1858374</v>
      </c>
      <c r="W1106" s="129">
        <v>35500</v>
      </c>
      <c r="X1106" s="318">
        <v>43914</v>
      </c>
      <c r="Y1106" s="95" t="s">
        <v>1488</v>
      </c>
      <c r="Z1106" s="426"/>
      <c r="AA1106" s="129" t="str">
        <f t="shared" si="137"/>
        <v/>
      </c>
      <c r="AB1106" s="95"/>
      <c r="AC1106" s="426">
        <f t="shared" si="133"/>
        <v>29831.932773109245</v>
      </c>
      <c r="AD1106" s="129">
        <f t="shared" si="134"/>
        <v>5668.0672268907547</v>
      </c>
      <c r="AE1106" s="95" t="s">
        <v>1501</v>
      </c>
      <c r="AF1106" s="632" t="s">
        <v>3487</v>
      </c>
      <c r="AG1106" s="95" t="str">
        <f t="shared" si="135"/>
        <v>SI</v>
      </c>
      <c r="AH1106" s="284"/>
      <c r="AI1106" s="632"/>
      <c r="AJ1106" s="95" t="str">
        <f t="shared" si="136"/>
        <v>NV</v>
      </c>
      <c r="AK1106" s="303"/>
    </row>
    <row r="1107" spans="1:37" x14ac:dyDescent="0.25">
      <c r="A1107" s="633" t="s">
        <v>6012</v>
      </c>
      <c r="B1107" s="317" t="s">
        <v>6013</v>
      </c>
      <c r="C1107" s="95">
        <v>0</v>
      </c>
      <c r="D1107" s="95">
        <v>227</v>
      </c>
      <c r="E1107" s="95"/>
      <c r="F1107" s="95"/>
      <c r="G1107" s="95">
        <v>6758</v>
      </c>
      <c r="H1107" s="138">
        <v>31500</v>
      </c>
      <c r="I1107" s="138"/>
      <c r="J1107" s="502">
        <f t="shared" si="130"/>
        <v>31500</v>
      </c>
      <c r="K1107" s="318">
        <v>43909</v>
      </c>
      <c r="L1107" s="95">
        <v>0</v>
      </c>
      <c r="M1107" s="313">
        <f t="shared" si="131"/>
        <v>43909</v>
      </c>
      <c r="N1107" s="95" t="str">
        <f t="shared" si="132"/>
        <v>Pagado</v>
      </c>
      <c r="O1107" s="318">
        <v>43909</v>
      </c>
      <c r="P1107" s="138">
        <v>31500</v>
      </c>
      <c r="Q1107" s="95" t="s">
        <v>1070</v>
      </c>
      <c r="R1107" s="95" t="s">
        <v>2243</v>
      </c>
      <c r="S1107" s="95">
        <v>227</v>
      </c>
      <c r="T1107" s="325"/>
      <c r="U1107" s="393"/>
      <c r="V1107" s="95"/>
      <c r="W1107" s="129"/>
      <c r="X1107" s="318"/>
      <c r="Y1107" s="95"/>
      <c r="Z1107" s="426"/>
      <c r="AA1107" s="129" t="str">
        <f t="shared" si="137"/>
        <v/>
      </c>
      <c r="AB1107" s="95"/>
      <c r="AC1107" s="426">
        <f t="shared" si="133"/>
        <v>26470.588235294119</v>
      </c>
      <c r="AD1107" s="129">
        <f t="shared" si="134"/>
        <v>5029.4117647058811</v>
      </c>
      <c r="AE1107" s="95" t="s">
        <v>1501</v>
      </c>
      <c r="AF1107" s="632" t="s">
        <v>3487</v>
      </c>
      <c r="AG1107" s="95" t="str">
        <f t="shared" si="135"/>
        <v>SI</v>
      </c>
      <c r="AH1107" s="284"/>
      <c r="AI1107" s="632"/>
      <c r="AJ1107" s="95" t="str">
        <f t="shared" si="136"/>
        <v>NV</v>
      </c>
      <c r="AK1107" s="303"/>
    </row>
    <row r="1108" spans="1:37" x14ac:dyDescent="0.25">
      <c r="A1108" s="633" t="s">
        <v>6015</v>
      </c>
      <c r="B1108" s="317" t="s">
        <v>6016</v>
      </c>
      <c r="C1108" s="95">
        <v>0</v>
      </c>
      <c r="D1108" s="95">
        <v>3059</v>
      </c>
      <c r="E1108" s="95"/>
      <c r="F1108" s="95"/>
      <c r="G1108" s="95">
        <v>6759</v>
      </c>
      <c r="H1108" s="138">
        <v>33000</v>
      </c>
      <c r="I1108" s="138"/>
      <c r="J1108" s="502">
        <f t="shared" si="130"/>
        <v>33000</v>
      </c>
      <c r="K1108" s="318">
        <v>43909</v>
      </c>
      <c r="L1108" s="95">
        <v>0</v>
      </c>
      <c r="M1108" s="313">
        <f t="shared" si="131"/>
        <v>43909</v>
      </c>
      <c r="N1108" s="95" t="str">
        <f t="shared" si="132"/>
        <v>Pagado</v>
      </c>
      <c r="O1108" s="318">
        <v>43909</v>
      </c>
      <c r="P1108" s="138">
        <v>33000</v>
      </c>
      <c r="Q1108" s="95" t="s">
        <v>1484</v>
      </c>
      <c r="R1108" s="95"/>
      <c r="S1108" s="95"/>
      <c r="T1108" s="325" t="s">
        <v>1462</v>
      </c>
      <c r="U1108" s="393"/>
      <c r="V1108" s="95"/>
      <c r="W1108" s="129"/>
      <c r="X1108" s="318"/>
      <c r="Y1108" s="95"/>
      <c r="Z1108" s="426"/>
      <c r="AA1108" s="129" t="str">
        <f t="shared" si="137"/>
        <v/>
      </c>
      <c r="AB1108" s="95"/>
      <c r="AC1108" s="426">
        <f t="shared" si="133"/>
        <v>27731.092436974792</v>
      </c>
      <c r="AD1108" s="129">
        <f t="shared" si="134"/>
        <v>5268.9075630252082</v>
      </c>
      <c r="AE1108" s="95" t="s">
        <v>1501</v>
      </c>
      <c r="AF1108" s="632" t="s">
        <v>3487</v>
      </c>
      <c r="AG1108" s="95" t="str">
        <f t="shared" si="135"/>
        <v>SI</v>
      </c>
      <c r="AH1108" s="284"/>
      <c r="AI1108" s="632"/>
      <c r="AJ1108" s="95" t="str">
        <f t="shared" si="136"/>
        <v>NV</v>
      </c>
      <c r="AK1108" s="303"/>
    </row>
    <row r="1109" spans="1:37" x14ac:dyDescent="0.25">
      <c r="A1109" s="633" t="s">
        <v>2656</v>
      </c>
      <c r="B1109" s="317" t="s">
        <v>3362</v>
      </c>
      <c r="C1109" s="95">
        <v>0</v>
      </c>
      <c r="D1109" s="95">
        <v>3062</v>
      </c>
      <c r="E1109" s="95"/>
      <c r="F1109" s="95"/>
      <c r="G1109" s="95">
        <v>6760</v>
      </c>
      <c r="H1109" s="138">
        <v>81400</v>
      </c>
      <c r="I1109" s="138"/>
      <c r="J1109" s="502">
        <f t="shared" si="130"/>
        <v>81400</v>
      </c>
      <c r="K1109" s="318">
        <v>43909</v>
      </c>
      <c r="L1109" s="95">
        <v>0</v>
      </c>
      <c r="M1109" s="313">
        <f t="shared" si="131"/>
        <v>43909</v>
      </c>
      <c r="N1109" s="95" t="str">
        <f t="shared" si="132"/>
        <v>Pagado</v>
      </c>
      <c r="O1109" s="318">
        <v>43910</v>
      </c>
      <c r="P1109" s="138">
        <v>81400</v>
      </c>
      <c r="Q1109" s="95" t="s">
        <v>1484</v>
      </c>
      <c r="R1109" s="95"/>
      <c r="S1109" s="95"/>
      <c r="T1109" s="325" t="s">
        <v>1462</v>
      </c>
      <c r="U1109" s="393"/>
      <c r="V1109" s="95"/>
      <c r="W1109" s="129"/>
      <c r="X1109" s="318"/>
      <c r="Y1109" s="95"/>
      <c r="Z1109" s="426"/>
      <c r="AA1109" s="129" t="str">
        <f t="shared" si="137"/>
        <v/>
      </c>
      <c r="AB1109" s="95"/>
      <c r="AC1109" s="426">
        <f t="shared" si="133"/>
        <v>68403.361344537814</v>
      </c>
      <c r="AD1109" s="129">
        <f t="shared" si="134"/>
        <v>12996.638655462186</v>
      </c>
      <c r="AE1109" s="95" t="s">
        <v>1501</v>
      </c>
      <c r="AF1109" s="632" t="s">
        <v>3489</v>
      </c>
      <c r="AG1109" s="95" t="str">
        <f t="shared" si="135"/>
        <v>SI</v>
      </c>
      <c r="AH1109" s="284"/>
      <c r="AI1109" s="632"/>
      <c r="AJ1109" s="95" t="str">
        <f t="shared" si="136"/>
        <v>NV</v>
      </c>
      <c r="AK1109" s="303"/>
    </row>
    <row r="1110" spans="1:37" x14ac:dyDescent="0.25">
      <c r="A1110" s="633" t="s">
        <v>5335</v>
      </c>
      <c r="B1110" s="317" t="s">
        <v>5336</v>
      </c>
      <c r="C1110" s="95">
        <v>0</v>
      </c>
      <c r="D1110" s="95">
        <v>3060</v>
      </c>
      <c r="E1110" s="95"/>
      <c r="F1110" s="95"/>
      <c r="G1110" s="95">
        <v>6761</v>
      </c>
      <c r="H1110" s="138">
        <v>19700</v>
      </c>
      <c r="I1110" s="138"/>
      <c r="J1110" s="502">
        <f t="shared" si="130"/>
        <v>19700</v>
      </c>
      <c r="K1110" s="318">
        <v>43909</v>
      </c>
      <c r="L1110" s="95">
        <v>0</v>
      </c>
      <c r="M1110" s="313">
        <f t="shared" si="131"/>
        <v>43909</v>
      </c>
      <c r="N1110" s="95" t="str">
        <f t="shared" si="132"/>
        <v>Pagado</v>
      </c>
      <c r="O1110" s="318">
        <v>43909</v>
      </c>
      <c r="P1110" s="138">
        <v>19700</v>
      </c>
      <c r="Q1110" s="95" t="s">
        <v>1484</v>
      </c>
      <c r="R1110" s="95"/>
      <c r="S1110" s="95"/>
      <c r="T1110" s="325" t="s">
        <v>1494</v>
      </c>
      <c r="U1110" s="393"/>
      <c r="V1110" s="95"/>
      <c r="W1110" s="129"/>
      <c r="X1110" s="318"/>
      <c r="Y1110" s="95"/>
      <c r="Z1110" s="426"/>
      <c r="AA1110" s="129" t="str">
        <f t="shared" si="137"/>
        <v/>
      </c>
      <c r="AB1110" s="95"/>
      <c r="AC1110" s="426">
        <f t="shared" si="133"/>
        <v>16554.621848739498</v>
      </c>
      <c r="AD1110" s="129">
        <f t="shared" si="134"/>
        <v>3145.3781512605019</v>
      </c>
      <c r="AE1110" s="95" t="s">
        <v>1501</v>
      </c>
      <c r="AF1110" s="632" t="s">
        <v>3487</v>
      </c>
      <c r="AG1110" s="95" t="str">
        <f t="shared" si="135"/>
        <v>SI</v>
      </c>
      <c r="AH1110" s="284"/>
      <c r="AI1110" s="632"/>
      <c r="AJ1110" s="95" t="str">
        <f t="shared" si="136"/>
        <v>NV</v>
      </c>
      <c r="AK1110" s="303"/>
    </row>
    <row r="1111" spans="1:37" x14ac:dyDescent="0.25">
      <c r="A1111" s="633" t="s">
        <v>5273</v>
      </c>
      <c r="B1111" s="317" t="s">
        <v>5274</v>
      </c>
      <c r="C1111" s="95">
        <v>0</v>
      </c>
      <c r="D1111" s="95">
        <v>3061</v>
      </c>
      <c r="E1111" s="95"/>
      <c r="F1111" s="95"/>
      <c r="G1111" s="95">
        <v>6764</v>
      </c>
      <c r="H1111" s="138">
        <v>59100</v>
      </c>
      <c r="I1111" s="138"/>
      <c r="J1111" s="502">
        <f t="shared" si="130"/>
        <v>59100</v>
      </c>
      <c r="K1111" s="318">
        <v>43909</v>
      </c>
      <c r="L1111" s="95">
        <v>0</v>
      </c>
      <c r="M1111" s="313">
        <f t="shared" si="131"/>
        <v>43909</v>
      </c>
      <c r="N1111" s="95" t="str">
        <f t="shared" si="132"/>
        <v>Pagado</v>
      </c>
      <c r="O1111" s="318">
        <v>43909</v>
      </c>
      <c r="P1111" s="138">
        <v>59100</v>
      </c>
      <c r="Q1111" s="95" t="s">
        <v>1484</v>
      </c>
      <c r="R1111" s="95"/>
      <c r="S1111" s="95"/>
      <c r="T1111" s="325" t="s">
        <v>1462</v>
      </c>
      <c r="U1111" s="393"/>
      <c r="V1111" s="95"/>
      <c r="W1111" s="129"/>
      <c r="X1111" s="318"/>
      <c r="Y1111" s="95"/>
      <c r="Z1111" s="426"/>
      <c r="AA1111" s="129" t="str">
        <f t="shared" si="137"/>
        <v/>
      </c>
      <c r="AB1111" s="95"/>
      <c r="AC1111" s="426">
        <f t="shared" si="133"/>
        <v>49663.865546218491</v>
      </c>
      <c r="AD1111" s="129">
        <f t="shared" si="134"/>
        <v>9436.1344537815094</v>
      </c>
      <c r="AE1111" s="95" t="s">
        <v>1501</v>
      </c>
      <c r="AF1111" s="632" t="s">
        <v>3487</v>
      </c>
      <c r="AG1111" s="95" t="str">
        <f t="shared" si="135"/>
        <v>SI</v>
      </c>
      <c r="AH1111" s="284"/>
      <c r="AI1111" s="632"/>
      <c r="AJ1111" s="95" t="str">
        <f t="shared" si="136"/>
        <v>NV</v>
      </c>
      <c r="AK1111" s="303"/>
    </row>
    <row r="1112" spans="1:37" x14ac:dyDescent="0.25">
      <c r="A1112" s="633" t="s">
        <v>5747</v>
      </c>
      <c r="B1112" s="317" t="s">
        <v>5748</v>
      </c>
      <c r="C1112" s="95">
        <v>0</v>
      </c>
      <c r="D1112" s="95">
        <v>3059</v>
      </c>
      <c r="E1112" s="95"/>
      <c r="F1112" s="95"/>
      <c r="G1112" s="95">
        <v>6767</v>
      </c>
      <c r="H1112" s="138">
        <v>33000</v>
      </c>
      <c r="I1112" s="138"/>
      <c r="J1112" s="502">
        <f t="shared" si="130"/>
        <v>33000</v>
      </c>
      <c r="K1112" s="318">
        <v>43909</v>
      </c>
      <c r="L1112" s="95">
        <v>0</v>
      </c>
      <c r="M1112" s="313">
        <f t="shared" si="131"/>
        <v>43909</v>
      </c>
      <c r="N1112" s="95" t="str">
        <f t="shared" si="132"/>
        <v>Pagado</v>
      </c>
      <c r="O1112" s="318">
        <v>43909</v>
      </c>
      <c r="P1112" s="138">
        <v>33000</v>
      </c>
      <c r="Q1112" s="95" t="s">
        <v>1484</v>
      </c>
      <c r="R1112" s="95"/>
      <c r="S1112" s="95"/>
      <c r="T1112" s="325" t="s">
        <v>1492</v>
      </c>
      <c r="U1112" s="393"/>
      <c r="V1112" s="95"/>
      <c r="W1112" s="129"/>
      <c r="X1112" s="318"/>
      <c r="Y1112" s="95"/>
      <c r="Z1112" s="426"/>
      <c r="AA1112" s="129" t="str">
        <f t="shared" si="137"/>
        <v/>
      </c>
      <c r="AB1112" s="95"/>
      <c r="AC1112" s="426">
        <f t="shared" si="133"/>
        <v>27731.092436974792</v>
      </c>
      <c r="AD1112" s="129">
        <f t="shared" si="134"/>
        <v>5268.9075630252082</v>
      </c>
      <c r="AE1112" s="95" t="s">
        <v>1501</v>
      </c>
      <c r="AF1112" s="632" t="s">
        <v>3487</v>
      </c>
      <c r="AG1112" s="95" t="str">
        <f t="shared" si="135"/>
        <v>SI</v>
      </c>
      <c r="AH1112" s="284"/>
      <c r="AI1112" s="632"/>
      <c r="AJ1112" s="95" t="str">
        <f t="shared" si="136"/>
        <v>NV</v>
      </c>
      <c r="AK1112" s="303"/>
    </row>
    <row r="1113" spans="1:37" x14ac:dyDescent="0.25">
      <c r="A1113" s="633" t="s">
        <v>6018</v>
      </c>
      <c r="B1113" s="317" t="s">
        <v>6019</v>
      </c>
      <c r="C1113" s="95">
        <v>0</v>
      </c>
      <c r="D1113" s="95">
        <v>3067</v>
      </c>
      <c r="E1113" s="95"/>
      <c r="F1113" s="95"/>
      <c r="G1113" s="95">
        <v>6763</v>
      </c>
      <c r="H1113" s="138">
        <v>51300</v>
      </c>
      <c r="I1113" s="138"/>
      <c r="J1113" s="502">
        <f t="shared" si="130"/>
        <v>51300</v>
      </c>
      <c r="K1113" s="318">
        <v>43909</v>
      </c>
      <c r="L1113" s="95">
        <v>0</v>
      </c>
      <c r="M1113" s="313">
        <f t="shared" si="131"/>
        <v>43909</v>
      </c>
      <c r="N1113" s="95" t="str">
        <f t="shared" si="132"/>
        <v>Pagado</v>
      </c>
      <c r="O1113" s="318">
        <v>43909</v>
      </c>
      <c r="P1113" s="138">
        <v>51300</v>
      </c>
      <c r="Q1113" s="95" t="s">
        <v>1484</v>
      </c>
      <c r="R1113" s="95"/>
      <c r="S1113" s="95"/>
      <c r="T1113" s="325" t="s">
        <v>1496</v>
      </c>
      <c r="U1113" s="393"/>
      <c r="V1113" s="95"/>
      <c r="W1113" s="129"/>
      <c r="X1113" s="318"/>
      <c r="Y1113" s="95"/>
      <c r="Z1113" s="426"/>
      <c r="AA1113" s="129" t="str">
        <f t="shared" si="137"/>
        <v/>
      </c>
      <c r="AB1113" s="95"/>
      <c r="AC1113" s="426">
        <f t="shared" si="133"/>
        <v>43109.243697478996</v>
      </c>
      <c r="AD1113" s="129">
        <f t="shared" si="134"/>
        <v>8190.7563025210038</v>
      </c>
      <c r="AE1113" s="95" t="s">
        <v>1501</v>
      </c>
      <c r="AF1113" s="632" t="s">
        <v>3487</v>
      </c>
      <c r="AG1113" s="95" t="str">
        <f t="shared" si="135"/>
        <v>SI</v>
      </c>
      <c r="AH1113" s="284"/>
      <c r="AI1113" s="632"/>
      <c r="AJ1113" s="95" t="str">
        <f t="shared" si="136"/>
        <v>NV</v>
      </c>
      <c r="AK1113" s="303"/>
    </row>
    <row r="1114" spans="1:37" x14ac:dyDescent="0.25">
      <c r="A1114" s="633" t="s">
        <v>3673</v>
      </c>
      <c r="B1114" s="317" t="s">
        <v>3674</v>
      </c>
      <c r="C1114" s="95">
        <v>0</v>
      </c>
      <c r="D1114" s="95">
        <v>3064</v>
      </c>
      <c r="E1114" s="95"/>
      <c r="F1114" s="95"/>
      <c r="G1114" s="95">
        <v>6768</v>
      </c>
      <c r="H1114" s="138">
        <v>23900</v>
      </c>
      <c r="I1114" s="138"/>
      <c r="J1114" s="502">
        <f t="shared" si="130"/>
        <v>23900</v>
      </c>
      <c r="K1114" s="318">
        <v>43909</v>
      </c>
      <c r="L1114" s="95">
        <v>0</v>
      </c>
      <c r="M1114" s="313">
        <f t="shared" si="131"/>
        <v>43909</v>
      </c>
      <c r="N1114" s="95" t="str">
        <f t="shared" si="132"/>
        <v>Pagado</v>
      </c>
      <c r="O1114" s="318">
        <v>43909</v>
      </c>
      <c r="P1114" s="138">
        <v>23900</v>
      </c>
      <c r="Q1114" s="95" t="s">
        <v>1481</v>
      </c>
      <c r="R1114" s="95"/>
      <c r="S1114" s="95"/>
      <c r="T1114" s="325"/>
      <c r="U1114" s="393"/>
      <c r="V1114" s="95">
        <v>1858374</v>
      </c>
      <c r="W1114" s="129">
        <v>23900</v>
      </c>
      <c r="X1114" s="318"/>
      <c r="Y1114" s="95"/>
      <c r="Z1114" s="426"/>
      <c r="AA1114" s="129" t="str">
        <f t="shared" si="137"/>
        <v/>
      </c>
      <c r="AB1114" s="95"/>
      <c r="AC1114" s="426">
        <f t="shared" si="133"/>
        <v>20084.033613445379</v>
      </c>
      <c r="AD1114" s="129">
        <f t="shared" si="134"/>
        <v>3815.9663865546208</v>
      </c>
      <c r="AE1114" s="95" t="s">
        <v>1501</v>
      </c>
      <c r="AF1114" s="632" t="s">
        <v>3489</v>
      </c>
      <c r="AG1114" s="95" t="str">
        <f t="shared" si="135"/>
        <v>SI</v>
      </c>
      <c r="AH1114" s="284"/>
      <c r="AI1114" s="632"/>
      <c r="AJ1114" s="95" t="str">
        <f t="shared" si="136"/>
        <v>NV</v>
      </c>
      <c r="AK1114" s="303"/>
    </row>
    <row r="1115" spans="1:37" x14ac:dyDescent="0.25">
      <c r="A1115" s="633" t="s">
        <v>1233</v>
      </c>
      <c r="B1115" s="317" t="s">
        <v>1046</v>
      </c>
      <c r="C1115" s="95">
        <v>0</v>
      </c>
      <c r="D1115" s="95">
        <v>0</v>
      </c>
      <c r="E1115" s="95"/>
      <c r="F1115" s="95"/>
      <c r="G1115" s="95">
        <v>6769</v>
      </c>
      <c r="H1115" s="138">
        <v>48100</v>
      </c>
      <c r="I1115" s="138"/>
      <c r="J1115" s="502">
        <f t="shared" si="130"/>
        <v>48100</v>
      </c>
      <c r="K1115" s="318">
        <v>43909</v>
      </c>
      <c r="L1115" s="95">
        <v>0</v>
      </c>
      <c r="M1115" s="313">
        <f t="shared" si="131"/>
        <v>43909</v>
      </c>
      <c r="N1115" s="95" t="str">
        <f t="shared" ca="1" si="132"/>
        <v>Vencido</v>
      </c>
      <c r="O1115" s="318"/>
      <c r="P1115" s="138"/>
      <c r="Q1115" s="95"/>
      <c r="R1115" s="95"/>
      <c r="S1115" s="95"/>
      <c r="T1115" s="325"/>
      <c r="U1115" s="393"/>
      <c r="V1115" s="95"/>
      <c r="W1115" s="129"/>
      <c r="X1115" s="318"/>
      <c r="Y1115" s="95"/>
      <c r="Z1115" s="426"/>
      <c r="AA1115" s="129" t="str">
        <f t="shared" si="137"/>
        <v/>
      </c>
      <c r="AB1115" s="95"/>
      <c r="AC1115" s="426">
        <f t="shared" si="133"/>
        <v>40420.168067226892</v>
      </c>
      <c r="AD1115" s="129">
        <f t="shared" si="134"/>
        <v>7679.8319327731078</v>
      </c>
      <c r="AE1115" s="95" t="s">
        <v>1501</v>
      </c>
      <c r="AF1115" s="632" t="s">
        <v>3489</v>
      </c>
      <c r="AG1115" s="95" t="str">
        <f t="shared" ca="1" si="135"/>
        <v>NO</v>
      </c>
      <c r="AH1115" s="284"/>
      <c r="AI1115" s="632"/>
      <c r="AJ1115" s="95" t="str">
        <f t="shared" si="136"/>
        <v>NV</v>
      </c>
      <c r="AK1115" s="303"/>
    </row>
    <row r="1116" spans="1:37" x14ac:dyDescent="0.25">
      <c r="A1116" s="633" t="s">
        <v>1200</v>
      </c>
      <c r="B1116" s="317" t="s">
        <v>2316</v>
      </c>
      <c r="C1116" s="95">
        <v>0</v>
      </c>
      <c r="D1116" s="95">
        <v>0</v>
      </c>
      <c r="E1116" s="95"/>
      <c r="F1116" s="95"/>
      <c r="G1116" s="95">
        <v>6770</v>
      </c>
      <c r="H1116" s="138">
        <v>151205</v>
      </c>
      <c r="I1116" s="138"/>
      <c r="J1116" s="502">
        <f t="shared" si="130"/>
        <v>151205</v>
      </c>
      <c r="K1116" s="318">
        <v>43910</v>
      </c>
      <c r="L1116" s="95">
        <v>0</v>
      </c>
      <c r="M1116" s="313">
        <f t="shared" si="131"/>
        <v>43910</v>
      </c>
      <c r="N1116" s="95" t="str">
        <f t="shared" ca="1" si="132"/>
        <v>Vencido</v>
      </c>
      <c r="O1116" s="318"/>
      <c r="P1116" s="138"/>
      <c r="Q1116" s="95"/>
      <c r="R1116" s="95"/>
      <c r="S1116" s="95"/>
      <c r="T1116" s="325"/>
      <c r="U1116" s="393"/>
      <c r="V1116" s="95"/>
      <c r="W1116" s="129"/>
      <c r="X1116" s="318"/>
      <c r="Y1116" s="95"/>
      <c r="Z1116" s="426"/>
      <c r="AA1116" s="129" t="str">
        <f t="shared" si="137"/>
        <v/>
      </c>
      <c r="AB1116" s="95"/>
      <c r="AC1116" s="426">
        <f t="shared" si="133"/>
        <v>127063.02521008404</v>
      </c>
      <c r="AD1116" s="129">
        <f t="shared" si="134"/>
        <v>24141.974789915956</v>
      </c>
      <c r="AE1116" s="95" t="s">
        <v>1445</v>
      </c>
      <c r="AF1116" s="632" t="s">
        <v>3489</v>
      </c>
      <c r="AG1116" s="95" t="str">
        <f t="shared" ca="1" si="135"/>
        <v>NO</v>
      </c>
      <c r="AH1116" s="284"/>
      <c r="AI1116" s="632"/>
      <c r="AJ1116" s="95" t="str">
        <f t="shared" si="136"/>
        <v>NV</v>
      </c>
      <c r="AK1116" s="303"/>
    </row>
    <row r="1117" spans="1:37" x14ac:dyDescent="0.25">
      <c r="A1117" s="633" t="s">
        <v>1256</v>
      </c>
      <c r="B1117" s="317" t="s">
        <v>976</v>
      </c>
      <c r="C1117" s="95">
        <v>3176</v>
      </c>
      <c r="D1117" s="95">
        <v>0</v>
      </c>
      <c r="E1117" s="95"/>
      <c r="F1117" s="95"/>
      <c r="G1117" s="95" t="s">
        <v>2528</v>
      </c>
      <c r="H1117" s="138">
        <v>50387</v>
      </c>
      <c r="I1117" s="138"/>
      <c r="J1117" s="502">
        <f t="shared" si="130"/>
        <v>50387</v>
      </c>
      <c r="K1117" s="318">
        <v>43910</v>
      </c>
      <c r="L1117" s="95">
        <v>0</v>
      </c>
      <c r="M1117" s="313">
        <f t="shared" si="131"/>
        <v>43910</v>
      </c>
      <c r="N1117" s="95" t="str">
        <f t="shared" si="132"/>
        <v>Pagado</v>
      </c>
      <c r="O1117" s="318">
        <v>43910</v>
      </c>
      <c r="P1117" s="138">
        <v>50387</v>
      </c>
      <c r="Q1117" s="95" t="s">
        <v>1481</v>
      </c>
      <c r="R1117" s="95"/>
      <c r="S1117" s="95"/>
      <c r="T1117" s="325"/>
      <c r="U1117" s="393"/>
      <c r="V1117" s="95">
        <v>1858373</v>
      </c>
      <c r="W1117" s="129">
        <v>33000</v>
      </c>
      <c r="X1117" s="318">
        <v>43914</v>
      </c>
      <c r="Y1117" s="95" t="s">
        <v>1488</v>
      </c>
      <c r="Z1117" s="426"/>
      <c r="AA1117" s="129" t="str">
        <f t="shared" si="137"/>
        <v/>
      </c>
      <c r="AB1117" s="95"/>
      <c r="AC1117" s="426">
        <f t="shared" si="133"/>
        <v>42342.016806722691</v>
      </c>
      <c r="AD1117" s="129">
        <f t="shared" si="134"/>
        <v>8044.9831932773086</v>
      </c>
      <c r="AE1117" s="95" t="s">
        <v>1445</v>
      </c>
      <c r="AF1117" s="632" t="s">
        <v>3490</v>
      </c>
      <c r="AG1117" s="95" t="str">
        <f t="shared" si="135"/>
        <v>SI</v>
      </c>
      <c r="AH1117" s="284"/>
      <c r="AI1117" s="632"/>
      <c r="AJ1117" s="95" t="str">
        <f t="shared" si="136"/>
        <v>Factura</v>
      </c>
      <c r="AK1117" s="303"/>
    </row>
    <row r="1118" spans="1:37" x14ac:dyDescent="0.25">
      <c r="A1118" s="633" t="s">
        <v>1205</v>
      </c>
      <c r="B1118" s="317" t="s">
        <v>2171</v>
      </c>
      <c r="C1118" s="95">
        <v>0</v>
      </c>
      <c r="D1118" s="95">
        <v>0</v>
      </c>
      <c r="E1118" s="95"/>
      <c r="F1118" s="95"/>
      <c r="G1118" s="95">
        <v>6771</v>
      </c>
      <c r="H1118" s="138">
        <v>16500</v>
      </c>
      <c r="I1118" s="138"/>
      <c r="J1118" s="502">
        <f t="shared" si="130"/>
        <v>16500</v>
      </c>
      <c r="K1118" s="318">
        <v>43910</v>
      </c>
      <c r="L1118" s="95">
        <v>0</v>
      </c>
      <c r="M1118" s="313">
        <f t="shared" si="131"/>
        <v>43910</v>
      </c>
      <c r="N1118" s="95" t="str">
        <f t="shared" ca="1" si="132"/>
        <v>Vencido</v>
      </c>
      <c r="O1118" s="318"/>
      <c r="P1118" s="138"/>
      <c r="Q1118" s="95"/>
      <c r="R1118" s="95"/>
      <c r="S1118" s="95"/>
      <c r="T1118" s="325"/>
      <c r="U1118" s="393"/>
      <c r="V1118" s="95"/>
      <c r="W1118" s="129"/>
      <c r="X1118" s="318"/>
      <c r="Y1118" s="95"/>
      <c r="Z1118" s="426"/>
      <c r="AA1118" s="129" t="str">
        <f t="shared" si="137"/>
        <v/>
      </c>
      <c r="AB1118" s="95"/>
      <c r="AC1118" s="426">
        <f t="shared" si="133"/>
        <v>13865.546218487396</v>
      </c>
      <c r="AD1118" s="129">
        <f t="shared" si="134"/>
        <v>2634.4537815126041</v>
      </c>
      <c r="AE1118" s="95" t="s">
        <v>1445</v>
      </c>
      <c r="AF1118" s="632" t="s">
        <v>3489</v>
      </c>
      <c r="AG1118" s="95" t="str">
        <f t="shared" ca="1" si="135"/>
        <v>NO</v>
      </c>
      <c r="AH1118" s="284"/>
      <c r="AI1118" s="632"/>
      <c r="AJ1118" s="95" t="str">
        <f t="shared" si="136"/>
        <v>NV</v>
      </c>
      <c r="AK1118" s="303"/>
    </row>
    <row r="1119" spans="1:37" x14ac:dyDescent="0.25">
      <c r="A1119" s="633" t="s">
        <v>1204</v>
      </c>
      <c r="B1119" s="317" t="s">
        <v>1052</v>
      </c>
      <c r="C1119" s="95">
        <v>0</v>
      </c>
      <c r="D1119" s="95">
        <v>0</v>
      </c>
      <c r="E1119" s="95"/>
      <c r="F1119" s="95"/>
      <c r="G1119" s="95">
        <v>6765</v>
      </c>
      <c r="H1119" s="138">
        <v>176327</v>
      </c>
      <c r="I1119" s="138"/>
      <c r="J1119" s="502">
        <f t="shared" si="130"/>
        <v>176327</v>
      </c>
      <c r="K1119" s="318">
        <v>43910</v>
      </c>
      <c r="L1119" s="95">
        <v>0</v>
      </c>
      <c r="M1119" s="313">
        <f t="shared" si="131"/>
        <v>43910</v>
      </c>
      <c r="N1119" s="95" t="str">
        <f t="shared" ca="1" si="132"/>
        <v>Vencido</v>
      </c>
      <c r="O1119" s="318"/>
      <c r="P1119" s="138"/>
      <c r="Q1119" s="95"/>
      <c r="R1119" s="95"/>
      <c r="S1119" s="95"/>
      <c r="T1119" s="325"/>
      <c r="U1119" s="393"/>
      <c r="V1119" s="95"/>
      <c r="W1119" s="129"/>
      <c r="X1119" s="318"/>
      <c r="Y1119" s="95"/>
      <c r="Z1119" s="426"/>
      <c r="AA1119" s="129" t="str">
        <f t="shared" si="137"/>
        <v/>
      </c>
      <c r="AB1119" s="95"/>
      <c r="AC1119" s="426">
        <f t="shared" si="133"/>
        <v>148173.94957983194</v>
      </c>
      <c r="AD1119" s="129">
        <f t="shared" si="134"/>
        <v>28153.05042016806</v>
      </c>
      <c r="AE1119" s="95" t="s">
        <v>1501</v>
      </c>
      <c r="AF1119" s="632" t="s">
        <v>3489</v>
      </c>
      <c r="AG1119" s="95" t="str">
        <f t="shared" ca="1" si="135"/>
        <v>NO</v>
      </c>
      <c r="AH1119" s="284"/>
      <c r="AI1119" s="632"/>
      <c r="AJ1119" s="95" t="str">
        <f t="shared" si="136"/>
        <v>NV</v>
      </c>
      <c r="AK1119" s="303"/>
    </row>
    <row r="1120" spans="1:37" x14ac:dyDescent="0.25">
      <c r="A1120" s="633" t="s">
        <v>1301</v>
      </c>
      <c r="B1120" s="317" t="s">
        <v>968</v>
      </c>
      <c r="C1120" s="95">
        <v>0</v>
      </c>
      <c r="D1120" s="95">
        <v>3069</v>
      </c>
      <c r="E1120" s="95"/>
      <c r="F1120" s="95"/>
      <c r="G1120" s="95">
        <v>6772</v>
      </c>
      <c r="H1120" s="138">
        <v>31600</v>
      </c>
      <c r="I1120" s="138"/>
      <c r="J1120" s="502">
        <f t="shared" si="130"/>
        <v>31600</v>
      </c>
      <c r="K1120" s="318">
        <v>43910</v>
      </c>
      <c r="L1120" s="95">
        <v>0</v>
      </c>
      <c r="M1120" s="313">
        <f t="shared" si="131"/>
        <v>43910</v>
      </c>
      <c r="N1120" s="95" t="str">
        <f t="shared" si="132"/>
        <v>Pagado</v>
      </c>
      <c r="O1120" s="318">
        <v>43922</v>
      </c>
      <c r="P1120" s="138">
        <v>31600</v>
      </c>
      <c r="Q1120" s="95" t="s">
        <v>1484</v>
      </c>
      <c r="R1120" s="95"/>
      <c r="S1120" s="95"/>
      <c r="T1120" s="325" t="s">
        <v>1462</v>
      </c>
      <c r="U1120" s="393"/>
      <c r="V1120" s="95"/>
      <c r="W1120" s="129"/>
      <c r="X1120" s="318"/>
      <c r="Y1120" s="95"/>
      <c r="Z1120" s="426"/>
      <c r="AA1120" s="129" t="str">
        <f t="shared" si="137"/>
        <v/>
      </c>
      <c r="AB1120" s="95"/>
      <c r="AC1120" s="426">
        <f t="shared" si="133"/>
        <v>26554.621848739498</v>
      </c>
      <c r="AD1120" s="129">
        <f t="shared" si="134"/>
        <v>5045.3781512605019</v>
      </c>
      <c r="AE1120" s="95" t="s">
        <v>1501</v>
      </c>
      <c r="AF1120" s="632" t="s">
        <v>3489</v>
      </c>
      <c r="AG1120" s="95" t="str">
        <f t="shared" si="135"/>
        <v>SI</v>
      </c>
      <c r="AH1120" s="284"/>
      <c r="AI1120" s="632"/>
      <c r="AJ1120" s="95" t="str">
        <f t="shared" si="136"/>
        <v>NV</v>
      </c>
      <c r="AK1120" s="303"/>
    </row>
    <row r="1121" spans="1:37" x14ac:dyDescent="0.25">
      <c r="A1121" s="633" t="s">
        <v>4853</v>
      </c>
      <c r="B1121" s="317" t="s">
        <v>4854</v>
      </c>
      <c r="C1121" s="95">
        <v>0</v>
      </c>
      <c r="D1121" s="95">
        <v>221</v>
      </c>
      <c r="E1121" s="95"/>
      <c r="F1121" s="95"/>
      <c r="G1121" s="95">
        <v>6773</v>
      </c>
      <c r="H1121" s="138">
        <v>27000</v>
      </c>
      <c r="I1121" s="138"/>
      <c r="J1121" s="502">
        <f t="shared" si="130"/>
        <v>27000</v>
      </c>
      <c r="K1121" s="318">
        <v>43910</v>
      </c>
      <c r="L1121" s="95">
        <v>0</v>
      </c>
      <c r="M1121" s="313">
        <f t="shared" si="131"/>
        <v>43910</v>
      </c>
      <c r="N1121" s="95" t="str">
        <f t="shared" si="132"/>
        <v>Pagado</v>
      </c>
      <c r="O1121" s="318">
        <v>43910</v>
      </c>
      <c r="P1121" s="138">
        <v>27000</v>
      </c>
      <c r="Q1121" s="95" t="s">
        <v>1070</v>
      </c>
      <c r="R1121" s="95" t="s">
        <v>2243</v>
      </c>
      <c r="S1121" s="95">
        <v>221</v>
      </c>
      <c r="T1121" s="325"/>
      <c r="U1121" s="393"/>
      <c r="V1121" s="95"/>
      <c r="W1121" s="129"/>
      <c r="X1121" s="318"/>
      <c r="Y1121" s="95"/>
      <c r="Z1121" s="426"/>
      <c r="AA1121" s="129" t="str">
        <f t="shared" si="137"/>
        <v/>
      </c>
      <c r="AB1121" s="95"/>
      <c r="AC1121" s="426">
        <f t="shared" si="133"/>
        <v>22689.0756302521</v>
      </c>
      <c r="AD1121" s="129">
        <f t="shared" si="134"/>
        <v>4310.9243697478996</v>
      </c>
      <c r="AE1121" s="95" t="s">
        <v>1501</v>
      </c>
      <c r="AF1121" s="632" t="s">
        <v>3487</v>
      </c>
      <c r="AG1121" s="95" t="str">
        <f t="shared" si="135"/>
        <v>SI</v>
      </c>
      <c r="AH1121" s="284"/>
      <c r="AI1121" s="632"/>
      <c r="AJ1121" s="95" t="str">
        <f t="shared" si="136"/>
        <v>NV</v>
      </c>
      <c r="AK1121" s="303"/>
    </row>
    <row r="1122" spans="1:37" x14ac:dyDescent="0.25">
      <c r="A1122" s="633" t="s">
        <v>1216</v>
      </c>
      <c r="B1122" s="317" t="s">
        <v>2209</v>
      </c>
      <c r="C1122" s="95">
        <v>0</v>
      </c>
      <c r="D1122" s="95">
        <v>3071</v>
      </c>
      <c r="E1122" s="95"/>
      <c r="F1122" s="95"/>
      <c r="G1122" s="95">
        <v>6774</v>
      </c>
      <c r="H1122" s="138">
        <v>47800</v>
      </c>
      <c r="I1122" s="138"/>
      <c r="J1122" s="502">
        <f t="shared" si="130"/>
        <v>47800</v>
      </c>
      <c r="K1122" s="318">
        <v>43910</v>
      </c>
      <c r="L1122" s="95">
        <v>0</v>
      </c>
      <c r="M1122" s="313">
        <f t="shared" si="131"/>
        <v>43910</v>
      </c>
      <c r="N1122" s="95" t="str">
        <f t="shared" si="132"/>
        <v>Pagado</v>
      </c>
      <c r="O1122" s="318">
        <v>43910</v>
      </c>
      <c r="P1122" s="138">
        <v>47800</v>
      </c>
      <c r="Q1122" s="95" t="s">
        <v>1484</v>
      </c>
      <c r="R1122" s="95"/>
      <c r="S1122" s="95"/>
      <c r="T1122" s="325" t="s">
        <v>1488</v>
      </c>
      <c r="U1122" s="393"/>
      <c r="V1122" s="95"/>
      <c r="W1122" s="129"/>
      <c r="X1122" s="318"/>
      <c r="Y1122" s="95"/>
      <c r="Z1122" s="426"/>
      <c r="AA1122" s="129" t="str">
        <f t="shared" si="137"/>
        <v/>
      </c>
      <c r="AB1122" s="95"/>
      <c r="AC1122" s="426">
        <f t="shared" si="133"/>
        <v>40168.067226890758</v>
      </c>
      <c r="AD1122" s="129">
        <f t="shared" si="134"/>
        <v>7631.9327731092417</v>
      </c>
      <c r="AE1122" s="95" t="s">
        <v>1501</v>
      </c>
      <c r="AF1122" s="632" t="s">
        <v>3489</v>
      </c>
      <c r="AG1122" s="95" t="str">
        <f t="shared" si="135"/>
        <v>SI</v>
      </c>
      <c r="AH1122" s="284"/>
      <c r="AI1122" s="632"/>
      <c r="AJ1122" s="95" t="str">
        <f t="shared" si="136"/>
        <v>NV</v>
      </c>
      <c r="AK1122" s="303"/>
    </row>
    <row r="1123" spans="1:37" x14ac:dyDescent="0.25">
      <c r="A1123" s="633" t="s">
        <v>1244</v>
      </c>
      <c r="B1123" s="317" t="s">
        <v>971</v>
      </c>
      <c r="C1123" s="95">
        <v>0</v>
      </c>
      <c r="D1123" s="95">
        <v>3072</v>
      </c>
      <c r="E1123" s="95"/>
      <c r="F1123" s="95"/>
      <c r="G1123" s="95">
        <v>6746</v>
      </c>
      <c r="H1123" s="138">
        <v>19700</v>
      </c>
      <c r="I1123" s="138"/>
      <c r="J1123" s="502">
        <f t="shared" si="130"/>
        <v>19700</v>
      </c>
      <c r="K1123" s="318">
        <v>43911</v>
      </c>
      <c r="L1123" s="95">
        <v>0</v>
      </c>
      <c r="M1123" s="313">
        <f t="shared" si="131"/>
        <v>43911</v>
      </c>
      <c r="N1123" s="95" t="str">
        <f t="shared" si="132"/>
        <v>Pagado</v>
      </c>
      <c r="O1123" s="318">
        <v>43919</v>
      </c>
      <c r="P1123" s="138">
        <v>19700</v>
      </c>
      <c r="Q1123" s="95" t="s">
        <v>1484</v>
      </c>
      <c r="R1123" s="95"/>
      <c r="S1123" s="95"/>
      <c r="T1123" s="325" t="s">
        <v>1492</v>
      </c>
      <c r="U1123" s="393"/>
      <c r="V1123" s="95"/>
      <c r="W1123" s="129"/>
      <c r="X1123" s="318"/>
      <c r="Y1123" s="95"/>
      <c r="Z1123" s="426"/>
      <c r="AA1123" s="129" t="str">
        <f t="shared" si="137"/>
        <v/>
      </c>
      <c r="AB1123" s="95"/>
      <c r="AC1123" s="426">
        <f t="shared" si="133"/>
        <v>16554.621848739498</v>
      </c>
      <c r="AD1123" s="129">
        <f t="shared" si="134"/>
        <v>3145.3781512605019</v>
      </c>
      <c r="AE1123" s="95" t="s">
        <v>1501</v>
      </c>
      <c r="AF1123" s="632" t="s">
        <v>3489</v>
      </c>
      <c r="AG1123" s="95" t="str">
        <f t="shared" si="135"/>
        <v>SI</v>
      </c>
      <c r="AH1123" s="284"/>
      <c r="AI1123" s="632"/>
      <c r="AJ1123" s="95" t="str">
        <f t="shared" si="136"/>
        <v>NV</v>
      </c>
      <c r="AK1123" s="303"/>
    </row>
    <row r="1124" spans="1:37" x14ac:dyDescent="0.25">
      <c r="A1124" s="633" t="s">
        <v>1214</v>
      </c>
      <c r="B1124" s="317" t="s">
        <v>2143</v>
      </c>
      <c r="C1124" s="95">
        <v>0</v>
      </c>
      <c r="D1124" s="95">
        <v>3073</v>
      </c>
      <c r="E1124" s="95"/>
      <c r="F1124" s="95"/>
      <c r="G1124" s="95">
        <v>6775</v>
      </c>
      <c r="H1124" s="138">
        <v>39400</v>
      </c>
      <c r="I1124" s="138"/>
      <c r="J1124" s="502">
        <f t="shared" si="130"/>
        <v>39400</v>
      </c>
      <c r="K1124" s="318">
        <v>43911</v>
      </c>
      <c r="L1124" s="95">
        <v>0</v>
      </c>
      <c r="M1124" s="313">
        <f t="shared" si="131"/>
        <v>43911</v>
      </c>
      <c r="N1124" s="95" t="str">
        <f t="shared" si="132"/>
        <v>Pagado</v>
      </c>
      <c r="O1124" s="318">
        <v>43911</v>
      </c>
      <c r="P1124" s="138">
        <v>39400</v>
      </c>
      <c r="Q1124" s="95" t="s">
        <v>1484</v>
      </c>
      <c r="R1124" s="95"/>
      <c r="S1124" s="95"/>
      <c r="T1124" s="325" t="s">
        <v>1494</v>
      </c>
      <c r="U1124" s="393"/>
      <c r="V1124" s="95"/>
      <c r="W1124" s="129"/>
      <c r="X1124" s="318"/>
      <c r="Y1124" s="95"/>
      <c r="Z1124" s="426"/>
      <c r="AA1124" s="129" t="str">
        <f t="shared" si="137"/>
        <v/>
      </c>
      <c r="AB1124" s="95"/>
      <c r="AC1124" s="426">
        <f t="shared" si="133"/>
        <v>33109.243697478996</v>
      </c>
      <c r="AD1124" s="129">
        <f t="shared" si="134"/>
        <v>6290.7563025210038</v>
      </c>
      <c r="AE1124" s="95" t="s">
        <v>1501</v>
      </c>
      <c r="AF1124" s="632" t="s">
        <v>3487</v>
      </c>
      <c r="AG1124" s="95" t="str">
        <f t="shared" si="135"/>
        <v>SI</v>
      </c>
      <c r="AH1124" s="284"/>
      <c r="AI1124" s="632"/>
      <c r="AJ1124" s="95" t="str">
        <f t="shared" si="136"/>
        <v>NV</v>
      </c>
      <c r="AK1124" s="303"/>
    </row>
    <row r="1125" spans="1:37" x14ac:dyDescent="0.25">
      <c r="A1125" s="633" t="s">
        <v>1285</v>
      </c>
      <c r="B1125" s="317" t="s">
        <v>1071</v>
      </c>
      <c r="C1125" s="95">
        <v>0</v>
      </c>
      <c r="D1125" s="95">
        <v>3074</v>
      </c>
      <c r="E1125" s="95"/>
      <c r="F1125" s="95"/>
      <c r="G1125" s="95">
        <v>6776</v>
      </c>
      <c r="H1125" s="138">
        <v>48400</v>
      </c>
      <c r="I1125" s="138"/>
      <c r="J1125" s="502">
        <f t="shared" si="130"/>
        <v>48400</v>
      </c>
      <c r="K1125" s="318">
        <v>43911</v>
      </c>
      <c r="L1125" s="95">
        <v>0</v>
      </c>
      <c r="M1125" s="313">
        <f t="shared" si="131"/>
        <v>43911</v>
      </c>
      <c r="N1125" s="95" t="str">
        <f t="shared" si="132"/>
        <v>Pagado</v>
      </c>
      <c r="O1125" s="318">
        <v>43911</v>
      </c>
      <c r="P1125" s="138">
        <v>48400</v>
      </c>
      <c r="Q1125" s="95" t="s">
        <v>1484</v>
      </c>
      <c r="R1125" s="95"/>
      <c r="S1125" s="95"/>
      <c r="T1125" s="325" t="s">
        <v>1492</v>
      </c>
      <c r="U1125" s="393"/>
      <c r="V1125" s="95"/>
      <c r="W1125" s="129"/>
      <c r="X1125" s="318"/>
      <c r="Y1125" s="95"/>
      <c r="Z1125" s="426"/>
      <c r="AA1125" s="129" t="str">
        <f t="shared" si="137"/>
        <v/>
      </c>
      <c r="AB1125" s="95"/>
      <c r="AC1125" s="426">
        <f t="shared" si="133"/>
        <v>40672.268907563026</v>
      </c>
      <c r="AD1125" s="129">
        <f t="shared" si="134"/>
        <v>7727.731092436974</v>
      </c>
      <c r="AE1125" s="95" t="s">
        <v>1501</v>
      </c>
      <c r="AF1125" s="632" t="s">
        <v>3487</v>
      </c>
      <c r="AG1125" s="95" t="str">
        <f t="shared" si="135"/>
        <v>SI</v>
      </c>
      <c r="AH1125" s="284"/>
      <c r="AI1125" s="632"/>
      <c r="AJ1125" s="95" t="str">
        <f t="shared" si="136"/>
        <v>NV</v>
      </c>
      <c r="AK1125" s="303"/>
    </row>
    <row r="1126" spans="1:37" x14ac:dyDescent="0.25">
      <c r="A1126" s="633" t="s">
        <v>1213</v>
      </c>
      <c r="B1126" s="317" t="s">
        <v>985</v>
      </c>
      <c r="C1126" s="95">
        <v>0</v>
      </c>
      <c r="D1126" s="95">
        <v>0</v>
      </c>
      <c r="E1126" s="95"/>
      <c r="F1126" s="95"/>
      <c r="G1126" s="95">
        <v>6777</v>
      </c>
      <c r="H1126" s="138">
        <v>36800</v>
      </c>
      <c r="I1126" s="138"/>
      <c r="J1126" s="502">
        <f t="shared" si="130"/>
        <v>36800</v>
      </c>
      <c r="K1126" s="318">
        <v>43911</v>
      </c>
      <c r="L1126" s="95">
        <v>0</v>
      </c>
      <c r="M1126" s="313">
        <f t="shared" si="131"/>
        <v>43911</v>
      </c>
      <c r="N1126" s="95" t="str">
        <f t="shared" ca="1" si="132"/>
        <v>Vencido</v>
      </c>
      <c r="O1126" s="318"/>
      <c r="P1126" s="138"/>
      <c r="Q1126" s="95"/>
      <c r="R1126" s="95"/>
      <c r="S1126" s="95"/>
      <c r="T1126" s="325"/>
      <c r="U1126" s="393"/>
      <c r="V1126" s="95"/>
      <c r="W1126" s="129"/>
      <c r="X1126" s="318"/>
      <c r="Y1126" s="95"/>
      <c r="Z1126" s="426"/>
      <c r="AA1126" s="129" t="str">
        <f t="shared" si="137"/>
        <v/>
      </c>
      <c r="AB1126" s="95"/>
      <c r="AC1126" s="426">
        <f t="shared" si="133"/>
        <v>30924.36974789916</v>
      </c>
      <c r="AD1126" s="129">
        <f t="shared" si="134"/>
        <v>5875.6302521008402</v>
      </c>
      <c r="AE1126" s="95" t="s">
        <v>1501</v>
      </c>
      <c r="AF1126" s="632" t="s">
        <v>3489</v>
      </c>
      <c r="AG1126" s="95" t="str">
        <f t="shared" ca="1" si="135"/>
        <v>NO</v>
      </c>
      <c r="AH1126" s="284"/>
      <c r="AI1126" s="632"/>
      <c r="AJ1126" s="95" t="str">
        <f t="shared" si="136"/>
        <v>NV</v>
      </c>
      <c r="AK1126" s="303"/>
    </row>
    <row r="1127" spans="1:37" x14ac:dyDescent="0.25">
      <c r="A1127" s="633" t="s">
        <v>5737</v>
      </c>
      <c r="B1127" s="317" t="s">
        <v>5738</v>
      </c>
      <c r="C1127" s="95">
        <v>0</v>
      </c>
      <c r="D1127" s="95">
        <v>228</v>
      </c>
      <c r="E1127" s="95"/>
      <c r="F1127" s="95"/>
      <c r="G1127" s="95">
        <v>6778</v>
      </c>
      <c r="H1127" s="138">
        <v>19700</v>
      </c>
      <c r="I1127" s="138"/>
      <c r="J1127" s="502">
        <f t="shared" si="130"/>
        <v>19700</v>
      </c>
      <c r="K1127" s="318">
        <v>43911</v>
      </c>
      <c r="L1127" s="95">
        <v>0</v>
      </c>
      <c r="M1127" s="313">
        <f t="shared" si="131"/>
        <v>43911</v>
      </c>
      <c r="N1127" s="95" t="str">
        <f t="shared" si="132"/>
        <v>Pagado</v>
      </c>
      <c r="O1127" s="318">
        <v>43911</v>
      </c>
      <c r="P1127" s="138">
        <v>19700</v>
      </c>
      <c r="Q1127" s="95" t="s">
        <v>1070</v>
      </c>
      <c r="R1127" s="95" t="s">
        <v>2243</v>
      </c>
      <c r="S1127" s="95">
        <v>228</v>
      </c>
      <c r="T1127" s="325"/>
      <c r="U1127" s="393"/>
      <c r="V1127" s="95"/>
      <c r="W1127" s="129"/>
      <c r="X1127" s="318"/>
      <c r="Y1127" s="95"/>
      <c r="Z1127" s="426"/>
      <c r="AA1127" s="129" t="str">
        <f t="shared" si="137"/>
        <v/>
      </c>
      <c r="AB1127" s="95"/>
      <c r="AC1127" s="426">
        <f t="shared" si="133"/>
        <v>16554.621848739498</v>
      </c>
      <c r="AD1127" s="129">
        <f t="shared" si="134"/>
        <v>3145.3781512605019</v>
      </c>
      <c r="AE1127" s="95" t="s">
        <v>1501</v>
      </c>
      <c r="AF1127" s="632" t="s">
        <v>3487</v>
      </c>
      <c r="AG1127" s="95" t="str">
        <f t="shared" si="135"/>
        <v>SI</v>
      </c>
      <c r="AH1127" s="284"/>
      <c r="AI1127" s="632"/>
      <c r="AJ1127" s="95" t="str">
        <f t="shared" si="136"/>
        <v>NV</v>
      </c>
      <c r="AK1127" s="303"/>
    </row>
    <row r="1128" spans="1:37" x14ac:dyDescent="0.25">
      <c r="A1128" s="633" t="s">
        <v>4791</v>
      </c>
      <c r="B1128" s="317" t="s">
        <v>4792</v>
      </c>
      <c r="C1128" s="95">
        <v>0</v>
      </c>
      <c r="D1128" s="95">
        <v>231</v>
      </c>
      <c r="E1128" s="95"/>
      <c r="F1128" s="95"/>
      <c r="G1128" s="95">
        <v>6779</v>
      </c>
      <c r="H1128" s="138">
        <v>305000</v>
      </c>
      <c r="I1128" s="138"/>
      <c r="J1128" s="502">
        <f t="shared" si="130"/>
        <v>305000</v>
      </c>
      <c r="K1128" s="318">
        <v>43914</v>
      </c>
      <c r="L1128" s="95">
        <v>0</v>
      </c>
      <c r="M1128" s="313">
        <f t="shared" si="131"/>
        <v>43914</v>
      </c>
      <c r="N1128" s="95" t="str">
        <f t="shared" si="132"/>
        <v>Pagado</v>
      </c>
      <c r="O1128" s="318">
        <v>43914</v>
      </c>
      <c r="P1128" s="138">
        <v>305000</v>
      </c>
      <c r="Q1128" s="95" t="s">
        <v>1070</v>
      </c>
      <c r="R1128" s="95" t="s">
        <v>1478</v>
      </c>
      <c r="S1128" s="95">
        <v>231</v>
      </c>
      <c r="T1128" s="325"/>
      <c r="U1128" s="393"/>
      <c r="V1128" s="95"/>
      <c r="W1128" s="129"/>
      <c r="X1128" s="318"/>
      <c r="Y1128" s="95"/>
      <c r="Z1128" s="426"/>
      <c r="AA1128" s="129" t="str">
        <f t="shared" si="137"/>
        <v/>
      </c>
      <c r="AB1128" s="95"/>
      <c r="AC1128" s="426">
        <f t="shared" si="133"/>
        <v>256302.52100840336</v>
      </c>
      <c r="AD1128" s="129">
        <f t="shared" si="134"/>
        <v>48697.478991596639</v>
      </c>
      <c r="AE1128" s="95" t="s">
        <v>1501</v>
      </c>
      <c r="AF1128" s="632" t="s">
        <v>3487</v>
      </c>
      <c r="AG1128" s="95" t="str">
        <f t="shared" si="135"/>
        <v>SI</v>
      </c>
      <c r="AH1128" s="284"/>
      <c r="AI1128" s="632"/>
      <c r="AJ1128" s="95" t="str">
        <f t="shared" si="136"/>
        <v>NV</v>
      </c>
      <c r="AK1128" s="303"/>
    </row>
    <row r="1129" spans="1:37" x14ac:dyDescent="0.25">
      <c r="A1129" s="633" t="s">
        <v>3306</v>
      </c>
      <c r="B1129" s="317" t="s">
        <v>3307</v>
      </c>
      <c r="C1129" s="95">
        <v>0</v>
      </c>
      <c r="D1129" s="95">
        <v>3079</v>
      </c>
      <c r="E1129" s="95"/>
      <c r="F1129" s="95"/>
      <c r="G1129" s="95">
        <v>6780</v>
      </c>
      <c r="H1129" s="138">
        <v>98500</v>
      </c>
      <c r="I1129" s="138"/>
      <c r="J1129" s="502">
        <f t="shared" si="130"/>
        <v>98500</v>
      </c>
      <c r="K1129" s="318">
        <v>43914</v>
      </c>
      <c r="L1129" s="95">
        <v>0</v>
      </c>
      <c r="M1129" s="313">
        <f t="shared" si="131"/>
        <v>43914</v>
      </c>
      <c r="N1129" s="95" t="str">
        <f t="shared" si="132"/>
        <v>Pagado</v>
      </c>
      <c r="O1129" s="318">
        <v>43913</v>
      </c>
      <c r="P1129" s="138">
        <v>98500</v>
      </c>
      <c r="Q1129" s="95" t="s">
        <v>1484</v>
      </c>
      <c r="R1129" s="95"/>
      <c r="S1129" s="95"/>
      <c r="T1129" s="325" t="s">
        <v>1488</v>
      </c>
      <c r="U1129" s="393"/>
      <c r="V1129" s="95"/>
      <c r="W1129" s="129"/>
      <c r="X1129" s="318"/>
      <c r="Y1129" s="95"/>
      <c r="Z1129" s="426"/>
      <c r="AA1129" s="129" t="str">
        <f t="shared" si="137"/>
        <v/>
      </c>
      <c r="AB1129" s="95"/>
      <c r="AC1129" s="426">
        <f t="shared" si="133"/>
        <v>82773.109243697487</v>
      </c>
      <c r="AD1129" s="129">
        <f t="shared" si="134"/>
        <v>15726.890756302513</v>
      </c>
      <c r="AE1129" s="95" t="s">
        <v>1501</v>
      </c>
      <c r="AF1129" s="632" t="s">
        <v>3489</v>
      </c>
      <c r="AG1129" s="95" t="str">
        <f t="shared" si="135"/>
        <v>SI</v>
      </c>
      <c r="AH1129" s="284"/>
      <c r="AI1129" s="632"/>
      <c r="AJ1129" s="95" t="str">
        <f t="shared" si="136"/>
        <v>NV</v>
      </c>
      <c r="AK1129" s="303"/>
    </row>
    <row r="1130" spans="1:37" x14ac:dyDescent="0.25">
      <c r="A1130" s="633" t="s">
        <v>2437</v>
      </c>
      <c r="B1130" s="317" t="s">
        <v>2438</v>
      </c>
      <c r="C1130" s="95">
        <v>0</v>
      </c>
      <c r="D1130" s="95">
        <v>3078</v>
      </c>
      <c r="E1130" s="95"/>
      <c r="F1130" s="95"/>
      <c r="G1130" s="95">
        <v>6782</v>
      </c>
      <c r="H1130" s="138">
        <v>47800</v>
      </c>
      <c r="I1130" s="138"/>
      <c r="J1130" s="502">
        <f t="shared" si="130"/>
        <v>47800</v>
      </c>
      <c r="K1130" s="318">
        <v>43914</v>
      </c>
      <c r="L1130" s="95">
        <v>0</v>
      </c>
      <c r="M1130" s="313">
        <f t="shared" si="131"/>
        <v>43914</v>
      </c>
      <c r="N1130" s="95" t="str">
        <f t="shared" si="132"/>
        <v>Pagado</v>
      </c>
      <c r="O1130" s="318">
        <v>43914</v>
      </c>
      <c r="P1130" s="138">
        <v>47800</v>
      </c>
      <c r="Q1130" s="95" t="s">
        <v>1481</v>
      </c>
      <c r="R1130" s="95"/>
      <c r="S1130" s="95"/>
      <c r="T1130" s="325"/>
      <c r="U1130" s="393"/>
      <c r="V1130" s="95">
        <v>1859730</v>
      </c>
      <c r="W1130" s="129">
        <v>47800</v>
      </c>
      <c r="X1130" s="318">
        <v>43920</v>
      </c>
      <c r="Y1130" s="95" t="s">
        <v>1488</v>
      </c>
      <c r="Z1130" s="426"/>
      <c r="AA1130" s="129" t="str">
        <f t="shared" si="137"/>
        <v/>
      </c>
      <c r="AB1130" s="95"/>
      <c r="AC1130" s="426">
        <f t="shared" si="133"/>
        <v>40168.067226890758</v>
      </c>
      <c r="AD1130" s="129">
        <f t="shared" si="134"/>
        <v>7631.9327731092417</v>
      </c>
      <c r="AE1130" s="95" t="s">
        <v>1501</v>
      </c>
      <c r="AF1130" s="632" t="s">
        <v>3489</v>
      </c>
      <c r="AG1130" s="95" t="str">
        <f t="shared" si="135"/>
        <v>SI</v>
      </c>
      <c r="AH1130" s="284"/>
      <c r="AI1130" s="632"/>
      <c r="AJ1130" s="95" t="str">
        <f t="shared" si="136"/>
        <v>NV</v>
      </c>
      <c r="AK1130" s="303"/>
    </row>
    <row r="1131" spans="1:37" x14ac:dyDescent="0.25">
      <c r="A1131" s="633" t="s">
        <v>1276</v>
      </c>
      <c r="B1131" s="317" t="s">
        <v>1064</v>
      </c>
      <c r="C1131" s="95">
        <v>0</v>
      </c>
      <c r="D1131" s="95">
        <v>230</v>
      </c>
      <c r="E1131" s="95"/>
      <c r="F1131" s="95"/>
      <c r="G1131" s="95">
        <v>6781</v>
      </c>
      <c r="H1131" s="138">
        <v>19700</v>
      </c>
      <c r="I1131" s="138"/>
      <c r="J1131" s="502">
        <f t="shared" si="130"/>
        <v>19700</v>
      </c>
      <c r="K1131" s="318">
        <v>43914</v>
      </c>
      <c r="L1131" s="95">
        <v>0</v>
      </c>
      <c r="M1131" s="313">
        <f t="shared" si="131"/>
        <v>43914</v>
      </c>
      <c r="N1131" s="95" t="str">
        <f t="shared" si="132"/>
        <v>Pagado</v>
      </c>
      <c r="O1131" s="318">
        <v>43914</v>
      </c>
      <c r="P1131" s="138">
        <v>19700</v>
      </c>
      <c r="Q1131" s="95" t="s">
        <v>1070</v>
      </c>
      <c r="R1131" s="95" t="s">
        <v>2243</v>
      </c>
      <c r="S1131" s="95">
        <v>230</v>
      </c>
      <c r="T1131" s="325"/>
      <c r="U1131" s="393"/>
      <c r="V1131" s="95"/>
      <c r="W1131" s="129"/>
      <c r="X1131" s="318"/>
      <c r="Y1131" s="95"/>
      <c r="Z1131" s="426"/>
      <c r="AA1131" s="129" t="str">
        <f t="shared" si="137"/>
        <v/>
      </c>
      <c r="AB1131" s="95"/>
      <c r="AC1131" s="426">
        <f t="shared" si="133"/>
        <v>16554.621848739498</v>
      </c>
      <c r="AD1131" s="129">
        <f t="shared" si="134"/>
        <v>3145.3781512605019</v>
      </c>
      <c r="AE1131" s="95" t="s">
        <v>1501</v>
      </c>
      <c r="AF1131" s="632" t="s">
        <v>3489</v>
      </c>
      <c r="AG1131" s="95" t="str">
        <f t="shared" si="135"/>
        <v>SI</v>
      </c>
      <c r="AH1131" s="284"/>
      <c r="AI1131" s="632"/>
      <c r="AJ1131" s="95" t="str">
        <f t="shared" si="136"/>
        <v>NV</v>
      </c>
      <c r="AK1131" s="303"/>
    </row>
    <row r="1132" spans="1:37" x14ac:dyDescent="0.25">
      <c r="A1132" s="633" t="s">
        <v>3236</v>
      </c>
      <c r="B1132" s="317" t="s">
        <v>3237</v>
      </c>
      <c r="C1132" s="95">
        <v>0</v>
      </c>
      <c r="D1132" s="95">
        <v>229</v>
      </c>
      <c r="E1132" s="95"/>
      <c r="F1132" s="95"/>
      <c r="G1132" s="95">
        <v>6783</v>
      </c>
      <c r="H1132" s="138">
        <v>15800</v>
      </c>
      <c r="I1132" s="138"/>
      <c r="J1132" s="502">
        <f t="shared" si="130"/>
        <v>15800</v>
      </c>
      <c r="K1132" s="318">
        <v>43914</v>
      </c>
      <c r="L1132" s="95">
        <v>0</v>
      </c>
      <c r="M1132" s="313">
        <f t="shared" si="131"/>
        <v>43914</v>
      </c>
      <c r="N1132" s="95" t="str">
        <f t="shared" si="132"/>
        <v>Pagado</v>
      </c>
      <c r="O1132" s="318">
        <v>43914</v>
      </c>
      <c r="P1132" s="138">
        <v>15800</v>
      </c>
      <c r="Q1132" s="95" t="s">
        <v>1070</v>
      </c>
      <c r="R1132" s="95" t="s">
        <v>2243</v>
      </c>
      <c r="S1132" s="95">
        <v>229</v>
      </c>
      <c r="T1132" s="325"/>
      <c r="U1132" s="393"/>
      <c r="V1132" s="95"/>
      <c r="W1132" s="129"/>
      <c r="X1132" s="318"/>
      <c r="Y1132" s="95"/>
      <c r="Z1132" s="426"/>
      <c r="AA1132" s="129" t="str">
        <f t="shared" si="137"/>
        <v/>
      </c>
      <c r="AB1132" s="95"/>
      <c r="AC1132" s="426">
        <f t="shared" si="133"/>
        <v>13277.310924369749</v>
      </c>
      <c r="AD1132" s="129">
        <f t="shared" si="134"/>
        <v>2522.689075630251</v>
      </c>
      <c r="AE1132" s="95" t="s">
        <v>1501</v>
      </c>
      <c r="AF1132" s="632" t="s">
        <v>3489</v>
      </c>
      <c r="AG1132" s="95" t="str">
        <f t="shared" si="135"/>
        <v>SI</v>
      </c>
      <c r="AH1132" s="284"/>
      <c r="AI1132" s="632"/>
      <c r="AJ1132" s="95" t="str">
        <f t="shared" si="136"/>
        <v>NV</v>
      </c>
      <c r="AK1132" s="303"/>
    </row>
    <row r="1133" spans="1:37" x14ac:dyDescent="0.25">
      <c r="A1133" s="633" t="s">
        <v>6023</v>
      </c>
      <c r="B1133" s="317" t="s">
        <v>6024</v>
      </c>
      <c r="C1133" s="95">
        <v>0</v>
      </c>
      <c r="D1133" s="95">
        <v>3077</v>
      </c>
      <c r="E1133" s="95"/>
      <c r="F1133" s="95"/>
      <c r="G1133" s="95">
        <v>6784</v>
      </c>
      <c r="H1133" s="138">
        <v>23500</v>
      </c>
      <c r="I1133" s="138"/>
      <c r="J1133" s="502">
        <f t="shared" si="130"/>
        <v>23500</v>
      </c>
      <c r="K1133" s="318">
        <v>43914</v>
      </c>
      <c r="L1133" s="95">
        <v>0</v>
      </c>
      <c r="M1133" s="313">
        <f t="shared" si="131"/>
        <v>43914</v>
      </c>
      <c r="N1133" s="95" t="str">
        <f t="shared" si="132"/>
        <v>Pagado</v>
      </c>
      <c r="O1133" s="318">
        <v>43913</v>
      </c>
      <c r="P1133" s="138">
        <v>23500</v>
      </c>
      <c r="Q1133" s="95" t="s">
        <v>1484</v>
      </c>
      <c r="R1133" s="95"/>
      <c r="S1133" s="95"/>
      <c r="T1133" s="325" t="s">
        <v>1492</v>
      </c>
      <c r="U1133" s="393"/>
      <c r="V1133" s="95"/>
      <c r="W1133" s="129"/>
      <c r="X1133" s="318"/>
      <c r="Y1133" s="95"/>
      <c r="Z1133" s="426"/>
      <c r="AA1133" s="129" t="str">
        <f t="shared" si="137"/>
        <v/>
      </c>
      <c r="AB1133" s="95"/>
      <c r="AC1133" s="426">
        <f t="shared" si="133"/>
        <v>19747.899159663866</v>
      </c>
      <c r="AD1133" s="129">
        <f t="shared" si="134"/>
        <v>3752.1008403361338</v>
      </c>
      <c r="AE1133" s="95" t="s">
        <v>1501</v>
      </c>
      <c r="AF1133" s="632" t="s">
        <v>3489</v>
      </c>
      <c r="AG1133" s="95" t="str">
        <f t="shared" si="135"/>
        <v>SI</v>
      </c>
      <c r="AH1133" s="284"/>
      <c r="AI1133" s="632"/>
      <c r="AJ1133" s="95" t="str">
        <f t="shared" si="136"/>
        <v>NV</v>
      </c>
      <c r="AK1133" s="303"/>
    </row>
    <row r="1134" spans="1:37" x14ac:dyDescent="0.25">
      <c r="A1134" s="633" t="s">
        <v>5759</v>
      </c>
      <c r="B1134" s="317" t="s">
        <v>5760</v>
      </c>
      <c r="C1134" s="95">
        <v>0</v>
      </c>
      <c r="D1134" s="95">
        <v>3076</v>
      </c>
      <c r="E1134" s="95"/>
      <c r="F1134" s="95"/>
      <c r="G1134" s="95">
        <v>6785</v>
      </c>
      <c r="H1134" s="138">
        <v>47800</v>
      </c>
      <c r="I1134" s="138"/>
      <c r="J1134" s="502">
        <f t="shared" si="130"/>
        <v>47800</v>
      </c>
      <c r="K1134" s="318">
        <v>43914</v>
      </c>
      <c r="L1134" s="95">
        <v>0</v>
      </c>
      <c r="M1134" s="313">
        <f t="shared" si="131"/>
        <v>43914</v>
      </c>
      <c r="N1134" s="95" t="str">
        <f t="shared" si="132"/>
        <v>Pagado</v>
      </c>
      <c r="O1134" s="318">
        <v>43914</v>
      </c>
      <c r="P1134" s="138">
        <v>47800</v>
      </c>
      <c r="Q1134" s="95" t="s">
        <v>1484</v>
      </c>
      <c r="R1134" s="95"/>
      <c r="S1134" s="95"/>
      <c r="T1134" s="325" t="s">
        <v>1496</v>
      </c>
      <c r="U1134" s="393"/>
      <c r="V1134" s="95"/>
      <c r="W1134" s="129"/>
      <c r="X1134" s="318"/>
      <c r="Y1134" s="95"/>
      <c r="Z1134" s="426"/>
      <c r="AA1134" s="129" t="str">
        <f t="shared" si="137"/>
        <v/>
      </c>
      <c r="AB1134" s="95"/>
      <c r="AC1134" s="426">
        <f t="shared" si="133"/>
        <v>40168.067226890758</v>
      </c>
      <c r="AD1134" s="129">
        <f t="shared" si="134"/>
        <v>7631.9327731092417</v>
      </c>
      <c r="AE1134" s="95" t="s">
        <v>1501</v>
      </c>
      <c r="AF1134" s="632" t="s">
        <v>3487</v>
      </c>
      <c r="AG1134" s="95" t="str">
        <f t="shared" si="135"/>
        <v>SI</v>
      </c>
      <c r="AH1134" s="284"/>
      <c r="AI1134" s="632"/>
      <c r="AJ1134" s="95" t="str">
        <f t="shared" si="136"/>
        <v>NV</v>
      </c>
      <c r="AK1134" s="303"/>
    </row>
    <row r="1135" spans="1:37" x14ac:dyDescent="0.25">
      <c r="A1135" s="633" t="s">
        <v>4580</v>
      </c>
      <c r="B1135" s="317" t="s">
        <v>4581</v>
      </c>
      <c r="C1135" s="95">
        <v>0</v>
      </c>
      <c r="D1135" s="95">
        <v>3075</v>
      </c>
      <c r="E1135" s="95"/>
      <c r="F1135" s="95"/>
      <c r="G1135" s="95">
        <v>6786</v>
      </c>
      <c r="H1135" s="138">
        <v>54000</v>
      </c>
      <c r="I1135" s="138"/>
      <c r="J1135" s="502">
        <f t="shared" si="130"/>
        <v>54000</v>
      </c>
      <c r="K1135" s="318">
        <v>43914</v>
      </c>
      <c r="L1135" s="95">
        <v>0</v>
      </c>
      <c r="M1135" s="313">
        <f t="shared" si="131"/>
        <v>43914</v>
      </c>
      <c r="N1135" s="95" t="str">
        <f t="shared" si="132"/>
        <v>Pagado</v>
      </c>
      <c r="O1135" s="318">
        <v>43914</v>
      </c>
      <c r="P1135" s="138">
        <v>54000</v>
      </c>
      <c r="Q1135" s="95" t="s">
        <v>1484</v>
      </c>
      <c r="R1135" s="95"/>
      <c r="S1135" s="95"/>
      <c r="T1135" s="325" t="s">
        <v>1462</v>
      </c>
      <c r="U1135" s="393"/>
      <c r="V1135" s="95"/>
      <c r="W1135" s="129"/>
      <c r="X1135" s="318"/>
      <c r="Y1135" s="95"/>
      <c r="Z1135" s="426"/>
      <c r="AA1135" s="129" t="str">
        <f t="shared" si="137"/>
        <v/>
      </c>
      <c r="AB1135" s="95"/>
      <c r="AC1135" s="426">
        <f t="shared" si="133"/>
        <v>45378.151260504201</v>
      </c>
      <c r="AD1135" s="129">
        <f t="shared" si="134"/>
        <v>8621.8487394957992</v>
      </c>
      <c r="AE1135" s="95" t="s">
        <v>1501</v>
      </c>
      <c r="AF1135" s="632" t="s">
        <v>3487</v>
      </c>
      <c r="AG1135" s="95" t="str">
        <f t="shared" si="135"/>
        <v>SI</v>
      </c>
      <c r="AH1135" s="284"/>
      <c r="AI1135" s="632"/>
      <c r="AJ1135" s="95" t="str">
        <f t="shared" si="136"/>
        <v>NV</v>
      </c>
      <c r="AK1135" s="303"/>
    </row>
    <row r="1136" spans="1:37" x14ac:dyDescent="0.25">
      <c r="A1136" s="633" t="s">
        <v>5740</v>
      </c>
      <c r="B1136" s="317" t="s">
        <v>5741</v>
      </c>
      <c r="C1136" s="95">
        <v>0</v>
      </c>
      <c r="D1136" s="95">
        <v>0</v>
      </c>
      <c r="E1136" s="95"/>
      <c r="F1136" s="95"/>
      <c r="G1136" s="95">
        <v>6712</v>
      </c>
      <c r="H1136" s="138">
        <v>27000</v>
      </c>
      <c r="I1136" s="138"/>
      <c r="J1136" s="502">
        <f t="shared" si="130"/>
        <v>27000</v>
      </c>
      <c r="K1136" s="318">
        <v>43914</v>
      </c>
      <c r="L1136" s="95">
        <v>0</v>
      </c>
      <c r="M1136" s="313">
        <f t="shared" si="131"/>
        <v>43914</v>
      </c>
      <c r="N1136" s="95" t="str">
        <f t="shared" si="132"/>
        <v>Pagado</v>
      </c>
      <c r="O1136" s="318">
        <v>43914</v>
      </c>
      <c r="P1136" s="138">
        <v>27000</v>
      </c>
      <c r="Q1136" s="95" t="s">
        <v>2131</v>
      </c>
      <c r="R1136" s="95"/>
      <c r="S1136" s="95">
        <v>2372576</v>
      </c>
      <c r="T1136" s="325" t="s">
        <v>1488</v>
      </c>
      <c r="U1136" s="393">
        <v>43931</v>
      </c>
      <c r="V1136" s="95"/>
      <c r="W1136" s="129"/>
      <c r="X1136" s="318"/>
      <c r="Y1136" s="95"/>
      <c r="Z1136" s="426"/>
      <c r="AA1136" s="129" t="str">
        <f t="shared" si="137"/>
        <v>Chile</v>
      </c>
      <c r="AB1136" s="95"/>
      <c r="AC1136" s="426">
        <f t="shared" si="133"/>
        <v>22689.0756302521</v>
      </c>
      <c r="AD1136" s="129">
        <f t="shared" si="134"/>
        <v>4310.9243697478996</v>
      </c>
      <c r="AE1136" s="95" t="s">
        <v>1501</v>
      </c>
      <c r="AF1136" s="632" t="s">
        <v>3487</v>
      </c>
      <c r="AG1136" s="95" t="str">
        <f t="shared" si="135"/>
        <v>SI</v>
      </c>
      <c r="AH1136" s="284"/>
      <c r="AI1136" s="632"/>
      <c r="AJ1136" s="95" t="str">
        <f t="shared" si="136"/>
        <v>NV</v>
      </c>
      <c r="AK1136" s="303"/>
    </row>
    <row r="1137" spans="1:37" x14ac:dyDescent="0.25">
      <c r="A1137" s="633" t="s">
        <v>6026</v>
      </c>
      <c r="B1137" s="317" t="s">
        <v>6027</v>
      </c>
      <c r="C1137" s="95">
        <v>0</v>
      </c>
      <c r="D1137" s="95">
        <v>3080</v>
      </c>
      <c r="E1137" s="95"/>
      <c r="F1137" s="95"/>
      <c r="G1137" s="95">
        <v>6787</v>
      </c>
      <c r="H1137" s="138">
        <v>33000</v>
      </c>
      <c r="I1137" s="138"/>
      <c r="J1137" s="502">
        <f t="shared" si="130"/>
        <v>33000</v>
      </c>
      <c r="K1137" s="318">
        <v>43914</v>
      </c>
      <c r="L1137" s="95">
        <v>0</v>
      </c>
      <c r="M1137" s="313">
        <f t="shared" si="131"/>
        <v>43914</v>
      </c>
      <c r="N1137" s="95" t="str">
        <f t="shared" si="132"/>
        <v>Pagado</v>
      </c>
      <c r="O1137" s="318">
        <v>43914</v>
      </c>
      <c r="P1137" s="138">
        <v>33000</v>
      </c>
      <c r="Q1137" s="95" t="s">
        <v>1484</v>
      </c>
      <c r="R1137" s="95"/>
      <c r="S1137" s="95"/>
      <c r="T1137" s="325" t="s">
        <v>1490</v>
      </c>
      <c r="U1137" s="393"/>
      <c r="V1137" s="95"/>
      <c r="W1137" s="129"/>
      <c r="X1137" s="318"/>
      <c r="Y1137" s="95"/>
      <c r="Z1137" s="426"/>
      <c r="AA1137" s="129" t="str">
        <f t="shared" si="137"/>
        <v/>
      </c>
      <c r="AB1137" s="95"/>
      <c r="AC1137" s="426">
        <f t="shared" si="133"/>
        <v>27731.092436974792</v>
      </c>
      <c r="AD1137" s="129">
        <f t="shared" si="134"/>
        <v>5268.9075630252082</v>
      </c>
      <c r="AE1137" s="95" t="s">
        <v>1501</v>
      </c>
      <c r="AF1137" s="632" t="s">
        <v>3487</v>
      </c>
      <c r="AG1137" s="95" t="str">
        <f t="shared" si="135"/>
        <v>SI</v>
      </c>
      <c r="AH1137" s="284"/>
      <c r="AI1137" s="632"/>
      <c r="AJ1137" s="95" t="str">
        <f t="shared" si="136"/>
        <v>NV</v>
      </c>
      <c r="AK1137" s="303"/>
    </row>
    <row r="1138" spans="1:37" x14ac:dyDescent="0.25">
      <c r="A1138" s="633" t="s">
        <v>6029</v>
      </c>
      <c r="B1138" s="317" t="s">
        <v>6030</v>
      </c>
      <c r="C1138" s="95">
        <v>0</v>
      </c>
      <c r="D1138" s="95">
        <v>3081</v>
      </c>
      <c r="E1138" s="95"/>
      <c r="F1138" s="95"/>
      <c r="G1138" s="95">
        <v>6788</v>
      </c>
      <c r="H1138" s="138">
        <v>15800</v>
      </c>
      <c r="I1138" s="138"/>
      <c r="J1138" s="502">
        <f t="shared" si="130"/>
        <v>15800</v>
      </c>
      <c r="K1138" s="318">
        <v>43914</v>
      </c>
      <c r="L1138" s="95">
        <v>0</v>
      </c>
      <c r="M1138" s="313">
        <f t="shared" si="131"/>
        <v>43914</v>
      </c>
      <c r="N1138" s="95" t="str">
        <f t="shared" si="132"/>
        <v>Pagado</v>
      </c>
      <c r="O1138" s="318">
        <v>43914</v>
      </c>
      <c r="P1138" s="138">
        <v>15800</v>
      </c>
      <c r="Q1138" s="95" t="s">
        <v>1484</v>
      </c>
      <c r="R1138" s="95"/>
      <c r="S1138" s="95"/>
      <c r="T1138" s="325" t="s">
        <v>1488</v>
      </c>
      <c r="U1138" s="393"/>
      <c r="V1138" s="95"/>
      <c r="W1138" s="129"/>
      <c r="X1138" s="318"/>
      <c r="Y1138" s="95"/>
      <c r="Z1138" s="426"/>
      <c r="AA1138" s="129" t="str">
        <f t="shared" si="137"/>
        <v/>
      </c>
      <c r="AB1138" s="95"/>
      <c r="AC1138" s="426">
        <f t="shared" si="133"/>
        <v>13277.310924369749</v>
      </c>
      <c r="AD1138" s="129">
        <f t="shared" si="134"/>
        <v>2522.689075630251</v>
      </c>
      <c r="AE1138" s="95" t="s">
        <v>1501</v>
      </c>
      <c r="AF1138" s="632" t="s">
        <v>3487</v>
      </c>
      <c r="AG1138" s="95" t="str">
        <f t="shared" si="135"/>
        <v>SI</v>
      </c>
      <c r="AH1138" s="284"/>
      <c r="AI1138" s="632"/>
      <c r="AJ1138" s="95" t="str">
        <f t="shared" si="136"/>
        <v>NV</v>
      </c>
      <c r="AK1138" s="303"/>
    </row>
  </sheetData>
  <mergeCells count="2">
    <mergeCell ref="V1:Y1"/>
    <mergeCell ref="O1:U1"/>
  </mergeCells>
  <phoneticPr fontId="32" type="noConversion"/>
  <pageMargins left="0.7" right="0.7" top="0.75" bottom="0.75" header="0.3" footer="0.3"/>
  <pageSetup scale="57" fitToHeight="0" orientation="landscape" horizontalDpi="4294967293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LValid!$D$3:$D$9</xm:f>
          </x14:formula1>
          <xm:sqref>Q84:Q329 Q3:Q82 Q331:Q1138</xm:sqref>
        </x14:dataValidation>
        <x14:dataValidation type="list" allowBlank="1" showInputMessage="1" showErrorMessage="1">
          <x14:formula1>
            <xm:f>LValid!$D$11:$D$13</xm:f>
          </x14:formula1>
          <xm:sqref>R84:R329 R3:R82 R331:R1138</xm:sqref>
        </x14:dataValidation>
        <x14:dataValidation type="list" allowBlank="1" showInputMessage="1" showErrorMessage="1">
          <x14:formula1>
            <xm:f>LValid!$F$3:$F$18</xm:f>
          </x14:formula1>
          <xm:sqref>T3:T82 T84:T329 T331:T653 T655:T1138</xm:sqref>
        </x14:dataValidation>
        <x14:dataValidation type="list" allowBlank="1" showInputMessage="1" showErrorMessage="1">
          <x14:formula1>
            <xm:f>'C:\Users\Alejandro Scholtbach\Dropbox\DISTRIBUIDORA\2019\[Gestión DVL 2019.xlsm]LValid'!#REF!</xm:f>
          </x14:formula1>
          <xm:sqref>Q83:R83 Q330:R330 T83 T330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pageSetUpPr fitToPage="1"/>
  </sheetPr>
  <dimension ref="A1:X74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2" sqref="B12"/>
    </sheetView>
  </sheetViews>
  <sheetFormatPr baseColWidth="10" defaultColWidth="10.7109375" defaultRowHeight="15" x14ac:dyDescent="0.25"/>
  <cols>
    <col min="1" max="1" width="13.28515625" style="4" bestFit="1" customWidth="1"/>
    <col min="2" max="2" width="45.5703125" customWidth="1"/>
    <col min="3" max="3" width="5.140625" style="4" customWidth="1"/>
    <col min="4" max="4" width="9.7109375" customWidth="1"/>
    <col min="5" max="5" width="13.140625" style="319" customWidth="1"/>
    <col min="6" max="6" width="10.5703125" customWidth="1"/>
    <col min="7" max="7" width="6.28515625" style="4" customWidth="1"/>
    <col min="8" max="8" width="10" bestFit="1" customWidth="1"/>
    <col min="9" max="9" width="11.7109375" style="4" customWidth="1"/>
    <col min="10" max="10" width="11.140625" style="7" customWidth="1"/>
    <col min="11" max="11" width="11.85546875" style="133" bestFit="1" customWidth="1"/>
    <col min="12" max="12" width="5" style="133" customWidth="1"/>
    <col min="13" max="13" width="12.5703125" style="312" customWidth="1"/>
    <col min="14" max="14" width="10.28515625" style="21" customWidth="1"/>
    <col min="15" max="15" width="15.140625" style="312" customWidth="1"/>
    <col min="16" max="16" width="15.140625" style="162" customWidth="1"/>
    <col min="17" max="17" width="16" style="4" customWidth="1"/>
    <col min="18" max="18" width="10.5703125" style="4" customWidth="1"/>
    <col min="19" max="19" width="12.7109375" style="314" customWidth="1"/>
    <col min="20" max="20" width="13.28515625" style="312" customWidth="1"/>
    <col min="21" max="21" width="13" customWidth="1"/>
    <col min="22" max="22" width="12.42578125" style="4" customWidth="1"/>
    <col min="23" max="23" width="12.85546875" customWidth="1"/>
  </cols>
  <sheetData>
    <row r="1" spans="1:24" ht="33" customHeight="1" x14ac:dyDescent="0.2">
      <c r="E1" s="312">
        <f ca="1">+TODAY()</f>
        <v>44018</v>
      </c>
      <c r="F1" s="97"/>
      <c r="G1" s="22"/>
      <c r="Q1" s="21"/>
      <c r="R1" s="21"/>
    </row>
    <row r="2" spans="1:24" s="4" customFormat="1" x14ac:dyDescent="0.25">
      <c r="A2" s="304" t="s">
        <v>1583</v>
      </c>
      <c r="B2" s="296" t="s">
        <v>1543</v>
      </c>
      <c r="C2" s="296" t="s">
        <v>2561</v>
      </c>
      <c r="D2" s="296" t="s">
        <v>925</v>
      </c>
      <c r="E2" s="309" t="s">
        <v>1477</v>
      </c>
      <c r="F2" s="297" t="s">
        <v>926</v>
      </c>
      <c r="G2" s="297" t="s">
        <v>5222</v>
      </c>
      <c r="H2" s="297" t="s">
        <v>2232</v>
      </c>
      <c r="I2" s="297" t="s">
        <v>2251</v>
      </c>
      <c r="J2" s="297" t="s">
        <v>5223</v>
      </c>
      <c r="K2" s="305" t="s">
        <v>1830</v>
      </c>
      <c r="L2" s="305" t="s">
        <v>1478</v>
      </c>
      <c r="M2" s="309" t="s">
        <v>2548</v>
      </c>
      <c r="N2" s="300" t="s">
        <v>1462</v>
      </c>
      <c r="O2" s="309" t="s">
        <v>1479</v>
      </c>
      <c r="P2" s="306" t="s">
        <v>1485</v>
      </c>
      <c r="Q2" s="296" t="s">
        <v>1544</v>
      </c>
      <c r="R2" s="296" t="s">
        <v>1929</v>
      </c>
      <c r="S2" s="315" t="s">
        <v>2507</v>
      </c>
      <c r="T2" s="309" t="s">
        <v>2134</v>
      </c>
      <c r="U2" s="296" t="s">
        <v>987</v>
      </c>
      <c r="V2" s="296" t="s">
        <v>2552</v>
      </c>
      <c r="W2" s="296" t="s">
        <v>2553</v>
      </c>
      <c r="X2" s="298" t="s">
        <v>3509</v>
      </c>
    </row>
    <row r="3" spans="1:24" x14ac:dyDescent="0.25">
      <c r="A3" s="270" t="s">
        <v>4381</v>
      </c>
      <c r="B3" s="14" t="s">
        <v>4289</v>
      </c>
      <c r="C3" s="2"/>
      <c r="D3" s="14">
        <v>70113791</v>
      </c>
      <c r="E3" s="310">
        <v>43851</v>
      </c>
      <c r="F3" s="214">
        <v>13840</v>
      </c>
      <c r="G3" s="2"/>
      <c r="H3" s="14"/>
      <c r="I3" s="318"/>
      <c r="J3" s="25"/>
      <c r="K3" s="305">
        <f>+Tabla2[[#This Row],[Monto]]+Tabla2[[#This Row],[Monto3]]</f>
        <v>13840</v>
      </c>
      <c r="L3" s="308">
        <v>0</v>
      </c>
      <c r="M3" s="310">
        <v>43851</v>
      </c>
      <c r="N3" s="396" t="str">
        <f t="shared" ref="N3:N72" ca="1" si="0">+IF(K3=0,"Nulo",IF(P3&gt;=K3,"Pagado",IF(P3&gt;0,"Abonado",IF(M3&lt;$E$1,"Vencido",IF(K3&gt;P3,"Pendiente","Vencido")))))</f>
        <v>Vencido</v>
      </c>
      <c r="O3" s="310"/>
      <c r="P3" s="163"/>
      <c r="Q3" s="296" t="s">
        <v>2132</v>
      </c>
      <c r="R3" s="296" t="s">
        <v>1467</v>
      </c>
      <c r="S3" s="316"/>
      <c r="T3" s="310"/>
      <c r="U3" s="14"/>
      <c r="V3" s="326"/>
      <c r="W3" s="14"/>
      <c r="X3" s="294"/>
    </row>
    <row r="4" spans="1:24" x14ac:dyDescent="0.25">
      <c r="A4" s="425" t="s">
        <v>5095</v>
      </c>
      <c r="B4" s="284" t="s">
        <v>4977</v>
      </c>
      <c r="C4" s="95"/>
      <c r="D4" s="284">
        <v>15652</v>
      </c>
      <c r="E4" s="318">
        <v>43844</v>
      </c>
      <c r="F4" s="381">
        <v>43212</v>
      </c>
      <c r="G4" s="95"/>
      <c r="H4" s="284"/>
      <c r="I4" s="318"/>
      <c r="J4" s="382"/>
      <c r="K4" s="305">
        <f>+Tabla2[[#This Row],[Monto]]+Tabla2[[#This Row],[Monto3]]</f>
        <v>43212</v>
      </c>
      <c r="L4" s="383">
        <v>0</v>
      </c>
      <c r="M4" s="318">
        <v>43479</v>
      </c>
      <c r="N4" s="396" t="str">
        <f t="shared" ca="1" si="0"/>
        <v>Vencido</v>
      </c>
      <c r="O4" s="318"/>
      <c r="P4" s="384"/>
      <c r="Q4" s="296" t="s">
        <v>2132</v>
      </c>
      <c r="R4" s="296" t="s">
        <v>1467</v>
      </c>
      <c r="S4" s="385"/>
      <c r="T4" s="318"/>
      <c r="U4" s="284"/>
      <c r="V4" s="325"/>
      <c r="W4" s="284"/>
      <c r="X4" s="303"/>
    </row>
    <row r="5" spans="1:24" x14ac:dyDescent="0.25">
      <c r="A5" s="386" t="s">
        <v>4766</v>
      </c>
      <c r="B5" s="284" t="s">
        <v>4774</v>
      </c>
      <c r="C5" s="95"/>
      <c r="D5" s="284">
        <v>306044</v>
      </c>
      <c r="E5" s="318">
        <v>43837</v>
      </c>
      <c r="F5" s="381">
        <v>77976</v>
      </c>
      <c r="G5" s="95"/>
      <c r="H5" s="284"/>
      <c r="I5" s="318"/>
      <c r="J5" s="382"/>
      <c r="K5" s="305">
        <f>+Tabla2[[#This Row],[Monto]]+Tabla2[[#This Row],[Monto3]]</f>
        <v>77976</v>
      </c>
      <c r="L5" s="383">
        <v>0</v>
      </c>
      <c r="M5" s="318">
        <v>43837</v>
      </c>
      <c r="N5" s="396" t="str">
        <f t="shared" ca="1" si="0"/>
        <v>Vencido</v>
      </c>
      <c r="O5" s="318"/>
      <c r="P5" s="384"/>
      <c r="Q5" s="296" t="s">
        <v>2132</v>
      </c>
      <c r="R5" s="296" t="s">
        <v>1467</v>
      </c>
      <c r="S5" s="385"/>
      <c r="T5" s="318"/>
      <c r="U5" s="284"/>
      <c r="V5" s="325"/>
      <c r="W5" s="284"/>
      <c r="X5" s="303"/>
    </row>
    <row r="6" spans="1:24" x14ac:dyDescent="0.25">
      <c r="A6" s="389" t="s">
        <v>4766</v>
      </c>
      <c r="B6" s="284" t="s">
        <v>4774</v>
      </c>
      <c r="C6" s="95"/>
      <c r="D6" s="284">
        <v>306078</v>
      </c>
      <c r="E6" s="318">
        <v>43844</v>
      </c>
      <c r="F6" s="381">
        <v>20091</v>
      </c>
      <c r="G6" s="95"/>
      <c r="H6" s="284"/>
      <c r="I6" s="318"/>
      <c r="J6" s="382"/>
      <c r="K6" s="305">
        <f>+Tabla2[[#This Row],[Monto]]+Tabla2[[#This Row],[Monto3]]</f>
        <v>20091</v>
      </c>
      <c r="L6" s="383">
        <v>0</v>
      </c>
      <c r="M6" s="318">
        <v>43844</v>
      </c>
      <c r="N6" s="396" t="str">
        <f t="shared" ca="1" si="0"/>
        <v>Vencido</v>
      </c>
      <c r="O6" s="318"/>
      <c r="P6" s="384"/>
      <c r="Q6" s="296" t="s">
        <v>2132</v>
      </c>
      <c r="R6" s="296" t="s">
        <v>1467</v>
      </c>
      <c r="S6" s="385"/>
      <c r="T6" s="318"/>
      <c r="U6" s="284"/>
      <c r="V6" s="325"/>
      <c r="W6" s="284"/>
      <c r="X6" s="303"/>
    </row>
    <row r="7" spans="1:24" x14ac:dyDescent="0.25">
      <c r="A7" s="389" t="s">
        <v>1531</v>
      </c>
      <c r="B7" s="284" t="s">
        <v>1569</v>
      </c>
      <c r="C7" s="95"/>
      <c r="D7" s="284">
        <v>55862</v>
      </c>
      <c r="E7" s="318">
        <v>43860</v>
      </c>
      <c r="F7" s="381">
        <v>222768</v>
      </c>
      <c r="G7" s="95"/>
      <c r="H7" s="284"/>
      <c r="I7" s="318"/>
      <c r="J7" s="382"/>
      <c r="K7" s="305">
        <f>+Tabla2[[#This Row],[Monto]]+Tabla2[[#This Row],[Monto3]]</f>
        <v>222768</v>
      </c>
      <c r="L7" s="383">
        <v>0</v>
      </c>
      <c r="M7" s="318">
        <v>43860</v>
      </c>
      <c r="N7" s="396" t="str">
        <f t="shared" ca="1" si="0"/>
        <v>Vencido</v>
      </c>
      <c r="O7" s="318"/>
      <c r="P7" s="384"/>
      <c r="Q7" s="296" t="s">
        <v>2132</v>
      </c>
      <c r="R7" s="296" t="s">
        <v>1467</v>
      </c>
      <c r="S7" s="385"/>
      <c r="T7" s="318"/>
      <c r="U7" s="284"/>
      <c r="V7" s="325"/>
      <c r="W7" s="284"/>
      <c r="X7" s="303"/>
    </row>
    <row r="8" spans="1:24" x14ac:dyDescent="0.25">
      <c r="A8" s="389" t="s">
        <v>1532</v>
      </c>
      <c r="B8" s="284" t="s">
        <v>1551</v>
      </c>
      <c r="C8" s="95"/>
      <c r="D8" s="284">
        <v>2062777</v>
      </c>
      <c r="E8" s="318">
        <v>43840</v>
      </c>
      <c r="F8" s="381">
        <v>908013</v>
      </c>
      <c r="G8" s="95"/>
      <c r="H8" s="284">
        <v>250047</v>
      </c>
      <c r="I8" s="318">
        <v>43840</v>
      </c>
      <c r="J8" s="382">
        <v>-26790</v>
      </c>
      <c r="K8" s="305">
        <f>+Tabla2[[#This Row],[Monto]]+Tabla2[[#This Row],[Monto3]]</f>
        <v>881223</v>
      </c>
      <c r="L8" s="383">
        <v>30</v>
      </c>
      <c r="M8" s="318">
        <v>43870</v>
      </c>
      <c r="N8" s="396" t="str">
        <f t="shared" ca="1" si="0"/>
        <v>Vencido</v>
      </c>
      <c r="O8" s="318"/>
      <c r="P8" s="384"/>
      <c r="Q8" s="296" t="s">
        <v>1070</v>
      </c>
      <c r="R8" s="296" t="s">
        <v>1478</v>
      </c>
      <c r="S8" s="385"/>
      <c r="T8" s="318"/>
      <c r="U8" s="284"/>
      <c r="V8" s="325"/>
      <c r="W8" s="284"/>
      <c r="X8" s="303"/>
    </row>
    <row r="9" spans="1:24" x14ac:dyDescent="0.25">
      <c r="A9" s="389" t="s">
        <v>1532</v>
      </c>
      <c r="B9" s="284" t="s">
        <v>1551</v>
      </c>
      <c r="C9" s="95"/>
      <c r="D9" s="284">
        <v>2062776</v>
      </c>
      <c r="E9" s="318">
        <v>43840</v>
      </c>
      <c r="F9" s="381">
        <v>88619</v>
      </c>
      <c r="G9" s="95"/>
      <c r="H9" s="284">
        <v>250046</v>
      </c>
      <c r="I9" s="318">
        <v>43840</v>
      </c>
      <c r="J9" s="382">
        <v>-8669</v>
      </c>
      <c r="K9" s="305">
        <f>+Tabla2[[#This Row],[Monto]]+Tabla2[[#This Row],[Monto3]]</f>
        <v>79950</v>
      </c>
      <c r="L9" s="383">
        <v>30</v>
      </c>
      <c r="M9" s="318">
        <v>43870</v>
      </c>
      <c r="N9" s="396" t="str">
        <f t="shared" ca="1" si="0"/>
        <v>Vencido</v>
      </c>
      <c r="O9" s="318"/>
      <c r="P9" s="384"/>
      <c r="Q9" s="296" t="s">
        <v>1070</v>
      </c>
      <c r="R9" s="296" t="s">
        <v>1478</v>
      </c>
      <c r="S9" s="385"/>
      <c r="T9" s="318"/>
      <c r="U9" s="284"/>
      <c r="V9" s="325"/>
      <c r="W9" s="284"/>
      <c r="X9" s="303"/>
    </row>
    <row r="10" spans="1:24" x14ac:dyDescent="0.25">
      <c r="A10" s="390" t="s">
        <v>1584</v>
      </c>
      <c r="B10" s="284" t="s">
        <v>1567</v>
      </c>
      <c r="C10" s="95"/>
      <c r="D10" s="284">
        <v>17765069</v>
      </c>
      <c r="E10" s="318">
        <v>43840</v>
      </c>
      <c r="F10" s="381">
        <v>1981</v>
      </c>
      <c r="G10" s="95"/>
      <c r="H10" s="284"/>
      <c r="I10" s="318"/>
      <c r="J10" s="382"/>
      <c r="K10" s="305">
        <f>+Tabla2[[#This Row],[Monto]]+Tabla2[[#This Row],[Monto3]]</f>
        <v>1981</v>
      </c>
      <c r="L10" s="383">
        <v>0</v>
      </c>
      <c r="M10" s="318">
        <v>43840</v>
      </c>
      <c r="N10" s="396" t="str">
        <f t="shared" ca="1" si="0"/>
        <v>Vencido</v>
      </c>
      <c r="O10" s="318"/>
      <c r="P10" s="384"/>
      <c r="Q10" s="296" t="s">
        <v>2132</v>
      </c>
      <c r="R10" s="296" t="s">
        <v>1467</v>
      </c>
      <c r="S10" s="385"/>
      <c r="T10" s="318"/>
      <c r="U10" s="284"/>
      <c r="V10" s="325"/>
      <c r="W10" s="284"/>
      <c r="X10" s="303"/>
    </row>
    <row r="11" spans="1:24" x14ac:dyDescent="0.25">
      <c r="A11" s="425" t="s">
        <v>5093</v>
      </c>
      <c r="B11" s="284" t="s">
        <v>4934</v>
      </c>
      <c r="C11" s="95"/>
      <c r="D11" s="284">
        <v>639</v>
      </c>
      <c r="E11" s="318">
        <v>43837</v>
      </c>
      <c r="F11" s="381">
        <v>357000</v>
      </c>
      <c r="G11" s="95"/>
      <c r="H11" s="284"/>
      <c r="I11" s="318"/>
      <c r="J11" s="382"/>
      <c r="K11" s="305">
        <f>+Tabla2[[#This Row],[Monto]]+Tabla2[[#This Row],[Monto3]]</f>
        <v>357000</v>
      </c>
      <c r="L11" s="383">
        <v>0</v>
      </c>
      <c r="M11" s="318">
        <v>43837</v>
      </c>
      <c r="N11" s="396" t="str">
        <f t="shared" ca="1" si="0"/>
        <v>Vencido</v>
      </c>
      <c r="O11" s="318"/>
      <c r="P11" s="384"/>
      <c r="Q11" s="296" t="s">
        <v>2132</v>
      </c>
      <c r="R11" s="296" t="s">
        <v>1467</v>
      </c>
      <c r="S11" s="385"/>
      <c r="T11" s="318"/>
      <c r="U11" s="284"/>
      <c r="V11" s="325"/>
      <c r="W11" s="284"/>
      <c r="X11" s="303"/>
    </row>
    <row r="12" spans="1:24" x14ac:dyDescent="0.25">
      <c r="A12" s="427" t="s">
        <v>5093</v>
      </c>
      <c r="B12" s="284" t="s">
        <v>4934</v>
      </c>
      <c r="C12" s="95"/>
      <c r="D12" s="284">
        <v>643</v>
      </c>
      <c r="E12" s="318">
        <v>43850</v>
      </c>
      <c r="F12" s="381">
        <v>334152</v>
      </c>
      <c r="G12" s="95"/>
      <c r="H12" s="284"/>
      <c r="I12" s="318"/>
      <c r="J12" s="382"/>
      <c r="K12" s="305">
        <f>+Tabla2[[#This Row],[Monto]]+Tabla2[[#This Row],[Monto3]]</f>
        <v>334152</v>
      </c>
      <c r="L12" s="383">
        <v>0</v>
      </c>
      <c r="M12" s="318">
        <v>43850</v>
      </c>
      <c r="N12" s="396" t="str">
        <f t="shared" ca="1" si="0"/>
        <v>Vencido</v>
      </c>
      <c r="O12" s="318"/>
      <c r="P12" s="384"/>
      <c r="Q12" s="296" t="s">
        <v>2132</v>
      </c>
      <c r="R12" s="296" t="s">
        <v>1467</v>
      </c>
      <c r="S12" s="385"/>
      <c r="T12" s="318"/>
      <c r="U12" s="284"/>
      <c r="V12" s="325"/>
      <c r="W12" s="284"/>
      <c r="X12" s="303"/>
    </row>
    <row r="13" spans="1:24" x14ac:dyDescent="0.25">
      <c r="A13" s="395" t="s">
        <v>5093</v>
      </c>
      <c r="B13" s="284" t="s">
        <v>4934</v>
      </c>
      <c r="C13" s="95"/>
      <c r="D13" s="284">
        <v>644</v>
      </c>
      <c r="E13" s="318">
        <v>43851</v>
      </c>
      <c r="F13" s="381">
        <v>3856</v>
      </c>
      <c r="G13" s="95"/>
      <c r="H13" s="284"/>
      <c r="I13" s="318"/>
      <c r="J13" s="382"/>
      <c r="K13" s="305">
        <f>+Tabla2[[#This Row],[Monto]]+Tabla2[[#This Row],[Monto3]]</f>
        <v>3856</v>
      </c>
      <c r="L13" s="383">
        <v>0</v>
      </c>
      <c r="M13" s="318">
        <v>43851</v>
      </c>
      <c r="N13" s="396" t="str">
        <f t="shared" ca="1" si="0"/>
        <v>Vencido</v>
      </c>
      <c r="O13" s="318"/>
      <c r="P13" s="384"/>
      <c r="Q13" s="296" t="s">
        <v>2132</v>
      </c>
      <c r="R13" s="296" t="s">
        <v>1467</v>
      </c>
      <c r="S13" s="385"/>
      <c r="T13" s="318"/>
      <c r="U13" s="284"/>
      <c r="V13" s="325"/>
      <c r="W13" s="284"/>
      <c r="X13" s="303"/>
    </row>
    <row r="14" spans="1:24" x14ac:dyDescent="0.25">
      <c r="A14" s="395" t="s">
        <v>2364</v>
      </c>
      <c r="B14" s="284" t="s">
        <v>2375</v>
      </c>
      <c r="C14" s="95"/>
      <c r="D14" s="284">
        <v>39981</v>
      </c>
      <c r="E14" s="318">
        <v>43837</v>
      </c>
      <c r="F14" s="381">
        <v>35000</v>
      </c>
      <c r="G14" s="95"/>
      <c r="H14" s="284"/>
      <c r="I14" s="318"/>
      <c r="J14" s="382"/>
      <c r="K14" s="305">
        <f>+Tabla2[[#This Row],[Monto]]+Tabla2[[#This Row],[Monto3]]</f>
        <v>35000</v>
      </c>
      <c r="L14" s="383">
        <v>0</v>
      </c>
      <c r="M14" s="318">
        <v>43837</v>
      </c>
      <c r="N14" s="396" t="str">
        <f t="shared" ca="1" si="0"/>
        <v>Vencido</v>
      </c>
      <c r="O14" s="318"/>
      <c r="P14" s="384"/>
      <c r="Q14" s="296" t="s">
        <v>2132</v>
      </c>
      <c r="R14" s="296" t="s">
        <v>1467</v>
      </c>
      <c r="S14" s="385"/>
      <c r="T14" s="318"/>
      <c r="U14" s="284"/>
      <c r="V14" s="325"/>
      <c r="W14" s="284"/>
      <c r="X14" s="303"/>
    </row>
    <row r="15" spans="1:24" x14ac:dyDescent="0.25">
      <c r="A15" s="412" t="s">
        <v>1592</v>
      </c>
      <c r="B15" s="284" t="s">
        <v>1552</v>
      </c>
      <c r="C15" s="95"/>
      <c r="D15" s="284">
        <v>4276</v>
      </c>
      <c r="E15" s="318">
        <v>43836</v>
      </c>
      <c r="F15" s="381">
        <v>19057</v>
      </c>
      <c r="G15" s="95"/>
      <c r="H15" s="284"/>
      <c r="I15" s="318"/>
      <c r="J15" s="382"/>
      <c r="K15" s="305">
        <f>+Tabla2[[#This Row],[Monto]]+Tabla2[[#This Row],[Monto3]]</f>
        <v>19057</v>
      </c>
      <c r="L15" s="383">
        <v>0</v>
      </c>
      <c r="M15" s="318">
        <v>43836</v>
      </c>
      <c r="N15" s="396" t="str">
        <f t="shared" ca="1" si="0"/>
        <v>Vencido</v>
      </c>
      <c r="O15" s="318"/>
      <c r="P15" s="384"/>
      <c r="Q15" s="296" t="s">
        <v>2132</v>
      </c>
      <c r="R15" s="296" t="s">
        <v>1467</v>
      </c>
      <c r="S15" s="385"/>
      <c r="T15" s="318"/>
      <c r="U15" s="284"/>
      <c r="V15" s="325"/>
      <c r="W15" s="284"/>
      <c r="X15" s="303"/>
    </row>
    <row r="16" spans="1:24" x14ac:dyDescent="0.25">
      <c r="A16" s="425" t="s">
        <v>1592</v>
      </c>
      <c r="B16" s="284" t="s">
        <v>1552</v>
      </c>
      <c r="C16" s="95"/>
      <c r="D16" s="284">
        <v>42956</v>
      </c>
      <c r="E16" s="318">
        <v>43843</v>
      </c>
      <c r="F16" s="381">
        <v>23893</v>
      </c>
      <c r="G16" s="95"/>
      <c r="H16" s="284"/>
      <c r="I16" s="318"/>
      <c r="J16" s="382"/>
      <c r="K16" s="305">
        <f>+Tabla2[[#This Row],[Monto]]+Tabla2[[#This Row],[Monto3]]</f>
        <v>23893</v>
      </c>
      <c r="L16" s="383">
        <v>0</v>
      </c>
      <c r="M16" s="318">
        <v>43843</v>
      </c>
      <c r="N16" s="396" t="str">
        <f t="shared" ca="1" si="0"/>
        <v>Vencido</v>
      </c>
      <c r="O16" s="318"/>
      <c r="P16" s="384"/>
      <c r="Q16" s="296" t="s">
        <v>2132</v>
      </c>
      <c r="R16" s="296" t="s">
        <v>1467</v>
      </c>
      <c r="S16" s="385"/>
      <c r="T16" s="318"/>
      <c r="U16" s="284"/>
      <c r="V16" s="325"/>
      <c r="W16" s="284"/>
      <c r="X16" s="303"/>
    </row>
    <row r="17" spans="1:24" x14ac:dyDescent="0.25">
      <c r="A17" s="425" t="s">
        <v>1592</v>
      </c>
      <c r="B17" s="284" t="s">
        <v>1552</v>
      </c>
      <c r="C17" s="95"/>
      <c r="D17" s="284">
        <v>43174</v>
      </c>
      <c r="E17" s="318">
        <v>43851</v>
      </c>
      <c r="F17" s="381">
        <v>34816</v>
      </c>
      <c r="G17" s="95"/>
      <c r="H17" s="284"/>
      <c r="I17" s="318"/>
      <c r="J17" s="382"/>
      <c r="K17" s="305">
        <f>+Tabla2[[#This Row],[Monto]]+Tabla2[[#This Row],[Monto3]]</f>
        <v>34816</v>
      </c>
      <c r="L17" s="383">
        <v>0</v>
      </c>
      <c r="M17" s="318">
        <v>43851</v>
      </c>
      <c r="N17" s="396" t="str">
        <f t="shared" ca="1" si="0"/>
        <v>Vencido</v>
      </c>
      <c r="O17" s="318"/>
      <c r="P17" s="384"/>
      <c r="Q17" s="296" t="s">
        <v>2132</v>
      </c>
      <c r="R17" s="296" t="s">
        <v>1467</v>
      </c>
      <c r="S17" s="385"/>
      <c r="T17" s="318"/>
      <c r="U17" s="284"/>
      <c r="V17" s="325"/>
      <c r="W17" s="284"/>
      <c r="X17" s="303"/>
    </row>
    <row r="18" spans="1:24" x14ac:dyDescent="0.25">
      <c r="A18" s="425" t="s">
        <v>4764</v>
      </c>
      <c r="B18" s="284" t="s">
        <v>4602</v>
      </c>
      <c r="C18" s="95"/>
      <c r="D18" s="284">
        <v>3011063</v>
      </c>
      <c r="E18" s="318">
        <v>43846</v>
      </c>
      <c r="F18" s="381">
        <v>138445</v>
      </c>
      <c r="G18" s="95"/>
      <c r="H18" s="284"/>
      <c r="I18" s="318"/>
      <c r="J18" s="382"/>
      <c r="K18" s="305">
        <f>+Tabla2[[#This Row],[Monto]]+Tabla2[[#This Row],[Monto3]]</f>
        <v>138445</v>
      </c>
      <c r="L18" s="383">
        <v>0</v>
      </c>
      <c r="M18" s="318">
        <v>43846</v>
      </c>
      <c r="N18" s="396" t="str">
        <f t="shared" ca="1" si="0"/>
        <v>Vencido</v>
      </c>
      <c r="O18" s="318"/>
      <c r="P18" s="384"/>
      <c r="Q18" s="296" t="s">
        <v>2132</v>
      </c>
      <c r="R18" s="296" t="s">
        <v>1467</v>
      </c>
      <c r="S18" s="385"/>
      <c r="T18" s="318"/>
      <c r="U18" s="284"/>
      <c r="V18" s="325"/>
      <c r="W18" s="284"/>
      <c r="X18" s="303"/>
    </row>
    <row r="19" spans="1:24" x14ac:dyDescent="0.25">
      <c r="A19" s="427" t="s">
        <v>4764</v>
      </c>
      <c r="B19" s="284" t="s">
        <v>4602</v>
      </c>
      <c r="C19" s="95"/>
      <c r="D19" s="284">
        <v>3019422</v>
      </c>
      <c r="E19" s="318">
        <v>43858</v>
      </c>
      <c r="F19" s="381">
        <v>822837</v>
      </c>
      <c r="G19" s="95"/>
      <c r="H19" s="284"/>
      <c r="I19" s="318"/>
      <c r="J19" s="382"/>
      <c r="K19" s="305">
        <f>+Tabla2[[#This Row],[Monto]]+Tabla2[[#This Row],[Monto3]]</f>
        <v>822837</v>
      </c>
      <c r="L19" s="383">
        <v>0</v>
      </c>
      <c r="M19" s="318">
        <v>43858</v>
      </c>
      <c r="N19" s="396" t="str">
        <f t="shared" ca="1" si="0"/>
        <v>Vencido</v>
      </c>
      <c r="O19" s="318"/>
      <c r="P19" s="384"/>
      <c r="Q19" s="296" t="s">
        <v>2132</v>
      </c>
      <c r="R19" s="296" t="s">
        <v>1467</v>
      </c>
      <c r="S19" s="385"/>
      <c r="T19" s="318"/>
      <c r="U19" s="284"/>
      <c r="V19" s="325"/>
      <c r="W19" s="284"/>
      <c r="X19" s="303"/>
    </row>
    <row r="20" spans="1:24" x14ac:dyDescent="0.25">
      <c r="A20" s="427" t="s">
        <v>4764</v>
      </c>
      <c r="B20" s="284" t="s">
        <v>4602</v>
      </c>
      <c r="C20" s="95"/>
      <c r="D20" s="284">
        <v>3023276</v>
      </c>
      <c r="E20" s="318">
        <v>43861</v>
      </c>
      <c r="F20" s="381">
        <v>184593</v>
      </c>
      <c r="G20" s="95"/>
      <c r="H20" s="284"/>
      <c r="I20" s="318"/>
      <c r="J20" s="382"/>
      <c r="K20" s="305">
        <f>+Tabla2[[#This Row],[Monto]]+Tabla2[[#This Row],[Monto3]]</f>
        <v>184593</v>
      </c>
      <c r="L20" s="383">
        <v>0</v>
      </c>
      <c r="M20" s="318">
        <v>43861</v>
      </c>
      <c r="N20" s="396" t="str">
        <f t="shared" ca="1" si="0"/>
        <v>Vencido</v>
      </c>
      <c r="O20" s="318"/>
      <c r="P20" s="384"/>
      <c r="Q20" s="296" t="s">
        <v>2132</v>
      </c>
      <c r="R20" s="296" t="s">
        <v>1467</v>
      </c>
      <c r="S20" s="385"/>
      <c r="T20" s="318"/>
      <c r="U20" s="284"/>
      <c r="V20" s="325"/>
      <c r="W20" s="284"/>
      <c r="X20" s="303"/>
    </row>
    <row r="21" spans="1:24" x14ac:dyDescent="0.25">
      <c r="A21" s="427" t="s">
        <v>4388</v>
      </c>
      <c r="B21" s="284" t="s">
        <v>4410</v>
      </c>
      <c r="C21" s="95"/>
      <c r="D21" s="284">
        <v>1293092</v>
      </c>
      <c r="E21" s="318">
        <v>43840</v>
      </c>
      <c r="F21" s="381">
        <v>149428</v>
      </c>
      <c r="G21" s="95"/>
      <c r="H21" s="284"/>
      <c r="I21" s="318"/>
      <c r="J21" s="382"/>
      <c r="K21" s="305">
        <f>+Tabla2[[#This Row],[Monto]]+Tabla2[[#This Row],[Monto3]]</f>
        <v>149428</v>
      </c>
      <c r="L21" s="383">
        <v>0</v>
      </c>
      <c r="M21" s="318">
        <v>43475</v>
      </c>
      <c r="N21" s="396" t="str">
        <f t="shared" si="0"/>
        <v>Pagado</v>
      </c>
      <c r="O21" s="318">
        <v>43840</v>
      </c>
      <c r="P21" s="384">
        <v>149428</v>
      </c>
      <c r="Q21" s="296" t="s">
        <v>1070</v>
      </c>
      <c r="R21" s="296" t="s">
        <v>1478</v>
      </c>
      <c r="S21" s="385">
        <v>1485</v>
      </c>
      <c r="T21" s="318">
        <v>43840</v>
      </c>
      <c r="U21" s="284"/>
      <c r="V21" s="325"/>
      <c r="W21" s="284"/>
      <c r="X21" s="303"/>
    </row>
    <row r="22" spans="1:24" x14ac:dyDescent="0.25">
      <c r="A22" s="427" t="s">
        <v>1597</v>
      </c>
      <c r="B22" s="284" t="s">
        <v>1562</v>
      </c>
      <c r="C22" s="95"/>
      <c r="D22" s="284">
        <v>134503</v>
      </c>
      <c r="E22" s="318">
        <v>43836</v>
      </c>
      <c r="F22" s="381">
        <v>49619</v>
      </c>
      <c r="G22" s="95"/>
      <c r="H22" s="284"/>
      <c r="I22" s="318"/>
      <c r="J22" s="382"/>
      <c r="K22" s="305">
        <f>+Tabla2[[#This Row],[Monto]]+Tabla2[[#This Row],[Monto3]]</f>
        <v>49619</v>
      </c>
      <c r="L22" s="383">
        <v>0</v>
      </c>
      <c r="M22" s="318">
        <v>43471</v>
      </c>
      <c r="N22" s="396" t="str">
        <f t="shared" ca="1" si="0"/>
        <v>Vencido</v>
      </c>
      <c r="O22" s="318"/>
      <c r="P22" s="384"/>
      <c r="Q22" s="296" t="s">
        <v>1544</v>
      </c>
      <c r="R22" s="296" t="s">
        <v>1929</v>
      </c>
      <c r="S22" s="385"/>
      <c r="T22" s="318"/>
      <c r="U22" s="284"/>
      <c r="V22" s="325"/>
      <c r="W22" s="284"/>
      <c r="X22" s="303"/>
    </row>
    <row r="23" spans="1:24" x14ac:dyDescent="0.25">
      <c r="A23" s="427" t="s">
        <v>1859</v>
      </c>
      <c r="B23" s="284" t="s">
        <v>1852</v>
      </c>
      <c r="C23" s="95"/>
      <c r="D23" s="284">
        <v>92298</v>
      </c>
      <c r="E23" s="318">
        <v>43847</v>
      </c>
      <c r="F23" s="381">
        <v>20000</v>
      </c>
      <c r="G23" s="95"/>
      <c r="H23" s="284"/>
      <c r="I23" s="318"/>
      <c r="J23" s="382"/>
      <c r="K23" s="305">
        <f>+Tabla2[[#This Row],[Monto]]+Tabla2[[#This Row],[Monto3]]</f>
        <v>20000</v>
      </c>
      <c r="L23" s="383">
        <v>0</v>
      </c>
      <c r="M23" s="318">
        <v>43847</v>
      </c>
      <c r="N23" s="396" t="str">
        <f t="shared" ca="1" si="0"/>
        <v>Vencido</v>
      </c>
      <c r="O23" s="318"/>
      <c r="P23" s="384"/>
      <c r="Q23" s="296" t="s">
        <v>2132</v>
      </c>
      <c r="R23" s="296" t="s">
        <v>1467</v>
      </c>
      <c r="S23" s="385"/>
      <c r="T23" s="318"/>
      <c r="U23" s="284"/>
      <c r="V23" s="325"/>
      <c r="W23" s="284"/>
      <c r="X23" s="303"/>
    </row>
    <row r="24" spans="1:24" x14ac:dyDescent="0.25">
      <c r="A24" s="427" t="s">
        <v>1859</v>
      </c>
      <c r="B24" s="284" t="s">
        <v>1852</v>
      </c>
      <c r="C24" s="95"/>
      <c r="D24" s="284">
        <v>92305</v>
      </c>
      <c r="E24" s="318">
        <v>43848</v>
      </c>
      <c r="F24" s="381">
        <v>30000</v>
      </c>
      <c r="G24" s="95"/>
      <c r="H24" s="284"/>
      <c r="I24" s="318"/>
      <c r="J24" s="382"/>
      <c r="K24" s="305">
        <f>+Tabla2[[#This Row],[Monto]]+Tabla2[[#This Row],[Monto3]]</f>
        <v>30000</v>
      </c>
      <c r="L24" s="383">
        <v>0</v>
      </c>
      <c r="M24" s="318">
        <v>43848</v>
      </c>
      <c r="N24" s="396" t="str">
        <f t="shared" ca="1" si="0"/>
        <v>Vencido</v>
      </c>
      <c r="O24" s="318"/>
      <c r="P24" s="384"/>
      <c r="Q24" s="296" t="s">
        <v>2132</v>
      </c>
      <c r="R24" s="296" t="s">
        <v>1467</v>
      </c>
      <c r="S24" s="385"/>
      <c r="T24" s="318"/>
      <c r="U24" s="284"/>
      <c r="V24" s="325"/>
      <c r="W24" s="284"/>
      <c r="X24" s="303"/>
    </row>
    <row r="25" spans="1:24" x14ac:dyDescent="0.25">
      <c r="A25" s="427" t="s">
        <v>1599</v>
      </c>
      <c r="B25" s="284" t="s">
        <v>1545</v>
      </c>
      <c r="C25" s="95"/>
      <c r="D25" s="284">
        <v>52347</v>
      </c>
      <c r="E25" s="318">
        <v>43836</v>
      </c>
      <c r="F25" s="381">
        <v>299264</v>
      </c>
      <c r="G25" s="95"/>
      <c r="H25" s="284"/>
      <c r="I25" s="318"/>
      <c r="J25" s="382"/>
      <c r="K25" s="305">
        <f>+Tabla2[[#This Row],[Monto]]+Tabla2[[#This Row],[Monto3]]</f>
        <v>299264</v>
      </c>
      <c r="L25" s="383">
        <v>0</v>
      </c>
      <c r="M25" s="318">
        <v>43836</v>
      </c>
      <c r="N25" s="396" t="str">
        <f t="shared" ca="1" si="0"/>
        <v>Vencido</v>
      </c>
      <c r="O25" s="318"/>
      <c r="P25" s="384"/>
      <c r="Q25" s="296" t="s">
        <v>2132</v>
      </c>
      <c r="R25" s="296" t="s">
        <v>1467</v>
      </c>
      <c r="S25" s="385"/>
      <c r="T25" s="318"/>
      <c r="U25" s="284"/>
      <c r="V25" s="325"/>
      <c r="W25" s="284"/>
      <c r="X25" s="303"/>
    </row>
    <row r="26" spans="1:24" x14ac:dyDescent="0.25">
      <c r="A26" s="429" t="s">
        <v>1599</v>
      </c>
      <c r="B26" s="284" t="s">
        <v>1545</v>
      </c>
      <c r="C26" s="95"/>
      <c r="D26" s="284">
        <v>52410</v>
      </c>
      <c r="E26" s="318">
        <v>43837</v>
      </c>
      <c r="F26" s="381">
        <v>311009</v>
      </c>
      <c r="G26" s="95"/>
      <c r="H26" s="284"/>
      <c r="I26" s="318"/>
      <c r="J26" s="382"/>
      <c r="K26" s="305">
        <f>+Tabla2[[#This Row],[Monto]]+Tabla2[[#This Row],[Monto3]]</f>
        <v>311009</v>
      </c>
      <c r="L26" s="383">
        <v>0</v>
      </c>
      <c r="M26" s="318">
        <v>43837</v>
      </c>
      <c r="N26" s="396" t="str">
        <f t="shared" ca="1" si="0"/>
        <v>Vencido</v>
      </c>
      <c r="O26" s="318"/>
      <c r="P26" s="384"/>
      <c r="Q26" s="296" t="s">
        <v>2132</v>
      </c>
      <c r="R26" s="296" t="s">
        <v>1467</v>
      </c>
      <c r="S26" s="385"/>
      <c r="T26" s="318"/>
      <c r="U26" s="284"/>
      <c r="V26" s="325"/>
      <c r="W26" s="284"/>
      <c r="X26" s="303"/>
    </row>
    <row r="27" spans="1:24" x14ac:dyDescent="0.25">
      <c r="A27" s="427" t="s">
        <v>1599</v>
      </c>
      <c r="B27" s="284" t="s">
        <v>1545</v>
      </c>
      <c r="C27" s="95"/>
      <c r="D27" s="284">
        <v>52706</v>
      </c>
      <c r="E27" s="318">
        <v>43847</v>
      </c>
      <c r="F27" s="381">
        <v>431777</v>
      </c>
      <c r="G27" s="95"/>
      <c r="H27" s="284"/>
      <c r="I27" s="318"/>
      <c r="J27" s="382"/>
      <c r="K27" s="305">
        <f>+Tabla2[[#This Row],[Monto]]+Tabla2[[#This Row],[Monto3]]</f>
        <v>431777</v>
      </c>
      <c r="L27" s="383">
        <v>0</v>
      </c>
      <c r="M27" s="318">
        <v>43847</v>
      </c>
      <c r="N27" s="396" t="str">
        <f t="shared" ca="1" si="0"/>
        <v>Vencido</v>
      </c>
      <c r="O27" s="318"/>
      <c r="P27" s="384"/>
      <c r="Q27" s="296" t="s">
        <v>2132</v>
      </c>
      <c r="R27" s="296" t="s">
        <v>1467</v>
      </c>
      <c r="S27" s="385"/>
      <c r="T27" s="318"/>
      <c r="U27" s="284"/>
      <c r="V27" s="325"/>
      <c r="W27" s="284"/>
      <c r="X27" s="303"/>
    </row>
    <row r="28" spans="1:24" x14ac:dyDescent="0.25">
      <c r="A28" s="427" t="s">
        <v>1599</v>
      </c>
      <c r="B28" s="284" t="s">
        <v>1545</v>
      </c>
      <c r="C28" s="95"/>
      <c r="D28" s="284">
        <v>52817</v>
      </c>
      <c r="E28" s="318">
        <v>43851</v>
      </c>
      <c r="F28" s="381">
        <v>203320</v>
      </c>
      <c r="G28" s="95"/>
      <c r="H28" s="284"/>
      <c r="I28" s="318"/>
      <c r="J28" s="382"/>
      <c r="K28" s="305">
        <f>+Tabla2[[#This Row],[Monto]]+Tabla2[[#This Row],[Monto3]]</f>
        <v>203320</v>
      </c>
      <c r="L28" s="383">
        <v>0</v>
      </c>
      <c r="M28" s="318">
        <v>43851</v>
      </c>
      <c r="N28" s="396" t="str">
        <f t="shared" ca="1" si="0"/>
        <v>Vencido</v>
      </c>
      <c r="O28" s="318"/>
      <c r="P28" s="384"/>
      <c r="Q28" s="296" t="s">
        <v>2132</v>
      </c>
      <c r="R28" s="296" t="s">
        <v>1467</v>
      </c>
      <c r="S28" s="385"/>
      <c r="T28" s="318"/>
      <c r="U28" s="284"/>
      <c r="V28" s="325"/>
      <c r="W28" s="284"/>
      <c r="X28" s="303"/>
    </row>
    <row r="29" spans="1:24" x14ac:dyDescent="0.25">
      <c r="A29" s="427" t="s">
        <v>1599</v>
      </c>
      <c r="B29" s="284" t="s">
        <v>1545</v>
      </c>
      <c r="C29" s="95"/>
      <c r="D29" s="284">
        <v>53104</v>
      </c>
      <c r="E29" s="318">
        <v>43860</v>
      </c>
      <c r="F29" s="381">
        <v>230146</v>
      </c>
      <c r="G29" s="95"/>
      <c r="H29" s="284"/>
      <c r="I29" s="318"/>
      <c r="J29" s="382"/>
      <c r="K29" s="305">
        <f>+Tabla2[[#This Row],[Monto]]+Tabla2[[#This Row],[Monto3]]</f>
        <v>230146</v>
      </c>
      <c r="L29" s="383">
        <v>0</v>
      </c>
      <c r="M29" s="318">
        <v>43860</v>
      </c>
      <c r="N29" s="396" t="str">
        <f t="shared" ca="1" si="0"/>
        <v>Vencido</v>
      </c>
      <c r="O29" s="318"/>
      <c r="P29" s="384"/>
      <c r="Q29" s="296" t="s">
        <v>2132</v>
      </c>
      <c r="R29" s="296" t="s">
        <v>1467</v>
      </c>
      <c r="S29" s="385"/>
      <c r="T29" s="318"/>
      <c r="U29" s="284"/>
      <c r="V29" s="325"/>
      <c r="W29" s="284"/>
      <c r="X29" s="303"/>
    </row>
    <row r="30" spans="1:24" x14ac:dyDescent="0.25">
      <c r="A30" s="427" t="s">
        <v>2080</v>
      </c>
      <c r="B30" s="284" t="s">
        <v>2075</v>
      </c>
      <c r="C30" s="95"/>
      <c r="D30" s="284">
        <v>39964295</v>
      </c>
      <c r="E30" s="318">
        <v>43840</v>
      </c>
      <c r="F30" s="381">
        <v>25980</v>
      </c>
      <c r="G30" s="95"/>
      <c r="H30" s="284"/>
      <c r="I30" s="318"/>
      <c r="J30" s="382"/>
      <c r="K30" s="305">
        <f>+Tabla2[[#This Row],[Monto]]+Tabla2[[#This Row],[Monto3]]</f>
        <v>25980</v>
      </c>
      <c r="L30" s="383">
        <v>0</v>
      </c>
      <c r="M30" s="318">
        <v>43840</v>
      </c>
      <c r="N30" s="396" t="str">
        <f t="shared" ca="1" si="0"/>
        <v>Vencido</v>
      </c>
      <c r="O30" s="318"/>
      <c r="P30" s="384"/>
      <c r="Q30" s="296" t="s">
        <v>2132</v>
      </c>
      <c r="R30" s="296" t="s">
        <v>1467</v>
      </c>
      <c r="S30" s="385"/>
      <c r="T30" s="318"/>
      <c r="U30" s="284"/>
      <c r="V30" s="325"/>
      <c r="W30" s="284"/>
      <c r="X30" s="303"/>
    </row>
    <row r="31" spans="1:24" x14ac:dyDescent="0.25">
      <c r="A31" s="427" t="s">
        <v>5363</v>
      </c>
      <c r="B31" s="284" t="s">
        <v>5225</v>
      </c>
      <c r="C31" s="95"/>
      <c r="D31" s="284">
        <v>80791</v>
      </c>
      <c r="E31" s="318">
        <v>43833</v>
      </c>
      <c r="F31" s="381">
        <v>40000</v>
      </c>
      <c r="G31" s="95"/>
      <c r="H31" s="284"/>
      <c r="I31" s="318"/>
      <c r="J31" s="382"/>
      <c r="K31" s="305">
        <f>+Tabla2[[#This Row],[Monto]]+Tabla2[[#This Row],[Monto3]]</f>
        <v>40000</v>
      </c>
      <c r="L31" s="383">
        <v>0</v>
      </c>
      <c r="M31" s="318">
        <v>43833</v>
      </c>
      <c r="N31" s="396" t="str">
        <f t="shared" ca="1" si="0"/>
        <v>Vencido</v>
      </c>
      <c r="O31" s="318"/>
      <c r="P31" s="384"/>
      <c r="Q31" s="296" t="s">
        <v>2132</v>
      </c>
      <c r="R31" s="296" t="s">
        <v>1467</v>
      </c>
      <c r="S31" s="385"/>
      <c r="T31" s="318"/>
      <c r="U31" s="284"/>
      <c r="V31" s="325"/>
      <c r="W31" s="284"/>
      <c r="X31" s="303"/>
    </row>
    <row r="32" spans="1:24" x14ac:dyDescent="0.25">
      <c r="A32" s="427" t="s">
        <v>4388</v>
      </c>
      <c r="B32" s="284" t="s">
        <v>5687</v>
      </c>
      <c r="C32" s="95"/>
      <c r="D32" s="284">
        <v>4430</v>
      </c>
      <c r="E32" s="318">
        <v>43836</v>
      </c>
      <c r="F32" s="381">
        <v>88393</v>
      </c>
      <c r="G32" s="95"/>
      <c r="H32" s="284"/>
      <c r="I32" s="318"/>
      <c r="J32" s="382"/>
      <c r="K32" s="305">
        <f>+Tabla2[[#This Row],[Monto]]+Tabla2[[#This Row],[Monto3]]</f>
        <v>88393</v>
      </c>
      <c r="L32" s="383">
        <v>0</v>
      </c>
      <c r="M32" s="318">
        <v>43836</v>
      </c>
      <c r="N32" s="396" t="str">
        <f t="shared" ca="1" si="0"/>
        <v>Vencido</v>
      </c>
      <c r="O32" s="318"/>
      <c r="P32" s="384"/>
      <c r="Q32" s="296" t="s">
        <v>2132</v>
      </c>
      <c r="R32" s="296" t="s">
        <v>1467</v>
      </c>
      <c r="S32" s="385"/>
      <c r="T32" s="318"/>
      <c r="U32" s="284"/>
      <c r="V32" s="325"/>
      <c r="W32" s="284"/>
      <c r="X32" s="303"/>
    </row>
    <row r="33" spans="1:24" x14ac:dyDescent="0.25">
      <c r="A33" s="427" t="s">
        <v>4765</v>
      </c>
      <c r="B33" s="284" t="s">
        <v>4767</v>
      </c>
      <c r="C33" s="95"/>
      <c r="D33" s="284">
        <v>86147</v>
      </c>
      <c r="E33" s="318">
        <v>43836</v>
      </c>
      <c r="F33" s="381">
        <v>12915</v>
      </c>
      <c r="G33" s="95"/>
      <c r="H33" s="284"/>
      <c r="I33" s="318"/>
      <c r="J33" s="382"/>
      <c r="K33" s="305">
        <f>+Tabla2[[#This Row],[Monto]]+Tabla2[[#This Row],[Monto3]]</f>
        <v>12915</v>
      </c>
      <c r="L33" s="383">
        <v>0</v>
      </c>
      <c r="M33" s="318">
        <v>43836</v>
      </c>
      <c r="N33" s="396" t="str">
        <f t="shared" ca="1" si="0"/>
        <v>Vencido</v>
      </c>
      <c r="O33" s="318"/>
      <c r="P33" s="384"/>
      <c r="Q33" s="296" t="s">
        <v>2132</v>
      </c>
      <c r="R33" s="296" t="s">
        <v>1467</v>
      </c>
      <c r="S33" s="385"/>
      <c r="T33" s="318"/>
      <c r="U33" s="284"/>
      <c r="V33" s="325"/>
      <c r="W33" s="284"/>
      <c r="X33" s="303"/>
    </row>
    <row r="34" spans="1:24" x14ac:dyDescent="0.25">
      <c r="A34" s="427" t="s">
        <v>4765</v>
      </c>
      <c r="B34" s="284" t="s">
        <v>4767</v>
      </c>
      <c r="C34" s="95"/>
      <c r="D34" s="284">
        <v>86516</v>
      </c>
      <c r="E34" s="318">
        <v>43844</v>
      </c>
      <c r="F34" s="381">
        <v>61268</v>
      </c>
      <c r="G34" s="95"/>
      <c r="H34" s="284"/>
      <c r="I34" s="318"/>
      <c r="J34" s="382"/>
      <c r="K34" s="305">
        <f>+Tabla2[[#This Row],[Monto]]+Tabla2[[#This Row],[Monto3]]</f>
        <v>61268</v>
      </c>
      <c r="L34" s="383">
        <v>0</v>
      </c>
      <c r="M34" s="318">
        <v>43844</v>
      </c>
      <c r="N34" s="396" t="str">
        <f t="shared" ca="1" si="0"/>
        <v>Vencido</v>
      </c>
      <c r="O34" s="318"/>
      <c r="P34" s="384"/>
      <c r="Q34" s="296" t="s">
        <v>2132</v>
      </c>
      <c r="R34" s="296" t="s">
        <v>1467</v>
      </c>
      <c r="S34" s="385"/>
      <c r="T34" s="318"/>
      <c r="U34" s="284"/>
      <c r="V34" s="325"/>
      <c r="W34" s="284"/>
      <c r="X34" s="303"/>
    </row>
    <row r="35" spans="1:24" x14ac:dyDescent="0.25">
      <c r="A35" s="427" t="s">
        <v>4388</v>
      </c>
      <c r="B35" s="284" t="s">
        <v>5619</v>
      </c>
      <c r="C35" s="95"/>
      <c r="D35" s="284">
        <v>59673</v>
      </c>
      <c r="E35" s="318">
        <v>43843</v>
      </c>
      <c r="F35" s="381">
        <v>79040</v>
      </c>
      <c r="G35" s="95"/>
      <c r="H35" s="284"/>
      <c r="I35" s="318"/>
      <c r="J35" s="382"/>
      <c r="K35" s="305">
        <f>+Tabla2[[#This Row],[Monto]]+Tabla2[[#This Row],[Monto3]]</f>
        <v>79040</v>
      </c>
      <c r="L35" s="383">
        <v>0</v>
      </c>
      <c r="M35" s="318">
        <v>43843</v>
      </c>
      <c r="N35" s="396" t="str">
        <f t="shared" ca="1" si="0"/>
        <v>Vencido</v>
      </c>
      <c r="O35" s="318"/>
      <c r="P35" s="384"/>
      <c r="Q35" s="296" t="s">
        <v>2132</v>
      </c>
      <c r="R35" s="296" t="s">
        <v>1467</v>
      </c>
      <c r="S35" s="385"/>
      <c r="T35" s="318"/>
      <c r="U35" s="284"/>
      <c r="V35" s="325"/>
      <c r="W35" s="284"/>
      <c r="X35" s="303"/>
    </row>
    <row r="36" spans="1:24" x14ac:dyDescent="0.25">
      <c r="A36" s="427" t="s">
        <v>1602</v>
      </c>
      <c r="B36" s="284" t="s">
        <v>1570</v>
      </c>
      <c r="C36" s="95"/>
      <c r="D36" s="284">
        <v>41945</v>
      </c>
      <c r="E36" s="318">
        <v>43845</v>
      </c>
      <c r="F36" s="381">
        <v>1149459</v>
      </c>
      <c r="G36" s="95"/>
      <c r="H36" s="284"/>
      <c r="I36" s="318"/>
      <c r="J36" s="382"/>
      <c r="K36" s="305">
        <f>+Tabla2[[#This Row],[Monto]]+Tabla2[[#This Row],[Monto3]]</f>
        <v>1149459</v>
      </c>
      <c r="L36" s="383">
        <v>0</v>
      </c>
      <c r="M36" s="318">
        <v>43845</v>
      </c>
      <c r="N36" s="396" t="str">
        <f t="shared" ca="1" si="0"/>
        <v>Vencido</v>
      </c>
      <c r="O36" s="318"/>
      <c r="P36" s="384"/>
      <c r="Q36" s="296" t="s">
        <v>2132</v>
      </c>
      <c r="R36" s="296" t="s">
        <v>1467</v>
      </c>
      <c r="S36" s="385"/>
      <c r="T36" s="318"/>
      <c r="U36" s="284"/>
      <c r="V36" s="325"/>
      <c r="W36" s="284"/>
      <c r="X36" s="303"/>
    </row>
    <row r="37" spans="1:24" x14ac:dyDescent="0.25">
      <c r="A37" s="427" t="s">
        <v>1606</v>
      </c>
      <c r="B37" s="284" t="s">
        <v>1563</v>
      </c>
      <c r="C37" s="95"/>
      <c r="D37" s="284">
        <v>40452</v>
      </c>
      <c r="E37" s="318">
        <v>43857</v>
      </c>
      <c r="F37" s="381">
        <v>313232</v>
      </c>
      <c r="G37" s="95"/>
      <c r="H37" s="284"/>
      <c r="I37" s="318"/>
      <c r="J37" s="382"/>
      <c r="K37" s="305">
        <f>+Tabla2[[#This Row],[Monto]]+Tabla2[[#This Row],[Monto3]]</f>
        <v>313232</v>
      </c>
      <c r="L37" s="383">
        <v>0</v>
      </c>
      <c r="M37" s="318">
        <v>43857</v>
      </c>
      <c r="N37" s="396" t="str">
        <f t="shared" ca="1" si="0"/>
        <v>Vencido</v>
      </c>
      <c r="O37" s="318"/>
      <c r="P37" s="384"/>
      <c r="Q37" s="296" t="s">
        <v>2132</v>
      </c>
      <c r="R37" s="296" t="s">
        <v>1467</v>
      </c>
      <c r="S37" s="385"/>
      <c r="T37" s="318"/>
      <c r="U37" s="284"/>
      <c r="V37" s="325"/>
      <c r="W37" s="284"/>
      <c r="X37" s="303"/>
    </row>
    <row r="38" spans="1:24" x14ac:dyDescent="0.25">
      <c r="A38" s="427" t="s">
        <v>1608</v>
      </c>
      <c r="B38" s="284" t="s">
        <v>1557</v>
      </c>
      <c r="C38" s="95"/>
      <c r="D38" s="284">
        <v>153166</v>
      </c>
      <c r="E38" s="318">
        <v>43843</v>
      </c>
      <c r="F38" s="381">
        <v>30000</v>
      </c>
      <c r="G38" s="95"/>
      <c r="H38" s="284"/>
      <c r="I38" s="318"/>
      <c r="J38" s="382"/>
      <c r="K38" s="305">
        <f>+Tabla2[[#This Row],[Monto]]+Tabla2[[#This Row],[Monto3]]</f>
        <v>30000</v>
      </c>
      <c r="L38" s="383">
        <v>0</v>
      </c>
      <c r="M38" s="318">
        <v>43843</v>
      </c>
      <c r="N38" s="396" t="str">
        <f t="shared" ca="1" si="0"/>
        <v>Vencido</v>
      </c>
      <c r="O38" s="318"/>
      <c r="P38" s="384"/>
      <c r="Q38" s="296" t="s">
        <v>2132</v>
      </c>
      <c r="R38" s="296" t="s">
        <v>1467</v>
      </c>
      <c r="S38" s="385"/>
      <c r="T38" s="318"/>
      <c r="U38" s="284"/>
      <c r="V38" s="325"/>
      <c r="W38" s="284"/>
      <c r="X38" s="303"/>
    </row>
    <row r="39" spans="1:24" x14ac:dyDescent="0.25">
      <c r="A39" s="427" t="s">
        <v>1608</v>
      </c>
      <c r="B39" s="284" t="s">
        <v>1557</v>
      </c>
      <c r="C39" s="95"/>
      <c r="D39" s="284">
        <v>153974</v>
      </c>
      <c r="E39" s="318">
        <v>43851</v>
      </c>
      <c r="F39" s="381">
        <v>44000</v>
      </c>
      <c r="G39" s="95"/>
      <c r="H39" s="284"/>
      <c r="I39" s="318"/>
      <c r="J39" s="382"/>
      <c r="K39" s="305">
        <f>+Tabla2[[#This Row],[Monto]]+Tabla2[[#This Row],[Monto3]]</f>
        <v>44000</v>
      </c>
      <c r="L39" s="383">
        <v>0</v>
      </c>
      <c r="M39" s="318">
        <v>43851</v>
      </c>
      <c r="N39" s="396" t="str">
        <f t="shared" ca="1" si="0"/>
        <v>Vencido</v>
      </c>
      <c r="O39" s="318"/>
      <c r="P39" s="384"/>
      <c r="Q39" s="296" t="s">
        <v>2132</v>
      </c>
      <c r="R39" s="296" t="s">
        <v>1467</v>
      </c>
      <c r="S39" s="385"/>
      <c r="T39" s="318"/>
      <c r="U39" s="284"/>
      <c r="V39" s="325"/>
      <c r="W39" s="284"/>
      <c r="X39" s="303"/>
    </row>
    <row r="40" spans="1:24" x14ac:dyDescent="0.25">
      <c r="A40" s="427" t="s">
        <v>1608</v>
      </c>
      <c r="B40" s="284" t="s">
        <v>1557</v>
      </c>
      <c r="C40" s="95"/>
      <c r="D40" s="284">
        <v>154200</v>
      </c>
      <c r="E40" s="318">
        <v>43853</v>
      </c>
      <c r="F40" s="381">
        <v>30000</v>
      </c>
      <c r="G40" s="95"/>
      <c r="H40" s="284"/>
      <c r="I40" s="318"/>
      <c r="J40" s="382"/>
      <c r="K40" s="305">
        <f>+Tabla2[[#This Row],[Monto]]+Tabla2[[#This Row],[Monto3]]</f>
        <v>30000</v>
      </c>
      <c r="L40" s="383">
        <v>0</v>
      </c>
      <c r="M40" s="318">
        <v>43853</v>
      </c>
      <c r="N40" s="396" t="str">
        <f t="shared" ca="1" si="0"/>
        <v>Vencido</v>
      </c>
      <c r="O40" s="318"/>
      <c r="P40" s="384"/>
      <c r="Q40" s="296" t="s">
        <v>2132</v>
      </c>
      <c r="R40" s="296" t="s">
        <v>1467</v>
      </c>
      <c r="S40" s="385"/>
      <c r="T40" s="318"/>
      <c r="U40" s="284"/>
      <c r="V40" s="325"/>
      <c r="W40" s="284"/>
      <c r="X40" s="303"/>
    </row>
    <row r="41" spans="1:24" x14ac:dyDescent="0.25">
      <c r="A41" s="429" t="s">
        <v>1608</v>
      </c>
      <c r="B41" s="284" t="s">
        <v>1557</v>
      </c>
      <c r="C41" s="95"/>
      <c r="D41" s="284">
        <v>154510</v>
      </c>
      <c r="E41" s="318">
        <v>43857</v>
      </c>
      <c r="F41" s="381">
        <v>20000</v>
      </c>
      <c r="G41" s="95"/>
      <c r="H41" s="284"/>
      <c r="I41" s="318"/>
      <c r="J41" s="382"/>
      <c r="K41" s="305">
        <f>+Tabla2[[#This Row],[Monto]]+Tabla2[[#This Row],[Monto3]]</f>
        <v>20000</v>
      </c>
      <c r="L41" s="383">
        <v>0</v>
      </c>
      <c r="M41" s="318">
        <v>43857</v>
      </c>
      <c r="N41" s="396" t="str">
        <f t="shared" ca="1" si="0"/>
        <v>Vencido</v>
      </c>
      <c r="O41" s="318"/>
      <c r="P41" s="384"/>
      <c r="Q41" s="296" t="s">
        <v>2132</v>
      </c>
      <c r="R41" s="296" t="s">
        <v>1467</v>
      </c>
      <c r="S41" s="385"/>
      <c r="T41" s="318"/>
      <c r="U41" s="284"/>
      <c r="V41" s="325"/>
      <c r="W41" s="284"/>
      <c r="X41" s="303"/>
    </row>
    <row r="42" spans="1:24" x14ac:dyDescent="0.25">
      <c r="A42" s="429" t="s">
        <v>4388</v>
      </c>
      <c r="B42" s="284" t="s">
        <v>5685</v>
      </c>
      <c r="C42" s="95"/>
      <c r="D42" s="284">
        <v>712364</v>
      </c>
      <c r="E42" s="318">
        <v>43857</v>
      </c>
      <c r="F42" s="381">
        <v>6430</v>
      </c>
      <c r="G42" s="95"/>
      <c r="H42" s="284"/>
      <c r="I42" s="318"/>
      <c r="J42" s="382"/>
      <c r="K42" s="305">
        <f>+Tabla2[[#This Row],[Monto]]+Tabla2[[#This Row],[Monto3]]</f>
        <v>6430</v>
      </c>
      <c r="L42" s="383">
        <v>0</v>
      </c>
      <c r="M42" s="318">
        <v>43857</v>
      </c>
      <c r="N42" s="396" t="str">
        <f t="shared" ca="1" si="0"/>
        <v>Vencido</v>
      </c>
      <c r="O42" s="318"/>
      <c r="P42" s="384"/>
      <c r="Q42" s="296" t="s">
        <v>2132</v>
      </c>
      <c r="R42" s="296" t="s">
        <v>1467</v>
      </c>
      <c r="S42" s="385"/>
      <c r="T42" s="318"/>
      <c r="U42" s="284"/>
      <c r="V42" s="325"/>
      <c r="W42" s="284"/>
      <c r="X42" s="303"/>
    </row>
    <row r="43" spans="1:24" x14ac:dyDescent="0.25">
      <c r="A43" s="429" t="s">
        <v>1613</v>
      </c>
      <c r="B43" s="284" t="s">
        <v>1572</v>
      </c>
      <c r="C43" s="95"/>
      <c r="D43" s="284">
        <v>17353</v>
      </c>
      <c r="E43" s="318">
        <v>43844</v>
      </c>
      <c r="F43" s="381">
        <v>663737</v>
      </c>
      <c r="G43" s="95"/>
      <c r="H43" s="284"/>
      <c r="I43" s="318"/>
      <c r="J43" s="382"/>
      <c r="K43" s="305">
        <f>+Tabla2[[#This Row],[Monto]]+Tabla2[[#This Row],[Monto3]]</f>
        <v>663737</v>
      </c>
      <c r="L43" s="383">
        <v>30</v>
      </c>
      <c r="M43" s="318">
        <v>43874</v>
      </c>
      <c r="N43" s="396" t="str">
        <f t="shared" ca="1" si="0"/>
        <v>Vencido</v>
      </c>
      <c r="O43" s="318"/>
      <c r="P43" s="384"/>
      <c r="Q43" s="296" t="s">
        <v>2132</v>
      </c>
      <c r="R43" s="296" t="s">
        <v>1467</v>
      </c>
      <c r="S43" s="385"/>
      <c r="T43" s="318"/>
      <c r="U43" s="284"/>
      <c r="V43" s="325"/>
      <c r="W43" s="284"/>
      <c r="X43" s="303"/>
    </row>
    <row r="44" spans="1:24" x14ac:dyDescent="0.25">
      <c r="A44" s="429" t="s">
        <v>1613</v>
      </c>
      <c r="B44" s="284" t="s">
        <v>1572</v>
      </c>
      <c r="C44" s="95"/>
      <c r="D44" s="284">
        <v>17478</v>
      </c>
      <c r="E44" s="318">
        <v>43858</v>
      </c>
      <c r="F44" s="381">
        <v>576900</v>
      </c>
      <c r="G44" s="95"/>
      <c r="H44" s="284"/>
      <c r="I44" s="318"/>
      <c r="J44" s="382"/>
      <c r="K44" s="305">
        <f>+Tabla2[[#This Row],[Monto]]+Tabla2[[#This Row],[Monto3]]</f>
        <v>576900</v>
      </c>
      <c r="L44" s="383">
        <v>30</v>
      </c>
      <c r="M44" s="318">
        <v>43888</v>
      </c>
      <c r="N44" s="396" t="str">
        <f t="shared" ca="1" si="0"/>
        <v>Vencido</v>
      </c>
      <c r="O44" s="318"/>
      <c r="P44" s="384"/>
      <c r="Q44" s="296" t="s">
        <v>2132</v>
      </c>
      <c r="R44" s="296" t="s">
        <v>1467</v>
      </c>
      <c r="S44" s="385"/>
      <c r="T44" s="318"/>
      <c r="U44" s="284"/>
      <c r="V44" s="325"/>
      <c r="W44" s="284"/>
      <c r="X44" s="303"/>
    </row>
    <row r="45" spans="1:24" x14ac:dyDescent="0.25">
      <c r="A45" s="429" t="s">
        <v>5099</v>
      </c>
      <c r="B45" s="284" t="s">
        <v>5084</v>
      </c>
      <c r="C45" s="95"/>
      <c r="D45" s="284">
        <v>3107405</v>
      </c>
      <c r="E45" s="318">
        <v>43835</v>
      </c>
      <c r="F45" s="381">
        <v>2595</v>
      </c>
      <c r="G45" s="95"/>
      <c r="H45" s="284"/>
      <c r="I45" s="318"/>
      <c r="J45" s="382"/>
      <c r="K45" s="305">
        <f>+Tabla2[[#This Row],[Monto]]+Tabla2[[#This Row],[Monto3]]</f>
        <v>2595</v>
      </c>
      <c r="L45" s="383">
        <v>0</v>
      </c>
      <c r="M45" s="318">
        <v>43835</v>
      </c>
      <c r="N45" s="396" t="str">
        <f t="shared" ca="1" si="0"/>
        <v>Vencido</v>
      </c>
      <c r="O45" s="318"/>
      <c r="P45" s="384"/>
      <c r="Q45" s="296" t="s">
        <v>2132</v>
      </c>
      <c r="R45" s="296" t="s">
        <v>1467</v>
      </c>
      <c r="S45" s="385"/>
      <c r="T45" s="318"/>
      <c r="U45" s="284"/>
      <c r="V45" s="325"/>
      <c r="W45" s="284"/>
      <c r="X45" s="303"/>
    </row>
    <row r="46" spans="1:24" x14ac:dyDescent="0.25">
      <c r="A46" s="429" t="s">
        <v>1467</v>
      </c>
      <c r="B46" s="284" t="s">
        <v>5639</v>
      </c>
      <c r="C46" s="95"/>
      <c r="D46" s="284">
        <v>164767</v>
      </c>
      <c r="E46" s="318">
        <v>43844</v>
      </c>
      <c r="F46" s="381">
        <v>164767</v>
      </c>
      <c r="G46" s="95"/>
      <c r="H46" s="284"/>
      <c r="I46" s="318"/>
      <c r="J46" s="382"/>
      <c r="K46" s="305">
        <f>+Tabla2[[#This Row],[Monto]]+Tabla2[[#This Row],[Monto3]]</f>
        <v>164767</v>
      </c>
      <c r="L46" s="383">
        <v>0</v>
      </c>
      <c r="M46" s="318">
        <v>43844</v>
      </c>
      <c r="N46" s="396" t="str">
        <f t="shared" ca="1" si="0"/>
        <v>Vencido</v>
      </c>
      <c r="O46" s="318"/>
      <c r="P46" s="384"/>
      <c r="Q46" s="296" t="s">
        <v>2132</v>
      </c>
      <c r="R46" s="296" t="s">
        <v>1467</v>
      </c>
      <c r="S46" s="385"/>
      <c r="T46" s="318"/>
      <c r="U46" s="284"/>
      <c r="V46" s="325"/>
      <c r="W46" s="284"/>
      <c r="X46" s="303"/>
    </row>
    <row r="47" spans="1:24" x14ac:dyDescent="0.25">
      <c r="A47" s="429" t="s">
        <v>1595</v>
      </c>
      <c r="B47" s="284" t="s">
        <v>1645</v>
      </c>
      <c r="C47" s="95"/>
      <c r="D47" s="284">
        <v>73740</v>
      </c>
      <c r="E47" s="318">
        <v>43836</v>
      </c>
      <c r="F47" s="381">
        <v>289227</v>
      </c>
      <c r="G47" s="95"/>
      <c r="H47" s="284"/>
      <c r="I47" s="318"/>
      <c r="J47" s="382"/>
      <c r="K47" s="305">
        <f>+Tabla2[[#This Row],[Monto]]+Tabla2[[#This Row],[Monto3]]</f>
        <v>289227</v>
      </c>
      <c r="L47" s="383">
        <v>0</v>
      </c>
      <c r="M47" s="318">
        <v>43471</v>
      </c>
      <c r="N47" s="396" t="str">
        <f t="shared" ca="1" si="0"/>
        <v>Vencido</v>
      </c>
      <c r="O47" s="318"/>
      <c r="P47" s="384"/>
      <c r="Q47" s="296" t="s">
        <v>1544</v>
      </c>
      <c r="R47" s="296" t="s">
        <v>1929</v>
      </c>
      <c r="S47" s="385"/>
      <c r="T47" s="318"/>
      <c r="U47" s="284"/>
      <c r="V47" s="396"/>
      <c r="W47" s="284"/>
      <c r="X47" s="303"/>
    </row>
    <row r="48" spans="1:24" x14ac:dyDescent="0.25">
      <c r="A48" s="429" t="s">
        <v>1595</v>
      </c>
      <c r="B48" s="284" t="s">
        <v>1645</v>
      </c>
      <c r="C48" s="95"/>
      <c r="D48" s="284">
        <v>73959</v>
      </c>
      <c r="E48" s="318">
        <v>43840</v>
      </c>
      <c r="F48" s="381">
        <v>49921</v>
      </c>
      <c r="G48" s="95"/>
      <c r="H48" s="284"/>
      <c r="I48" s="318"/>
      <c r="J48" s="382"/>
      <c r="K48" s="305">
        <f>+Tabla2[[#This Row],[Monto]]+Tabla2[[#This Row],[Monto3]]</f>
        <v>49921</v>
      </c>
      <c r="L48" s="383">
        <v>0</v>
      </c>
      <c r="M48" s="318">
        <v>43840</v>
      </c>
      <c r="N48" s="396" t="str">
        <f t="shared" si="0"/>
        <v>Pagado</v>
      </c>
      <c r="O48" s="318">
        <v>43840</v>
      </c>
      <c r="P48" s="384">
        <v>49921</v>
      </c>
      <c r="Q48" s="296" t="s">
        <v>2132</v>
      </c>
      <c r="R48" s="296" t="s">
        <v>1467</v>
      </c>
      <c r="S48" s="385">
        <v>6779012</v>
      </c>
      <c r="T48" s="318"/>
      <c r="U48" s="284"/>
      <c r="V48" s="325"/>
      <c r="W48" s="284"/>
      <c r="X48" s="303"/>
    </row>
    <row r="49" spans="1:24" x14ac:dyDescent="0.25">
      <c r="A49" s="429" t="s">
        <v>1595</v>
      </c>
      <c r="B49" s="284" t="s">
        <v>1645</v>
      </c>
      <c r="C49" s="95"/>
      <c r="D49" s="284">
        <v>74011</v>
      </c>
      <c r="E49" s="318">
        <v>43844</v>
      </c>
      <c r="F49" s="381">
        <v>164767</v>
      </c>
      <c r="G49" s="95"/>
      <c r="H49" s="284"/>
      <c r="I49" s="318"/>
      <c r="J49" s="382"/>
      <c r="K49" s="305">
        <f>+Tabla2[[#This Row],[Monto]]+Tabla2[[#This Row],[Monto3]]</f>
        <v>164767</v>
      </c>
      <c r="L49" s="383">
        <v>0</v>
      </c>
      <c r="M49" s="318">
        <v>43844</v>
      </c>
      <c r="N49" s="396" t="str">
        <f t="shared" ca="1" si="0"/>
        <v>Vencido</v>
      </c>
      <c r="O49" s="318"/>
      <c r="P49" s="384"/>
      <c r="Q49" s="296" t="s">
        <v>2132</v>
      </c>
      <c r="R49" s="296" t="s">
        <v>1467</v>
      </c>
      <c r="S49" s="385"/>
      <c r="T49" s="318"/>
      <c r="U49" s="284"/>
      <c r="V49" s="325"/>
      <c r="W49" s="284"/>
      <c r="X49" s="303"/>
    </row>
    <row r="50" spans="1:24" x14ac:dyDescent="0.25">
      <c r="A50" s="429" t="s">
        <v>1595</v>
      </c>
      <c r="B50" s="284" t="s">
        <v>1645</v>
      </c>
      <c r="C50" s="95"/>
      <c r="D50" s="284">
        <v>74195</v>
      </c>
      <c r="E50" s="318">
        <v>43851</v>
      </c>
      <c r="F50" s="381">
        <v>107913</v>
      </c>
      <c r="G50" s="95"/>
      <c r="H50" s="284"/>
      <c r="I50" s="318"/>
      <c r="J50" s="382"/>
      <c r="K50" s="305">
        <f>+Tabla2[[#This Row],[Monto]]+Tabla2[[#This Row],[Monto3]]</f>
        <v>107913</v>
      </c>
      <c r="L50" s="383">
        <v>0</v>
      </c>
      <c r="M50" s="318">
        <v>43851</v>
      </c>
      <c r="N50" s="396" t="str">
        <f t="shared" ca="1" si="0"/>
        <v>Vencido</v>
      </c>
      <c r="O50" s="318"/>
      <c r="P50" s="384"/>
      <c r="Q50" s="296" t="s">
        <v>2132</v>
      </c>
      <c r="R50" s="296" t="s">
        <v>1467</v>
      </c>
      <c r="S50" s="385"/>
      <c r="T50" s="318"/>
      <c r="U50" s="284"/>
      <c r="V50" s="325"/>
      <c r="W50" s="284"/>
      <c r="X50" s="303"/>
    </row>
    <row r="51" spans="1:24" x14ac:dyDescent="0.25">
      <c r="A51" s="429" t="s">
        <v>4379</v>
      </c>
      <c r="B51" s="284" t="s">
        <v>4285</v>
      </c>
      <c r="C51" s="95"/>
      <c r="D51" s="284">
        <v>1126695</v>
      </c>
      <c r="E51" s="318">
        <v>43857</v>
      </c>
      <c r="F51" s="381">
        <v>5730</v>
      </c>
      <c r="G51" s="95"/>
      <c r="H51" s="284"/>
      <c r="I51" s="318"/>
      <c r="J51" s="382"/>
      <c r="K51" s="305">
        <f>+Tabla2[[#This Row],[Monto]]+Tabla2[[#This Row],[Monto3]]</f>
        <v>5730</v>
      </c>
      <c r="L51" s="383">
        <v>0</v>
      </c>
      <c r="M51" s="318">
        <v>43857</v>
      </c>
      <c r="N51" s="396" t="str">
        <f t="shared" ca="1" si="0"/>
        <v>Vencido</v>
      </c>
      <c r="O51" s="318"/>
      <c r="P51" s="384"/>
      <c r="Q51" s="296" t="s">
        <v>2132</v>
      </c>
      <c r="R51" s="296" t="s">
        <v>1467</v>
      </c>
      <c r="S51" s="385"/>
      <c r="T51" s="318"/>
      <c r="U51" s="284"/>
      <c r="V51" s="325"/>
      <c r="W51" s="284"/>
      <c r="X51" s="303"/>
    </row>
    <row r="52" spans="1:24" x14ac:dyDescent="0.25">
      <c r="A52" s="429" t="s">
        <v>3008</v>
      </c>
      <c r="B52" s="284" t="s">
        <v>2560</v>
      </c>
      <c r="C52" s="95"/>
      <c r="D52" s="284">
        <v>6675767</v>
      </c>
      <c r="E52" s="318">
        <v>43853</v>
      </c>
      <c r="F52" s="381">
        <v>23552</v>
      </c>
      <c r="G52" s="95"/>
      <c r="H52" s="284"/>
      <c r="I52" s="318"/>
      <c r="J52" s="382"/>
      <c r="K52" s="305">
        <f>+Tabla2[[#This Row],[Monto]]+Tabla2[[#This Row],[Monto3]]</f>
        <v>23552</v>
      </c>
      <c r="L52" s="383">
        <v>0</v>
      </c>
      <c r="M52" s="318">
        <v>43853</v>
      </c>
      <c r="N52" s="396" t="str">
        <f t="shared" ca="1" si="0"/>
        <v>Vencido</v>
      </c>
      <c r="O52" s="318"/>
      <c r="P52" s="384"/>
      <c r="Q52" s="296" t="s">
        <v>2132</v>
      </c>
      <c r="R52" s="296" t="s">
        <v>1467</v>
      </c>
      <c r="S52" s="385"/>
      <c r="T52" s="318"/>
      <c r="U52" s="284"/>
      <c r="V52" s="325"/>
      <c r="W52" s="284"/>
      <c r="X52" s="303"/>
    </row>
    <row r="53" spans="1:24" x14ac:dyDescent="0.25">
      <c r="A53" s="429" t="s">
        <v>3010</v>
      </c>
      <c r="B53" s="284" t="s">
        <v>2558</v>
      </c>
      <c r="C53" s="95"/>
      <c r="D53" s="284">
        <v>7790893</v>
      </c>
      <c r="E53" s="318">
        <v>43839</v>
      </c>
      <c r="F53" s="381">
        <v>5012</v>
      </c>
      <c r="G53" s="95"/>
      <c r="H53" s="284"/>
      <c r="I53" s="318"/>
      <c r="J53" s="382"/>
      <c r="K53" s="305">
        <f>+Tabla2[[#This Row],[Monto]]+Tabla2[[#This Row],[Monto3]]</f>
        <v>5012</v>
      </c>
      <c r="L53" s="383">
        <v>0</v>
      </c>
      <c r="M53" s="318">
        <v>43839</v>
      </c>
      <c r="N53" s="396" t="str">
        <f t="shared" ca="1" si="0"/>
        <v>Vencido</v>
      </c>
      <c r="O53" s="318"/>
      <c r="P53" s="384"/>
      <c r="Q53" s="296" t="s">
        <v>2132</v>
      </c>
      <c r="R53" s="296" t="s">
        <v>1467</v>
      </c>
      <c r="S53" s="385"/>
      <c r="T53" s="318"/>
      <c r="U53" s="284"/>
      <c r="V53" s="325"/>
      <c r="W53" s="284"/>
      <c r="X53" s="303"/>
    </row>
    <row r="54" spans="1:24" x14ac:dyDescent="0.25">
      <c r="A54" s="429" t="s">
        <v>3009</v>
      </c>
      <c r="B54" s="284" t="s">
        <v>2562</v>
      </c>
      <c r="C54" s="95"/>
      <c r="D54" s="284">
        <v>3235206</v>
      </c>
      <c r="E54" s="318">
        <v>43832</v>
      </c>
      <c r="F54" s="381">
        <v>4293</v>
      </c>
      <c r="G54" s="95"/>
      <c r="H54" s="284"/>
      <c r="I54" s="318"/>
      <c r="J54" s="382"/>
      <c r="K54" s="305">
        <f>+Tabla2[[#This Row],[Monto]]+Tabla2[[#This Row],[Monto3]]</f>
        <v>4293</v>
      </c>
      <c r="L54" s="383">
        <v>0</v>
      </c>
      <c r="M54" s="318">
        <v>43832</v>
      </c>
      <c r="N54" s="396" t="str">
        <f t="shared" ca="1" si="0"/>
        <v>Vencido</v>
      </c>
      <c r="O54" s="318"/>
      <c r="P54" s="384"/>
      <c r="Q54" s="296" t="s">
        <v>2132</v>
      </c>
      <c r="R54" s="296" t="s">
        <v>1467</v>
      </c>
      <c r="S54" s="385"/>
      <c r="T54" s="318"/>
      <c r="U54" s="284"/>
      <c r="V54" s="325"/>
      <c r="W54" s="284"/>
      <c r="X54" s="303"/>
    </row>
    <row r="55" spans="1:24" x14ac:dyDescent="0.25">
      <c r="A55" s="429" t="s">
        <v>2991</v>
      </c>
      <c r="B55" s="284" t="s">
        <v>2559</v>
      </c>
      <c r="C55" s="95"/>
      <c r="D55" s="284">
        <v>5144965</v>
      </c>
      <c r="E55" s="318">
        <v>43857</v>
      </c>
      <c r="F55" s="381">
        <v>2970</v>
      </c>
      <c r="G55" s="95"/>
      <c r="H55" s="284"/>
      <c r="I55" s="318"/>
      <c r="J55" s="382"/>
      <c r="K55" s="305">
        <f>+Tabla2[[#This Row],[Monto]]+Tabla2[[#This Row],[Monto3]]</f>
        <v>2970</v>
      </c>
      <c r="L55" s="383">
        <v>0</v>
      </c>
      <c r="M55" s="318">
        <v>43857</v>
      </c>
      <c r="N55" s="396" t="str">
        <f t="shared" ca="1" si="0"/>
        <v>Vencido</v>
      </c>
      <c r="O55" s="318"/>
      <c r="P55" s="384"/>
      <c r="Q55" s="296" t="s">
        <v>2132</v>
      </c>
      <c r="R55" s="296" t="s">
        <v>1467</v>
      </c>
      <c r="S55" s="385"/>
      <c r="T55" s="318"/>
      <c r="U55" s="284"/>
      <c r="V55" s="325"/>
      <c r="W55" s="284"/>
      <c r="X55" s="303"/>
    </row>
    <row r="56" spans="1:24" x14ac:dyDescent="0.25">
      <c r="A56" s="429" t="s">
        <v>1617</v>
      </c>
      <c r="B56" s="284" t="s">
        <v>2723</v>
      </c>
      <c r="C56" s="95"/>
      <c r="D56" s="284">
        <v>788</v>
      </c>
      <c r="E56" s="318">
        <v>43861</v>
      </c>
      <c r="F56" s="381">
        <v>256668</v>
      </c>
      <c r="G56" s="95"/>
      <c r="H56" s="284"/>
      <c r="I56" s="318"/>
      <c r="J56" s="382"/>
      <c r="K56" s="305">
        <f>+Tabla2[[#This Row],[Monto]]+Tabla2[[#This Row],[Monto3]]</f>
        <v>256668</v>
      </c>
      <c r="L56" s="383">
        <v>0</v>
      </c>
      <c r="M56" s="318">
        <v>43861</v>
      </c>
      <c r="N56" s="396" t="str">
        <f t="shared" ca="1" si="0"/>
        <v>Vencido</v>
      </c>
      <c r="O56" s="318"/>
      <c r="P56" s="384"/>
      <c r="Q56" s="296" t="s">
        <v>2132</v>
      </c>
      <c r="R56" s="296" t="s">
        <v>1467</v>
      </c>
      <c r="S56" s="385"/>
      <c r="T56" s="318"/>
      <c r="U56" s="284"/>
      <c r="V56" s="325"/>
      <c r="W56" s="284"/>
      <c r="X56" s="303"/>
    </row>
    <row r="57" spans="1:24" x14ac:dyDescent="0.25">
      <c r="A57" s="429" t="s">
        <v>1467</v>
      </c>
      <c r="B57" s="284" t="s">
        <v>5634</v>
      </c>
      <c r="C57" s="95"/>
      <c r="D57" s="284">
        <v>28895008</v>
      </c>
      <c r="E57" s="318">
        <v>43843</v>
      </c>
      <c r="F57" s="381">
        <v>19020</v>
      </c>
      <c r="G57" s="95"/>
      <c r="H57" s="284"/>
      <c r="I57" s="318"/>
      <c r="J57" s="382"/>
      <c r="K57" s="305">
        <f>+Tabla2[[#This Row],[Monto]]+Tabla2[[#This Row],[Monto3]]</f>
        <v>19020</v>
      </c>
      <c r="L57" s="383">
        <v>0</v>
      </c>
      <c r="M57" s="318">
        <v>43843</v>
      </c>
      <c r="N57" s="396" t="str">
        <f t="shared" ca="1" si="0"/>
        <v>Vencido</v>
      </c>
      <c r="O57" s="318"/>
      <c r="P57" s="384"/>
      <c r="Q57" s="296" t="s">
        <v>2132</v>
      </c>
      <c r="R57" s="296" t="s">
        <v>1467</v>
      </c>
      <c r="S57" s="385"/>
      <c r="T57" s="318"/>
      <c r="U57" s="284"/>
      <c r="V57" s="325"/>
      <c r="W57" s="284"/>
      <c r="X57" s="303"/>
    </row>
    <row r="58" spans="1:24" x14ac:dyDescent="0.25">
      <c r="A58" s="429" t="s">
        <v>1620</v>
      </c>
      <c r="B58" s="284" t="s">
        <v>1574</v>
      </c>
      <c r="C58" s="95"/>
      <c r="D58" s="284">
        <v>31153199</v>
      </c>
      <c r="E58" s="318">
        <v>43860</v>
      </c>
      <c r="F58" s="381">
        <v>13166</v>
      </c>
      <c r="G58" s="95"/>
      <c r="H58" s="284"/>
      <c r="I58" s="318"/>
      <c r="J58" s="382"/>
      <c r="K58" s="305">
        <f>+Tabla2[[#This Row],[Monto]]+Tabla2[[#This Row],[Monto3]]</f>
        <v>13166</v>
      </c>
      <c r="L58" s="383">
        <v>0</v>
      </c>
      <c r="M58" s="318">
        <v>43860</v>
      </c>
      <c r="N58" s="396" t="str">
        <f t="shared" ca="1" si="0"/>
        <v>Vencido</v>
      </c>
      <c r="O58" s="318"/>
      <c r="P58" s="384"/>
      <c r="Q58" s="296" t="s">
        <v>2132</v>
      </c>
      <c r="R58" s="296" t="s">
        <v>1467</v>
      </c>
      <c r="S58" s="385"/>
      <c r="T58" s="318"/>
      <c r="U58" s="284"/>
      <c r="V58" s="325"/>
      <c r="W58" s="284"/>
      <c r="X58" s="303"/>
    </row>
    <row r="59" spans="1:24" x14ac:dyDescent="0.25">
      <c r="A59" s="446" t="s">
        <v>1627</v>
      </c>
      <c r="B59" s="284" t="s">
        <v>1626</v>
      </c>
      <c r="C59" s="95"/>
      <c r="D59" s="284">
        <v>89620</v>
      </c>
      <c r="E59" s="318">
        <v>43872</v>
      </c>
      <c r="F59" s="381">
        <v>103086</v>
      </c>
      <c r="G59" s="95"/>
      <c r="H59" s="284"/>
      <c r="I59" s="318"/>
      <c r="J59" s="382"/>
      <c r="K59" s="305">
        <f>+Tabla2[[#This Row],[Monto]]+Tabla2[[#This Row],[Monto3]]</f>
        <v>103086</v>
      </c>
      <c r="L59" s="383">
        <v>0</v>
      </c>
      <c r="M59" s="318">
        <v>43872</v>
      </c>
      <c r="N59" s="396" t="str">
        <f t="shared" ca="1" si="0"/>
        <v>Vencido</v>
      </c>
      <c r="O59" s="318"/>
      <c r="P59" s="384"/>
      <c r="Q59" s="296" t="s">
        <v>2132</v>
      </c>
      <c r="R59" s="296" t="s">
        <v>1467</v>
      </c>
      <c r="S59" s="385"/>
      <c r="T59" s="318"/>
      <c r="U59" s="284"/>
      <c r="V59" s="325"/>
      <c r="W59" s="284"/>
      <c r="X59" s="303"/>
    </row>
    <row r="60" spans="1:24" x14ac:dyDescent="0.25">
      <c r="A60" s="446" t="s">
        <v>4765</v>
      </c>
      <c r="B60" s="284" t="s">
        <v>4767</v>
      </c>
      <c r="C60" s="95"/>
      <c r="D60" s="284">
        <v>87656</v>
      </c>
      <c r="E60" s="318">
        <v>43872</v>
      </c>
      <c r="F60" s="381">
        <v>11232</v>
      </c>
      <c r="G60" s="95"/>
      <c r="H60" s="284"/>
      <c r="I60" s="318"/>
      <c r="J60" s="382"/>
      <c r="K60" s="305">
        <f>+Tabla2[[#This Row],[Monto]]+Tabla2[[#This Row],[Monto3]]</f>
        <v>11232</v>
      </c>
      <c r="L60" s="383">
        <v>0</v>
      </c>
      <c r="M60" s="318">
        <v>43872</v>
      </c>
      <c r="N60" s="396" t="str">
        <f t="shared" ca="1" si="0"/>
        <v>Vencido</v>
      </c>
      <c r="O60" s="318"/>
      <c r="P60" s="384"/>
      <c r="Q60" s="296" t="s">
        <v>2132</v>
      </c>
      <c r="R60" s="296" t="s">
        <v>1467</v>
      </c>
      <c r="S60" s="385"/>
      <c r="T60" s="318"/>
      <c r="U60" s="284"/>
      <c r="V60" s="325"/>
      <c r="W60" s="284"/>
      <c r="X60" s="303"/>
    </row>
    <row r="61" spans="1:24" x14ac:dyDescent="0.25">
      <c r="A61" s="446" t="s">
        <v>4765</v>
      </c>
      <c r="B61" s="284" t="s">
        <v>4767</v>
      </c>
      <c r="C61" s="95"/>
      <c r="D61" s="284">
        <v>87655</v>
      </c>
      <c r="E61" s="318">
        <v>43872</v>
      </c>
      <c r="F61" s="381">
        <v>111819</v>
      </c>
      <c r="G61" s="95"/>
      <c r="H61" s="284"/>
      <c r="I61" s="318"/>
      <c r="J61" s="382"/>
      <c r="K61" s="305">
        <f>+Tabla2[[#This Row],[Monto]]+Tabla2[[#This Row],[Monto3]]</f>
        <v>111819</v>
      </c>
      <c r="L61" s="383">
        <v>0</v>
      </c>
      <c r="M61" s="318">
        <v>43872</v>
      </c>
      <c r="N61" s="396" t="str">
        <f t="shared" ca="1" si="0"/>
        <v>Vencido</v>
      </c>
      <c r="O61" s="318"/>
      <c r="P61" s="384"/>
      <c r="Q61" s="296" t="s">
        <v>2132</v>
      </c>
      <c r="R61" s="296" t="s">
        <v>1467</v>
      </c>
      <c r="S61" s="385"/>
      <c r="T61" s="318"/>
      <c r="U61" s="284"/>
      <c r="V61" s="325"/>
      <c r="W61" s="284"/>
      <c r="X61" s="303"/>
    </row>
    <row r="62" spans="1:24" x14ac:dyDescent="0.25">
      <c r="A62" s="446" t="s">
        <v>1529</v>
      </c>
      <c r="B62" s="284" t="s">
        <v>1524</v>
      </c>
      <c r="C62" s="95"/>
      <c r="D62" s="284">
        <v>12853</v>
      </c>
      <c r="E62" s="318">
        <v>43872</v>
      </c>
      <c r="F62" s="381">
        <v>312008</v>
      </c>
      <c r="G62" s="95"/>
      <c r="H62" s="284"/>
      <c r="I62" s="318"/>
      <c r="J62" s="382"/>
      <c r="K62" s="305">
        <f>+Tabla2[[#This Row],[Monto]]+Tabla2[[#This Row],[Monto3]]</f>
        <v>312008</v>
      </c>
      <c r="L62" s="383">
        <v>15</v>
      </c>
      <c r="M62" s="318">
        <v>43887</v>
      </c>
      <c r="N62" s="396" t="str">
        <f t="shared" ca="1" si="0"/>
        <v>Vencido</v>
      </c>
      <c r="O62" s="318"/>
      <c r="P62" s="384"/>
      <c r="Q62" s="296" t="s">
        <v>2132</v>
      </c>
      <c r="R62" s="296" t="s">
        <v>1467</v>
      </c>
      <c r="S62" s="385"/>
      <c r="T62" s="318"/>
      <c r="U62" s="284"/>
      <c r="V62" s="325"/>
      <c r="W62" s="284"/>
      <c r="X62" s="303"/>
    </row>
    <row r="63" spans="1:24" x14ac:dyDescent="0.25">
      <c r="A63" s="446" t="s">
        <v>1595</v>
      </c>
      <c r="B63" s="284" t="s">
        <v>1645</v>
      </c>
      <c r="C63" s="95"/>
      <c r="D63" s="284">
        <v>74693</v>
      </c>
      <c r="E63" s="318">
        <v>43872</v>
      </c>
      <c r="F63" s="381">
        <v>217758</v>
      </c>
      <c r="G63" s="95"/>
      <c r="H63" s="284"/>
      <c r="I63" s="318"/>
      <c r="J63" s="382"/>
      <c r="K63" s="305">
        <f>+Tabla2[[#This Row],[Monto]]+Tabla2[[#This Row],[Monto3]]</f>
        <v>217758</v>
      </c>
      <c r="L63" s="383">
        <v>0</v>
      </c>
      <c r="M63" s="318">
        <v>43872</v>
      </c>
      <c r="N63" s="396" t="str">
        <f t="shared" ca="1" si="0"/>
        <v>Vencido</v>
      </c>
      <c r="O63" s="318"/>
      <c r="P63" s="384"/>
      <c r="Q63" s="296" t="s">
        <v>2132</v>
      </c>
      <c r="R63" s="296" t="s">
        <v>1467</v>
      </c>
      <c r="S63" s="385"/>
      <c r="T63" s="318"/>
      <c r="U63" s="284"/>
      <c r="V63" s="325"/>
      <c r="W63" s="284"/>
      <c r="X63" s="303"/>
    </row>
    <row r="64" spans="1:24" x14ac:dyDescent="0.25">
      <c r="A64" s="446" t="s">
        <v>1595</v>
      </c>
      <c r="B64" s="284" t="s">
        <v>1645</v>
      </c>
      <c r="C64" s="95"/>
      <c r="D64" s="284">
        <v>74693</v>
      </c>
      <c r="E64" s="318">
        <v>43872</v>
      </c>
      <c r="F64" s="381">
        <v>217758</v>
      </c>
      <c r="G64" s="95"/>
      <c r="H64" s="284"/>
      <c r="I64" s="318"/>
      <c r="J64" s="382"/>
      <c r="K64" s="305">
        <f>+Tabla2[[#This Row],[Monto]]+Tabla2[[#This Row],[Monto3]]</f>
        <v>217758</v>
      </c>
      <c r="L64" s="383">
        <v>0</v>
      </c>
      <c r="M64" s="318">
        <v>43872</v>
      </c>
      <c r="N64" s="396" t="str">
        <f t="shared" ca="1" si="0"/>
        <v>Vencido</v>
      </c>
      <c r="O64" s="318"/>
      <c r="P64" s="384"/>
      <c r="Q64" s="296" t="s">
        <v>2132</v>
      </c>
      <c r="R64" s="296" t="s">
        <v>1467</v>
      </c>
      <c r="S64" s="385"/>
      <c r="T64" s="318"/>
      <c r="U64" s="284"/>
      <c r="V64" s="325"/>
      <c r="W64" s="284"/>
      <c r="X64" s="303"/>
    </row>
    <row r="65" spans="1:24" x14ac:dyDescent="0.25">
      <c r="A65" s="479" t="s">
        <v>5690</v>
      </c>
      <c r="B65" s="284" t="s">
        <v>5631</v>
      </c>
      <c r="C65" s="95"/>
      <c r="D65" s="284">
        <v>26077877</v>
      </c>
      <c r="E65" s="318">
        <v>412776</v>
      </c>
      <c r="F65" s="381">
        <v>129456</v>
      </c>
      <c r="G65" s="95"/>
      <c r="H65" s="284"/>
      <c r="I65" s="318"/>
      <c r="J65" s="382"/>
      <c r="K65" s="305">
        <f>+Tabla2[[#This Row],[Monto]]+Tabla2[[#This Row],[Monto3]]</f>
        <v>129456</v>
      </c>
      <c r="L65" s="383">
        <v>0</v>
      </c>
      <c r="M65" s="318">
        <v>412776</v>
      </c>
      <c r="N65" s="396" t="str">
        <f t="shared" ca="1" si="0"/>
        <v>Pendiente</v>
      </c>
      <c r="O65" s="318"/>
      <c r="P65" s="384"/>
      <c r="Q65" s="296" t="s">
        <v>2132</v>
      </c>
      <c r="R65" s="296" t="s">
        <v>1467</v>
      </c>
      <c r="S65" s="385"/>
      <c r="T65" s="318"/>
      <c r="U65" s="284"/>
      <c r="V65" s="325"/>
      <c r="W65" s="284"/>
      <c r="X65" s="303"/>
    </row>
    <row r="66" spans="1:24" x14ac:dyDescent="0.25">
      <c r="A66" s="484" t="s">
        <v>2912</v>
      </c>
      <c r="B66" s="284" t="s">
        <v>2668</v>
      </c>
      <c r="C66" s="95"/>
      <c r="D66" s="284">
        <v>54292</v>
      </c>
      <c r="E66" s="318">
        <v>43888</v>
      </c>
      <c r="F66" s="381">
        <v>107722</v>
      </c>
      <c r="G66" s="95"/>
      <c r="H66" s="284"/>
      <c r="I66" s="318"/>
      <c r="J66" s="382"/>
      <c r="K66" s="305">
        <f>+Tabla2[[#This Row],[Monto]]+Tabla2[[#This Row],[Monto3]]</f>
        <v>107722</v>
      </c>
      <c r="L66" s="383">
        <v>0</v>
      </c>
      <c r="M66" s="318">
        <v>43888</v>
      </c>
      <c r="N66" s="396" t="str">
        <f t="shared" ca="1" si="0"/>
        <v>Vencido</v>
      </c>
      <c r="O66" s="318"/>
      <c r="P66" s="384"/>
      <c r="Q66" s="296" t="s">
        <v>2132</v>
      </c>
      <c r="R66" s="296" t="s">
        <v>1467</v>
      </c>
      <c r="S66" s="385"/>
      <c r="T66" s="318"/>
      <c r="U66" s="284"/>
      <c r="V66" s="325"/>
      <c r="W66" s="284"/>
      <c r="X66" s="303"/>
    </row>
    <row r="67" spans="1:24" x14ac:dyDescent="0.25">
      <c r="A67" s="487" t="s">
        <v>5093</v>
      </c>
      <c r="B67" s="284" t="s">
        <v>4934</v>
      </c>
      <c r="C67" s="95"/>
      <c r="D67" s="284">
        <v>679</v>
      </c>
      <c r="E67" s="318">
        <v>43889</v>
      </c>
      <c r="F67" s="381">
        <v>384846</v>
      </c>
      <c r="G67" s="95"/>
      <c r="H67" s="284"/>
      <c r="I67" s="318"/>
      <c r="J67" s="382"/>
      <c r="K67" s="305">
        <f>+Tabla2[[#This Row],[Monto]]+Tabla2[[#This Row],[Monto3]]</f>
        <v>384846</v>
      </c>
      <c r="L67" s="383">
        <v>30</v>
      </c>
      <c r="M67" s="318">
        <v>43919</v>
      </c>
      <c r="N67" s="396" t="str">
        <f t="shared" ca="1" si="0"/>
        <v>Vencido</v>
      </c>
      <c r="O67" s="318"/>
      <c r="P67" s="384"/>
      <c r="Q67" s="296" t="s">
        <v>2132</v>
      </c>
      <c r="R67" s="296" t="s">
        <v>1467</v>
      </c>
      <c r="S67" s="385"/>
      <c r="T67" s="318"/>
      <c r="U67" s="284"/>
      <c r="V67" s="325"/>
      <c r="W67" s="284"/>
      <c r="X67" s="303"/>
    </row>
    <row r="68" spans="1:24" x14ac:dyDescent="0.25">
      <c r="A68" s="509" t="s">
        <v>1595</v>
      </c>
      <c r="B68" s="284" t="s">
        <v>1645</v>
      </c>
      <c r="C68" s="95"/>
      <c r="D68" s="284">
        <v>75140</v>
      </c>
      <c r="E68" s="318">
        <v>43894</v>
      </c>
      <c r="F68" s="381">
        <v>103771</v>
      </c>
      <c r="G68" s="95"/>
      <c r="H68" s="284"/>
      <c r="I68" s="318"/>
      <c r="J68" s="382"/>
      <c r="K68" s="305">
        <f>+Tabla2[[#This Row],[Monto]]+Tabla2[[#This Row],[Monto3]]</f>
        <v>103771</v>
      </c>
      <c r="L68" s="383">
        <v>30</v>
      </c>
      <c r="M68" s="318">
        <v>43924</v>
      </c>
      <c r="N68" s="396" t="str">
        <f t="shared" ca="1" si="0"/>
        <v>Vencido</v>
      </c>
      <c r="O68" s="318"/>
      <c r="P68" s="384"/>
      <c r="Q68" s="296" t="s">
        <v>2132</v>
      </c>
      <c r="R68" s="296" t="s">
        <v>1467</v>
      </c>
      <c r="S68" s="385"/>
      <c r="T68" s="318"/>
      <c r="U68" s="284"/>
      <c r="V68" s="325"/>
      <c r="W68" s="284"/>
      <c r="X68" s="303"/>
    </row>
    <row r="69" spans="1:24" x14ac:dyDescent="0.25">
      <c r="A69" s="545" t="s">
        <v>4765</v>
      </c>
      <c r="B69" s="284" t="s">
        <v>4767</v>
      </c>
      <c r="C69" s="95"/>
      <c r="D69" s="284">
        <v>89483</v>
      </c>
      <c r="E69" s="318">
        <v>43906</v>
      </c>
      <c r="F69" s="381">
        <v>199301</v>
      </c>
      <c r="G69" s="95"/>
      <c r="H69" s="284"/>
      <c r="I69" s="318"/>
      <c r="J69" s="382"/>
      <c r="K69" s="305">
        <f>+Tabla2[[#This Row],[Monto]]+Tabla2[[#This Row],[Monto3]]</f>
        <v>199301</v>
      </c>
      <c r="L69" s="383">
        <v>0</v>
      </c>
      <c r="M69" s="318">
        <v>43906</v>
      </c>
      <c r="N69" s="396" t="str">
        <f t="shared" ca="1" si="0"/>
        <v>Vencido</v>
      </c>
      <c r="O69" s="318"/>
      <c r="P69" s="384"/>
      <c r="Q69" s="296" t="s">
        <v>2132</v>
      </c>
      <c r="R69" s="296" t="s">
        <v>1467</v>
      </c>
      <c r="S69" s="385"/>
      <c r="T69" s="318"/>
      <c r="U69" s="284"/>
      <c r="V69" s="325"/>
      <c r="W69" s="284"/>
      <c r="X69" s="303"/>
    </row>
    <row r="70" spans="1:24" x14ac:dyDescent="0.25">
      <c r="A70" s="572" t="s">
        <v>1606</v>
      </c>
      <c r="B70" s="284" t="s">
        <v>1563</v>
      </c>
      <c r="C70" s="95"/>
      <c r="D70" s="284">
        <v>41192</v>
      </c>
      <c r="E70" s="318">
        <v>43937</v>
      </c>
      <c r="F70" s="381">
        <v>108671</v>
      </c>
      <c r="G70" s="95"/>
      <c r="H70" s="284"/>
      <c r="I70" s="318"/>
      <c r="J70" s="382"/>
      <c r="K70" s="305">
        <f>+Tabla2[[#This Row],[Monto]]+Tabla2[[#This Row],[Monto3]]</f>
        <v>108671</v>
      </c>
      <c r="L70" s="383">
        <v>0</v>
      </c>
      <c r="M70" s="318">
        <v>43937</v>
      </c>
      <c r="N70" s="396" t="str">
        <f t="shared" si="0"/>
        <v>Pagado</v>
      </c>
      <c r="O70" s="318">
        <v>43907</v>
      </c>
      <c r="P70" s="384">
        <v>108671</v>
      </c>
      <c r="Q70" s="296" t="s">
        <v>2132</v>
      </c>
      <c r="R70" s="296" t="s">
        <v>1467</v>
      </c>
      <c r="S70" s="385">
        <v>6824736</v>
      </c>
      <c r="T70" s="318">
        <v>43907</v>
      </c>
      <c r="U70" s="284"/>
      <c r="V70" s="325"/>
      <c r="W70" s="284"/>
      <c r="X70" s="303"/>
    </row>
    <row r="71" spans="1:24" x14ac:dyDescent="0.25">
      <c r="A71" s="572" t="s">
        <v>2912</v>
      </c>
      <c r="B71" s="284" t="s">
        <v>2668</v>
      </c>
      <c r="C71" s="95"/>
      <c r="D71" s="284">
        <v>54603</v>
      </c>
      <c r="E71" s="318">
        <v>43907</v>
      </c>
      <c r="F71" s="381">
        <v>63384</v>
      </c>
      <c r="G71" s="95"/>
      <c r="H71" s="284"/>
      <c r="I71" s="318"/>
      <c r="J71" s="382"/>
      <c r="K71" s="305">
        <f>+Tabla2[[#This Row],[Monto]]+Tabla2[[#This Row],[Monto3]]</f>
        <v>63384</v>
      </c>
      <c r="L71" s="383">
        <v>0</v>
      </c>
      <c r="M71" s="318">
        <v>43907</v>
      </c>
      <c r="N71" s="396" t="str">
        <f t="shared" si="0"/>
        <v>Pagado</v>
      </c>
      <c r="O71" s="318">
        <v>43907</v>
      </c>
      <c r="P71" s="384">
        <v>63384</v>
      </c>
      <c r="Q71" s="296" t="s">
        <v>2132</v>
      </c>
      <c r="R71" s="296" t="s">
        <v>1467</v>
      </c>
      <c r="S71" s="385">
        <v>6824734</v>
      </c>
      <c r="T71" s="318">
        <v>43907</v>
      </c>
      <c r="U71" s="284"/>
      <c r="V71" s="325"/>
      <c r="W71" s="284"/>
      <c r="X71" s="303"/>
    </row>
    <row r="72" spans="1:24" x14ac:dyDescent="0.25">
      <c r="A72" s="572" t="s">
        <v>1592</v>
      </c>
      <c r="B72" s="284" t="s">
        <v>1552</v>
      </c>
      <c r="C72" s="95"/>
      <c r="D72" s="284">
        <v>44442</v>
      </c>
      <c r="E72" s="318">
        <v>43907</v>
      </c>
      <c r="F72" s="381">
        <v>38072</v>
      </c>
      <c r="G72" s="95"/>
      <c r="H72" s="284"/>
      <c r="I72" s="318"/>
      <c r="J72" s="382"/>
      <c r="K72" s="305">
        <f>+Tabla2[[#This Row],[Monto]]+Tabla2[[#This Row],[Monto3]]</f>
        <v>38072</v>
      </c>
      <c r="L72" s="383">
        <v>30</v>
      </c>
      <c r="M72" s="318">
        <v>43937</v>
      </c>
      <c r="N72" s="396" t="str">
        <f t="shared" si="0"/>
        <v>Pagado</v>
      </c>
      <c r="O72" s="318">
        <v>43907</v>
      </c>
      <c r="P72" s="384">
        <v>38072</v>
      </c>
      <c r="Q72" s="296" t="s">
        <v>2132</v>
      </c>
      <c r="R72" s="296" t="s">
        <v>1467</v>
      </c>
      <c r="S72" s="385">
        <v>6824735</v>
      </c>
      <c r="T72" s="318">
        <v>43907</v>
      </c>
      <c r="U72" s="284"/>
      <c r="V72" s="325"/>
      <c r="W72" s="284"/>
      <c r="X72" s="303"/>
    </row>
    <row r="73" spans="1:24" x14ac:dyDescent="0.25">
      <c r="A73" s="603" t="s">
        <v>4519</v>
      </c>
      <c r="B73" s="284" t="s">
        <v>4524</v>
      </c>
      <c r="C73" s="95"/>
      <c r="D73" s="284">
        <v>4315</v>
      </c>
      <c r="E73" s="318">
        <v>43922</v>
      </c>
      <c r="F73" s="381">
        <v>120000</v>
      </c>
      <c r="G73" s="95"/>
      <c r="H73" s="284"/>
      <c r="I73" s="318"/>
      <c r="J73" s="382"/>
      <c r="K73" s="605">
        <f>+Tabla2[[#This Row],[Monto]]+Tabla2[[#This Row],[Monto3]]</f>
        <v>120000</v>
      </c>
      <c r="L73" s="383" t="s">
        <v>6072</v>
      </c>
      <c r="M73" s="318"/>
      <c r="N73" s="606" t="str">
        <f ca="1">+IF(K73=0,"Nulo",IF(P73&gt;=K73,"Pagado",IF(P73&gt;0,"Abonado",IF(M73&lt;$E$1,"Vencido",IF(K73&gt;P73,"Pendiente","Vencido")))))</f>
        <v>Vencido</v>
      </c>
      <c r="O73" s="318"/>
      <c r="P73" s="384"/>
      <c r="Q73" s="607"/>
      <c r="R73" s="607"/>
      <c r="S73" s="385"/>
      <c r="T73" s="318"/>
      <c r="U73" s="284"/>
      <c r="V73" s="325"/>
      <c r="W73" s="284"/>
      <c r="X73" s="303"/>
    </row>
    <row r="74" spans="1:24" x14ac:dyDescent="0.25">
      <c r="A74" s="603" t="s">
        <v>1602</v>
      </c>
      <c r="B74" s="284" t="s">
        <v>1570</v>
      </c>
      <c r="C74" s="95"/>
      <c r="D74" s="284">
        <v>43427</v>
      </c>
      <c r="E74" s="318">
        <v>43922</v>
      </c>
      <c r="F74" s="381">
        <v>934254</v>
      </c>
      <c r="G74" s="95"/>
      <c r="H74" s="284"/>
      <c r="I74" s="318"/>
      <c r="J74" s="382"/>
      <c r="K74" s="605">
        <f>+Tabla2[[#This Row],[Monto]]+Tabla2[[#This Row],[Monto3]]</f>
        <v>934254</v>
      </c>
      <c r="L74" s="383">
        <v>30</v>
      </c>
      <c r="M74" s="318">
        <v>43952</v>
      </c>
      <c r="N74" s="606" t="str">
        <f>+IF(K74=0,"Nulo",IF(P74&gt;=K74,"Pagado",IF(P74&gt;0,"Abonado",IF(M74&lt;$E$1,"Vencido",IF(K74&gt;P74,"Pendiente","Vencido")))))</f>
        <v>Abonado</v>
      </c>
      <c r="O74" s="318">
        <v>43922</v>
      </c>
      <c r="P74" s="384">
        <v>710735</v>
      </c>
      <c r="Q74" s="607" t="s">
        <v>2131</v>
      </c>
      <c r="R74" s="607" t="s">
        <v>1467</v>
      </c>
      <c r="S74" s="385" t="s">
        <v>6073</v>
      </c>
      <c r="T74" s="318">
        <v>43952</v>
      </c>
      <c r="U74" s="284"/>
      <c r="V74" s="325"/>
      <c r="W74" s="284"/>
      <c r="X74" s="303"/>
    </row>
  </sheetData>
  <dataConsolidate link="1"/>
  <pageMargins left="0.7" right="0.7" top="0.75" bottom="0.75" header="0.3" footer="0.3"/>
  <pageSetup scale="30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IngresoCompra">
                <anchor moveWithCells="1">
                  <from>
                    <xdr:col>1</xdr:col>
                    <xdr:colOff>123825</xdr:colOff>
                    <xdr:row>0</xdr:row>
                    <xdr:rowOff>57150</xdr:rowOff>
                  </from>
                  <to>
                    <xdr:col>1</xdr:col>
                    <xdr:colOff>2305050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665"/>
  <sheetViews>
    <sheetView showGridLines="0"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0" sqref="F10"/>
    </sheetView>
  </sheetViews>
  <sheetFormatPr baseColWidth="10" defaultColWidth="10.7109375" defaultRowHeight="15" x14ac:dyDescent="0.25"/>
  <cols>
    <col min="1" max="1" width="11.85546875" style="4" customWidth="1"/>
    <col min="2" max="2" width="46.7109375" customWidth="1"/>
    <col min="3" max="3" width="12.85546875" customWidth="1"/>
    <col min="4" max="4" width="14" customWidth="1"/>
    <col min="5" max="5" width="13.85546875" customWidth="1"/>
    <col min="6" max="6" width="33.42578125" customWidth="1"/>
    <col min="7" max="7" width="11.140625" customWidth="1"/>
    <col min="8" max="8" width="16.85546875" customWidth="1"/>
    <col min="9" max="9" width="16.7109375" customWidth="1"/>
    <col min="10" max="10" width="9.85546875" bestFit="1" customWidth="1"/>
    <col min="11" max="11" width="11.28515625" customWidth="1"/>
    <col min="12" max="12" width="14.5703125" bestFit="1" customWidth="1"/>
    <col min="13" max="13" width="13.140625" customWidth="1"/>
    <col min="14" max="14" width="7.5703125" bestFit="1" customWidth="1"/>
  </cols>
  <sheetData>
    <row r="1" spans="1:15" ht="33" customHeight="1" x14ac:dyDescent="0.2"/>
    <row r="2" spans="1:15" x14ac:dyDescent="0.25">
      <c r="A2" s="5" t="s">
        <v>1161</v>
      </c>
      <c r="B2" s="13" t="s">
        <v>1162</v>
      </c>
      <c r="C2" s="13" t="s">
        <v>1163</v>
      </c>
      <c r="D2" s="13" t="s">
        <v>1164</v>
      </c>
      <c r="E2" s="13" t="s">
        <v>1165</v>
      </c>
      <c r="F2" s="13" t="s">
        <v>1166</v>
      </c>
      <c r="G2" s="13" t="s">
        <v>1167</v>
      </c>
      <c r="H2" s="13" t="s">
        <v>1168</v>
      </c>
      <c r="I2" s="13" t="s">
        <v>1169</v>
      </c>
      <c r="J2" s="13" t="s">
        <v>1170</v>
      </c>
      <c r="K2" s="13" t="s">
        <v>1171</v>
      </c>
      <c r="L2" s="13" t="s">
        <v>1172</v>
      </c>
      <c r="M2" s="13" t="s">
        <v>1173</v>
      </c>
      <c r="N2" s="167" t="s">
        <v>1174</v>
      </c>
      <c r="O2" s="13" t="s">
        <v>3484</v>
      </c>
    </row>
    <row r="3" spans="1:15" x14ac:dyDescent="0.25">
      <c r="A3" s="2" t="s">
        <v>1175</v>
      </c>
      <c r="B3" s="3" t="s">
        <v>1144</v>
      </c>
      <c r="C3" s="14" t="s">
        <v>1957</v>
      </c>
      <c r="D3" s="14" t="s">
        <v>1467</v>
      </c>
      <c r="E3" s="14" t="s">
        <v>1467</v>
      </c>
      <c r="F3" s="14"/>
      <c r="G3" s="14"/>
      <c r="H3" s="14" t="s">
        <v>1958</v>
      </c>
      <c r="I3" s="14" t="s">
        <v>1470</v>
      </c>
      <c r="J3" s="14" t="s">
        <v>2050</v>
      </c>
      <c r="K3" s="14" t="s">
        <v>1467</v>
      </c>
      <c r="L3" s="14"/>
      <c r="M3" s="14"/>
      <c r="N3" s="155">
        <v>30</v>
      </c>
      <c r="O3" s="14" t="s">
        <v>3490</v>
      </c>
    </row>
    <row r="4" spans="1:15" x14ac:dyDescent="0.25">
      <c r="A4" s="2" t="s">
        <v>1176</v>
      </c>
      <c r="B4" s="3" t="s">
        <v>949</v>
      </c>
      <c r="C4" s="14" t="s">
        <v>2099</v>
      </c>
      <c r="D4" s="14" t="s">
        <v>949</v>
      </c>
      <c r="E4" s="14" t="s">
        <v>1467</v>
      </c>
      <c r="F4" s="14"/>
      <c r="G4" s="14"/>
      <c r="H4" s="14" t="s">
        <v>1467</v>
      </c>
      <c r="I4" s="14" t="s">
        <v>1467</v>
      </c>
      <c r="J4" s="14" t="s">
        <v>1501</v>
      </c>
      <c r="K4" s="14"/>
      <c r="L4" s="14"/>
      <c r="M4" s="14"/>
      <c r="N4" s="155">
        <v>30</v>
      </c>
      <c r="O4" s="14" t="s">
        <v>3490</v>
      </c>
    </row>
    <row r="5" spans="1:15" x14ac:dyDescent="0.2">
      <c r="A5" s="2" t="s">
        <v>1177</v>
      </c>
      <c r="B5" s="3" t="s">
        <v>1060</v>
      </c>
      <c r="C5" s="14" t="s">
        <v>2057</v>
      </c>
      <c r="D5" s="14" t="s">
        <v>1467</v>
      </c>
      <c r="E5" s="14" t="s">
        <v>1467</v>
      </c>
      <c r="F5" s="14"/>
      <c r="G5" s="14"/>
      <c r="H5" s="14" t="s">
        <v>2405</v>
      </c>
      <c r="I5" s="14" t="s">
        <v>1862</v>
      </c>
      <c r="J5" s="14" t="s">
        <v>2050</v>
      </c>
      <c r="K5" s="14"/>
      <c r="L5" s="14"/>
      <c r="M5" s="14"/>
      <c r="N5" s="155">
        <v>30</v>
      </c>
      <c r="O5" s="14" t="s">
        <v>3490</v>
      </c>
    </row>
    <row r="6" spans="1:15" x14ac:dyDescent="0.2">
      <c r="A6" s="2" t="s">
        <v>1178</v>
      </c>
      <c r="B6" s="3" t="s">
        <v>950</v>
      </c>
      <c r="C6" s="14" t="s">
        <v>2054</v>
      </c>
      <c r="D6" s="14" t="s">
        <v>1467</v>
      </c>
      <c r="E6" s="14" t="s">
        <v>1467</v>
      </c>
      <c r="F6" s="14"/>
      <c r="G6" s="14"/>
      <c r="H6" s="14" t="s">
        <v>1467</v>
      </c>
      <c r="I6" s="14" t="s">
        <v>1467</v>
      </c>
      <c r="J6" s="14" t="s">
        <v>2050</v>
      </c>
      <c r="K6" s="14"/>
      <c r="L6" s="14"/>
      <c r="M6" s="14"/>
      <c r="N6" s="155">
        <v>7</v>
      </c>
      <c r="O6" s="14" t="s">
        <v>3490</v>
      </c>
    </row>
    <row r="7" spans="1:15" x14ac:dyDescent="0.25">
      <c r="A7" s="2" t="s">
        <v>1179</v>
      </c>
      <c r="B7" s="3" t="s">
        <v>952</v>
      </c>
      <c r="C7" s="14" t="s">
        <v>2401</v>
      </c>
      <c r="D7" s="14" t="s">
        <v>1467</v>
      </c>
      <c r="E7" s="14" t="s">
        <v>1467</v>
      </c>
      <c r="F7" s="14"/>
      <c r="G7" s="14"/>
      <c r="H7" s="14" t="s">
        <v>2403</v>
      </c>
      <c r="I7" s="14" t="s">
        <v>1862</v>
      </c>
      <c r="J7" s="14" t="s">
        <v>2050</v>
      </c>
      <c r="K7" s="14"/>
      <c r="L7" s="14"/>
      <c r="M7" s="14"/>
      <c r="N7" s="155">
        <v>7</v>
      </c>
      <c r="O7" s="14" t="s">
        <v>3490</v>
      </c>
    </row>
    <row r="8" spans="1:15" x14ac:dyDescent="0.25">
      <c r="A8" s="2" t="s">
        <v>1180</v>
      </c>
      <c r="B8" s="3" t="s">
        <v>1048</v>
      </c>
      <c r="C8" s="14" t="s">
        <v>2327</v>
      </c>
      <c r="D8" s="14" t="s">
        <v>1467</v>
      </c>
      <c r="E8" s="14" t="s">
        <v>1467</v>
      </c>
      <c r="F8" s="14" t="s">
        <v>1958</v>
      </c>
      <c r="G8" s="14" t="s">
        <v>1444</v>
      </c>
      <c r="H8" s="14" t="s">
        <v>1895</v>
      </c>
      <c r="I8" s="14" t="s">
        <v>1444</v>
      </c>
      <c r="J8" s="14" t="s">
        <v>1445</v>
      </c>
      <c r="K8" s="14"/>
      <c r="L8" s="14"/>
      <c r="M8" s="14"/>
      <c r="N8" s="155">
        <v>30</v>
      </c>
      <c r="O8" s="14" t="s">
        <v>3490</v>
      </c>
    </row>
    <row r="9" spans="1:15" x14ac:dyDescent="0.25">
      <c r="A9" s="2" t="s">
        <v>1181</v>
      </c>
      <c r="B9" s="3" t="s">
        <v>939</v>
      </c>
      <c r="C9" s="14" t="s">
        <v>2556</v>
      </c>
      <c r="D9" s="14" t="s">
        <v>1467</v>
      </c>
      <c r="E9" s="14" t="s">
        <v>1467</v>
      </c>
      <c r="F9" s="14" t="s">
        <v>2100</v>
      </c>
      <c r="G9" s="14" t="s">
        <v>1444</v>
      </c>
      <c r="H9" s="14" t="s">
        <v>1903</v>
      </c>
      <c r="I9" s="14" t="s">
        <v>1467</v>
      </c>
      <c r="J9" s="14" t="s">
        <v>1445</v>
      </c>
      <c r="K9" s="14"/>
      <c r="L9" s="14"/>
      <c r="M9" s="14"/>
      <c r="N9" s="155"/>
      <c r="O9" s="14" t="s">
        <v>3490</v>
      </c>
    </row>
    <row r="10" spans="1:15" x14ac:dyDescent="0.2">
      <c r="A10" s="2" t="s">
        <v>1182</v>
      </c>
      <c r="B10" s="3" t="s">
        <v>1044</v>
      </c>
      <c r="C10" s="14" t="s">
        <v>2113</v>
      </c>
      <c r="D10" s="14" t="s">
        <v>1467</v>
      </c>
      <c r="E10" s="14" t="s">
        <v>1467</v>
      </c>
      <c r="F10" s="14" t="s">
        <v>2405</v>
      </c>
      <c r="G10" s="14" t="s">
        <v>1444</v>
      </c>
      <c r="H10" s="14" t="s">
        <v>1467</v>
      </c>
      <c r="I10" s="14" t="s">
        <v>1467</v>
      </c>
      <c r="J10" s="14" t="s">
        <v>1445</v>
      </c>
      <c r="K10" s="14"/>
      <c r="L10" s="14"/>
      <c r="M10" s="14"/>
      <c r="N10" s="155">
        <v>7</v>
      </c>
      <c r="O10" s="14" t="s">
        <v>3490</v>
      </c>
    </row>
    <row r="11" spans="1:15" x14ac:dyDescent="0.25">
      <c r="A11" s="2" t="s">
        <v>1183</v>
      </c>
      <c r="B11" s="3" t="s">
        <v>1999</v>
      </c>
      <c r="C11" s="14" t="s">
        <v>2435</v>
      </c>
      <c r="D11" s="14" t="s">
        <v>1467</v>
      </c>
      <c r="E11" s="14" t="s">
        <v>1467</v>
      </c>
      <c r="F11" s="14" t="s">
        <v>2055</v>
      </c>
      <c r="G11" s="14" t="s">
        <v>1444</v>
      </c>
      <c r="H11" s="14" t="s">
        <v>1898</v>
      </c>
      <c r="I11" s="14" t="s">
        <v>1444</v>
      </c>
      <c r="J11" s="14" t="s">
        <v>1445</v>
      </c>
      <c r="K11" s="14"/>
      <c r="L11" s="14"/>
      <c r="M11" s="14"/>
      <c r="N11" s="155">
        <v>30</v>
      </c>
      <c r="O11" s="14" t="s">
        <v>3490</v>
      </c>
    </row>
    <row r="12" spans="1:15" x14ac:dyDescent="0.25">
      <c r="A12" s="2" t="s">
        <v>1184</v>
      </c>
      <c r="B12" s="3" t="s">
        <v>2297</v>
      </c>
      <c r="C12" s="14" t="s">
        <v>2298</v>
      </c>
      <c r="D12" s="14" t="s">
        <v>2299</v>
      </c>
      <c r="E12" s="14" t="s">
        <v>1467</v>
      </c>
      <c r="F12" s="14" t="s">
        <v>2402</v>
      </c>
      <c r="G12" s="14" t="s">
        <v>1444</v>
      </c>
      <c r="H12" s="14" t="s">
        <v>1901</v>
      </c>
      <c r="I12" s="14" t="s">
        <v>1444</v>
      </c>
      <c r="J12" s="14" t="s">
        <v>1445</v>
      </c>
      <c r="K12" s="14"/>
      <c r="L12" s="14"/>
      <c r="M12" s="14"/>
      <c r="N12" s="155"/>
      <c r="O12" s="14" t="s">
        <v>3490</v>
      </c>
    </row>
    <row r="13" spans="1:15" x14ac:dyDescent="0.25">
      <c r="A13" s="2" t="s">
        <v>1185</v>
      </c>
      <c r="B13" s="3" t="s">
        <v>931</v>
      </c>
      <c r="C13" s="14" t="s">
        <v>2426</v>
      </c>
      <c r="D13" s="14" t="s">
        <v>1467</v>
      </c>
      <c r="E13" s="14" t="s">
        <v>1467</v>
      </c>
      <c r="F13" s="14" t="s">
        <v>1895</v>
      </c>
      <c r="G13" s="14" t="s">
        <v>1444</v>
      </c>
      <c r="H13" s="14" t="s">
        <v>2116</v>
      </c>
      <c r="I13" s="14" t="s">
        <v>1444</v>
      </c>
      <c r="J13" s="14" t="s">
        <v>1445</v>
      </c>
      <c r="K13" s="14"/>
      <c r="L13" s="14"/>
      <c r="M13" s="14"/>
      <c r="N13" s="155"/>
      <c r="O13" s="14" t="s">
        <v>3490</v>
      </c>
    </row>
    <row r="14" spans="1:15" x14ac:dyDescent="0.2">
      <c r="A14" s="2" t="s">
        <v>1186</v>
      </c>
      <c r="B14" s="3" t="s">
        <v>1055</v>
      </c>
      <c r="C14" s="14" t="s">
        <v>2267</v>
      </c>
      <c r="D14" s="14" t="s">
        <v>1467</v>
      </c>
      <c r="E14" s="14" t="s">
        <v>1467</v>
      </c>
      <c r="F14" s="14" t="s">
        <v>1467</v>
      </c>
      <c r="G14" s="14" t="s">
        <v>1862</v>
      </c>
      <c r="H14" s="14" t="s">
        <v>2268</v>
      </c>
      <c r="I14" s="14" t="s">
        <v>1862</v>
      </c>
      <c r="J14" s="14" t="s">
        <v>2050</v>
      </c>
      <c r="K14" s="14"/>
      <c r="L14" s="14"/>
      <c r="M14" s="14"/>
      <c r="N14" s="155"/>
      <c r="O14" s="14" t="s">
        <v>3490</v>
      </c>
    </row>
    <row r="15" spans="1:15" x14ac:dyDescent="0.2">
      <c r="A15" s="2" t="s">
        <v>1187</v>
      </c>
      <c r="B15" s="3" t="s">
        <v>1748</v>
      </c>
      <c r="C15" s="14" t="s">
        <v>2639</v>
      </c>
      <c r="D15" s="14" t="s">
        <v>1467</v>
      </c>
      <c r="E15" s="14" t="s">
        <v>1467</v>
      </c>
      <c r="F15" s="14" t="s">
        <v>2114</v>
      </c>
      <c r="G15" s="14" t="s">
        <v>1862</v>
      </c>
      <c r="H15" s="14" t="s">
        <v>1467</v>
      </c>
      <c r="I15" s="14" t="s">
        <v>1467</v>
      </c>
      <c r="J15" s="14" t="s">
        <v>2050</v>
      </c>
      <c r="K15" s="14"/>
      <c r="L15" s="14"/>
      <c r="M15" s="14"/>
      <c r="N15" s="155"/>
      <c r="O15" s="14"/>
    </row>
    <row r="16" spans="1:15" x14ac:dyDescent="0.25">
      <c r="A16" s="2" t="s">
        <v>1188</v>
      </c>
      <c r="B16" s="3" t="s">
        <v>1023</v>
      </c>
      <c r="C16" s="14" t="s">
        <v>2223</v>
      </c>
      <c r="D16" s="14" t="s">
        <v>1467</v>
      </c>
      <c r="E16" s="14" t="s">
        <v>1467</v>
      </c>
      <c r="F16" s="14" t="s">
        <v>1898</v>
      </c>
      <c r="G16" s="14" t="s">
        <v>1444</v>
      </c>
      <c r="H16" s="14" t="s">
        <v>2225</v>
      </c>
      <c r="I16" s="14" t="s">
        <v>1444</v>
      </c>
      <c r="J16" s="14" t="s">
        <v>1445</v>
      </c>
      <c r="K16" s="14"/>
      <c r="L16" s="14"/>
      <c r="M16" s="14"/>
      <c r="N16" s="155"/>
      <c r="O16" s="14" t="s">
        <v>3490</v>
      </c>
    </row>
    <row r="17" spans="1:15" x14ac:dyDescent="0.2">
      <c r="A17" s="2" t="s">
        <v>1189</v>
      </c>
      <c r="B17" s="3" t="s">
        <v>940</v>
      </c>
      <c r="C17" s="14" t="s">
        <v>2417</v>
      </c>
      <c r="D17" s="14" t="s">
        <v>1467</v>
      </c>
      <c r="E17" s="14" t="s">
        <v>1467</v>
      </c>
      <c r="F17" s="14" t="s">
        <v>1902</v>
      </c>
      <c r="G17" s="14" t="s">
        <v>2419</v>
      </c>
      <c r="H17" s="14" t="s">
        <v>1467</v>
      </c>
      <c r="I17" s="14" t="s">
        <v>2420</v>
      </c>
      <c r="J17" s="14" t="s">
        <v>1445</v>
      </c>
      <c r="K17" s="14"/>
      <c r="L17" s="14"/>
      <c r="M17" s="14"/>
      <c r="N17" s="155"/>
      <c r="O17" s="14" t="s">
        <v>3490</v>
      </c>
    </row>
    <row r="18" spans="1:15" x14ac:dyDescent="0.25">
      <c r="A18" s="2" t="s">
        <v>1190</v>
      </c>
      <c r="B18" s="3" t="s">
        <v>972</v>
      </c>
      <c r="C18" s="14" t="s">
        <v>1968</v>
      </c>
      <c r="D18" s="14" t="s">
        <v>1467</v>
      </c>
      <c r="E18" s="14" t="s">
        <v>1467</v>
      </c>
      <c r="F18" s="14" t="s">
        <v>2116</v>
      </c>
      <c r="G18" s="14" t="s">
        <v>1970</v>
      </c>
      <c r="H18" s="14" t="s">
        <v>1969</v>
      </c>
      <c r="I18" s="14" t="s">
        <v>1970</v>
      </c>
      <c r="J18" s="14" t="s">
        <v>1445</v>
      </c>
      <c r="K18" s="14"/>
      <c r="L18" s="14"/>
      <c r="M18" s="14"/>
      <c r="N18" s="155">
        <v>30</v>
      </c>
      <c r="O18" s="14" t="s">
        <v>3489</v>
      </c>
    </row>
    <row r="19" spans="1:15" x14ac:dyDescent="0.25">
      <c r="A19" s="2" t="s">
        <v>1191</v>
      </c>
      <c r="B19" s="3" t="s">
        <v>1065</v>
      </c>
      <c r="C19" s="14"/>
      <c r="D19" s="14"/>
      <c r="E19" s="14"/>
      <c r="F19" s="14" t="s">
        <v>2268</v>
      </c>
      <c r="G19" s="14"/>
      <c r="H19" s="14"/>
      <c r="I19" s="14"/>
      <c r="J19" s="14" t="s">
        <v>1445</v>
      </c>
      <c r="K19" s="14"/>
      <c r="L19" s="14"/>
      <c r="M19" s="14"/>
      <c r="N19" s="155">
        <v>0</v>
      </c>
      <c r="O19" s="14"/>
    </row>
    <row r="20" spans="1:15" x14ac:dyDescent="0.25">
      <c r="A20" s="2" t="s">
        <v>1192</v>
      </c>
      <c r="B20" s="3" t="s">
        <v>1061</v>
      </c>
      <c r="C20" s="14" t="s">
        <v>2159</v>
      </c>
      <c r="D20" s="14" t="s">
        <v>1467</v>
      </c>
      <c r="E20" s="14" t="s">
        <v>1467</v>
      </c>
      <c r="F20" s="14" t="s">
        <v>2640</v>
      </c>
      <c r="G20" s="14" t="s">
        <v>1501</v>
      </c>
      <c r="H20" s="14" t="s">
        <v>3452</v>
      </c>
      <c r="I20" s="14" t="s">
        <v>1501</v>
      </c>
      <c r="J20" s="14" t="s">
        <v>1501</v>
      </c>
      <c r="K20" s="14"/>
      <c r="L20" s="14"/>
      <c r="M20" s="14"/>
      <c r="N20" s="155"/>
      <c r="O20" s="14" t="s">
        <v>3490</v>
      </c>
    </row>
    <row r="21" spans="1:15" x14ac:dyDescent="0.25">
      <c r="A21" s="2" t="s">
        <v>1193</v>
      </c>
      <c r="B21" s="3" t="s">
        <v>1017</v>
      </c>
      <c r="C21" s="14" t="s">
        <v>2421</v>
      </c>
      <c r="D21" s="14" t="s">
        <v>1467</v>
      </c>
      <c r="E21" s="14" t="s">
        <v>1467</v>
      </c>
      <c r="F21" s="14" t="s">
        <v>2224</v>
      </c>
      <c r="G21" s="14" t="s">
        <v>1444</v>
      </c>
      <c r="H21" s="14" t="s">
        <v>2422</v>
      </c>
      <c r="I21" s="14" t="s">
        <v>1444</v>
      </c>
      <c r="J21" s="14" t="s">
        <v>1445</v>
      </c>
      <c r="K21" s="14"/>
      <c r="L21" s="14"/>
      <c r="M21" s="14"/>
      <c r="N21" s="155"/>
      <c r="O21" s="14" t="s">
        <v>3490</v>
      </c>
    </row>
    <row r="22" spans="1:15" x14ac:dyDescent="0.25">
      <c r="A22" s="2" t="s">
        <v>1194</v>
      </c>
      <c r="B22" s="3" t="s">
        <v>1043</v>
      </c>
      <c r="C22" s="14" t="s">
        <v>1467</v>
      </c>
      <c r="D22" s="14" t="s">
        <v>1467</v>
      </c>
      <c r="E22" s="14" t="s">
        <v>1467</v>
      </c>
      <c r="F22" s="14" t="s">
        <v>2418</v>
      </c>
      <c r="G22" s="14" t="s">
        <v>1467</v>
      </c>
      <c r="H22" s="14" t="s">
        <v>1467</v>
      </c>
      <c r="I22" s="14" t="s">
        <v>1467</v>
      </c>
      <c r="J22" s="14" t="s">
        <v>1445</v>
      </c>
      <c r="K22" s="14"/>
      <c r="L22" s="14"/>
      <c r="M22" s="14"/>
      <c r="N22" s="155"/>
      <c r="O22" s="14" t="s">
        <v>3490</v>
      </c>
    </row>
    <row r="23" spans="1:15" x14ac:dyDescent="0.25">
      <c r="A23" s="2" t="s">
        <v>1195</v>
      </c>
      <c r="B23" s="3" t="s">
        <v>1047</v>
      </c>
      <c r="C23" s="14"/>
      <c r="D23" s="14"/>
      <c r="E23" s="14"/>
      <c r="F23" s="14" t="s">
        <v>1969</v>
      </c>
      <c r="G23" s="14"/>
      <c r="H23" s="14"/>
      <c r="I23" s="14"/>
      <c r="J23" s="14"/>
      <c r="K23" s="14"/>
      <c r="L23" s="14"/>
      <c r="M23" s="14"/>
      <c r="N23" s="155">
        <v>0</v>
      </c>
      <c r="O23" s="14"/>
    </row>
    <row r="24" spans="1:15" x14ac:dyDescent="0.25">
      <c r="A24" s="2" t="s">
        <v>1196</v>
      </c>
      <c r="B24" s="3" t="s">
        <v>1010</v>
      </c>
      <c r="C24" s="14" t="s">
        <v>2039</v>
      </c>
      <c r="D24" s="14" t="s">
        <v>1467</v>
      </c>
      <c r="E24" s="14" t="s">
        <v>1467</v>
      </c>
      <c r="F24" s="14"/>
      <c r="G24" s="14" t="s">
        <v>1501</v>
      </c>
      <c r="H24" s="14" t="s">
        <v>1467</v>
      </c>
      <c r="I24" s="14" t="s">
        <v>1467</v>
      </c>
      <c r="J24" s="14" t="s">
        <v>1501</v>
      </c>
      <c r="K24" s="14"/>
      <c r="L24" s="14"/>
      <c r="M24" s="14"/>
      <c r="N24" s="155"/>
      <c r="O24" s="14" t="s">
        <v>3490</v>
      </c>
    </row>
    <row r="25" spans="1:15" x14ac:dyDescent="0.25">
      <c r="A25" s="2" t="s">
        <v>1197</v>
      </c>
      <c r="B25" s="3" t="s">
        <v>2236</v>
      </c>
      <c r="C25" s="14" t="s">
        <v>2237</v>
      </c>
      <c r="D25" s="14" t="s">
        <v>1467</v>
      </c>
      <c r="E25" s="14" t="s">
        <v>1467</v>
      </c>
      <c r="F25" s="14" t="s">
        <v>1915</v>
      </c>
      <c r="G25" s="14" t="s">
        <v>1501</v>
      </c>
      <c r="H25" s="14" t="s">
        <v>2238</v>
      </c>
      <c r="I25" s="14" t="s">
        <v>1501</v>
      </c>
      <c r="J25" s="14" t="s">
        <v>1501</v>
      </c>
      <c r="K25" s="14"/>
      <c r="L25" s="14"/>
      <c r="M25" s="14"/>
      <c r="N25" s="155">
        <v>30</v>
      </c>
      <c r="O25" s="14" t="s">
        <v>3490</v>
      </c>
    </row>
    <row r="26" spans="1:15" x14ac:dyDescent="0.25">
      <c r="A26" s="2" t="s">
        <v>1198</v>
      </c>
      <c r="B26" s="3" t="s">
        <v>2158</v>
      </c>
      <c r="C26" s="14" t="s">
        <v>1467</v>
      </c>
      <c r="D26" s="14" t="s">
        <v>1467</v>
      </c>
      <c r="E26" s="14" t="s">
        <v>1467</v>
      </c>
      <c r="F26" s="14" t="s">
        <v>2422</v>
      </c>
      <c r="G26" s="14" t="s">
        <v>1501</v>
      </c>
      <c r="H26" s="14" t="s">
        <v>1918</v>
      </c>
      <c r="I26" s="14" t="s">
        <v>1501</v>
      </c>
      <c r="J26" s="14" t="s">
        <v>1501</v>
      </c>
      <c r="K26" s="14"/>
      <c r="L26" s="14"/>
      <c r="M26" s="14"/>
      <c r="N26" s="155"/>
      <c r="O26" s="14" t="s">
        <v>3489</v>
      </c>
    </row>
    <row r="27" spans="1:15" x14ac:dyDescent="0.25">
      <c r="A27" s="2" t="s">
        <v>1199</v>
      </c>
      <c r="B27" s="3" t="s">
        <v>2546</v>
      </c>
      <c r="C27" s="14" t="s">
        <v>2477</v>
      </c>
      <c r="D27" s="14" t="s">
        <v>1467</v>
      </c>
      <c r="E27" s="14" t="s">
        <v>1467</v>
      </c>
      <c r="F27" s="14" t="s">
        <v>1467</v>
      </c>
      <c r="G27" s="14" t="s">
        <v>1855</v>
      </c>
      <c r="H27" s="14" t="s">
        <v>1467</v>
      </c>
      <c r="I27" s="14" t="s">
        <v>1467</v>
      </c>
      <c r="J27" s="14" t="s">
        <v>1445</v>
      </c>
      <c r="K27" s="14"/>
      <c r="L27" s="14"/>
      <c r="M27" s="14"/>
      <c r="N27" s="155"/>
      <c r="O27" s="14" t="s">
        <v>3490</v>
      </c>
    </row>
    <row r="28" spans="1:15" x14ac:dyDescent="0.25">
      <c r="A28" s="2" t="s">
        <v>1200</v>
      </c>
      <c r="B28" s="3" t="s">
        <v>2316</v>
      </c>
      <c r="C28" s="14" t="s">
        <v>1467</v>
      </c>
      <c r="D28" s="14" t="s">
        <v>1467</v>
      </c>
      <c r="E28" s="14" t="s">
        <v>1467</v>
      </c>
      <c r="F28" s="14"/>
      <c r="G28" s="14" t="s">
        <v>1444</v>
      </c>
      <c r="H28" s="14" t="s">
        <v>2388</v>
      </c>
      <c r="I28" s="14" t="s">
        <v>1444</v>
      </c>
      <c r="J28" s="14" t="s">
        <v>1445</v>
      </c>
      <c r="K28" s="14"/>
      <c r="L28" s="14"/>
      <c r="M28" s="14"/>
      <c r="N28" s="155"/>
      <c r="O28" s="14" t="s">
        <v>3489</v>
      </c>
    </row>
    <row r="29" spans="1:15" x14ac:dyDescent="0.25">
      <c r="A29" s="2" t="s">
        <v>1201</v>
      </c>
      <c r="B29" s="3" t="s">
        <v>951</v>
      </c>
      <c r="C29" s="14" t="s">
        <v>2051</v>
      </c>
      <c r="D29" s="14" t="s">
        <v>1467</v>
      </c>
      <c r="E29" s="14" t="s">
        <v>1467</v>
      </c>
      <c r="F29" s="14" t="s">
        <v>2266</v>
      </c>
      <c r="G29" s="14" t="s">
        <v>1467</v>
      </c>
      <c r="H29" s="14" t="s">
        <v>1467</v>
      </c>
      <c r="I29" s="14" t="s">
        <v>1467</v>
      </c>
      <c r="J29" s="14" t="s">
        <v>2050</v>
      </c>
      <c r="K29" s="14"/>
      <c r="L29" s="14"/>
      <c r="M29" s="14"/>
      <c r="N29" s="155">
        <v>0</v>
      </c>
      <c r="O29" s="14"/>
    </row>
    <row r="30" spans="1:15" x14ac:dyDescent="0.25">
      <c r="A30" s="2" t="s">
        <v>1202</v>
      </c>
      <c r="B30" s="3" t="s">
        <v>1086</v>
      </c>
      <c r="C30" s="14"/>
      <c r="D30" s="14"/>
      <c r="E30" s="14"/>
      <c r="F30" s="14" t="s">
        <v>2238</v>
      </c>
      <c r="G30" s="14"/>
      <c r="H30" s="14"/>
      <c r="I30" s="14"/>
      <c r="J30" s="14"/>
      <c r="K30" s="14"/>
      <c r="L30" s="14"/>
      <c r="M30" s="14"/>
      <c r="N30" s="155">
        <v>0</v>
      </c>
      <c r="O30" s="14"/>
    </row>
    <row r="31" spans="1:15" x14ac:dyDescent="0.25">
      <c r="A31" s="2" t="s">
        <v>1203</v>
      </c>
      <c r="B31" s="3" t="s">
        <v>1100</v>
      </c>
      <c r="C31" s="14"/>
      <c r="D31" s="14"/>
      <c r="E31" s="14"/>
      <c r="F31" s="14" t="s">
        <v>1467</v>
      </c>
      <c r="G31" s="14"/>
      <c r="H31" s="14"/>
      <c r="I31" s="14"/>
      <c r="J31" s="14"/>
      <c r="K31" s="14"/>
      <c r="L31" s="14"/>
      <c r="M31" s="14"/>
      <c r="N31" s="155">
        <v>0</v>
      </c>
      <c r="O31" s="14"/>
    </row>
    <row r="32" spans="1:15" x14ac:dyDescent="0.25">
      <c r="A32" s="2" t="s">
        <v>1204</v>
      </c>
      <c r="B32" s="3" t="s">
        <v>1052</v>
      </c>
      <c r="C32" s="14" t="s">
        <v>1467</v>
      </c>
      <c r="D32" s="14" t="s">
        <v>1467</v>
      </c>
      <c r="E32" s="14" t="s">
        <v>1467</v>
      </c>
      <c r="F32" s="14" t="s">
        <v>1467</v>
      </c>
      <c r="G32" s="14" t="s">
        <v>1501</v>
      </c>
      <c r="H32" s="14" t="s">
        <v>1467</v>
      </c>
      <c r="I32" s="14" t="s">
        <v>1467</v>
      </c>
      <c r="J32" s="14" t="s">
        <v>1501</v>
      </c>
      <c r="K32" s="14"/>
      <c r="L32" s="14"/>
      <c r="M32" s="14"/>
      <c r="N32" s="155"/>
      <c r="O32" s="14" t="s">
        <v>3489</v>
      </c>
    </row>
    <row r="33" spans="1:15" x14ac:dyDescent="0.25">
      <c r="A33" s="2" t="s">
        <v>1205</v>
      </c>
      <c r="B33" s="3" t="s">
        <v>2171</v>
      </c>
      <c r="C33" s="14" t="s">
        <v>2172</v>
      </c>
      <c r="D33" s="14" t="s">
        <v>1467</v>
      </c>
      <c r="E33" s="14" t="s">
        <v>1467</v>
      </c>
      <c r="F33" s="14" t="s">
        <v>1467</v>
      </c>
      <c r="G33" s="14" t="s">
        <v>1467</v>
      </c>
      <c r="H33" s="14" t="s">
        <v>1467</v>
      </c>
      <c r="I33" s="14" t="s">
        <v>1467</v>
      </c>
      <c r="J33" s="14" t="s">
        <v>1445</v>
      </c>
      <c r="K33" s="14"/>
      <c r="L33" s="14"/>
      <c r="M33" s="14"/>
      <c r="N33" s="155"/>
      <c r="O33" s="14" t="s">
        <v>3489</v>
      </c>
    </row>
    <row r="34" spans="1:15" x14ac:dyDescent="0.25">
      <c r="A34" s="2" t="s">
        <v>1206</v>
      </c>
      <c r="B34" s="3" t="s">
        <v>965</v>
      </c>
      <c r="C34" s="14" t="s">
        <v>2117</v>
      </c>
      <c r="D34" s="14" t="s">
        <v>1467</v>
      </c>
      <c r="E34" s="14" t="s">
        <v>1467</v>
      </c>
      <c r="F34" s="14" t="s">
        <v>1467</v>
      </c>
      <c r="G34" s="14" t="s">
        <v>1444</v>
      </c>
      <c r="H34" s="14" t="s">
        <v>1467</v>
      </c>
      <c r="I34" s="14" t="s">
        <v>1467</v>
      </c>
      <c r="J34" s="14" t="s">
        <v>1445</v>
      </c>
      <c r="K34" s="14"/>
      <c r="L34" s="14"/>
      <c r="M34" s="14"/>
      <c r="N34" s="155"/>
      <c r="O34" s="14" t="s">
        <v>3490</v>
      </c>
    </row>
    <row r="35" spans="1:15" x14ac:dyDescent="0.25">
      <c r="A35" s="2" t="s">
        <v>1207</v>
      </c>
      <c r="B35" s="3" t="s">
        <v>963</v>
      </c>
      <c r="C35" s="14" t="s">
        <v>2436</v>
      </c>
      <c r="D35" s="14" t="s">
        <v>1467</v>
      </c>
      <c r="E35" s="14" t="s">
        <v>1467</v>
      </c>
      <c r="F35" s="14"/>
      <c r="G35" s="14" t="s">
        <v>1855</v>
      </c>
      <c r="H35" s="14" t="s">
        <v>1467</v>
      </c>
      <c r="I35" s="14" t="s">
        <v>1467</v>
      </c>
      <c r="J35" s="14" t="s">
        <v>1445</v>
      </c>
      <c r="K35" s="14"/>
      <c r="L35" s="14"/>
      <c r="M35" s="14"/>
      <c r="N35" s="155"/>
      <c r="O35" s="14" t="s">
        <v>3490</v>
      </c>
    </row>
    <row r="36" spans="1:15" x14ac:dyDescent="0.25">
      <c r="A36" s="2" t="s">
        <v>1208</v>
      </c>
      <c r="B36" s="3" t="s">
        <v>1062</v>
      </c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55">
        <v>0</v>
      </c>
      <c r="O36" s="14"/>
    </row>
    <row r="37" spans="1:15" x14ac:dyDescent="0.25">
      <c r="A37" s="2" t="s">
        <v>1209</v>
      </c>
      <c r="B37" s="3" t="s">
        <v>974</v>
      </c>
      <c r="C37" s="14" t="s">
        <v>1467</v>
      </c>
      <c r="D37" s="14" t="s">
        <v>1467</v>
      </c>
      <c r="E37" s="14" t="s">
        <v>1467</v>
      </c>
      <c r="F37" s="14" t="s">
        <v>1467</v>
      </c>
      <c r="G37" s="14" t="s">
        <v>1501</v>
      </c>
      <c r="H37" s="14" t="s">
        <v>2320</v>
      </c>
      <c r="I37" s="14" t="s">
        <v>1501</v>
      </c>
      <c r="J37" s="14" t="s">
        <v>2050</v>
      </c>
      <c r="K37" s="14"/>
      <c r="L37" s="14"/>
      <c r="M37" s="14"/>
      <c r="N37" s="155"/>
      <c r="O37" s="14" t="s">
        <v>3487</v>
      </c>
    </row>
    <row r="38" spans="1:15" x14ac:dyDescent="0.25">
      <c r="A38" s="2" t="s">
        <v>1210</v>
      </c>
      <c r="B38" s="3" t="s">
        <v>1045</v>
      </c>
      <c r="C38" s="14" t="s">
        <v>1467</v>
      </c>
      <c r="D38" s="14" t="s">
        <v>1467</v>
      </c>
      <c r="E38" s="14" t="s">
        <v>1467</v>
      </c>
      <c r="F38" s="14" t="s">
        <v>1467</v>
      </c>
      <c r="G38" s="14" t="s">
        <v>1467</v>
      </c>
      <c r="H38" s="14" t="s">
        <v>1467</v>
      </c>
      <c r="I38" s="14" t="s">
        <v>1467</v>
      </c>
      <c r="J38" s="14" t="s">
        <v>1501</v>
      </c>
      <c r="K38" s="14"/>
      <c r="L38" s="14"/>
      <c r="M38" s="14"/>
      <c r="N38" s="155"/>
      <c r="O38" s="14" t="s">
        <v>3489</v>
      </c>
    </row>
    <row r="39" spans="1:15" x14ac:dyDescent="0.25">
      <c r="A39" s="2" t="s">
        <v>1211</v>
      </c>
      <c r="B39" s="3" t="s">
        <v>947</v>
      </c>
      <c r="C39" s="14" t="s">
        <v>1467</v>
      </c>
      <c r="D39" s="14" t="s">
        <v>1467</v>
      </c>
      <c r="E39" s="14" t="s">
        <v>1467</v>
      </c>
      <c r="F39" s="14" t="s">
        <v>2118</v>
      </c>
      <c r="G39" s="14" t="s">
        <v>1467</v>
      </c>
      <c r="H39" s="14" t="s">
        <v>1467</v>
      </c>
      <c r="I39" s="14" t="s">
        <v>1467</v>
      </c>
      <c r="J39" s="14" t="s">
        <v>1501</v>
      </c>
      <c r="K39" s="14"/>
      <c r="L39" s="14"/>
      <c r="M39" s="14"/>
      <c r="N39" s="155"/>
      <c r="O39" s="14" t="s">
        <v>3489</v>
      </c>
    </row>
    <row r="40" spans="1:15" x14ac:dyDescent="0.25">
      <c r="A40" s="2" t="s">
        <v>1212</v>
      </c>
      <c r="B40" s="3" t="s">
        <v>966</v>
      </c>
      <c r="C40" s="14" t="s">
        <v>2547</v>
      </c>
      <c r="D40" s="14" t="s">
        <v>1467</v>
      </c>
      <c r="E40" s="14" t="s">
        <v>1467</v>
      </c>
      <c r="F40" s="14" t="s">
        <v>2115</v>
      </c>
      <c r="G40" s="14" t="s">
        <v>1444</v>
      </c>
      <c r="H40" s="14" t="s">
        <v>1467</v>
      </c>
      <c r="I40" s="14" t="s">
        <v>2119</v>
      </c>
      <c r="J40" s="14" t="s">
        <v>1445</v>
      </c>
      <c r="K40" s="14"/>
      <c r="L40" s="14"/>
      <c r="M40" s="14"/>
      <c r="N40" s="155">
        <v>30</v>
      </c>
      <c r="O40" s="14" t="s">
        <v>3490</v>
      </c>
    </row>
    <row r="41" spans="1:15" x14ac:dyDescent="0.25">
      <c r="A41" s="2" t="s">
        <v>1213</v>
      </c>
      <c r="B41" s="3" t="s">
        <v>985</v>
      </c>
      <c r="C41" s="14" t="s">
        <v>1467</v>
      </c>
      <c r="D41" s="14" t="s">
        <v>1467</v>
      </c>
      <c r="E41" s="14" t="s">
        <v>1467</v>
      </c>
      <c r="F41" s="14"/>
      <c r="G41" s="14" t="s">
        <v>1467</v>
      </c>
      <c r="H41" s="14" t="s">
        <v>1467</v>
      </c>
      <c r="I41" s="14" t="s">
        <v>1467</v>
      </c>
      <c r="J41" s="14" t="s">
        <v>1501</v>
      </c>
      <c r="K41" s="14"/>
      <c r="L41" s="14"/>
      <c r="M41" s="14"/>
      <c r="N41" s="155"/>
      <c r="O41" s="14" t="s">
        <v>3489</v>
      </c>
    </row>
    <row r="42" spans="1:15" x14ac:dyDescent="0.25">
      <c r="A42" s="2" t="s">
        <v>1214</v>
      </c>
      <c r="B42" s="3" t="s">
        <v>2143</v>
      </c>
      <c r="C42" s="14" t="s">
        <v>2144</v>
      </c>
      <c r="D42" s="14" t="s">
        <v>1467</v>
      </c>
      <c r="E42" s="14" t="s">
        <v>1467</v>
      </c>
      <c r="F42" s="14" t="s">
        <v>2321</v>
      </c>
      <c r="G42" s="14" t="s">
        <v>1467</v>
      </c>
      <c r="H42" s="14" t="s">
        <v>2686</v>
      </c>
      <c r="I42" s="14" t="s">
        <v>1467</v>
      </c>
      <c r="J42" s="14" t="s">
        <v>1501</v>
      </c>
      <c r="K42" s="14"/>
      <c r="L42" s="14"/>
      <c r="M42" s="14"/>
      <c r="N42" s="155"/>
      <c r="O42" s="14" t="s">
        <v>3487</v>
      </c>
    </row>
    <row r="43" spans="1:15" x14ac:dyDescent="0.25">
      <c r="A43" s="2" t="s">
        <v>1215</v>
      </c>
      <c r="B43" s="3" t="s">
        <v>936</v>
      </c>
      <c r="C43" s="14"/>
      <c r="D43" s="14"/>
      <c r="E43" s="14"/>
      <c r="F43" s="14" t="s">
        <v>1467</v>
      </c>
      <c r="G43" s="14"/>
      <c r="H43" s="14"/>
      <c r="I43" s="14"/>
      <c r="J43" s="14"/>
      <c r="K43" s="14"/>
      <c r="L43" s="14"/>
      <c r="M43" s="14"/>
      <c r="N43" s="155">
        <v>0</v>
      </c>
      <c r="O43" s="14"/>
    </row>
    <row r="44" spans="1:15" x14ac:dyDescent="0.25">
      <c r="A44" s="2" t="s">
        <v>1216</v>
      </c>
      <c r="B44" s="3" t="s">
        <v>2209</v>
      </c>
      <c r="C44" s="14" t="s">
        <v>2210</v>
      </c>
      <c r="D44" s="14" t="s">
        <v>1467</v>
      </c>
      <c r="E44" s="14" t="s">
        <v>1467</v>
      </c>
      <c r="F44" s="14" t="s">
        <v>1467</v>
      </c>
      <c r="G44" s="14" t="s">
        <v>1467</v>
      </c>
      <c r="H44" s="14" t="s">
        <v>1894</v>
      </c>
      <c r="I44" s="14" t="s">
        <v>1467</v>
      </c>
      <c r="J44" s="14" t="s">
        <v>1501</v>
      </c>
      <c r="K44" s="14"/>
      <c r="L44" s="14"/>
      <c r="M44" s="14"/>
      <c r="N44" s="155"/>
      <c r="O44" s="14" t="s">
        <v>3489</v>
      </c>
    </row>
    <row r="45" spans="1:15" x14ac:dyDescent="0.25">
      <c r="A45" s="2" t="s">
        <v>1217</v>
      </c>
      <c r="B45" s="3" t="s">
        <v>938</v>
      </c>
      <c r="C45" s="14" t="s">
        <v>1467</v>
      </c>
      <c r="D45" s="14" t="s">
        <v>1467</v>
      </c>
      <c r="E45" s="14" t="s">
        <v>1467</v>
      </c>
      <c r="F45" s="14" t="s">
        <v>1467</v>
      </c>
      <c r="G45" s="14" t="s">
        <v>1467</v>
      </c>
      <c r="H45" s="14" t="s">
        <v>2440</v>
      </c>
      <c r="I45" s="14" t="s">
        <v>1467</v>
      </c>
      <c r="J45" s="14" t="s">
        <v>1501</v>
      </c>
      <c r="K45" s="14"/>
      <c r="L45" s="14"/>
      <c r="M45" s="14"/>
      <c r="N45" s="155"/>
      <c r="O45" s="14" t="s">
        <v>3489</v>
      </c>
    </row>
    <row r="46" spans="1:15" x14ac:dyDescent="0.25">
      <c r="A46" s="2" t="s">
        <v>1218</v>
      </c>
      <c r="B46" s="3" t="s">
        <v>1075</v>
      </c>
      <c r="C46" s="14" t="s">
        <v>1467</v>
      </c>
      <c r="D46" s="14" t="s">
        <v>1467</v>
      </c>
      <c r="E46" s="14" t="s">
        <v>1467</v>
      </c>
      <c r="F46" s="14" t="s">
        <v>1467</v>
      </c>
      <c r="G46" s="14" t="s">
        <v>1467</v>
      </c>
      <c r="H46" s="14" t="s">
        <v>2642</v>
      </c>
      <c r="I46" s="14" t="s">
        <v>1467</v>
      </c>
      <c r="J46" s="14" t="s">
        <v>1501</v>
      </c>
      <c r="K46" s="14"/>
      <c r="L46" s="14"/>
      <c r="M46" s="14"/>
      <c r="N46" s="155"/>
      <c r="O46" s="14" t="s">
        <v>3489</v>
      </c>
    </row>
    <row r="47" spans="1:15" x14ac:dyDescent="0.25">
      <c r="A47" s="2" t="s">
        <v>1219</v>
      </c>
      <c r="B47" s="3" t="s">
        <v>1049</v>
      </c>
      <c r="C47" s="14" t="s">
        <v>1467</v>
      </c>
      <c r="D47" s="14" t="s">
        <v>1467</v>
      </c>
      <c r="E47" s="14" t="s">
        <v>1467</v>
      </c>
      <c r="F47" s="14" t="s">
        <v>1467</v>
      </c>
      <c r="G47" s="14" t="s">
        <v>1467</v>
      </c>
      <c r="H47" s="14" t="s">
        <v>2286</v>
      </c>
      <c r="I47" s="14" t="s">
        <v>1467</v>
      </c>
      <c r="J47" s="14" t="s">
        <v>1501</v>
      </c>
      <c r="K47" s="14"/>
      <c r="L47" s="14"/>
      <c r="M47" s="14"/>
      <c r="N47" s="155"/>
      <c r="O47" s="14" t="s">
        <v>3489</v>
      </c>
    </row>
    <row r="48" spans="1:15" x14ac:dyDescent="0.25">
      <c r="A48" s="2" t="s">
        <v>1220</v>
      </c>
      <c r="B48" s="3" t="s">
        <v>943</v>
      </c>
      <c r="C48" s="14" t="s">
        <v>2259</v>
      </c>
      <c r="D48" s="14" t="s">
        <v>1467</v>
      </c>
      <c r="E48" s="14" t="s">
        <v>1467</v>
      </c>
      <c r="F48" s="14"/>
      <c r="G48" s="14" t="s">
        <v>1855</v>
      </c>
      <c r="H48" s="14" t="s">
        <v>2261</v>
      </c>
      <c r="I48" s="14" t="s">
        <v>1855</v>
      </c>
      <c r="J48" s="14" t="s">
        <v>1445</v>
      </c>
      <c r="K48" s="14"/>
      <c r="L48" s="14"/>
      <c r="M48" s="14"/>
      <c r="N48" s="155">
        <v>0</v>
      </c>
      <c r="O48" s="14"/>
    </row>
    <row r="49" spans="1:15" x14ac:dyDescent="0.25">
      <c r="A49" s="2" t="s">
        <v>1221</v>
      </c>
      <c r="B49" s="3" t="s">
        <v>2220</v>
      </c>
      <c r="C49" s="14" t="s">
        <v>2221</v>
      </c>
      <c r="D49" s="14" t="s">
        <v>1467</v>
      </c>
      <c r="E49" s="14" t="s">
        <v>1467</v>
      </c>
      <c r="F49" s="14" t="s">
        <v>1467</v>
      </c>
      <c r="G49" s="14" t="s">
        <v>1444</v>
      </c>
      <c r="H49" s="14" t="s">
        <v>2222</v>
      </c>
      <c r="I49" s="14" t="s">
        <v>1444</v>
      </c>
      <c r="J49" s="14" t="s">
        <v>1445</v>
      </c>
      <c r="K49" s="14"/>
      <c r="L49" s="14"/>
      <c r="M49" s="14"/>
      <c r="N49" s="155"/>
      <c r="O49" s="14" t="s">
        <v>3490</v>
      </c>
    </row>
    <row r="50" spans="1:15" x14ac:dyDescent="0.25">
      <c r="A50" s="2" t="s">
        <v>1222</v>
      </c>
      <c r="B50" s="3" t="s">
        <v>1032</v>
      </c>
      <c r="C50" s="14"/>
      <c r="D50" s="14"/>
      <c r="E50" s="14"/>
      <c r="F50" s="14" t="s">
        <v>1467</v>
      </c>
      <c r="G50" s="14"/>
      <c r="H50" s="14"/>
      <c r="I50" s="14"/>
      <c r="J50" s="14"/>
      <c r="K50" s="14"/>
      <c r="L50" s="14"/>
      <c r="M50" s="14"/>
      <c r="N50" s="155">
        <v>0</v>
      </c>
      <c r="O50" s="14"/>
    </row>
    <row r="51" spans="1:15" x14ac:dyDescent="0.25">
      <c r="A51" s="2" t="s">
        <v>1223</v>
      </c>
      <c r="B51" s="3" t="s">
        <v>1088</v>
      </c>
      <c r="C51" s="14" t="s">
        <v>1467</v>
      </c>
      <c r="D51" s="14" t="s">
        <v>1467</v>
      </c>
      <c r="E51" s="14" t="s">
        <v>1467</v>
      </c>
      <c r="F51" s="14" t="s">
        <v>1467</v>
      </c>
      <c r="G51" s="14" t="s">
        <v>1501</v>
      </c>
      <c r="H51" s="14" t="s">
        <v>1467</v>
      </c>
      <c r="I51" s="14" t="s">
        <v>1467</v>
      </c>
      <c r="J51" s="14" t="s">
        <v>1467</v>
      </c>
      <c r="K51" s="14"/>
      <c r="L51" s="14"/>
      <c r="M51" s="14"/>
      <c r="N51" s="155">
        <v>0</v>
      </c>
      <c r="O51" s="14"/>
    </row>
    <row r="52" spans="1:15" x14ac:dyDescent="0.25">
      <c r="A52" s="2" t="s">
        <v>1224</v>
      </c>
      <c r="B52" s="3" t="s">
        <v>2150</v>
      </c>
      <c r="C52" s="14" t="s">
        <v>2151</v>
      </c>
      <c r="D52" s="14" t="s">
        <v>1467</v>
      </c>
      <c r="E52" s="14" t="s">
        <v>1467</v>
      </c>
      <c r="F52" s="14" t="s">
        <v>1467</v>
      </c>
      <c r="G52" s="14" t="s">
        <v>1501</v>
      </c>
      <c r="H52" s="14" t="s">
        <v>2152</v>
      </c>
      <c r="I52" s="14" t="s">
        <v>1501</v>
      </c>
      <c r="J52" s="14" t="s">
        <v>1501</v>
      </c>
      <c r="K52" s="14"/>
      <c r="L52" s="14"/>
      <c r="M52" s="14"/>
      <c r="N52" s="155"/>
      <c r="O52" s="14" t="s">
        <v>3487</v>
      </c>
    </row>
    <row r="53" spans="1:15" x14ac:dyDescent="0.25">
      <c r="A53" s="2" t="s">
        <v>1225</v>
      </c>
      <c r="B53" s="3" t="s">
        <v>988</v>
      </c>
      <c r="C53" s="14" t="s">
        <v>1467</v>
      </c>
      <c r="D53" s="14" t="s">
        <v>1467</v>
      </c>
      <c r="E53" s="14" t="s">
        <v>1467</v>
      </c>
      <c r="F53" s="14" t="s">
        <v>2260</v>
      </c>
      <c r="G53" s="14" t="s">
        <v>1467</v>
      </c>
      <c r="H53" s="14" t="s">
        <v>1467</v>
      </c>
      <c r="I53" s="14" t="s">
        <v>1467</v>
      </c>
      <c r="J53" s="14" t="s">
        <v>1501</v>
      </c>
      <c r="K53" s="14"/>
      <c r="L53" s="14"/>
      <c r="M53" s="14"/>
      <c r="N53" s="155"/>
      <c r="O53" s="14" t="s">
        <v>3489</v>
      </c>
    </row>
    <row r="54" spans="1:15" x14ac:dyDescent="0.25">
      <c r="A54" s="2" t="s">
        <v>1226</v>
      </c>
      <c r="B54" s="3" t="s">
        <v>1016</v>
      </c>
      <c r="C54" s="14" t="s">
        <v>1467</v>
      </c>
      <c r="D54" s="14" t="s">
        <v>1467</v>
      </c>
      <c r="E54" s="14" t="s">
        <v>1467</v>
      </c>
      <c r="F54" s="14" t="s">
        <v>2222</v>
      </c>
      <c r="G54" s="14" t="s">
        <v>1467</v>
      </c>
      <c r="H54" s="14" t="s">
        <v>1467</v>
      </c>
      <c r="I54" s="14" t="s">
        <v>1467</v>
      </c>
      <c r="J54" s="14" t="s">
        <v>1501</v>
      </c>
      <c r="K54" s="14"/>
      <c r="L54" s="14"/>
      <c r="M54" s="14"/>
      <c r="N54" s="155"/>
      <c r="O54" s="14" t="s">
        <v>3487</v>
      </c>
    </row>
    <row r="55" spans="1:15" x14ac:dyDescent="0.25">
      <c r="A55" s="2" t="s">
        <v>1227</v>
      </c>
      <c r="B55" s="3" t="s">
        <v>933</v>
      </c>
      <c r="C55" s="14" t="s">
        <v>1467</v>
      </c>
      <c r="D55" s="14" t="s">
        <v>1467</v>
      </c>
      <c r="E55" s="14" t="s">
        <v>1467</v>
      </c>
      <c r="F55" s="14"/>
      <c r="G55" s="14" t="s">
        <v>1501</v>
      </c>
      <c r="H55" s="14" t="s">
        <v>2319</v>
      </c>
      <c r="I55" s="14" t="s">
        <v>1501</v>
      </c>
      <c r="J55" s="14" t="s">
        <v>1501</v>
      </c>
      <c r="K55" s="14"/>
      <c r="L55" s="14"/>
      <c r="M55" s="14"/>
      <c r="N55" s="155"/>
      <c r="O55" s="14" t="s">
        <v>3489</v>
      </c>
    </row>
    <row r="56" spans="1:15" x14ac:dyDescent="0.25">
      <c r="A56" s="2" t="s">
        <v>1228</v>
      </c>
      <c r="B56" s="3" t="s">
        <v>948</v>
      </c>
      <c r="C56" s="14" t="s">
        <v>1467</v>
      </c>
      <c r="D56" s="14" t="s">
        <v>1467</v>
      </c>
      <c r="E56" s="14" t="s">
        <v>1467</v>
      </c>
      <c r="F56" s="14" t="s">
        <v>1894</v>
      </c>
      <c r="G56" s="14" t="s">
        <v>1467</v>
      </c>
      <c r="H56" s="14" t="s">
        <v>3717</v>
      </c>
      <c r="I56" s="14" t="s">
        <v>1467</v>
      </c>
      <c r="J56" s="14" t="s">
        <v>1445</v>
      </c>
      <c r="K56" s="14"/>
      <c r="L56" s="14"/>
      <c r="M56" s="14"/>
      <c r="N56" s="155"/>
      <c r="O56" s="14" t="s">
        <v>3489</v>
      </c>
    </row>
    <row r="57" spans="1:15" x14ac:dyDescent="0.25">
      <c r="A57" s="2" t="s">
        <v>1229</v>
      </c>
      <c r="B57" s="3" t="s">
        <v>1078</v>
      </c>
      <c r="C57" s="14" t="s">
        <v>2216</v>
      </c>
      <c r="D57" s="14" t="s">
        <v>1467</v>
      </c>
      <c r="E57" s="14" t="s">
        <v>1467</v>
      </c>
      <c r="F57" s="14" t="s">
        <v>2152</v>
      </c>
      <c r="G57" s="14" t="s">
        <v>1855</v>
      </c>
      <c r="H57" s="14" t="s">
        <v>2217</v>
      </c>
      <c r="I57" s="14" t="s">
        <v>1855</v>
      </c>
      <c r="J57" s="14" t="s">
        <v>1445</v>
      </c>
      <c r="K57" s="14"/>
      <c r="L57" s="14"/>
      <c r="M57" s="14"/>
      <c r="N57" s="155">
        <v>30</v>
      </c>
      <c r="O57" s="14" t="s">
        <v>3490</v>
      </c>
    </row>
    <row r="58" spans="1:15" x14ac:dyDescent="0.25">
      <c r="A58" s="2" t="s">
        <v>1230</v>
      </c>
      <c r="B58" s="3" t="s">
        <v>941</v>
      </c>
      <c r="C58" s="14" t="s">
        <v>2478</v>
      </c>
      <c r="D58" s="14" t="s">
        <v>1467</v>
      </c>
      <c r="E58" s="14" t="s">
        <v>1467</v>
      </c>
      <c r="F58" s="14" t="s">
        <v>1467</v>
      </c>
      <c r="G58" s="14" t="s">
        <v>1444</v>
      </c>
      <c r="H58" s="14" t="s">
        <v>1467</v>
      </c>
      <c r="I58" s="14" t="s">
        <v>1467</v>
      </c>
      <c r="J58" s="14" t="s">
        <v>1445</v>
      </c>
      <c r="K58" s="14"/>
      <c r="L58" s="14"/>
      <c r="M58" s="14"/>
      <c r="N58" s="155"/>
      <c r="O58" s="14" t="s">
        <v>3490</v>
      </c>
    </row>
    <row r="59" spans="1:15" x14ac:dyDescent="0.25">
      <c r="A59" s="2" t="s">
        <v>1231</v>
      </c>
      <c r="B59" s="3" t="s">
        <v>1024</v>
      </c>
      <c r="C59" s="14"/>
      <c r="D59" s="14"/>
      <c r="E59" s="14"/>
      <c r="F59" s="14" t="s">
        <v>1467</v>
      </c>
      <c r="G59" s="14"/>
      <c r="H59" s="14"/>
      <c r="I59" s="14"/>
      <c r="J59" s="14"/>
      <c r="K59" s="14"/>
      <c r="L59" s="14"/>
      <c r="M59" s="14"/>
      <c r="N59" s="155">
        <v>0</v>
      </c>
      <c r="O59" s="14"/>
    </row>
    <row r="60" spans="1:15" x14ac:dyDescent="0.25">
      <c r="A60" s="2" t="s">
        <v>1232</v>
      </c>
      <c r="B60" s="3" t="s">
        <v>2283</v>
      </c>
      <c r="C60" s="14" t="s">
        <v>1467</v>
      </c>
      <c r="D60" s="14" t="s">
        <v>1467</v>
      </c>
      <c r="E60" s="14" t="s">
        <v>1467</v>
      </c>
      <c r="F60" s="14" t="s">
        <v>2318</v>
      </c>
      <c r="G60" s="14" t="s">
        <v>1501</v>
      </c>
      <c r="H60" s="14" t="s">
        <v>2270</v>
      </c>
      <c r="I60" s="14" t="s">
        <v>1501</v>
      </c>
      <c r="J60" s="14" t="s">
        <v>1501</v>
      </c>
      <c r="K60" s="14"/>
      <c r="L60" s="14"/>
      <c r="M60" s="14"/>
      <c r="N60" s="155">
        <v>0</v>
      </c>
      <c r="O60" s="14"/>
    </row>
    <row r="61" spans="1:15" x14ac:dyDescent="0.25">
      <c r="A61" s="2" t="s">
        <v>1233</v>
      </c>
      <c r="B61" s="3" t="s">
        <v>1046</v>
      </c>
      <c r="C61" s="14" t="s">
        <v>1467</v>
      </c>
      <c r="D61" s="14" t="s">
        <v>1467</v>
      </c>
      <c r="E61" s="14" t="s">
        <v>1467</v>
      </c>
      <c r="F61" s="14" t="s">
        <v>1467</v>
      </c>
      <c r="G61" s="14" t="s">
        <v>1467</v>
      </c>
      <c r="H61" s="14" t="s">
        <v>1467</v>
      </c>
      <c r="I61" s="14" t="s">
        <v>1467</v>
      </c>
      <c r="J61" s="14" t="s">
        <v>1501</v>
      </c>
      <c r="K61" s="14"/>
      <c r="L61" s="14"/>
      <c r="M61" s="14"/>
      <c r="N61" s="155"/>
      <c r="O61" s="14" t="s">
        <v>3489</v>
      </c>
    </row>
    <row r="62" spans="1:15" x14ac:dyDescent="0.25">
      <c r="A62" s="2" t="s">
        <v>1234</v>
      </c>
      <c r="B62" s="3" t="s">
        <v>970</v>
      </c>
      <c r="C62" s="14" t="s">
        <v>1467</v>
      </c>
      <c r="D62" s="14" t="s">
        <v>1467</v>
      </c>
      <c r="E62" s="14" t="s">
        <v>1467</v>
      </c>
      <c r="F62" s="14" t="s">
        <v>2217</v>
      </c>
      <c r="G62" s="14" t="s">
        <v>1467</v>
      </c>
      <c r="H62" s="14" t="s">
        <v>1467</v>
      </c>
      <c r="I62" s="14" t="s">
        <v>1467</v>
      </c>
      <c r="J62" s="14" t="s">
        <v>1501</v>
      </c>
      <c r="K62" s="14"/>
      <c r="L62" s="14"/>
      <c r="M62" s="14"/>
      <c r="N62" s="155"/>
      <c r="O62" s="14" t="s">
        <v>3489</v>
      </c>
    </row>
    <row r="63" spans="1:15" x14ac:dyDescent="0.25">
      <c r="A63" s="2" t="s">
        <v>1235</v>
      </c>
      <c r="B63" s="3" t="s">
        <v>989</v>
      </c>
      <c r="C63" s="14" t="s">
        <v>1467</v>
      </c>
      <c r="D63" s="14" t="s">
        <v>1467</v>
      </c>
      <c r="E63" s="14" t="s">
        <v>1467</v>
      </c>
      <c r="F63" s="14" t="s">
        <v>2479</v>
      </c>
      <c r="G63" s="14" t="s">
        <v>1501</v>
      </c>
      <c r="H63" s="14" t="s">
        <v>1501</v>
      </c>
      <c r="I63" s="14" t="s">
        <v>1501</v>
      </c>
      <c r="J63" s="14" t="s">
        <v>1501</v>
      </c>
      <c r="K63" s="14"/>
      <c r="L63" s="14"/>
      <c r="M63" s="14"/>
      <c r="N63" s="155"/>
      <c r="O63" s="14" t="s">
        <v>3487</v>
      </c>
    </row>
    <row r="64" spans="1:15" x14ac:dyDescent="0.25">
      <c r="A64" s="2" t="s">
        <v>1236</v>
      </c>
      <c r="B64" s="3" t="s">
        <v>1920</v>
      </c>
      <c r="C64" s="14" t="s">
        <v>1467</v>
      </c>
      <c r="D64" s="14" t="s">
        <v>1467</v>
      </c>
      <c r="E64" s="14" t="s">
        <v>1467</v>
      </c>
      <c r="F64" s="14"/>
      <c r="G64" s="14" t="s">
        <v>1501</v>
      </c>
      <c r="H64" s="14" t="s">
        <v>1921</v>
      </c>
      <c r="I64" s="14" t="s">
        <v>1501</v>
      </c>
      <c r="J64" s="14" t="s">
        <v>1501</v>
      </c>
      <c r="K64" s="14"/>
      <c r="L64" s="14"/>
      <c r="M64" s="14"/>
      <c r="N64" s="155"/>
      <c r="O64" s="14" t="s">
        <v>3489</v>
      </c>
    </row>
    <row r="65" spans="1:15" x14ac:dyDescent="0.25">
      <c r="A65" s="2" t="s">
        <v>1237</v>
      </c>
      <c r="B65" s="3" t="s">
        <v>2147</v>
      </c>
      <c r="C65" s="14" t="s">
        <v>2148</v>
      </c>
      <c r="D65" s="14" t="s">
        <v>1467</v>
      </c>
      <c r="E65" s="14" t="s">
        <v>1467</v>
      </c>
      <c r="F65" s="14" t="s">
        <v>2270</v>
      </c>
      <c r="G65" s="14" t="s">
        <v>1501</v>
      </c>
      <c r="H65" s="14" t="s">
        <v>1922</v>
      </c>
      <c r="I65" s="14" t="s">
        <v>1501</v>
      </c>
      <c r="J65" s="14" t="s">
        <v>1501</v>
      </c>
      <c r="K65" s="14"/>
      <c r="L65" s="14"/>
      <c r="M65" s="14"/>
      <c r="N65" s="155"/>
      <c r="O65" s="14" t="s">
        <v>3489</v>
      </c>
    </row>
    <row r="66" spans="1:15" x14ac:dyDescent="0.25">
      <c r="A66" s="2" t="s">
        <v>1238</v>
      </c>
      <c r="B66" s="3" t="s">
        <v>1944</v>
      </c>
      <c r="C66" s="14" t="s">
        <v>1467</v>
      </c>
      <c r="D66" s="14" t="s">
        <v>1467</v>
      </c>
      <c r="E66" s="14" t="s">
        <v>1467</v>
      </c>
      <c r="F66" s="14" t="s">
        <v>1467</v>
      </c>
      <c r="G66" s="14" t="s">
        <v>1444</v>
      </c>
      <c r="H66" s="14" t="s">
        <v>1467</v>
      </c>
      <c r="I66" s="14" t="s">
        <v>1467</v>
      </c>
      <c r="J66" s="14" t="s">
        <v>1445</v>
      </c>
      <c r="K66" s="14"/>
      <c r="L66" s="14"/>
      <c r="M66" s="14"/>
      <c r="N66" s="155"/>
      <c r="O66" s="14" t="s">
        <v>3489</v>
      </c>
    </row>
    <row r="67" spans="1:15" x14ac:dyDescent="0.25">
      <c r="A67" s="2" t="s">
        <v>1239</v>
      </c>
      <c r="B67" s="3" t="s">
        <v>3501</v>
      </c>
      <c r="C67" s="14" t="s">
        <v>3456</v>
      </c>
      <c r="D67" s="14" t="s">
        <v>1467</v>
      </c>
      <c r="E67" s="14" t="s">
        <v>1467</v>
      </c>
      <c r="F67" s="14" t="s">
        <v>4037</v>
      </c>
      <c r="G67" s="14" t="s">
        <v>3503</v>
      </c>
      <c r="H67" s="14" t="s">
        <v>3502</v>
      </c>
      <c r="I67" s="14" t="s">
        <v>3503</v>
      </c>
      <c r="J67" s="14" t="s">
        <v>1849</v>
      </c>
      <c r="K67" s="14"/>
      <c r="L67" s="14"/>
      <c r="M67" s="14"/>
      <c r="N67" s="155">
        <v>30</v>
      </c>
      <c r="O67" s="14" t="s">
        <v>3489</v>
      </c>
    </row>
    <row r="68" spans="1:15" x14ac:dyDescent="0.25">
      <c r="A68" s="2" t="s">
        <v>1240</v>
      </c>
      <c r="B68" s="3" t="s">
        <v>942</v>
      </c>
      <c r="C68" s="14"/>
      <c r="D68" s="14"/>
      <c r="E68" s="14"/>
      <c r="F68" s="14" t="s">
        <v>1467</v>
      </c>
      <c r="G68" s="14"/>
      <c r="H68" s="14"/>
      <c r="I68" s="14"/>
      <c r="J68" s="14"/>
      <c r="K68" s="14"/>
      <c r="L68" s="14"/>
      <c r="M68" s="14"/>
      <c r="N68" s="155">
        <v>0</v>
      </c>
      <c r="O68" s="14"/>
    </row>
    <row r="69" spans="1:15" x14ac:dyDescent="0.25">
      <c r="A69" s="2" t="s">
        <v>1241</v>
      </c>
      <c r="B69" s="3" t="s">
        <v>1019</v>
      </c>
      <c r="C69" s="14" t="s">
        <v>2186</v>
      </c>
      <c r="D69" s="14" t="s">
        <v>1019</v>
      </c>
      <c r="E69" s="14" t="s">
        <v>1865</v>
      </c>
      <c r="F69" s="14" t="s">
        <v>1921</v>
      </c>
      <c r="G69" s="14" t="s">
        <v>1444</v>
      </c>
      <c r="H69" s="14" t="s">
        <v>1866</v>
      </c>
      <c r="I69" s="14" t="s">
        <v>1444</v>
      </c>
      <c r="J69" s="14" t="s">
        <v>1445</v>
      </c>
      <c r="K69" s="14"/>
      <c r="L69" s="14"/>
      <c r="M69" s="14"/>
      <c r="N69" s="155">
        <v>0</v>
      </c>
      <c r="O69" s="14"/>
    </row>
    <row r="70" spans="1:15" x14ac:dyDescent="0.25">
      <c r="A70" s="2" t="s">
        <v>1242</v>
      </c>
      <c r="B70" s="3" t="s">
        <v>958</v>
      </c>
      <c r="C70" s="14" t="s">
        <v>1467</v>
      </c>
      <c r="D70" s="14" t="s">
        <v>1467</v>
      </c>
      <c r="E70" s="14" t="s">
        <v>1467</v>
      </c>
      <c r="F70" s="14" t="s">
        <v>2149</v>
      </c>
      <c r="G70" s="14" t="s">
        <v>1501</v>
      </c>
      <c r="H70" s="14" t="s">
        <v>2305</v>
      </c>
      <c r="I70" s="14" t="s">
        <v>1501</v>
      </c>
      <c r="J70" s="14" t="s">
        <v>1501</v>
      </c>
      <c r="K70" s="14"/>
      <c r="L70" s="14"/>
      <c r="M70" s="14"/>
      <c r="N70" s="155"/>
      <c r="O70" s="14" t="s">
        <v>3489</v>
      </c>
    </row>
    <row r="71" spans="1:15" x14ac:dyDescent="0.25">
      <c r="A71" s="2" t="s">
        <v>1243</v>
      </c>
      <c r="B71" s="3" t="s">
        <v>986</v>
      </c>
      <c r="C71" s="14" t="s">
        <v>1467</v>
      </c>
      <c r="D71" s="14" t="s">
        <v>1467</v>
      </c>
      <c r="E71" s="14" t="s">
        <v>1467</v>
      </c>
      <c r="F71" s="14" t="s">
        <v>3218</v>
      </c>
      <c r="G71" s="14" t="s">
        <v>1501</v>
      </c>
      <c r="H71" s="14" t="s">
        <v>1923</v>
      </c>
      <c r="I71" s="14" t="s">
        <v>1501</v>
      </c>
      <c r="J71" s="14" t="s">
        <v>1501</v>
      </c>
      <c r="K71" s="14"/>
      <c r="L71" s="14"/>
      <c r="M71" s="14"/>
      <c r="N71" s="155"/>
      <c r="O71" s="14" t="s">
        <v>3489</v>
      </c>
    </row>
    <row r="72" spans="1:15" x14ac:dyDescent="0.25">
      <c r="A72" s="2" t="s">
        <v>1244</v>
      </c>
      <c r="B72" s="3" t="s">
        <v>971</v>
      </c>
      <c r="C72" s="14" t="s">
        <v>1467</v>
      </c>
      <c r="D72" s="14" t="s">
        <v>1467</v>
      </c>
      <c r="E72" s="14" t="s">
        <v>1467</v>
      </c>
      <c r="F72" s="14" t="s">
        <v>3502</v>
      </c>
      <c r="G72" s="14" t="s">
        <v>1467</v>
      </c>
      <c r="H72" s="14" t="s">
        <v>1467</v>
      </c>
      <c r="I72" s="14" t="s">
        <v>1467</v>
      </c>
      <c r="J72" s="14" t="s">
        <v>1501</v>
      </c>
      <c r="K72" s="14"/>
      <c r="L72" s="14"/>
      <c r="M72" s="14"/>
      <c r="N72" s="155"/>
      <c r="O72" s="14" t="s">
        <v>3489</v>
      </c>
    </row>
    <row r="73" spans="1:15" x14ac:dyDescent="0.25">
      <c r="A73" s="2" t="s">
        <v>1245</v>
      </c>
      <c r="B73" s="3" t="s">
        <v>944</v>
      </c>
      <c r="C73" s="14" t="s">
        <v>1467</v>
      </c>
      <c r="D73" s="14" t="s">
        <v>1467</v>
      </c>
      <c r="E73" s="14" t="s">
        <v>1467</v>
      </c>
      <c r="F73" s="14"/>
      <c r="G73" s="14" t="s">
        <v>1501</v>
      </c>
      <c r="H73" s="14" t="s">
        <v>2445</v>
      </c>
      <c r="I73" s="14" t="s">
        <v>1501</v>
      </c>
      <c r="J73" s="14" t="s">
        <v>1501</v>
      </c>
      <c r="K73" s="14"/>
      <c r="L73" s="14"/>
      <c r="M73" s="14"/>
      <c r="N73" s="155"/>
      <c r="O73" s="14" t="s">
        <v>3489</v>
      </c>
    </row>
    <row r="74" spans="1:15" x14ac:dyDescent="0.25">
      <c r="A74" s="2" t="s">
        <v>1246</v>
      </c>
      <c r="B74" s="3" t="s">
        <v>1160</v>
      </c>
      <c r="C74" s="14"/>
      <c r="D74" s="14"/>
      <c r="E74" s="14"/>
      <c r="F74" s="14" t="s">
        <v>1866</v>
      </c>
      <c r="G74" s="14"/>
      <c r="H74" s="14"/>
      <c r="I74" s="14"/>
      <c r="J74" s="14"/>
      <c r="K74" s="14"/>
      <c r="L74" s="14"/>
      <c r="M74" s="14"/>
      <c r="N74" s="155">
        <v>0</v>
      </c>
      <c r="O74" s="14"/>
    </row>
    <row r="75" spans="1:15" x14ac:dyDescent="0.25">
      <c r="A75" s="2" t="s">
        <v>1247</v>
      </c>
      <c r="B75" s="3" t="s">
        <v>1943</v>
      </c>
      <c r="C75" s="14" t="s">
        <v>1467</v>
      </c>
      <c r="D75" s="14" t="s">
        <v>1467</v>
      </c>
      <c r="E75" s="14" t="s">
        <v>1467</v>
      </c>
      <c r="F75" s="14" t="s">
        <v>2304</v>
      </c>
      <c r="G75" s="14" t="s">
        <v>1444</v>
      </c>
      <c r="H75" s="14" t="s">
        <v>2373</v>
      </c>
      <c r="I75" s="14" t="s">
        <v>1444</v>
      </c>
      <c r="J75" s="14" t="s">
        <v>1445</v>
      </c>
      <c r="K75" s="14"/>
      <c r="L75" s="14"/>
      <c r="M75" s="14"/>
      <c r="N75" s="155"/>
      <c r="O75" s="14" t="s">
        <v>3489</v>
      </c>
    </row>
    <row r="76" spans="1:15" x14ac:dyDescent="0.25">
      <c r="A76" s="2" t="s">
        <v>1248</v>
      </c>
      <c r="B76" s="6" t="s">
        <v>1077</v>
      </c>
      <c r="C76" s="14"/>
      <c r="D76" s="14"/>
      <c r="E76" s="14"/>
      <c r="F76" s="14" t="s">
        <v>1923</v>
      </c>
      <c r="G76" s="14"/>
      <c r="H76" s="14"/>
      <c r="I76" s="14"/>
      <c r="J76" s="14"/>
      <c r="K76" s="14"/>
      <c r="L76" s="14"/>
      <c r="M76" s="14"/>
      <c r="N76" s="155">
        <v>0</v>
      </c>
      <c r="O76" s="14"/>
    </row>
    <row r="77" spans="1:15" x14ac:dyDescent="0.25">
      <c r="A77" s="2" t="s">
        <v>1249</v>
      </c>
      <c r="B77" s="3" t="s">
        <v>1147</v>
      </c>
      <c r="C77" s="14" t="s">
        <v>2262</v>
      </c>
      <c r="D77" s="14" t="s">
        <v>1467</v>
      </c>
      <c r="E77" s="14" t="s">
        <v>1467</v>
      </c>
      <c r="F77" s="14" t="s">
        <v>1467</v>
      </c>
      <c r="G77" s="14" t="s">
        <v>2264</v>
      </c>
      <c r="H77" s="14" t="s">
        <v>2263</v>
      </c>
      <c r="I77" s="14" t="s">
        <v>2264</v>
      </c>
      <c r="J77" s="14" t="s">
        <v>1445</v>
      </c>
      <c r="K77" s="14"/>
      <c r="L77" s="14"/>
      <c r="M77" s="14"/>
      <c r="N77" s="155"/>
      <c r="O77" s="14"/>
    </row>
    <row r="78" spans="1:15" x14ac:dyDescent="0.25">
      <c r="A78" s="2" t="s">
        <v>1250</v>
      </c>
      <c r="B78" s="3" t="s">
        <v>3398</v>
      </c>
      <c r="C78" s="14" t="s">
        <v>1467</v>
      </c>
      <c r="D78" s="14" t="s">
        <v>1467</v>
      </c>
      <c r="E78" s="14" t="s">
        <v>1467</v>
      </c>
      <c r="F78" s="14" t="s">
        <v>2444</v>
      </c>
      <c r="G78" s="14" t="s">
        <v>1501</v>
      </c>
      <c r="H78" s="14" t="s">
        <v>2440</v>
      </c>
      <c r="I78" s="14" t="s">
        <v>1501</v>
      </c>
      <c r="J78" s="14" t="s">
        <v>1501</v>
      </c>
      <c r="K78" s="14"/>
      <c r="L78" s="14"/>
      <c r="M78" s="14"/>
      <c r="N78" s="155"/>
      <c r="O78" s="14" t="s">
        <v>3489</v>
      </c>
    </row>
    <row r="79" spans="1:15" x14ac:dyDescent="0.25">
      <c r="A79" s="2" t="s">
        <v>1251</v>
      </c>
      <c r="B79" s="3" t="s">
        <v>1000</v>
      </c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55">
        <v>0</v>
      </c>
      <c r="O79" s="14"/>
    </row>
    <row r="80" spans="1:15" x14ac:dyDescent="0.25">
      <c r="A80" s="2" t="s">
        <v>1252</v>
      </c>
      <c r="B80" s="3" t="s">
        <v>1035</v>
      </c>
      <c r="C80" s="14"/>
      <c r="D80" s="14"/>
      <c r="E80" s="14"/>
      <c r="F80" s="14" t="s">
        <v>1467</v>
      </c>
      <c r="G80" s="14"/>
      <c r="H80" s="14"/>
      <c r="I80" s="14"/>
      <c r="J80" s="14"/>
      <c r="K80" s="14"/>
      <c r="L80" s="14"/>
      <c r="M80" s="14"/>
      <c r="N80" s="155">
        <v>0</v>
      </c>
      <c r="O80" s="14"/>
    </row>
    <row r="81" spans="1:15" x14ac:dyDescent="0.25">
      <c r="A81" s="2" t="s">
        <v>1253</v>
      </c>
      <c r="B81" s="3" t="s">
        <v>990</v>
      </c>
      <c r="C81" s="14" t="s">
        <v>1467</v>
      </c>
      <c r="D81" s="14" t="s">
        <v>1467</v>
      </c>
      <c r="E81" s="14" t="s">
        <v>1467</v>
      </c>
      <c r="F81" s="14"/>
      <c r="G81" s="14" t="s">
        <v>1501</v>
      </c>
      <c r="H81" s="14" t="s">
        <v>1467</v>
      </c>
      <c r="I81" s="14" t="s">
        <v>1501</v>
      </c>
      <c r="J81" s="14" t="s">
        <v>1501</v>
      </c>
      <c r="K81" s="14"/>
      <c r="L81" s="14"/>
      <c r="M81" s="14"/>
      <c r="N81" s="155"/>
      <c r="O81" s="14" t="s">
        <v>3489</v>
      </c>
    </row>
    <row r="82" spans="1:15" x14ac:dyDescent="0.25">
      <c r="A82" s="2" t="s">
        <v>1254</v>
      </c>
      <c r="B82" s="3" t="s">
        <v>1079</v>
      </c>
      <c r="C82" s="14"/>
      <c r="D82" s="14"/>
      <c r="E82" s="14"/>
      <c r="F82" s="14" t="s">
        <v>2263</v>
      </c>
      <c r="G82" s="14"/>
      <c r="H82" s="14"/>
      <c r="I82" s="14"/>
      <c r="J82" s="14"/>
      <c r="K82" s="14"/>
      <c r="L82" s="14"/>
      <c r="M82" s="14"/>
      <c r="N82" s="155">
        <v>0</v>
      </c>
      <c r="O82" s="14"/>
    </row>
    <row r="83" spans="1:15" x14ac:dyDescent="0.25">
      <c r="A83" s="2" t="s">
        <v>1255</v>
      </c>
      <c r="B83" s="3" t="s">
        <v>1084</v>
      </c>
      <c r="C83" s="14"/>
      <c r="D83" s="14"/>
      <c r="E83" s="14"/>
      <c r="F83" s="14" t="s">
        <v>2373</v>
      </c>
      <c r="G83" s="14"/>
      <c r="H83" s="14"/>
      <c r="I83" s="14"/>
      <c r="J83" s="14"/>
      <c r="K83" s="14"/>
      <c r="L83" s="14"/>
      <c r="M83" s="14"/>
      <c r="N83" s="155">
        <v>0</v>
      </c>
      <c r="O83" s="14"/>
    </row>
    <row r="84" spans="1:15" x14ac:dyDescent="0.25">
      <c r="A84" s="2" t="s">
        <v>1256</v>
      </c>
      <c r="B84" s="3" t="s">
        <v>976</v>
      </c>
      <c r="C84" s="14" t="s">
        <v>2295</v>
      </c>
      <c r="D84" s="14" t="s">
        <v>1467</v>
      </c>
      <c r="E84" s="14" t="s">
        <v>1467</v>
      </c>
      <c r="F84" s="14"/>
      <c r="G84" s="14" t="s">
        <v>1444</v>
      </c>
      <c r="H84" s="14" t="s">
        <v>2296</v>
      </c>
      <c r="I84" s="14" t="s">
        <v>1444</v>
      </c>
      <c r="J84" s="14" t="s">
        <v>1445</v>
      </c>
      <c r="K84" s="14"/>
      <c r="L84" s="14"/>
      <c r="M84" s="14"/>
      <c r="N84" s="155"/>
      <c r="O84" s="14" t="s">
        <v>3490</v>
      </c>
    </row>
    <row r="85" spans="1:15" x14ac:dyDescent="0.25">
      <c r="A85" s="2" t="s">
        <v>1257</v>
      </c>
      <c r="B85" s="3" t="s">
        <v>2145</v>
      </c>
      <c r="C85" s="14" t="s">
        <v>2146</v>
      </c>
      <c r="D85" s="14" t="s">
        <v>1467</v>
      </c>
      <c r="E85" s="14" t="s">
        <v>1467</v>
      </c>
      <c r="F85" s="14"/>
      <c r="G85" s="14" t="s">
        <v>1501</v>
      </c>
      <c r="H85" s="14" t="s">
        <v>1995</v>
      </c>
      <c r="I85" s="14" t="s">
        <v>1501</v>
      </c>
      <c r="J85" s="14" t="s">
        <v>1501</v>
      </c>
      <c r="K85" s="14"/>
      <c r="L85" s="14"/>
      <c r="M85" s="14"/>
      <c r="N85" s="155"/>
      <c r="O85" s="14" t="s">
        <v>3489</v>
      </c>
    </row>
    <row r="86" spans="1:15" x14ac:dyDescent="0.25">
      <c r="A86" s="2" t="s">
        <v>1258</v>
      </c>
      <c r="B86" s="3" t="s">
        <v>1059</v>
      </c>
      <c r="C86" s="14" t="s">
        <v>1467</v>
      </c>
      <c r="D86" s="14" t="s">
        <v>1467</v>
      </c>
      <c r="E86" s="14" t="s">
        <v>1467</v>
      </c>
      <c r="F86" s="14" t="s">
        <v>2383</v>
      </c>
      <c r="G86" s="14" t="s">
        <v>1501</v>
      </c>
      <c r="H86" s="14" t="s">
        <v>2686</v>
      </c>
      <c r="I86" s="14" t="s">
        <v>1501</v>
      </c>
      <c r="J86" s="14" t="s">
        <v>1501</v>
      </c>
      <c r="K86" s="14"/>
      <c r="L86" s="14"/>
      <c r="M86" s="14"/>
      <c r="N86" s="155"/>
      <c r="O86" s="14" t="s">
        <v>3487</v>
      </c>
    </row>
    <row r="87" spans="1:15" x14ac:dyDescent="0.25">
      <c r="A87" s="2" t="s">
        <v>1259</v>
      </c>
      <c r="B87" s="3" t="s">
        <v>2778</v>
      </c>
      <c r="C87" s="14" t="s">
        <v>2779</v>
      </c>
      <c r="D87" s="14" t="s">
        <v>1467</v>
      </c>
      <c r="E87" s="14" t="s">
        <v>1467</v>
      </c>
      <c r="F87" s="14"/>
      <c r="G87" s="14" t="s">
        <v>1501</v>
      </c>
      <c r="H87" s="14" t="s">
        <v>1467</v>
      </c>
      <c r="I87" s="14" t="s">
        <v>1467</v>
      </c>
      <c r="J87" s="14" t="s">
        <v>2050</v>
      </c>
      <c r="K87" s="14"/>
      <c r="L87" s="14"/>
      <c r="M87" s="14"/>
      <c r="N87" s="155">
        <v>30</v>
      </c>
      <c r="O87" s="14" t="s">
        <v>3490</v>
      </c>
    </row>
    <row r="88" spans="1:15" x14ac:dyDescent="0.25">
      <c r="A88" s="2" t="s">
        <v>1260</v>
      </c>
      <c r="B88" s="3" t="s">
        <v>2176</v>
      </c>
      <c r="C88" s="14" t="s">
        <v>1467</v>
      </c>
      <c r="D88" s="14" t="s">
        <v>1467</v>
      </c>
      <c r="E88" s="14" t="s">
        <v>1467</v>
      </c>
      <c r="F88" s="14"/>
      <c r="G88" s="14" t="s">
        <v>1467</v>
      </c>
      <c r="H88" s="14" t="s">
        <v>1867</v>
      </c>
      <c r="I88" s="14" t="s">
        <v>1467</v>
      </c>
      <c r="J88" s="14" t="s">
        <v>1501</v>
      </c>
      <c r="K88" s="14"/>
      <c r="L88" s="14"/>
      <c r="M88" s="14"/>
      <c r="N88" s="155"/>
      <c r="O88" s="14" t="s">
        <v>3489</v>
      </c>
    </row>
    <row r="89" spans="1:15" x14ac:dyDescent="0.25">
      <c r="A89" s="2" t="s">
        <v>1261</v>
      </c>
      <c r="B89" s="3" t="s">
        <v>1011</v>
      </c>
      <c r="C89" s="14"/>
      <c r="D89" s="14"/>
      <c r="E89" s="14"/>
      <c r="F89" s="14" t="s">
        <v>2296</v>
      </c>
      <c r="G89" s="14"/>
      <c r="H89" s="14"/>
      <c r="I89" s="14"/>
      <c r="J89" s="14"/>
      <c r="K89" s="14"/>
      <c r="L89" s="14"/>
      <c r="M89" s="14"/>
      <c r="N89" s="155">
        <v>0</v>
      </c>
      <c r="O89" s="14"/>
    </row>
    <row r="90" spans="1:15" x14ac:dyDescent="0.25">
      <c r="A90" s="2" t="s">
        <v>1262</v>
      </c>
      <c r="B90" s="3" t="s">
        <v>1931</v>
      </c>
      <c r="C90" s="14" t="s">
        <v>1467</v>
      </c>
      <c r="D90" s="14" t="s">
        <v>1467</v>
      </c>
      <c r="E90" s="14" t="s">
        <v>1467</v>
      </c>
      <c r="F90" s="14" t="s">
        <v>1994</v>
      </c>
      <c r="G90" s="14" t="s">
        <v>1501</v>
      </c>
      <c r="H90" s="14" t="s">
        <v>1467</v>
      </c>
      <c r="I90" s="14" t="s">
        <v>1467</v>
      </c>
      <c r="J90" s="14" t="s">
        <v>1501</v>
      </c>
      <c r="K90" s="14"/>
      <c r="L90" s="14"/>
      <c r="M90" s="14"/>
      <c r="N90" s="155"/>
      <c r="O90" s="14" t="s">
        <v>3489</v>
      </c>
    </row>
    <row r="91" spans="1:15" x14ac:dyDescent="0.25">
      <c r="A91" s="2" t="s">
        <v>1263</v>
      </c>
      <c r="B91" s="3" t="s">
        <v>996</v>
      </c>
      <c r="C91" s="14"/>
      <c r="D91" s="14"/>
      <c r="E91" s="14"/>
      <c r="F91" s="14" t="s">
        <v>1467</v>
      </c>
      <c r="G91" s="14"/>
      <c r="H91" s="14"/>
      <c r="I91" s="14"/>
      <c r="J91" s="14"/>
      <c r="K91" s="14"/>
      <c r="L91" s="14"/>
      <c r="M91" s="14"/>
      <c r="N91" s="155">
        <v>0</v>
      </c>
      <c r="O91" s="14"/>
    </row>
    <row r="92" spans="1:15" x14ac:dyDescent="0.25">
      <c r="A92" s="2" t="s">
        <v>1264</v>
      </c>
      <c r="B92" s="3" t="s">
        <v>1005</v>
      </c>
      <c r="C92" s="14" t="s">
        <v>1467</v>
      </c>
      <c r="D92" s="14" t="s">
        <v>1467</v>
      </c>
      <c r="E92" s="14" t="s">
        <v>1467</v>
      </c>
      <c r="F92" s="14" t="s">
        <v>2780</v>
      </c>
      <c r="G92" s="14" t="s">
        <v>1501</v>
      </c>
      <c r="H92" s="14" t="s">
        <v>1467</v>
      </c>
      <c r="I92" s="14" t="s">
        <v>1501</v>
      </c>
      <c r="J92" s="14" t="s">
        <v>1501</v>
      </c>
      <c r="K92" s="14"/>
      <c r="L92" s="14"/>
      <c r="M92" s="14"/>
      <c r="N92" s="155"/>
      <c r="O92" s="14" t="s">
        <v>3489</v>
      </c>
    </row>
    <row r="93" spans="1:15" x14ac:dyDescent="0.25">
      <c r="A93" s="2" t="s">
        <v>1265</v>
      </c>
      <c r="B93" s="3" t="s">
        <v>993</v>
      </c>
      <c r="C93" s="14"/>
      <c r="D93" s="14"/>
      <c r="E93" s="14"/>
      <c r="F93" s="14" t="s">
        <v>1467</v>
      </c>
      <c r="G93" s="14"/>
      <c r="H93" s="14"/>
      <c r="I93" s="14"/>
      <c r="J93" s="14"/>
      <c r="K93" s="14"/>
      <c r="L93" s="14"/>
      <c r="M93" s="14"/>
      <c r="N93" s="155">
        <v>0</v>
      </c>
      <c r="O93" s="14"/>
    </row>
    <row r="94" spans="1:15" x14ac:dyDescent="0.25">
      <c r="A94" s="2" t="s">
        <v>1266</v>
      </c>
      <c r="B94" s="3" t="s">
        <v>1134</v>
      </c>
      <c r="C94" s="14" t="s">
        <v>1467</v>
      </c>
      <c r="D94" s="14" t="s">
        <v>1467</v>
      </c>
      <c r="E94" s="14" t="s">
        <v>1467</v>
      </c>
      <c r="F94" s="14"/>
      <c r="G94" s="14" t="s">
        <v>1501</v>
      </c>
      <c r="H94" s="14" t="s">
        <v>1467</v>
      </c>
      <c r="I94" s="14" t="s">
        <v>1467</v>
      </c>
      <c r="J94" s="14" t="s">
        <v>1501</v>
      </c>
      <c r="K94" s="14"/>
      <c r="L94" s="14"/>
      <c r="M94" s="14"/>
      <c r="N94" s="155"/>
      <c r="O94" s="14" t="s">
        <v>3489</v>
      </c>
    </row>
    <row r="95" spans="1:15" x14ac:dyDescent="0.25">
      <c r="A95" s="2" t="s">
        <v>1267</v>
      </c>
      <c r="B95" s="3" t="s">
        <v>1036</v>
      </c>
      <c r="C95" s="14" t="s">
        <v>1467</v>
      </c>
      <c r="D95" s="14" t="s">
        <v>1467</v>
      </c>
      <c r="E95" s="14" t="s">
        <v>1467</v>
      </c>
      <c r="F95" s="14" t="s">
        <v>3700</v>
      </c>
      <c r="G95" s="14" t="s">
        <v>1467</v>
      </c>
      <c r="H95" s="14" t="s">
        <v>1467</v>
      </c>
      <c r="I95" s="14" t="s">
        <v>1467</v>
      </c>
      <c r="J95" s="14" t="s">
        <v>1501</v>
      </c>
      <c r="K95" s="14"/>
      <c r="L95" s="14"/>
      <c r="M95" s="14"/>
      <c r="N95" s="155"/>
      <c r="O95" s="14" t="s">
        <v>3489</v>
      </c>
    </row>
    <row r="96" spans="1:15" x14ac:dyDescent="0.25">
      <c r="A96" s="2" t="s">
        <v>1268</v>
      </c>
      <c r="B96" s="3" t="s">
        <v>1095</v>
      </c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55">
        <v>0</v>
      </c>
      <c r="O96" s="14"/>
    </row>
    <row r="97" spans="1:15" x14ac:dyDescent="0.25">
      <c r="A97" s="2" t="s">
        <v>1269</v>
      </c>
      <c r="B97" s="3" t="s">
        <v>1031</v>
      </c>
      <c r="C97" s="14" t="s">
        <v>1467</v>
      </c>
      <c r="D97" s="14" t="s">
        <v>1467</v>
      </c>
      <c r="E97" s="14" t="s">
        <v>1467</v>
      </c>
      <c r="F97" s="14" t="s">
        <v>2687</v>
      </c>
      <c r="G97" s="14" t="s">
        <v>1467</v>
      </c>
      <c r="H97" s="14" t="s">
        <v>1467</v>
      </c>
      <c r="I97" s="14" t="s">
        <v>1467</v>
      </c>
      <c r="J97" s="14" t="s">
        <v>1849</v>
      </c>
      <c r="K97" s="14"/>
      <c r="L97" s="14"/>
      <c r="M97" s="14"/>
      <c r="N97" s="155"/>
      <c r="O97" s="14" t="s">
        <v>3489</v>
      </c>
    </row>
    <row r="98" spans="1:15" x14ac:dyDescent="0.25">
      <c r="A98" s="2" t="s">
        <v>1270</v>
      </c>
      <c r="B98" s="3" t="s">
        <v>1093</v>
      </c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55">
        <v>0</v>
      </c>
      <c r="O98" s="14"/>
    </row>
    <row r="99" spans="1:15" x14ac:dyDescent="0.25">
      <c r="A99" s="2" t="s">
        <v>1271</v>
      </c>
      <c r="B99" s="3" t="s">
        <v>1058</v>
      </c>
      <c r="C99" s="14"/>
      <c r="D99" s="14"/>
      <c r="E99" s="14"/>
      <c r="F99" s="14" t="s">
        <v>4217</v>
      </c>
      <c r="G99" s="14"/>
      <c r="H99" s="14"/>
      <c r="I99" s="14"/>
      <c r="J99" s="14"/>
      <c r="K99" s="14"/>
      <c r="L99" s="14"/>
      <c r="M99" s="14"/>
      <c r="N99" s="155">
        <v>0</v>
      </c>
      <c r="O99" s="14"/>
    </row>
    <row r="100" spans="1:15" x14ac:dyDescent="0.25">
      <c r="A100" s="2" t="s">
        <v>1272</v>
      </c>
      <c r="B100" s="3" t="s">
        <v>962</v>
      </c>
      <c r="C100" s="14" t="s">
        <v>1467</v>
      </c>
      <c r="D100" s="14" t="s">
        <v>1467</v>
      </c>
      <c r="E100" s="14" t="s">
        <v>1467</v>
      </c>
      <c r="F100" s="14" t="s">
        <v>1467</v>
      </c>
      <c r="G100" s="14" t="s">
        <v>1501</v>
      </c>
      <c r="H100" s="14" t="s">
        <v>4179</v>
      </c>
      <c r="I100" s="14" t="s">
        <v>1501</v>
      </c>
      <c r="J100" s="14" t="s">
        <v>1501</v>
      </c>
      <c r="K100" s="14"/>
      <c r="L100" s="14"/>
      <c r="M100" s="14"/>
      <c r="N100" s="155"/>
      <c r="O100" s="14" t="s">
        <v>3487</v>
      </c>
    </row>
    <row r="101" spans="1:15" x14ac:dyDescent="0.25">
      <c r="A101" s="2" t="s">
        <v>1273</v>
      </c>
      <c r="B101" s="3" t="s">
        <v>934</v>
      </c>
      <c r="C101" s="14" t="s">
        <v>1467</v>
      </c>
      <c r="D101" s="14" t="s">
        <v>1467</v>
      </c>
      <c r="E101" s="14" t="s">
        <v>1467</v>
      </c>
      <c r="F101" s="14"/>
      <c r="G101" s="14" t="s">
        <v>1467</v>
      </c>
      <c r="H101" s="14" t="s">
        <v>1467</v>
      </c>
      <c r="I101" s="14" t="s">
        <v>1467</v>
      </c>
      <c r="J101" s="14" t="s">
        <v>1501</v>
      </c>
      <c r="K101" s="14"/>
      <c r="L101" s="14"/>
      <c r="M101" s="14"/>
      <c r="N101" s="155"/>
      <c r="O101" s="14" t="s">
        <v>5060</v>
      </c>
    </row>
    <row r="102" spans="1:15" x14ac:dyDescent="0.25">
      <c r="A102" s="2" t="s">
        <v>1274</v>
      </c>
      <c r="B102" s="3" t="s">
        <v>1127</v>
      </c>
      <c r="C102" s="14" t="s">
        <v>1467</v>
      </c>
      <c r="D102" s="14" t="s">
        <v>1467</v>
      </c>
      <c r="E102" s="14" t="s">
        <v>1467</v>
      </c>
      <c r="F102" s="14" t="s">
        <v>1467</v>
      </c>
      <c r="G102" s="14" t="s">
        <v>1467</v>
      </c>
      <c r="H102" s="14" t="s">
        <v>2126</v>
      </c>
      <c r="I102" s="14" t="s">
        <v>1467</v>
      </c>
      <c r="J102" s="14" t="s">
        <v>1501</v>
      </c>
      <c r="K102" s="14"/>
      <c r="L102" s="14"/>
      <c r="M102" s="14"/>
      <c r="N102" s="155" t="s">
        <v>1502</v>
      </c>
      <c r="O102" s="14"/>
    </row>
    <row r="103" spans="1:15" x14ac:dyDescent="0.25">
      <c r="A103" s="2" t="s">
        <v>1275</v>
      </c>
      <c r="B103" s="3" t="s">
        <v>2218</v>
      </c>
      <c r="C103" s="14" t="s">
        <v>2219</v>
      </c>
      <c r="D103" s="14" t="s">
        <v>1467</v>
      </c>
      <c r="E103" s="14" t="s">
        <v>1467</v>
      </c>
      <c r="F103" s="14"/>
      <c r="G103" s="14" t="s">
        <v>1444</v>
      </c>
      <c r="H103" s="14" t="s">
        <v>1467</v>
      </c>
      <c r="I103" s="14" t="s">
        <v>1467</v>
      </c>
      <c r="J103" s="14" t="s">
        <v>1445</v>
      </c>
      <c r="K103" s="14"/>
      <c r="L103" s="14"/>
      <c r="M103" s="14"/>
      <c r="N103" s="155"/>
      <c r="O103" s="14" t="s">
        <v>3490</v>
      </c>
    </row>
    <row r="104" spans="1:15" x14ac:dyDescent="0.25">
      <c r="A104" s="2" t="s">
        <v>1276</v>
      </c>
      <c r="B104" s="3" t="s">
        <v>1064</v>
      </c>
      <c r="C104" s="14" t="s">
        <v>1467</v>
      </c>
      <c r="D104" s="14" t="s">
        <v>1467</v>
      </c>
      <c r="E104" s="14" t="s">
        <v>1467</v>
      </c>
      <c r="F104" s="14"/>
      <c r="G104" s="14" t="s">
        <v>1467</v>
      </c>
      <c r="H104" s="14" t="s">
        <v>1467</v>
      </c>
      <c r="I104" s="14" t="s">
        <v>1467</v>
      </c>
      <c r="J104" s="14" t="s">
        <v>1501</v>
      </c>
      <c r="K104" s="14"/>
      <c r="L104" s="14"/>
      <c r="M104" s="14"/>
      <c r="N104" s="155"/>
      <c r="O104" s="14" t="s">
        <v>3489</v>
      </c>
    </row>
    <row r="105" spans="1:15" x14ac:dyDescent="0.25">
      <c r="A105" s="2" t="s">
        <v>1277</v>
      </c>
      <c r="B105" s="3" t="s">
        <v>1037</v>
      </c>
      <c r="C105" s="14"/>
      <c r="D105" s="14"/>
      <c r="E105" s="14"/>
      <c r="F105" s="14" t="s">
        <v>4179</v>
      </c>
      <c r="G105" s="14"/>
      <c r="H105" s="14"/>
      <c r="I105" s="14"/>
      <c r="J105" s="14"/>
      <c r="K105" s="14"/>
      <c r="L105" s="14"/>
      <c r="M105" s="14"/>
      <c r="N105" s="155">
        <v>0</v>
      </c>
      <c r="O105" s="14"/>
    </row>
    <row r="106" spans="1:15" x14ac:dyDescent="0.25">
      <c r="A106" s="2" t="s">
        <v>1278</v>
      </c>
      <c r="B106" s="3" t="s">
        <v>1942</v>
      </c>
      <c r="C106" s="14" t="s">
        <v>1467</v>
      </c>
      <c r="D106" s="14" t="s">
        <v>1467</v>
      </c>
      <c r="E106" s="14" t="s">
        <v>1467</v>
      </c>
      <c r="F106" s="14" t="s">
        <v>1467</v>
      </c>
      <c r="G106" s="14" t="s">
        <v>1501</v>
      </c>
      <c r="H106" s="14" t="s">
        <v>4258</v>
      </c>
      <c r="I106" s="14" t="s">
        <v>1501</v>
      </c>
      <c r="J106" s="14" t="s">
        <v>1501</v>
      </c>
      <c r="K106" s="14"/>
      <c r="L106" s="14"/>
      <c r="M106" s="14"/>
      <c r="N106" s="155"/>
      <c r="O106" s="14" t="s">
        <v>3487</v>
      </c>
    </row>
    <row r="107" spans="1:15" x14ac:dyDescent="0.25">
      <c r="A107" s="2" t="s">
        <v>1279</v>
      </c>
      <c r="B107" s="3" t="s">
        <v>1022</v>
      </c>
      <c r="C107" s="14"/>
      <c r="D107" s="14"/>
      <c r="E107" s="14"/>
      <c r="F107" s="14" t="s">
        <v>1467</v>
      </c>
      <c r="G107" s="14"/>
      <c r="H107" s="14"/>
      <c r="I107" s="14"/>
      <c r="J107" s="14"/>
      <c r="K107" s="14"/>
      <c r="L107" s="14"/>
      <c r="M107" s="14"/>
      <c r="N107" s="155">
        <v>0</v>
      </c>
      <c r="O107" s="14"/>
    </row>
    <row r="108" spans="1:15" x14ac:dyDescent="0.25">
      <c r="A108" s="2" t="s">
        <v>1280</v>
      </c>
      <c r="B108" s="3" t="s">
        <v>1056</v>
      </c>
      <c r="C108" s="14" t="s">
        <v>1467</v>
      </c>
      <c r="D108" s="14" t="s">
        <v>1467</v>
      </c>
      <c r="E108" s="14" t="s">
        <v>1467</v>
      </c>
      <c r="F108" s="14" t="s">
        <v>2116</v>
      </c>
      <c r="G108" s="14" t="s">
        <v>1501</v>
      </c>
      <c r="H108" s="14" t="s">
        <v>4322</v>
      </c>
      <c r="I108" s="14" t="s">
        <v>1501</v>
      </c>
      <c r="J108" s="14" t="s">
        <v>1501</v>
      </c>
      <c r="K108" s="14"/>
      <c r="L108" s="14"/>
      <c r="M108" s="14"/>
      <c r="N108" s="155"/>
      <c r="O108" s="14" t="s">
        <v>3487</v>
      </c>
    </row>
    <row r="109" spans="1:15" x14ac:dyDescent="0.25">
      <c r="A109" s="2" t="s">
        <v>1281</v>
      </c>
      <c r="B109" s="3" t="s">
        <v>1104</v>
      </c>
      <c r="C109" s="14"/>
      <c r="D109" s="14"/>
      <c r="E109" s="14"/>
      <c r="F109" s="14" t="s">
        <v>1467</v>
      </c>
      <c r="G109" s="14"/>
      <c r="H109" s="14"/>
      <c r="I109" s="14"/>
      <c r="J109" s="14"/>
      <c r="K109" s="14"/>
      <c r="L109" s="14"/>
      <c r="M109" s="14"/>
      <c r="N109" s="155">
        <v>0</v>
      </c>
      <c r="O109" s="14"/>
    </row>
    <row r="110" spans="1:15" x14ac:dyDescent="0.25">
      <c r="A110" s="2" t="s">
        <v>1282</v>
      </c>
      <c r="B110" s="3" t="s">
        <v>2389</v>
      </c>
      <c r="C110" s="14" t="s">
        <v>2390</v>
      </c>
      <c r="D110" s="14" t="s">
        <v>1467</v>
      </c>
      <c r="E110" s="14" t="s">
        <v>1467</v>
      </c>
      <c r="F110" s="14"/>
      <c r="G110" s="14" t="s">
        <v>1444</v>
      </c>
      <c r="H110" s="14" t="s">
        <v>1467</v>
      </c>
      <c r="I110" s="14" t="s">
        <v>2119</v>
      </c>
      <c r="J110" s="14" t="s">
        <v>1445</v>
      </c>
      <c r="K110" s="14"/>
      <c r="L110" s="14"/>
      <c r="M110" s="14"/>
      <c r="N110" s="155"/>
      <c r="O110" s="14" t="s">
        <v>3490</v>
      </c>
    </row>
    <row r="111" spans="1:15" x14ac:dyDescent="0.25">
      <c r="A111" s="2" t="s">
        <v>1283</v>
      </c>
      <c r="B111" s="3" t="s">
        <v>2737</v>
      </c>
      <c r="C111" s="14" t="s">
        <v>1467</v>
      </c>
      <c r="D111" s="14" t="s">
        <v>1467</v>
      </c>
      <c r="E111" s="14" t="s">
        <v>1467</v>
      </c>
      <c r="F111" s="14" t="s">
        <v>4258</v>
      </c>
      <c r="G111" s="14" t="s">
        <v>1467</v>
      </c>
      <c r="H111" s="14" t="s">
        <v>1467</v>
      </c>
      <c r="I111" s="14" t="s">
        <v>1467</v>
      </c>
      <c r="J111" s="14" t="s">
        <v>1501</v>
      </c>
      <c r="K111" s="14"/>
      <c r="L111" s="14"/>
      <c r="M111" s="14"/>
      <c r="N111" s="155"/>
      <c r="O111" s="14"/>
    </row>
    <row r="112" spans="1:15" x14ac:dyDescent="0.25">
      <c r="A112" s="2" t="s">
        <v>1284</v>
      </c>
      <c r="B112" s="3" t="s">
        <v>1008</v>
      </c>
      <c r="C112" s="14" t="s">
        <v>1467</v>
      </c>
      <c r="D112" s="14" t="s">
        <v>1467</v>
      </c>
      <c r="E112" s="14" t="s">
        <v>1467</v>
      </c>
      <c r="F112" s="14"/>
      <c r="G112" s="14" t="s">
        <v>5358</v>
      </c>
      <c r="H112" s="14" t="s">
        <v>1467</v>
      </c>
      <c r="I112" s="14" t="s">
        <v>1467</v>
      </c>
      <c r="J112" s="14" t="s">
        <v>2050</v>
      </c>
      <c r="K112" s="14"/>
      <c r="L112" s="14"/>
      <c r="M112" s="14"/>
      <c r="N112" s="155"/>
      <c r="O112" s="14" t="s">
        <v>3487</v>
      </c>
    </row>
    <row r="113" spans="1:15" x14ac:dyDescent="0.25">
      <c r="A113" s="2" t="s">
        <v>1285</v>
      </c>
      <c r="B113" s="3" t="s">
        <v>1071</v>
      </c>
      <c r="C113" s="14" t="s">
        <v>1467</v>
      </c>
      <c r="D113" s="14" t="s">
        <v>1467</v>
      </c>
      <c r="E113" s="14" t="s">
        <v>1467</v>
      </c>
      <c r="F113" s="14" t="s">
        <v>4322</v>
      </c>
      <c r="G113" s="14" t="s">
        <v>1501</v>
      </c>
      <c r="H113" s="14" t="s">
        <v>1467</v>
      </c>
      <c r="I113" s="14" t="s">
        <v>1467</v>
      </c>
      <c r="J113" s="14" t="s">
        <v>1501</v>
      </c>
      <c r="K113" s="14"/>
      <c r="L113" s="14"/>
      <c r="M113" s="14"/>
      <c r="N113" s="155"/>
      <c r="O113" s="14" t="s">
        <v>3487</v>
      </c>
    </row>
    <row r="114" spans="1:15" x14ac:dyDescent="0.25">
      <c r="A114" s="2" t="s">
        <v>1286</v>
      </c>
      <c r="B114" s="3" t="s">
        <v>1103</v>
      </c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55">
        <v>0</v>
      </c>
      <c r="O114" s="14"/>
    </row>
    <row r="115" spans="1:15" x14ac:dyDescent="0.25">
      <c r="A115" s="2" t="s">
        <v>1287</v>
      </c>
      <c r="B115" s="3" t="s">
        <v>960</v>
      </c>
      <c r="C115" s="14"/>
      <c r="D115" s="14"/>
      <c r="E115" s="14"/>
      <c r="F115" s="14" t="s">
        <v>2120</v>
      </c>
      <c r="G115" s="14"/>
      <c r="H115" s="14"/>
      <c r="I115" s="14"/>
      <c r="J115" s="14"/>
      <c r="K115" s="14"/>
      <c r="L115" s="14"/>
      <c r="M115" s="14"/>
      <c r="N115" s="155">
        <v>0</v>
      </c>
      <c r="O115" s="14"/>
    </row>
    <row r="116" spans="1:15" x14ac:dyDescent="0.25">
      <c r="A116" s="2" t="s">
        <v>1288</v>
      </c>
      <c r="B116" s="3" t="s">
        <v>1072</v>
      </c>
      <c r="C116" s="14"/>
      <c r="D116" s="14"/>
      <c r="E116" s="14"/>
      <c r="F116" s="14" t="s">
        <v>1467</v>
      </c>
      <c r="G116" s="14"/>
      <c r="H116" s="14"/>
      <c r="I116" s="14"/>
      <c r="J116" s="14"/>
      <c r="K116" s="14"/>
      <c r="L116" s="14"/>
      <c r="M116" s="14"/>
      <c r="N116" s="155">
        <v>0</v>
      </c>
      <c r="O116" s="14"/>
    </row>
    <row r="117" spans="1:15" x14ac:dyDescent="0.25">
      <c r="A117" s="2" t="s">
        <v>1289</v>
      </c>
      <c r="B117" s="3" t="s">
        <v>994</v>
      </c>
      <c r="C117" s="14" t="s">
        <v>1442</v>
      </c>
      <c r="D117" s="14" t="s">
        <v>1137</v>
      </c>
      <c r="E117" s="14" t="s">
        <v>1442</v>
      </c>
      <c r="F117" s="14" t="s">
        <v>5357</v>
      </c>
      <c r="G117" s="14" t="s">
        <v>1444</v>
      </c>
      <c r="H117" s="14" t="s">
        <v>1443</v>
      </c>
      <c r="I117" s="14" t="s">
        <v>1444</v>
      </c>
      <c r="J117" s="14" t="s">
        <v>1445</v>
      </c>
      <c r="K117" s="14"/>
      <c r="L117" s="14"/>
      <c r="M117" s="14"/>
      <c r="N117" s="155">
        <v>0</v>
      </c>
      <c r="O117" s="14"/>
    </row>
    <row r="118" spans="1:15" x14ac:dyDescent="0.25">
      <c r="A118" s="2" t="s">
        <v>1290</v>
      </c>
      <c r="B118" s="3" t="s">
        <v>1066</v>
      </c>
      <c r="C118" s="14" t="s">
        <v>1467</v>
      </c>
      <c r="D118" s="14" t="s">
        <v>1467</v>
      </c>
      <c r="E118" s="14" t="s">
        <v>1467</v>
      </c>
      <c r="F118" s="14" t="s">
        <v>5388</v>
      </c>
      <c r="G118" s="14" t="s">
        <v>1467</v>
      </c>
      <c r="H118" s="14" t="s">
        <v>1467</v>
      </c>
      <c r="I118" s="14" t="s">
        <v>1467</v>
      </c>
      <c r="J118" s="14" t="s">
        <v>1501</v>
      </c>
      <c r="K118" s="14"/>
      <c r="L118" s="14"/>
      <c r="M118" s="14"/>
      <c r="N118" s="155"/>
      <c r="O118" s="14" t="s">
        <v>3489</v>
      </c>
    </row>
    <row r="119" spans="1:15" x14ac:dyDescent="0.25">
      <c r="A119" s="2" t="s">
        <v>1291</v>
      </c>
      <c r="B119" s="3" t="s">
        <v>1039</v>
      </c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55">
        <v>0</v>
      </c>
      <c r="O119" s="14"/>
    </row>
    <row r="120" spans="1:15" x14ac:dyDescent="0.25">
      <c r="A120" s="2" t="s">
        <v>1292</v>
      </c>
      <c r="B120" s="3" t="s">
        <v>956</v>
      </c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55">
        <v>0</v>
      </c>
      <c r="O120" s="14"/>
    </row>
    <row r="121" spans="1:15" x14ac:dyDescent="0.25">
      <c r="A121" s="2" t="s">
        <v>1293</v>
      </c>
      <c r="B121" s="3" t="s">
        <v>1081</v>
      </c>
      <c r="C121" s="14" t="s">
        <v>1467</v>
      </c>
      <c r="D121" s="14" t="s">
        <v>1467</v>
      </c>
      <c r="E121" s="14" t="s">
        <v>1467</v>
      </c>
      <c r="F121" s="14"/>
      <c r="G121" s="14" t="s">
        <v>1501</v>
      </c>
      <c r="H121" s="14" t="s">
        <v>1467</v>
      </c>
      <c r="I121" s="14" t="s">
        <v>1467</v>
      </c>
      <c r="J121" s="14" t="s">
        <v>1501</v>
      </c>
      <c r="K121" s="14"/>
      <c r="L121" s="14"/>
      <c r="M121" s="14"/>
      <c r="N121" s="155"/>
      <c r="O121" s="14" t="s">
        <v>3487</v>
      </c>
    </row>
    <row r="122" spans="1:15" x14ac:dyDescent="0.25">
      <c r="A122" s="2" t="s">
        <v>1294</v>
      </c>
      <c r="B122" s="3" t="s">
        <v>1029</v>
      </c>
      <c r="C122" s="14" t="s">
        <v>1467</v>
      </c>
      <c r="D122" s="14" t="s">
        <v>1467</v>
      </c>
      <c r="E122" s="14" t="s">
        <v>1467</v>
      </c>
      <c r="F122" s="14" t="s">
        <v>1443</v>
      </c>
      <c r="G122" s="14" t="s">
        <v>1501</v>
      </c>
      <c r="H122" s="14" t="s">
        <v>2125</v>
      </c>
      <c r="I122" s="14" t="s">
        <v>1501</v>
      </c>
      <c r="J122" s="14" t="s">
        <v>1501</v>
      </c>
      <c r="K122" s="14"/>
      <c r="L122" s="14"/>
      <c r="M122" s="14"/>
      <c r="N122" s="155">
        <v>0</v>
      </c>
      <c r="O122" s="14"/>
    </row>
    <row r="123" spans="1:15" x14ac:dyDescent="0.25">
      <c r="A123" s="2" t="s">
        <v>1295</v>
      </c>
      <c r="B123" s="3" t="s">
        <v>2165</v>
      </c>
      <c r="C123" s="14" t="s">
        <v>2166</v>
      </c>
      <c r="D123" s="14" t="s">
        <v>1467</v>
      </c>
      <c r="E123" s="14" t="s">
        <v>1467</v>
      </c>
      <c r="F123" s="14" t="s">
        <v>1467</v>
      </c>
      <c r="G123" s="14" t="s">
        <v>1501</v>
      </c>
      <c r="H123" s="14" t="s">
        <v>2167</v>
      </c>
      <c r="I123" s="14" t="s">
        <v>1501</v>
      </c>
      <c r="J123" s="14" t="s">
        <v>1501</v>
      </c>
      <c r="K123" s="14"/>
      <c r="L123" s="14"/>
      <c r="M123" s="14"/>
      <c r="N123" s="155">
        <v>0</v>
      </c>
      <c r="O123" s="14"/>
    </row>
    <row r="124" spans="1:15" x14ac:dyDescent="0.25">
      <c r="A124" s="2" t="s">
        <v>1296</v>
      </c>
      <c r="B124" s="3" t="s">
        <v>1009</v>
      </c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55">
        <v>0</v>
      </c>
      <c r="O124" s="14"/>
    </row>
    <row r="125" spans="1:15" x14ac:dyDescent="0.25">
      <c r="A125" s="2" t="s">
        <v>1297</v>
      </c>
      <c r="B125" s="3" t="s">
        <v>2292</v>
      </c>
      <c r="C125" s="14" t="s">
        <v>2293</v>
      </c>
      <c r="D125" s="14" t="s">
        <v>1467</v>
      </c>
      <c r="E125" s="14" t="s">
        <v>1467</v>
      </c>
      <c r="F125" s="14"/>
      <c r="G125" s="14" t="s">
        <v>1444</v>
      </c>
      <c r="H125" s="14" t="s">
        <v>2294</v>
      </c>
      <c r="I125" s="14" t="s">
        <v>1444</v>
      </c>
      <c r="J125" s="14" t="s">
        <v>1445</v>
      </c>
      <c r="K125" s="14"/>
      <c r="L125" s="14"/>
      <c r="M125" s="14"/>
      <c r="N125" s="155">
        <v>0</v>
      </c>
      <c r="O125" s="14"/>
    </row>
    <row r="126" spans="1:15" x14ac:dyDescent="0.25">
      <c r="A126" s="2" t="s">
        <v>1298</v>
      </c>
      <c r="B126" s="3" t="s">
        <v>937</v>
      </c>
      <c r="C126" s="14"/>
      <c r="D126" s="14"/>
      <c r="E126" s="14"/>
      <c r="F126" s="14" t="s">
        <v>4295</v>
      </c>
      <c r="G126" s="14"/>
      <c r="H126" s="14"/>
      <c r="I126" s="14"/>
      <c r="J126" s="14"/>
      <c r="K126" s="14"/>
      <c r="L126" s="14"/>
      <c r="M126" s="14"/>
      <c r="N126" s="155">
        <v>0</v>
      </c>
      <c r="O126" s="14"/>
    </row>
    <row r="127" spans="1:15" x14ac:dyDescent="0.25">
      <c r="A127" s="2" t="s">
        <v>1299</v>
      </c>
      <c r="B127" s="3" t="s">
        <v>1113</v>
      </c>
      <c r="C127" s="14"/>
      <c r="D127" s="14"/>
      <c r="E127" s="14"/>
      <c r="F127" s="14" t="s">
        <v>2125</v>
      </c>
      <c r="G127" s="14"/>
      <c r="H127" s="14"/>
      <c r="I127" s="14"/>
      <c r="J127" s="14"/>
      <c r="K127" s="14"/>
      <c r="L127" s="14"/>
      <c r="M127" s="14"/>
      <c r="N127" s="155">
        <v>0</v>
      </c>
      <c r="O127" s="14"/>
    </row>
    <row r="128" spans="1:15" x14ac:dyDescent="0.25">
      <c r="A128" s="2" t="s">
        <v>1300</v>
      </c>
      <c r="B128" s="3" t="s">
        <v>1159</v>
      </c>
      <c r="C128" s="14" t="s">
        <v>1467</v>
      </c>
      <c r="D128" s="14" t="s">
        <v>1467</v>
      </c>
      <c r="E128" s="14" t="s">
        <v>1467</v>
      </c>
      <c r="F128" s="14" t="s">
        <v>2167</v>
      </c>
      <c r="G128" s="14" t="s">
        <v>1467</v>
      </c>
      <c r="H128" s="14" t="s">
        <v>3494</v>
      </c>
      <c r="I128" s="14" t="s">
        <v>1467</v>
      </c>
      <c r="J128" s="14" t="s">
        <v>1849</v>
      </c>
      <c r="K128" s="14"/>
      <c r="L128" s="14"/>
      <c r="M128" s="14"/>
      <c r="N128" s="155"/>
      <c r="O128" s="14" t="s">
        <v>3489</v>
      </c>
    </row>
    <row r="129" spans="1:15" x14ac:dyDescent="0.25">
      <c r="A129" s="2" t="s">
        <v>1301</v>
      </c>
      <c r="B129" s="3" t="s">
        <v>968</v>
      </c>
      <c r="C129" s="14" t="s">
        <v>1467</v>
      </c>
      <c r="D129" s="14" t="s">
        <v>1467</v>
      </c>
      <c r="E129" s="14" t="s">
        <v>1467</v>
      </c>
      <c r="F129" s="14"/>
      <c r="G129" s="14" t="s">
        <v>1501</v>
      </c>
      <c r="H129" s="14" t="s">
        <v>3483</v>
      </c>
      <c r="I129" s="14" t="s">
        <v>1501</v>
      </c>
      <c r="J129" s="14" t="s">
        <v>1501</v>
      </c>
      <c r="K129" s="14"/>
      <c r="L129" s="14"/>
      <c r="M129" s="14"/>
      <c r="N129" s="155"/>
      <c r="O129" s="14" t="s">
        <v>3489</v>
      </c>
    </row>
    <row r="130" spans="1:15" x14ac:dyDescent="0.25">
      <c r="A130" s="2" t="s">
        <v>1302</v>
      </c>
      <c r="B130" s="3" t="s">
        <v>975</v>
      </c>
      <c r="C130" s="14"/>
      <c r="D130" s="14"/>
      <c r="E130" s="14"/>
      <c r="F130" s="14" t="s">
        <v>2294</v>
      </c>
      <c r="G130" s="14"/>
      <c r="H130" s="14"/>
      <c r="I130" s="14"/>
      <c r="J130" s="14"/>
      <c r="K130" s="14"/>
      <c r="L130" s="14"/>
      <c r="M130" s="14"/>
      <c r="N130" s="155">
        <v>0</v>
      </c>
      <c r="O130" s="14"/>
    </row>
    <row r="131" spans="1:15" x14ac:dyDescent="0.25">
      <c r="A131" s="2" t="s">
        <v>1303</v>
      </c>
      <c r="B131" s="3" t="s">
        <v>1157</v>
      </c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55">
        <v>0</v>
      </c>
      <c r="O131" s="14"/>
    </row>
    <row r="132" spans="1:15" x14ac:dyDescent="0.25">
      <c r="A132" s="2" t="s">
        <v>1304</v>
      </c>
      <c r="B132" s="3" t="s">
        <v>1097</v>
      </c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55">
        <v>0</v>
      </c>
      <c r="O132" s="14"/>
    </row>
    <row r="133" spans="1:15" x14ac:dyDescent="0.25">
      <c r="A133" s="2" t="s">
        <v>1305</v>
      </c>
      <c r="B133" s="3" t="s">
        <v>1073</v>
      </c>
      <c r="C133" s="14"/>
      <c r="D133" s="14"/>
      <c r="E133" s="14"/>
      <c r="F133" s="14" t="s">
        <v>1467</v>
      </c>
      <c r="G133" s="14"/>
      <c r="H133" s="14"/>
      <c r="I133" s="14"/>
      <c r="J133" s="14"/>
      <c r="K133" s="14"/>
      <c r="L133" s="14"/>
      <c r="M133" s="14"/>
      <c r="N133" s="155">
        <v>0</v>
      </c>
      <c r="O133" s="14"/>
    </row>
    <row r="134" spans="1:15" x14ac:dyDescent="0.25">
      <c r="A134" s="2" t="s">
        <v>1306</v>
      </c>
      <c r="B134" s="3" t="s">
        <v>1140</v>
      </c>
      <c r="C134" s="14" t="s">
        <v>1467</v>
      </c>
      <c r="D134" s="14" t="s">
        <v>1467</v>
      </c>
      <c r="E134" s="14" t="s">
        <v>1467</v>
      </c>
      <c r="F134" s="14" t="s">
        <v>3482</v>
      </c>
      <c r="G134" s="14" t="s">
        <v>1501</v>
      </c>
      <c r="H134" s="14" t="s">
        <v>1906</v>
      </c>
      <c r="I134" s="14" t="s">
        <v>1501</v>
      </c>
      <c r="J134" s="14" t="s">
        <v>1501</v>
      </c>
      <c r="K134" s="14"/>
      <c r="L134" s="14"/>
      <c r="M134" s="14"/>
      <c r="N134" s="155"/>
      <c r="O134" s="14" t="s">
        <v>3489</v>
      </c>
    </row>
    <row r="135" spans="1:15" x14ac:dyDescent="0.25">
      <c r="A135" s="2" t="s">
        <v>1307</v>
      </c>
      <c r="B135" s="3" t="s">
        <v>992</v>
      </c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55">
        <v>0</v>
      </c>
      <c r="O135" s="14"/>
    </row>
    <row r="136" spans="1:15" x14ac:dyDescent="0.25">
      <c r="A136" s="2" t="s">
        <v>1308</v>
      </c>
      <c r="B136" s="3" t="s">
        <v>1096</v>
      </c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55">
        <v>0</v>
      </c>
      <c r="O136" s="14"/>
    </row>
    <row r="137" spans="1:15" x14ac:dyDescent="0.25">
      <c r="A137" s="2" t="s">
        <v>1309</v>
      </c>
      <c r="B137" s="3" t="s">
        <v>1133</v>
      </c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55">
        <v>0</v>
      </c>
      <c r="O137" s="14"/>
    </row>
    <row r="138" spans="1:15" x14ac:dyDescent="0.25">
      <c r="A138" s="2" t="s">
        <v>1310</v>
      </c>
      <c r="B138" s="3" t="s">
        <v>1067</v>
      </c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55">
        <v>0</v>
      </c>
      <c r="O138" s="14"/>
    </row>
    <row r="139" spans="1:15" x14ac:dyDescent="0.25">
      <c r="A139" s="2" t="s">
        <v>1311</v>
      </c>
      <c r="B139" s="3" t="s">
        <v>2156</v>
      </c>
      <c r="C139" s="14" t="s">
        <v>2157</v>
      </c>
      <c r="D139" s="14" t="s">
        <v>1467</v>
      </c>
      <c r="E139" s="14" t="s">
        <v>1467</v>
      </c>
      <c r="F139" s="14" t="s">
        <v>2555</v>
      </c>
      <c r="G139" s="14" t="s">
        <v>1501</v>
      </c>
      <c r="H139" s="14" t="s">
        <v>1919</v>
      </c>
      <c r="I139" s="14" t="s">
        <v>1501</v>
      </c>
      <c r="J139" s="14" t="s">
        <v>1501</v>
      </c>
      <c r="K139" s="14"/>
      <c r="L139" s="14"/>
      <c r="M139" s="14"/>
      <c r="N139" s="155">
        <v>0</v>
      </c>
      <c r="O139" s="14"/>
    </row>
    <row r="140" spans="1:15" x14ac:dyDescent="0.25">
      <c r="A140" s="2" t="s">
        <v>1312</v>
      </c>
      <c r="B140" s="3" t="s">
        <v>930</v>
      </c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55">
        <v>0</v>
      </c>
      <c r="O140" s="14"/>
    </row>
    <row r="141" spans="1:15" x14ac:dyDescent="0.25">
      <c r="A141" s="2" t="s">
        <v>1313</v>
      </c>
      <c r="B141" s="3" t="s">
        <v>1094</v>
      </c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55">
        <v>0</v>
      </c>
      <c r="O141" s="14"/>
    </row>
    <row r="142" spans="1:15" x14ac:dyDescent="0.25">
      <c r="A142" s="2" t="s">
        <v>1314</v>
      </c>
      <c r="B142" s="3" t="s">
        <v>1158</v>
      </c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55">
        <v>0</v>
      </c>
      <c r="O142" s="14"/>
    </row>
    <row r="143" spans="1:15" x14ac:dyDescent="0.25">
      <c r="A143" s="2" t="s">
        <v>1315</v>
      </c>
      <c r="B143" s="3" t="s">
        <v>1128</v>
      </c>
      <c r="C143" s="14" t="s">
        <v>1467</v>
      </c>
      <c r="D143" s="14" t="s">
        <v>1467</v>
      </c>
      <c r="E143" s="14" t="s">
        <v>1467</v>
      </c>
      <c r="F143" s="14"/>
      <c r="G143" s="14" t="s">
        <v>1467</v>
      </c>
      <c r="H143" s="14" t="s">
        <v>1467</v>
      </c>
      <c r="I143" s="14" t="s">
        <v>1467</v>
      </c>
      <c r="J143" s="14" t="s">
        <v>1501</v>
      </c>
      <c r="K143" s="14"/>
      <c r="L143" s="14"/>
      <c r="M143" s="14"/>
      <c r="N143" s="155"/>
      <c r="O143" s="14" t="s">
        <v>3489</v>
      </c>
    </row>
    <row r="144" spans="1:15" x14ac:dyDescent="0.25">
      <c r="A144" s="2" t="s">
        <v>1316</v>
      </c>
      <c r="B144" s="3" t="s">
        <v>1063</v>
      </c>
      <c r="C144" s="14" t="s">
        <v>1467</v>
      </c>
      <c r="D144" s="14" t="s">
        <v>1467</v>
      </c>
      <c r="E144" s="14" t="s">
        <v>1467</v>
      </c>
      <c r="F144" s="14" t="s">
        <v>1467</v>
      </c>
      <c r="G144" s="14" t="s">
        <v>1467</v>
      </c>
      <c r="H144" s="14" t="s">
        <v>1467</v>
      </c>
      <c r="I144" s="14" t="s">
        <v>1467</v>
      </c>
      <c r="J144" s="14" t="s">
        <v>1445</v>
      </c>
      <c r="K144" s="14"/>
      <c r="L144" s="14"/>
      <c r="M144" s="14"/>
      <c r="N144" s="155"/>
      <c r="O144" s="14" t="s">
        <v>3490</v>
      </c>
    </row>
    <row r="145" spans="1:15" x14ac:dyDescent="0.25">
      <c r="A145" s="2" t="s">
        <v>1317</v>
      </c>
      <c r="B145" s="3" t="s">
        <v>1118</v>
      </c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55">
        <v>0</v>
      </c>
      <c r="O145" s="14"/>
    </row>
    <row r="146" spans="1:15" x14ac:dyDescent="0.25">
      <c r="A146" s="2" t="s">
        <v>1318</v>
      </c>
      <c r="B146" s="3" t="s">
        <v>1012</v>
      </c>
      <c r="C146" s="14" t="s">
        <v>1467</v>
      </c>
      <c r="D146" s="14" t="s">
        <v>1467</v>
      </c>
      <c r="E146" s="14" t="s">
        <v>1467</v>
      </c>
      <c r="F146" s="14"/>
      <c r="G146" s="14" t="s">
        <v>1501</v>
      </c>
      <c r="H146" s="14" t="s">
        <v>4178</v>
      </c>
      <c r="I146" s="14" t="s">
        <v>1501</v>
      </c>
      <c r="J146" s="14" t="s">
        <v>1501</v>
      </c>
      <c r="K146" s="14"/>
      <c r="L146" s="14"/>
      <c r="M146" s="14"/>
      <c r="N146" s="155"/>
      <c r="O146" s="14" t="s">
        <v>3487</v>
      </c>
    </row>
    <row r="147" spans="1:15" x14ac:dyDescent="0.25">
      <c r="A147" s="2" t="s">
        <v>1319</v>
      </c>
      <c r="B147" s="3" t="s">
        <v>1042</v>
      </c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55">
        <v>0</v>
      </c>
      <c r="O147" s="14"/>
    </row>
    <row r="148" spans="1:15" x14ac:dyDescent="0.25">
      <c r="A148" s="2" t="s">
        <v>1320</v>
      </c>
      <c r="B148" s="3" t="s">
        <v>3394</v>
      </c>
      <c r="C148" s="14" t="s">
        <v>1467</v>
      </c>
      <c r="D148" s="14" t="s">
        <v>1467</v>
      </c>
      <c r="E148" s="14" t="s">
        <v>1467</v>
      </c>
      <c r="F148" s="14" t="s">
        <v>1467</v>
      </c>
      <c r="G148" s="14" t="s">
        <v>1501</v>
      </c>
      <c r="H148" s="14" t="s">
        <v>3396</v>
      </c>
      <c r="I148" s="14" t="s">
        <v>1501</v>
      </c>
      <c r="J148" s="14" t="s">
        <v>1501</v>
      </c>
      <c r="K148" s="14"/>
      <c r="L148" s="14"/>
      <c r="M148" s="14"/>
      <c r="N148" s="155"/>
      <c r="O148" s="14" t="s">
        <v>3489</v>
      </c>
    </row>
    <row r="149" spans="1:15" x14ac:dyDescent="0.25">
      <c r="A149" s="2" t="s">
        <v>1321</v>
      </c>
      <c r="B149" s="3" t="s">
        <v>1053</v>
      </c>
      <c r="C149" s="14"/>
      <c r="D149" s="14"/>
      <c r="E149" s="14"/>
      <c r="F149" s="14" t="s">
        <v>1467</v>
      </c>
      <c r="G149" s="14"/>
      <c r="H149" s="14"/>
      <c r="I149" s="14"/>
      <c r="J149" s="14"/>
      <c r="K149" s="14"/>
      <c r="L149" s="14"/>
      <c r="M149" s="14"/>
      <c r="N149" s="155">
        <v>0</v>
      </c>
      <c r="O149" s="14"/>
    </row>
    <row r="150" spans="1:15" x14ac:dyDescent="0.25">
      <c r="A150" s="2" t="s">
        <v>1322</v>
      </c>
      <c r="B150" s="3" t="s">
        <v>2317</v>
      </c>
      <c r="C150" s="14" t="s">
        <v>1467</v>
      </c>
      <c r="D150" s="14" t="s">
        <v>1467</v>
      </c>
      <c r="E150" s="14" t="s">
        <v>1467</v>
      </c>
      <c r="F150" s="14"/>
      <c r="G150" s="14" t="s">
        <v>1501</v>
      </c>
      <c r="H150" s="14" t="s">
        <v>2651</v>
      </c>
      <c r="I150" s="14" t="s">
        <v>1501</v>
      </c>
      <c r="J150" s="14" t="s">
        <v>1501</v>
      </c>
      <c r="K150" s="14"/>
      <c r="L150" s="14"/>
      <c r="M150" s="14"/>
      <c r="N150" s="155"/>
      <c r="O150" s="14" t="s">
        <v>3489</v>
      </c>
    </row>
    <row r="151" spans="1:15" x14ac:dyDescent="0.25">
      <c r="A151" s="2" t="s">
        <v>1323</v>
      </c>
      <c r="B151" s="3" t="s">
        <v>995</v>
      </c>
      <c r="C151" s="14" t="s">
        <v>1467</v>
      </c>
      <c r="D151" s="14" t="s">
        <v>1467</v>
      </c>
      <c r="E151" s="14" t="s">
        <v>1467</v>
      </c>
      <c r="F151" s="14" t="s">
        <v>4178</v>
      </c>
      <c r="G151" s="14" t="s">
        <v>1501</v>
      </c>
      <c r="H151" s="14" t="s">
        <v>1983</v>
      </c>
      <c r="I151" s="14" t="s">
        <v>1501</v>
      </c>
      <c r="J151" s="14" t="s">
        <v>1501</v>
      </c>
      <c r="K151" s="14"/>
      <c r="L151" s="14"/>
      <c r="M151" s="14"/>
      <c r="N151" s="155">
        <v>0</v>
      </c>
      <c r="O151" s="14"/>
    </row>
    <row r="152" spans="1:15" x14ac:dyDescent="0.25">
      <c r="A152" s="2" t="s">
        <v>1324</v>
      </c>
      <c r="B152" s="3" t="s">
        <v>999</v>
      </c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55">
        <v>0</v>
      </c>
      <c r="O152" s="14"/>
    </row>
    <row r="153" spans="1:15" x14ac:dyDescent="0.25">
      <c r="A153" s="2" t="s">
        <v>1325</v>
      </c>
      <c r="B153" s="3" t="s">
        <v>1050</v>
      </c>
      <c r="C153" s="14"/>
      <c r="D153" s="14"/>
      <c r="E153" s="14"/>
      <c r="F153" s="14" t="s">
        <v>3395</v>
      </c>
      <c r="G153" s="14"/>
      <c r="H153" s="14"/>
      <c r="I153" s="14"/>
      <c r="J153" s="14"/>
      <c r="K153" s="14"/>
      <c r="L153" s="14"/>
      <c r="M153" s="14"/>
      <c r="N153" s="155">
        <v>0</v>
      </c>
      <c r="O153" s="14"/>
    </row>
    <row r="154" spans="1:15" x14ac:dyDescent="0.25">
      <c r="A154" s="2" t="s">
        <v>1326</v>
      </c>
      <c r="B154" s="3" t="s">
        <v>969</v>
      </c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55">
        <v>0</v>
      </c>
      <c r="O154" s="14"/>
    </row>
    <row r="155" spans="1:15" x14ac:dyDescent="0.25">
      <c r="A155" s="2" t="s">
        <v>1327</v>
      </c>
      <c r="B155" s="3" t="s">
        <v>953</v>
      </c>
      <c r="C155" s="14"/>
      <c r="D155" s="14"/>
      <c r="E155" s="14"/>
      <c r="F155" s="14" t="s">
        <v>2650</v>
      </c>
      <c r="G155" s="14"/>
      <c r="H155" s="14"/>
      <c r="I155" s="14"/>
      <c r="J155" s="14"/>
      <c r="K155" s="14"/>
      <c r="L155" s="14"/>
      <c r="M155" s="14"/>
      <c r="N155" s="155">
        <v>0</v>
      </c>
      <c r="O155" s="14"/>
    </row>
    <row r="156" spans="1:15" x14ac:dyDescent="0.25">
      <c r="A156" s="2" t="s">
        <v>1328</v>
      </c>
      <c r="B156" s="3" t="s">
        <v>2153</v>
      </c>
      <c r="C156" s="14" t="s">
        <v>2154</v>
      </c>
      <c r="D156" s="14" t="s">
        <v>1467</v>
      </c>
      <c r="E156" s="14" t="s">
        <v>1467</v>
      </c>
      <c r="F156" s="14" t="s">
        <v>1982</v>
      </c>
      <c r="G156" s="14" t="s">
        <v>1501</v>
      </c>
      <c r="H156" s="14" t="s">
        <v>2332</v>
      </c>
      <c r="I156" s="14" t="s">
        <v>1501</v>
      </c>
      <c r="J156" s="14" t="s">
        <v>1501</v>
      </c>
      <c r="K156" s="14"/>
      <c r="L156" s="14"/>
      <c r="M156" s="14"/>
      <c r="N156" s="155"/>
      <c r="O156" s="14" t="s">
        <v>3487</v>
      </c>
    </row>
    <row r="157" spans="1:15" x14ac:dyDescent="0.25">
      <c r="A157" s="2" t="s">
        <v>1329</v>
      </c>
      <c r="B157" s="3" t="s">
        <v>1041</v>
      </c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55">
        <v>0</v>
      </c>
      <c r="O157" s="14"/>
    </row>
    <row r="158" spans="1:15" x14ac:dyDescent="0.25">
      <c r="A158" s="2" t="s">
        <v>1330</v>
      </c>
      <c r="B158" s="3" t="s">
        <v>929</v>
      </c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55">
        <v>0</v>
      </c>
      <c r="O158" s="14"/>
    </row>
    <row r="159" spans="1:15" x14ac:dyDescent="0.25">
      <c r="A159" s="2" t="s">
        <v>1331</v>
      </c>
      <c r="B159" s="3" t="s">
        <v>1122</v>
      </c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55">
        <v>0</v>
      </c>
      <c r="O159" s="14"/>
    </row>
    <row r="160" spans="1:15" x14ac:dyDescent="0.25">
      <c r="A160" s="2" t="s">
        <v>1332</v>
      </c>
      <c r="B160" s="3" t="s">
        <v>964</v>
      </c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55">
        <v>0</v>
      </c>
      <c r="O160" s="14"/>
    </row>
    <row r="161" spans="1:15" x14ac:dyDescent="0.25">
      <c r="A161" s="2" t="s">
        <v>1333</v>
      </c>
      <c r="B161" s="3" t="s">
        <v>959</v>
      </c>
      <c r="C161" s="14" t="s">
        <v>1467</v>
      </c>
      <c r="D161" s="14" t="s">
        <v>1467</v>
      </c>
      <c r="E161" s="14" t="s">
        <v>1467</v>
      </c>
      <c r="F161" s="14" t="s">
        <v>2155</v>
      </c>
      <c r="G161" s="14" t="s">
        <v>1501</v>
      </c>
      <c r="H161" s="14" t="s">
        <v>1467</v>
      </c>
      <c r="I161" s="14" t="s">
        <v>1467</v>
      </c>
      <c r="J161" s="14" t="s">
        <v>1501</v>
      </c>
      <c r="K161" s="14"/>
      <c r="L161" s="14"/>
      <c r="M161" s="14"/>
      <c r="N161" s="155"/>
      <c r="O161" s="14" t="s">
        <v>1467</v>
      </c>
    </row>
    <row r="162" spans="1:15" x14ac:dyDescent="0.25">
      <c r="A162" s="2" t="s">
        <v>1334</v>
      </c>
      <c r="B162" s="3" t="s">
        <v>946</v>
      </c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55">
        <v>0</v>
      </c>
      <c r="O162" s="14"/>
    </row>
    <row r="163" spans="1:15" x14ac:dyDescent="0.25">
      <c r="A163" s="2" t="s">
        <v>1335</v>
      </c>
      <c r="B163" s="3" t="s">
        <v>4277</v>
      </c>
      <c r="C163" s="14" t="s">
        <v>1467</v>
      </c>
      <c r="D163" s="14" t="s">
        <v>1467</v>
      </c>
      <c r="E163" s="14" t="s">
        <v>1467</v>
      </c>
      <c r="F163" s="14"/>
      <c r="G163" s="14" t="s">
        <v>1501</v>
      </c>
      <c r="H163" s="14" t="s">
        <v>4279</v>
      </c>
      <c r="I163" s="14" t="s">
        <v>1501</v>
      </c>
      <c r="J163" s="14" t="s">
        <v>1501</v>
      </c>
      <c r="K163" s="14"/>
      <c r="L163" s="14"/>
      <c r="M163" s="14"/>
      <c r="N163" s="155"/>
      <c r="O163" s="14" t="s">
        <v>3489</v>
      </c>
    </row>
    <row r="164" spans="1:15" x14ac:dyDescent="0.25">
      <c r="A164" s="2" t="s">
        <v>1336</v>
      </c>
      <c r="B164" s="3" t="s">
        <v>979</v>
      </c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55">
        <v>0</v>
      </c>
      <c r="O164" s="14"/>
    </row>
    <row r="165" spans="1:15" x14ac:dyDescent="0.25">
      <c r="A165" s="2" t="s">
        <v>1337</v>
      </c>
      <c r="B165" s="3" t="s">
        <v>945</v>
      </c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55">
        <v>0</v>
      </c>
      <c r="O165" s="14"/>
    </row>
    <row r="166" spans="1:15" x14ac:dyDescent="0.25">
      <c r="A166" s="2" t="s">
        <v>1338</v>
      </c>
      <c r="B166" s="3" t="s">
        <v>1105</v>
      </c>
      <c r="C166" s="14"/>
      <c r="D166" s="14"/>
      <c r="E166" s="14"/>
      <c r="F166" s="14" t="s">
        <v>5602</v>
      </c>
      <c r="G166" s="14"/>
      <c r="H166" s="14"/>
      <c r="I166" s="14"/>
      <c r="J166" s="14"/>
      <c r="K166" s="14"/>
      <c r="L166" s="14"/>
      <c r="M166" s="14"/>
      <c r="N166" s="155">
        <v>0</v>
      </c>
      <c r="O166" s="14"/>
    </row>
    <row r="167" spans="1:15" x14ac:dyDescent="0.25">
      <c r="A167" s="2" t="s">
        <v>1339</v>
      </c>
      <c r="B167" s="3" t="s">
        <v>1085</v>
      </c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55">
        <v>0</v>
      </c>
      <c r="O167" s="14"/>
    </row>
    <row r="168" spans="1:15" x14ac:dyDescent="0.25">
      <c r="A168" s="2" t="s">
        <v>1340</v>
      </c>
      <c r="B168" s="3" t="s">
        <v>967</v>
      </c>
      <c r="C168" s="14"/>
      <c r="D168" s="14"/>
      <c r="E168" s="14"/>
      <c r="F168" s="14" t="s">
        <v>4278</v>
      </c>
      <c r="G168" s="14"/>
      <c r="H168" s="14"/>
      <c r="I168" s="14"/>
      <c r="J168" s="14"/>
      <c r="K168" s="14"/>
      <c r="L168" s="14"/>
      <c r="M168" s="14"/>
      <c r="N168" s="155">
        <v>0</v>
      </c>
      <c r="O168" s="14"/>
    </row>
    <row r="169" spans="1:15" x14ac:dyDescent="0.25">
      <c r="A169" s="2" t="s">
        <v>1341</v>
      </c>
      <c r="B169" s="3" t="s">
        <v>1028</v>
      </c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55">
        <v>0</v>
      </c>
      <c r="O169" s="14"/>
    </row>
    <row r="170" spans="1:15" x14ac:dyDescent="0.25">
      <c r="A170" s="2" t="s">
        <v>1342</v>
      </c>
      <c r="B170" s="3" t="s">
        <v>1120</v>
      </c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55">
        <v>0</v>
      </c>
      <c r="O170" s="14"/>
    </row>
    <row r="171" spans="1:15" x14ac:dyDescent="0.25">
      <c r="A171" s="2" t="s">
        <v>1343</v>
      </c>
      <c r="B171" s="3" t="s">
        <v>982</v>
      </c>
      <c r="C171" s="14" t="s">
        <v>1467</v>
      </c>
      <c r="D171" s="14" t="s">
        <v>1467</v>
      </c>
      <c r="E171" s="14" t="s">
        <v>1467</v>
      </c>
      <c r="F171" s="14"/>
      <c r="G171" s="14" t="s">
        <v>1501</v>
      </c>
      <c r="H171" s="14" t="s">
        <v>1467</v>
      </c>
      <c r="I171" s="14" t="s">
        <v>1501</v>
      </c>
      <c r="J171" s="14" t="s">
        <v>1501</v>
      </c>
      <c r="K171" s="14"/>
      <c r="L171" s="14"/>
      <c r="M171" s="14"/>
      <c r="N171" s="155"/>
      <c r="O171" s="14"/>
    </row>
    <row r="172" spans="1:15" x14ac:dyDescent="0.25">
      <c r="A172" s="2" t="s">
        <v>1344</v>
      </c>
      <c r="B172" s="3" t="s">
        <v>1998</v>
      </c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55">
        <v>0</v>
      </c>
      <c r="O172" s="14"/>
    </row>
    <row r="173" spans="1:15" x14ac:dyDescent="0.25">
      <c r="A173" s="2" t="s">
        <v>1345</v>
      </c>
      <c r="B173" s="3" t="s">
        <v>1068</v>
      </c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55">
        <v>0</v>
      </c>
      <c r="O173" s="14"/>
    </row>
    <row r="174" spans="1:15" x14ac:dyDescent="0.25">
      <c r="A174" s="2" t="s">
        <v>1346</v>
      </c>
      <c r="B174" s="3" t="s">
        <v>1130</v>
      </c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55">
        <v>0</v>
      </c>
      <c r="O174" s="14"/>
    </row>
    <row r="175" spans="1:15" x14ac:dyDescent="0.25">
      <c r="A175" s="2" t="s">
        <v>1347</v>
      </c>
      <c r="B175" s="6" t="s">
        <v>1069</v>
      </c>
      <c r="C175" s="14" t="s">
        <v>1467</v>
      </c>
      <c r="D175" s="14" t="s">
        <v>1467</v>
      </c>
      <c r="E175" s="14" t="s">
        <v>1467</v>
      </c>
      <c r="F175" s="14"/>
      <c r="G175" s="14" t="s">
        <v>1501</v>
      </c>
      <c r="H175" s="14" t="s">
        <v>1467</v>
      </c>
      <c r="I175" s="14" t="s">
        <v>1467</v>
      </c>
      <c r="J175" s="14" t="s">
        <v>1501</v>
      </c>
      <c r="K175" s="14"/>
      <c r="L175" s="14"/>
      <c r="M175" s="14"/>
      <c r="N175" s="155"/>
      <c r="O175" s="14" t="s">
        <v>3487</v>
      </c>
    </row>
    <row r="176" spans="1:15" x14ac:dyDescent="0.25">
      <c r="A176" s="2" t="s">
        <v>1348</v>
      </c>
      <c r="B176" s="3" t="s">
        <v>1112</v>
      </c>
      <c r="C176" s="14"/>
      <c r="D176" s="14"/>
      <c r="E176" s="14"/>
      <c r="F176" s="14" t="s">
        <v>2667</v>
      </c>
      <c r="G176" s="14"/>
      <c r="H176" s="14"/>
      <c r="I176" s="14"/>
      <c r="J176" s="14"/>
      <c r="K176" s="14"/>
      <c r="L176" s="14"/>
      <c r="M176" s="14"/>
      <c r="N176" s="155">
        <v>0</v>
      </c>
      <c r="O176" s="14"/>
    </row>
    <row r="177" spans="1:15" x14ac:dyDescent="0.25">
      <c r="A177" s="2" t="s">
        <v>1349</v>
      </c>
      <c r="B177" s="3" t="s">
        <v>973</v>
      </c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55">
        <v>0</v>
      </c>
      <c r="O177" s="14"/>
    </row>
    <row r="178" spans="1:15" x14ac:dyDescent="0.25">
      <c r="A178" s="2" t="s">
        <v>1350</v>
      </c>
      <c r="B178" s="3" t="s">
        <v>1138</v>
      </c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55">
        <v>0</v>
      </c>
      <c r="O178" s="14"/>
    </row>
    <row r="179" spans="1:15" x14ac:dyDescent="0.25">
      <c r="A179" s="2" t="s">
        <v>1351</v>
      </c>
      <c r="B179" s="3" t="s">
        <v>1014</v>
      </c>
      <c r="C179" s="14" t="s">
        <v>1467</v>
      </c>
      <c r="D179" s="14" t="s">
        <v>1467</v>
      </c>
      <c r="E179" s="14" t="s">
        <v>1467</v>
      </c>
      <c r="F179" s="14"/>
      <c r="G179" s="14" t="s">
        <v>1501</v>
      </c>
      <c r="H179" s="14" t="s">
        <v>1467</v>
      </c>
      <c r="I179" s="14" t="s">
        <v>1467</v>
      </c>
      <c r="J179" s="14" t="s">
        <v>1501</v>
      </c>
      <c r="K179" s="14"/>
      <c r="L179" s="14"/>
      <c r="M179" s="14"/>
      <c r="N179" s="155"/>
      <c r="O179" s="14" t="s">
        <v>3489</v>
      </c>
    </row>
    <row r="180" spans="1:15" x14ac:dyDescent="0.25">
      <c r="A180" s="2" t="s">
        <v>1352</v>
      </c>
      <c r="B180" s="3" t="s">
        <v>961</v>
      </c>
      <c r="C180" s="14" t="s">
        <v>1467</v>
      </c>
      <c r="D180" s="14" t="s">
        <v>1467</v>
      </c>
      <c r="E180" s="14" t="s">
        <v>1467</v>
      </c>
      <c r="F180" s="14" t="s">
        <v>5231</v>
      </c>
      <c r="G180" s="14" t="s">
        <v>1501</v>
      </c>
      <c r="H180" s="14" t="s">
        <v>2272</v>
      </c>
      <c r="I180" s="14" t="s">
        <v>1501</v>
      </c>
      <c r="J180" s="14" t="s">
        <v>1501</v>
      </c>
      <c r="K180" s="14"/>
      <c r="L180" s="14"/>
      <c r="M180" s="14"/>
      <c r="N180" s="155">
        <v>0</v>
      </c>
      <c r="O180" s="14"/>
    </row>
    <row r="181" spans="1:15" x14ac:dyDescent="0.25">
      <c r="A181" s="2" t="s">
        <v>1353</v>
      </c>
      <c r="B181" s="3" t="s">
        <v>1001</v>
      </c>
      <c r="C181" s="14" t="s">
        <v>1467</v>
      </c>
      <c r="D181" s="14" t="s">
        <v>1467</v>
      </c>
      <c r="E181" s="14" t="s">
        <v>1467</v>
      </c>
      <c r="F181" s="14"/>
      <c r="G181" s="14" t="s">
        <v>1467</v>
      </c>
      <c r="H181" s="14" t="s">
        <v>1467</v>
      </c>
      <c r="I181" s="14" t="s">
        <v>1467</v>
      </c>
      <c r="J181" s="14" t="s">
        <v>1501</v>
      </c>
      <c r="K181" s="14"/>
      <c r="L181" s="14"/>
      <c r="M181" s="14"/>
      <c r="N181" s="155"/>
      <c r="O181" s="14" t="s">
        <v>3489</v>
      </c>
    </row>
    <row r="182" spans="1:15" x14ac:dyDescent="0.25">
      <c r="A182" s="2" t="s">
        <v>1354</v>
      </c>
      <c r="B182" s="3" t="s">
        <v>1074</v>
      </c>
      <c r="C182" s="14" t="s">
        <v>1467</v>
      </c>
      <c r="D182" s="14" t="s">
        <v>1467</v>
      </c>
      <c r="E182" s="14" t="s">
        <v>1467</v>
      </c>
      <c r="F182" s="14"/>
      <c r="G182" s="14" t="s">
        <v>1467</v>
      </c>
      <c r="H182" s="14" t="s">
        <v>1467</v>
      </c>
      <c r="I182" s="14" t="s">
        <v>1467</v>
      </c>
      <c r="J182" s="14" t="s">
        <v>1501</v>
      </c>
      <c r="K182" s="14"/>
      <c r="L182" s="14"/>
      <c r="M182" s="14"/>
      <c r="N182" s="155"/>
      <c r="O182" s="14" t="s">
        <v>1467</v>
      </c>
    </row>
    <row r="183" spans="1:15" x14ac:dyDescent="0.25">
      <c r="A183" s="2" t="s">
        <v>1355</v>
      </c>
      <c r="B183" s="3" t="s">
        <v>1123</v>
      </c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55">
        <v>0</v>
      </c>
      <c r="O183" s="14"/>
    </row>
    <row r="184" spans="1:15" x14ac:dyDescent="0.25">
      <c r="A184" s="2" t="s">
        <v>1356</v>
      </c>
      <c r="B184" s="3" t="s">
        <v>1030</v>
      </c>
      <c r="C184" s="14"/>
      <c r="D184" s="14"/>
      <c r="E184" s="14"/>
      <c r="F184" s="14" t="s">
        <v>4220</v>
      </c>
      <c r="G184" s="14"/>
      <c r="H184" s="14"/>
      <c r="I184" s="14"/>
      <c r="J184" s="14"/>
      <c r="K184" s="14"/>
      <c r="L184" s="14"/>
      <c r="M184" s="14"/>
      <c r="N184" s="155">
        <v>0</v>
      </c>
      <c r="O184" s="14"/>
    </row>
    <row r="185" spans="1:15" x14ac:dyDescent="0.25">
      <c r="A185" s="2" t="s">
        <v>1357</v>
      </c>
      <c r="B185" s="3" t="s">
        <v>1991</v>
      </c>
      <c r="C185" s="14"/>
      <c r="D185" s="14"/>
      <c r="E185" s="14"/>
      <c r="F185" s="14" t="s">
        <v>2271</v>
      </c>
      <c r="G185" s="14"/>
      <c r="H185" s="14"/>
      <c r="I185" s="14"/>
      <c r="J185" s="14"/>
      <c r="K185" s="14"/>
      <c r="L185" s="14"/>
      <c r="M185" s="14"/>
      <c r="N185" s="155">
        <v>0</v>
      </c>
      <c r="O185" s="14"/>
    </row>
    <row r="186" spans="1:15" x14ac:dyDescent="0.25">
      <c r="A186" s="2" t="s">
        <v>1358</v>
      </c>
      <c r="B186" s="3" t="s">
        <v>981</v>
      </c>
      <c r="C186" s="14"/>
      <c r="D186" s="14"/>
      <c r="E186" s="14"/>
      <c r="F186" s="14" t="s">
        <v>1467</v>
      </c>
      <c r="G186" s="14"/>
      <c r="H186" s="14"/>
      <c r="I186" s="14"/>
      <c r="J186" s="14"/>
      <c r="K186" s="14"/>
      <c r="L186" s="14"/>
      <c r="M186" s="14"/>
      <c r="N186" s="155">
        <v>0</v>
      </c>
      <c r="O186" s="14"/>
    </row>
    <row r="187" spans="1:15" x14ac:dyDescent="0.25">
      <c r="A187" s="2" t="s">
        <v>1359</v>
      </c>
      <c r="B187" s="3" t="s">
        <v>1051</v>
      </c>
      <c r="C187" s="14" t="s">
        <v>1467</v>
      </c>
      <c r="D187" s="14" t="s">
        <v>1467</v>
      </c>
      <c r="E187" s="14" t="s">
        <v>1467</v>
      </c>
      <c r="F187" s="14" t="s">
        <v>1467</v>
      </c>
      <c r="G187" s="14" t="s">
        <v>1501</v>
      </c>
      <c r="H187" s="14" t="s">
        <v>2690</v>
      </c>
      <c r="I187" s="14" t="s">
        <v>1501</v>
      </c>
      <c r="J187" s="14" t="s">
        <v>1501</v>
      </c>
      <c r="K187" s="14"/>
      <c r="L187" s="14"/>
      <c r="M187" s="14"/>
      <c r="N187" s="155"/>
      <c r="O187" s="14" t="s">
        <v>3489</v>
      </c>
    </row>
    <row r="188" spans="1:15" x14ac:dyDescent="0.25">
      <c r="A188" s="2" t="s">
        <v>1360</v>
      </c>
      <c r="B188" s="3" t="s">
        <v>1027</v>
      </c>
      <c r="C188" s="14" t="s">
        <v>1467</v>
      </c>
      <c r="D188" s="14" t="s">
        <v>1467</v>
      </c>
      <c r="E188" s="14" t="s">
        <v>1467</v>
      </c>
      <c r="F188" s="14"/>
      <c r="G188" s="14" t="s">
        <v>1501</v>
      </c>
      <c r="H188" s="14" t="s">
        <v>1500</v>
      </c>
      <c r="I188" s="14" t="s">
        <v>1501</v>
      </c>
      <c r="J188" s="14" t="s">
        <v>1467</v>
      </c>
      <c r="K188" s="14"/>
      <c r="L188" s="14"/>
      <c r="M188" s="14"/>
      <c r="N188" s="155">
        <v>0</v>
      </c>
      <c r="O188" s="14"/>
    </row>
    <row r="189" spans="1:15" x14ac:dyDescent="0.25">
      <c r="A189" s="2" t="s">
        <v>1361</v>
      </c>
      <c r="B189" s="3" t="s">
        <v>1153</v>
      </c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55">
        <v>0</v>
      </c>
      <c r="O189" s="14"/>
    </row>
    <row r="190" spans="1:15" x14ac:dyDescent="0.25">
      <c r="A190" s="2" t="s">
        <v>1362</v>
      </c>
      <c r="B190" s="3" t="s">
        <v>1141</v>
      </c>
      <c r="C190" s="14" t="s">
        <v>1467</v>
      </c>
      <c r="D190" s="14" t="s">
        <v>1467</v>
      </c>
      <c r="E190" s="14" t="s">
        <v>1467</v>
      </c>
      <c r="F190" s="14"/>
      <c r="G190" s="14" t="s">
        <v>1501</v>
      </c>
      <c r="H190" s="14" t="s">
        <v>1467</v>
      </c>
      <c r="I190" s="14" t="s">
        <v>1467</v>
      </c>
      <c r="J190" s="14" t="s">
        <v>1501</v>
      </c>
      <c r="K190" s="14"/>
      <c r="L190" s="14"/>
      <c r="M190" s="14"/>
      <c r="N190" s="155"/>
      <c r="O190" s="14" t="s">
        <v>1467</v>
      </c>
    </row>
    <row r="191" spans="1:15" x14ac:dyDescent="0.25">
      <c r="A191" s="2" t="s">
        <v>1363</v>
      </c>
      <c r="B191" s="3" t="s">
        <v>1038</v>
      </c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55">
        <v>0</v>
      </c>
      <c r="O191" s="14"/>
    </row>
    <row r="192" spans="1:15" x14ac:dyDescent="0.25">
      <c r="A192" s="2" t="s">
        <v>1364</v>
      </c>
      <c r="B192" s="3" t="s">
        <v>957</v>
      </c>
      <c r="C192" s="14"/>
      <c r="D192" s="14"/>
      <c r="E192" s="14"/>
      <c r="F192" s="14" t="s">
        <v>2690</v>
      </c>
      <c r="G192" s="14"/>
      <c r="H192" s="14"/>
      <c r="I192" s="14"/>
      <c r="J192" s="14"/>
      <c r="K192" s="14"/>
      <c r="L192" s="14"/>
      <c r="M192" s="14"/>
      <c r="N192" s="155">
        <v>0</v>
      </c>
      <c r="O192" s="14"/>
    </row>
    <row r="193" spans="1:15" x14ac:dyDescent="0.25">
      <c r="A193" s="2" t="s">
        <v>1365</v>
      </c>
      <c r="B193" s="3" t="s">
        <v>978</v>
      </c>
      <c r="C193" s="14"/>
      <c r="D193" s="14"/>
      <c r="E193" s="14"/>
      <c r="F193" s="14" t="s">
        <v>1500</v>
      </c>
      <c r="G193" s="14"/>
      <c r="H193" s="14"/>
      <c r="I193" s="14"/>
      <c r="J193" s="14"/>
      <c r="K193" s="14"/>
      <c r="L193" s="14"/>
      <c r="M193" s="14"/>
      <c r="N193" s="155">
        <v>0</v>
      </c>
      <c r="O193" s="14"/>
    </row>
    <row r="194" spans="1:15" x14ac:dyDescent="0.25">
      <c r="A194" s="2" t="s">
        <v>1366</v>
      </c>
      <c r="B194" s="3" t="s">
        <v>1108</v>
      </c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55">
        <v>0</v>
      </c>
      <c r="O194" s="14"/>
    </row>
    <row r="195" spans="1:15" x14ac:dyDescent="0.25">
      <c r="A195" s="2" t="s">
        <v>1367</v>
      </c>
      <c r="B195" s="3" t="s">
        <v>2160</v>
      </c>
      <c r="C195" s="14" t="s">
        <v>2161</v>
      </c>
      <c r="D195" s="14" t="s">
        <v>1467</v>
      </c>
      <c r="E195" s="14" t="s">
        <v>1467</v>
      </c>
      <c r="F195" s="14" t="s">
        <v>5387</v>
      </c>
      <c r="G195" s="14" t="s">
        <v>1467</v>
      </c>
      <c r="H195" s="14" t="s">
        <v>1467</v>
      </c>
      <c r="I195" s="14" t="s">
        <v>1467</v>
      </c>
      <c r="J195" s="14" t="s">
        <v>1849</v>
      </c>
      <c r="K195" s="14"/>
      <c r="L195" s="14"/>
      <c r="M195" s="14"/>
      <c r="N195" s="155"/>
      <c r="O195" s="14"/>
    </row>
    <row r="196" spans="1:15" x14ac:dyDescent="0.25">
      <c r="A196" s="2" t="s">
        <v>1368</v>
      </c>
      <c r="B196" s="3" t="s">
        <v>2387</v>
      </c>
      <c r="C196" s="14" t="s">
        <v>1467</v>
      </c>
      <c r="D196" s="14" t="s">
        <v>1467</v>
      </c>
      <c r="E196" s="14" t="s">
        <v>1467</v>
      </c>
      <c r="F196" s="14"/>
      <c r="G196" s="14" t="s">
        <v>1501</v>
      </c>
      <c r="H196" s="14" t="s">
        <v>1467</v>
      </c>
      <c r="I196" s="14" t="s">
        <v>1467</v>
      </c>
      <c r="J196" s="14" t="s">
        <v>1501</v>
      </c>
      <c r="K196" s="14"/>
      <c r="L196" s="14"/>
      <c r="M196" s="14"/>
      <c r="N196" s="155"/>
      <c r="O196" s="14" t="s">
        <v>3487</v>
      </c>
    </row>
    <row r="197" spans="1:15" x14ac:dyDescent="0.25">
      <c r="A197" s="2" t="s">
        <v>1369</v>
      </c>
      <c r="B197" s="3" t="s">
        <v>1145</v>
      </c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55">
        <v>0</v>
      </c>
      <c r="O197" s="14"/>
    </row>
    <row r="198" spans="1:15" x14ac:dyDescent="0.25">
      <c r="A198" s="2" t="s">
        <v>1370</v>
      </c>
      <c r="B198" s="3" t="s">
        <v>1121</v>
      </c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55">
        <v>0</v>
      </c>
      <c r="O198" s="14"/>
    </row>
    <row r="199" spans="1:15" x14ac:dyDescent="0.25">
      <c r="A199" s="2" t="s">
        <v>1371</v>
      </c>
      <c r="B199" s="3" t="s">
        <v>1020</v>
      </c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55">
        <v>0</v>
      </c>
      <c r="O199" s="14"/>
    </row>
    <row r="200" spans="1:15" x14ac:dyDescent="0.25">
      <c r="A200" s="2" t="s">
        <v>1372</v>
      </c>
      <c r="B200" s="3" t="s">
        <v>1018</v>
      </c>
      <c r="C200" s="14"/>
      <c r="D200" s="14"/>
      <c r="E200" s="14"/>
      <c r="F200" s="14" t="s">
        <v>1467</v>
      </c>
      <c r="G200" s="14"/>
      <c r="H200" s="14"/>
      <c r="I200" s="14"/>
      <c r="J200" s="14"/>
      <c r="K200" s="14"/>
      <c r="L200" s="14"/>
      <c r="M200" s="14"/>
      <c r="N200" s="155">
        <v>0</v>
      </c>
      <c r="O200" s="14"/>
    </row>
    <row r="201" spans="1:15" x14ac:dyDescent="0.25">
      <c r="A201" s="2" t="s">
        <v>1373</v>
      </c>
      <c r="B201" s="3" t="s">
        <v>1111</v>
      </c>
      <c r="C201" s="14"/>
      <c r="D201" s="14"/>
      <c r="E201" s="14"/>
      <c r="F201" s="14" t="s">
        <v>4215</v>
      </c>
      <c r="G201" s="14"/>
      <c r="H201" s="14"/>
      <c r="I201" s="14"/>
      <c r="J201" s="14"/>
      <c r="K201" s="14"/>
      <c r="L201" s="14"/>
      <c r="M201" s="14"/>
      <c r="N201" s="155">
        <v>0</v>
      </c>
      <c r="O201" s="14"/>
    </row>
    <row r="202" spans="1:15" x14ac:dyDescent="0.25">
      <c r="A202" s="2" t="s">
        <v>1374</v>
      </c>
      <c r="B202" s="3" t="s">
        <v>1015</v>
      </c>
      <c r="C202" s="14" t="s">
        <v>1467</v>
      </c>
      <c r="D202" s="14" t="s">
        <v>1467</v>
      </c>
      <c r="E202" s="14" t="s">
        <v>1467</v>
      </c>
      <c r="F202" s="14"/>
      <c r="G202" s="14" t="s">
        <v>1501</v>
      </c>
      <c r="H202" s="14" t="s">
        <v>1467</v>
      </c>
      <c r="I202" s="14" t="s">
        <v>1467</v>
      </c>
      <c r="J202" s="14" t="s">
        <v>1501</v>
      </c>
      <c r="K202" s="14"/>
      <c r="L202" s="14"/>
      <c r="M202" s="14"/>
      <c r="N202" s="155"/>
      <c r="O202" s="14" t="s">
        <v>3489</v>
      </c>
    </row>
    <row r="203" spans="1:15" x14ac:dyDescent="0.25">
      <c r="A203" s="2" t="s">
        <v>1375</v>
      </c>
      <c r="B203" s="3" t="s">
        <v>1143</v>
      </c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55">
        <v>0</v>
      </c>
      <c r="O203" s="14"/>
    </row>
    <row r="204" spans="1:15" x14ac:dyDescent="0.25">
      <c r="A204" s="2" t="s">
        <v>1376</v>
      </c>
      <c r="B204" s="3" t="s">
        <v>1149</v>
      </c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55">
        <v>0</v>
      </c>
      <c r="O204" s="14"/>
    </row>
    <row r="205" spans="1:15" x14ac:dyDescent="0.25">
      <c r="A205" s="2" t="s">
        <v>1377</v>
      </c>
      <c r="B205" s="3" t="s">
        <v>984</v>
      </c>
      <c r="C205" s="14" t="s">
        <v>1467</v>
      </c>
      <c r="D205" s="14" t="s">
        <v>1467</v>
      </c>
      <c r="E205" s="14" t="s">
        <v>1467</v>
      </c>
      <c r="F205" s="14"/>
      <c r="G205" s="14" t="s">
        <v>1467</v>
      </c>
      <c r="H205" s="14" t="s">
        <v>1467</v>
      </c>
      <c r="I205" s="14" t="s">
        <v>1467</v>
      </c>
      <c r="J205" s="14" t="s">
        <v>1501</v>
      </c>
      <c r="K205" s="14"/>
      <c r="L205" s="14"/>
      <c r="M205" s="14"/>
      <c r="N205" s="155"/>
      <c r="O205" s="14" t="s">
        <v>3489</v>
      </c>
    </row>
    <row r="206" spans="1:15" x14ac:dyDescent="0.25">
      <c r="A206" s="2" t="s">
        <v>1378</v>
      </c>
      <c r="B206" s="3" t="s">
        <v>1054</v>
      </c>
      <c r="C206" s="14" t="s">
        <v>1467</v>
      </c>
      <c r="D206" s="14" t="s">
        <v>1467</v>
      </c>
      <c r="E206" s="14" t="s">
        <v>1467</v>
      </c>
      <c r="F206" s="14"/>
      <c r="G206" s="14" t="s">
        <v>1467</v>
      </c>
      <c r="H206" s="14" t="s">
        <v>1467</v>
      </c>
      <c r="I206" s="14" t="s">
        <v>1467</v>
      </c>
      <c r="J206" s="14" t="s">
        <v>1501</v>
      </c>
      <c r="K206" s="14"/>
      <c r="L206" s="14"/>
      <c r="M206" s="14"/>
      <c r="N206" s="155"/>
      <c r="O206" s="14"/>
    </row>
    <row r="207" spans="1:15" x14ac:dyDescent="0.25">
      <c r="A207" s="2" t="s">
        <v>1379</v>
      </c>
      <c r="B207" s="3" t="s">
        <v>1091</v>
      </c>
      <c r="C207" s="14"/>
      <c r="D207" s="14"/>
      <c r="E207" s="14"/>
      <c r="F207" s="14" t="s">
        <v>4216</v>
      </c>
      <c r="G207" s="14"/>
      <c r="H207" s="14"/>
      <c r="I207" s="14"/>
      <c r="J207" s="14"/>
      <c r="K207" s="14"/>
      <c r="L207" s="14"/>
      <c r="M207" s="14"/>
      <c r="N207" s="155">
        <v>0</v>
      </c>
      <c r="O207" s="14"/>
    </row>
    <row r="208" spans="1:15" x14ac:dyDescent="0.25">
      <c r="A208" s="2" t="s">
        <v>1380</v>
      </c>
      <c r="B208" s="3" t="s">
        <v>1089</v>
      </c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55">
        <v>0</v>
      </c>
      <c r="O208" s="14"/>
    </row>
    <row r="209" spans="1:15" x14ac:dyDescent="0.25">
      <c r="A209" s="2" t="s">
        <v>1381</v>
      </c>
      <c r="B209" s="3" t="s">
        <v>1993</v>
      </c>
      <c r="C209" s="14" t="s">
        <v>1467</v>
      </c>
      <c r="D209" s="14" t="s">
        <v>1467</v>
      </c>
      <c r="E209" s="14" t="s">
        <v>1467</v>
      </c>
      <c r="F209" s="14"/>
      <c r="G209" s="14" t="s">
        <v>1467</v>
      </c>
      <c r="H209" s="14" t="s">
        <v>1467</v>
      </c>
      <c r="I209" s="14" t="s">
        <v>1467</v>
      </c>
      <c r="J209" s="14" t="s">
        <v>1849</v>
      </c>
      <c r="K209" s="14"/>
      <c r="L209" s="14"/>
      <c r="M209" s="14"/>
      <c r="N209" s="155"/>
      <c r="O209" s="14" t="s">
        <v>3489</v>
      </c>
    </row>
    <row r="210" spans="1:15" x14ac:dyDescent="0.25">
      <c r="A210" s="2" t="s">
        <v>1382</v>
      </c>
      <c r="B210" s="3" t="s">
        <v>1102</v>
      </c>
      <c r="C210" s="14"/>
      <c r="D210" s="14"/>
      <c r="E210" s="14"/>
      <c r="F210" s="14" t="s">
        <v>1467</v>
      </c>
      <c r="G210" s="14"/>
      <c r="H210" s="14"/>
      <c r="I210" s="14"/>
      <c r="J210" s="14"/>
      <c r="K210" s="14"/>
      <c r="L210" s="14"/>
      <c r="M210" s="14"/>
      <c r="N210" s="155">
        <v>0</v>
      </c>
      <c r="O210" s="14"/>
    </row>
    <row r="211" spans="1:15" x14ac:dyDescent="0.25">
      <c r="A211" s="2" t="s">
        <v>1383</v>
      </c>
      <c r="B211" s="3" t="s">
        <v>1136</v>
      </c>
      <c r="C211" s="14" t="s">
        <v>1467</v>
      </c>
      <c r="D211" s="14" t="s">
        <v>1467</v>
      </c>
      <c r="E211" s="14" t="s">
        <v>1467</v>
      </c>
      <c r="F211" s="14" t="s">
        <v>1467</v>
      </c>
      <c r="G211" s="14" t="s">
        <v>1467</v>
      </c>
      <c r="H211" s="14" t="s">
        <v>1467</v>
      </c>
      <c r="I211" s="14" t="s">
        <v>1467</v>
      </c>
      <c r="J211" s="14" t="s">
        <v>1467</v>
      </c>
      <c r="K211" s="14"/>
      <c r="L211" s="14"/>
      <c r="M211" s="14"/>
      <c r="N211" s="155">
        <v>0</v>
      </c>
      <c r="O211" s="14"/>
    </row>
    <row r="212" spans="1:15" x14ac:dyDescent="0.25">
      <c r="A212" s="2" t="s">
        <v>1384</v>
      </c>
      <c r="B212" s="3" t="s">
        <v>977</v>
      </c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55">
        <v>0</v>
      </c>
      <c r="O212" s="14"/>
    </row>
    <row r="213" spans="1:15" x14ac:dyDescent="0.25">
      <c r="A213" s="2" t="s">
        <v>1385</v>
      </c>
      <c r="B213" s="3" t="s">
        <v>983</v>
      </c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55">
        <v>0</v>
      </c>
      <c r="O213" s="14"/>
    </row>
    <row r="214" spans="1:15" x14ac:dyDescent="0.25">
      <c r="A214" s="2" t="s">
        <v>1386</v>
      </c>
      <c r="B214" s="3" t="s">
        <v>935</v>
      </c>
      <c r="C214" s="14"/>
      <c r="D214" s="14"/>
      <c r="E214" s="14"/>
      <c r="F214" s="14" t="s">
        <v>1467</v>
      </c>
      <c r="G214" s="14"/>
      <c r="H214" s="14"/>
      <c r="I214" s="14"/>
      <c r="J214" s="14"/>
      <c r="K214" s="14"/>
      <c r="L214" s="14"/>
      <c r="M214" s="14"/>
      <c r="N214" s="155">
        <v>0</v>
      </c>
      <c r="O214" s="14"/>
    </row>
    <row r="215" spans="1:15" x14ac:dyDescent="0.25">
      <c r="A215" s="2" t="s">
        <v>1387</v>
      </c>
      <c r="B215" s="3" t="s">
        <v>1080</v>
      </c>
      <c r="C215" s="14" t="s">
        <v>1467</v>
      </c>
      <c r="D215" s="14" t="s">
        <v>1467</v>
      </c>
      <c r="E215" s="14" t="s">
        <v>1467</v>
      </c>
      <c r="F215" s="14"/>
      <c r="G215" s="14" t="s">
        <v>1467</v>
      </c>
      <c r="H215" s="14" t="s">
        <v>1467</v>
      </c>
      <c r="I215" s="14" t="s">
        <v>1467</v>
      </c>
      <c r="J215" s="14" t="s">
        <v>1501</v>
      </c>
      <c r="K215" s="14"/>
      <c r="L215" s="14"/>
      <c r="M215" s="14"/>
      <c r="N215" s="155"/>
      <c r="O215" s="14" t="s">
        <v>3487</v>
      </c>
    </row>
    <row r="216" spans="1:15" x14ac:dyDescent="0.25">
      <c r="A216" s="2" t="s">
        <v>1388</v>
      </c>
      <c r="B216" s="3" t="s">
        <v>1040</v>
      </c>
      <c r="C216" s="14"/>
      <c r="D216" s="14"/>
      <c r="E216" s="14"/>
      <c r="F216" s="14" t="s">
        <v>2291</v>
      </c>
      <c r="G216" s="14"/>
      <c r="H216" s="14"/>
      <c r="I216" s="14"/>
      <c r="J216" s="14"/>
      <c r="K216" s="14"/>
      <c r="L216" s="14"/>
      <c r="M216" s="14"/>
      <c r="N216" s="155">
        <v>0</v>
      </c>
      <c r="O216" s="14"/>
    </row>
    <row r="217" spans="1:15" x14ac:dyDescent="0.25">
      <c r="A217" s="2" t="s">
        <v>1389</v>
      </c>
      <c r="B217" s="3" t="s">
        <v>1090</v>
      </c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55">
        <v>0</v>
      </c>
      <c r="O217" s="14"/>
    </row>
    <row r="218" spans="1:15" x14ac:dyDescent="0.25">
      <c r="A218" s="2" t="s">
        <v>1390</v>
      </c>
      <c r="B218" s="3" t="s">
        <v>1002</v>
      </c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55">
        <v>0</v>
      </c>
      <c r="O218" s="14"/>
    </row>
    <row r="219" spans="1:15" x14ac:dyDescent="0.25">
      <c r="A219" s="2" t="s">
        <v>1391</v>
      </c>
      <c r="B219" s="3" t="s">
        <v>1125</v>
      </c>
      <c r="C219" s="14" t="s">
        <v>1467</v>
      </c>
      <c r="D219" s="14" t="s">
        <v>1467</v>
      </c>
      <c r="E219" s="14" t="s">
        <v>1467</v>
      </c>
      <c r="F219" s="14"/>
      <c r="G219" s="14" t="s">
        <v>1467</v>
      </c>
      <c r="H219" s="14" t="s">
        <v>1467</v>
      </c>
      <c r="I219" s="14" t="s">
        <v>1467</v>
      </c>
      <c r="J219" s="14" t="s">
        <v>1501</v>
      </c>
      <c r="K219" s="14"/>
      <c r="L219" s="14"/>
      <c r="M219" s="14"/>
      <c r="N219" s="155"/>
      <c r="O219" s="14" t="s">
        <v>3487</v>
      </c>
    </row>
    <row r="220" spans="1:15" x14ac:dyDescent="0.25">
      <c r="A220" s="2" t="s">
        <v>1392</v>
      </c>
      <c r="B220" s="3" t="s">
        <v>1115</v>
      </c>
      <c r="C220" s="14"/>
      <c r="D220" s="14"/>
      <c r="E220" s="14"/>
      <c r="F220" s="14" t="s">
        <v>1467</v>
      </c>
      <c r="G220" s="14"/>
      <c r="H220" s="14"/>
      <c r="I220" s="14"/>
      <c r="J220" s="14"/>
      <c r="K220" s="14"/>
      <c r="L220" s="14"/>
      <c r="M220" s="14"/>
      <c r="N220" s="155">
        <v>0</v>
      </c>
      <c r="O220" s="14"/>
    </row>
    <row r="221" spans="1:15" x14ac:dyDescent="0.25">
      <c r="A221" s="2" t="s">
        <v>1393</v>
      </c>
      <c r="B221" s="3" t="s">
        <v>1151</v>
      </c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55">
        <v>0</v>
      </c>
      <c r="O221" s="14"/>
    </row>
    <row r="222" spans="1:15" x14ac:dyDescent="0.25">
      <c r="A222" s="2" t="s">
        <v>1394</v>
      </c>
      <c r="B222" s="14" t="s">
        <v>1751</v>
      </c>
      <c r="C222" s="14" t="s">
        <v>1467</v>
      </c>
      <c r="D222" s="14" t="s">
        <v>1467</v>
      </c>
      <c r="E222" s="14" t="s">
        <v>1467</v>
      </c>
      <c r="F222" s="14"/>
      <c r="G222" s="14" t="s">
        <v>1501</v>
      </c>
      <c r="H222" s="14" t="s">
        <v>3687</v>
      </c>
      <c r="I222" s="14" t="s">
        <v>1501</v>
      </c>
      <c r="J222" s="14" t="s">
        <v>1501</v>
      </c>
      <c r="K222" s="14"/>
      <c r="L222" s="14"/>
      <c r="M222" s="14"/>
      <c r="N222" s="155"/>
      <c r="O222" s="14" t="s">
        <v>3489</v>
      </c>
    </row>
    <row r="223" spans="1:15" x14ac:dyDescent="0.25">
      <c r="A223" s="2" t="s">
        <v>1395</v>
      </c>
      <c r="B223" s="3" t="s">
        <v>932</v>
      </c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55">
        <v>0</v>
      </c>
      <c r="O223" s="14"/>
    </row>
    <row r="224" spans="1:15" x14ac:dyDescent="0.25">
      <c r="A224" s="2" t="s">
        <v>1396</v>
      </c>
      <c r="B224" s="3" t="s">
        <v>1146</v>
      </c>
      <c r="C224" s="14"/>
      <c r="D224" s="14"/>
      <c r="E224" s="14"/>
      <c r="F224" s="14" t="s">
        <v>1467</v>
      </c>
      <c r="G224" s="14"/>
      <c r="H224" s="14"/>
      <c r="I224" s="14"/>
      <c r="J224" s="14"/>
      <c r="K224" s="14"/>
      <c r="L224" s="14"/>
      <c r="M224" s="14"/>
      <c r="N224" s="155">
        <v>0</v>
      </c>
      <c r="O224" s="14"/>
    </row>
    <row r="225" spans="1:15" x14ac:dyDescent="0.25">
      <c r="A225" s="2" t="s">
        <v>1397</v>
      </c>
      <c r="B225" s="3" t="s">
        <v>1109</v>
      </c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55">
        <v>0</v>
      </c>
      <c r="O225" s="14"/>
    </row>
    <row r="226" spans="1:15" x14ac:dyDescent="0.25">
      <c r="A226" s="2" t="s">
        <v>1398</v>
      </c>
      <c r="B226" s="3" t="s">
        <v>1007</v>
      </c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55">
        <v>0</v>
      </c>
      <c r="O226" s="14"/>
    </row>
    <row r="227" spans="1:15" x14ac:dyDescent="0.25">
      <c r="A227" s="2" t="s">
        <v>1399</v>
      </c>
      <c r="B227" s="3" t="s">
        <v>1004</v>
      </c>
      <c r="C227" s="14" t="s">
        <v>1467</v>
      </c>
      <c r="D227" s="14" t="s">
        <v>1467</v>
      </c>
      <c r="E227" s="14" t="s">
        <v>1467</v>
      </c>
      <c r="F227" s="14" t="s">
        <v>3686</v>
      </c>
      <c r="G227" s="14" t="s">
        <v>1467</v>
      </c>
      <c r="H227" s="14" t="s">
        <v>1467</v>
      </c>
      <c r="I227" s="14" t="s">
        <v>1467</v>
      </c>
      <c r="J227" s="14" t="s">
        <v>1501</v>
      </c>
      <c r="K227" s="14"/>
      <c r="L227" s="14"/>
      <c r="M227" s="14"/>
      <c r="N227" s="155"/>
      <c r="O227" s="14" t="s">
        <v>3487</v>
      </c>
    </row>
    <row r="228" spans="1:15" x14ac:dyDescent="0.25">
      <c r="A228" s="2" t="s">
        <v>1400</v>
      </c>
      <c r="B228" s="3" t="s">
        <v>1082</v>
      </c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55">
        <v>0</v>
      </c>
      <c r="O228" s="14"/>
    </row>
    <row r="229" spans="1:15" x14ac:dyDescent="0.25">
      <c r="A229" s="2" t="s">
        <v>1401</v>
      </c>
      <c r="B229" s="3" t="s">
        <v>1057</v>
      </c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55">
        <v>0</v>
      </c>
      <c r="O229" s="14"/>
    </row>
    <row r="230" spans="1:15" x14ac:dyDescent="0.25">
      <c r="A230" s="2" t="s">
        <v>1402</v>
      </c>
      <c r="B230" s="3" t="s">
        <v>3588</v>
      </c>
      <c r="C230" s="14" t="s">
        <v>1467</v>
      </c>
      <c r="D230" s="14" t="s">
        <v>1467</v>
      </c>
      <c r="E230" s="14" t="s">
        <v>1467</v>
      </c>
      <c r="F230" s="14"/>
      <c r="G230" s="14" t="s">
        <v>1501</v>
      </c>
      <c r="H230" s="14" t="s">
        <v>2322</v>
      </c>
      <c r="I230" s="14" t="s">
        <v>1501</v>
      </c>
      <c r="J230" s="14" t="s">
        <v>1501</v>
      </c>
      <c r="K230" s="14"/>
      <c r="L230" s="14"/>
      <c r="M230" s="14"/>
      <c r="N230" s="155"/>
      <c r="O230" s="14" t="s">
        <v>3489</v>
      </c>
    </row>
    <row r="231" spans="1:15" x14ac:dyDescent="0.25">
      <c r="A231" s="2" t="s">
        <v>1403</v>
      </c>
      <c r="B231" s="3" t="s">
        <v>1021</v>
      </c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55">
        <v>0</v>
      </c>
      <c r="O231" s="14"/>
    </row>
    <row r="232" spans="1:15" x14ac:dyDescent="0.25">
      <c r="A232" s="2" t="s">
        <v>1404</v>
      </c>
      <c r="B232" s="3" t="s">
        <v>991</v>
      </c>
      <c r="C232" s="14"/>
      <c r="D232" s="14"/>
      <c r="E232" s="14"/>
      <c r="F232" s="14" t="s">
        <v>1467</v>
      </c>
      <c r="G232" s="14"/>
      <c r="H232" s="14"/>
      <c r="I232" s="14"/>
      <c r="J232" s="14"/>
      <c r="K232" s="14"/>
      <c r="L232" s="14"/>
      <c r="M232" s="14"/>
      <c r="N232" s="155">
        <v>0</v>
      </c>
      <c r="O232" s="14"/>
    </row>
    <row r="233" spans="1:15" x14ac:dyDescent="0.25">
      <c r="A233" s="2" t="s">
        <v>1405</v>
      </c>
      <c r="B233" s="3" t="s">
        <v>1142</v>
      </c>
      <c r="C233" s="14" t="s">
        <v>1467</v>
      </c>
      <c r="D233" s="14" t="s">
        <v>1467</v>
      </c>
      <c r="E233" s="14" t="s">
        <v>1467</v>
      </c>
      <c r="F233" s="14"/>
      <c r="G233" s="14" t="s">
        <v>1501</v>
      </c>
      <c r="H233" s="14" t="s">
        <v>1467</v>
      </c>
      <c r="I233" s="14" t="s">
        <v>1501</v>
      </c>
      <c r="J233" s="14" t="s">
        <v>1501</v>
      </c>
      <c r="K233" s="14"/>
      <c r="L233" s="14"/>
      <c r="M233" s="14"/>
      <c r="N233" s="155"/>
      <c r="O233" s="14" t="s">
        <v>3487</v>
      </c>
    </row>
    <row r="234" spans="1:15" x14ac:dyDescent="0.25">
      <c r="A234" s="2" t="s">
        <v>1406</v>
      </c>
      <c r="B234" s="3" t="s">
        <v>955</v>
      </c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55">
        <v>0</v>
      </c>
      <c r="O234" s="14"/>
    </row>
    <row r="235" spans="1:15" x14ac:dyDescent="0.25">
      <c r="A235" s="2" t="s">
        <v>1407</v>
      </c>
      <c r="B235" s="3" t="s">
        <v>1107</v>
      </c>
      <c r="C235" s="14"/>
      <c r="D235" s="14"/>
      <c r="E235" s="14"/>
      <c r="F235" s="14" t="s">
        <v>2326</v>
      </c>
      <c r="G235" s="14"/>
      <c r="H235" s="14"/>
      <c r="I235" s="14"/>
      <c r="J235" s="14"/>
      <c r="K235" s="14"/>
      <c r="L235" s="14"/>
      <c r="M235" s="14"/>
      <c r="N235" s="155">
        <v>0</v>
      </c>
      <c r="O235" s="14"/>
    </row>
    <row r="236" spans="1:15" x14ac:dyDescent="0.25">
      <c r="A236" s="2" t="s">
        <v>1408</v>
      </c>
      <c r="B236" s="3" t="s">
        <v>1092</v>
      </c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55">
        <v>0</v>
      </c>
      <c r="O236" s="14"/>
    </row>
    <row r="237" spans="1:15" x14ac:dyDescent="0.25">
      <c r="A237" s="2" t="s">
        <v>1409</v>
      </c>
      <c r="B237" s="3" t="s">
        <v>1126</v>
      </c>
      <c r="C237" s="14" t="s">
        <v>1467</v>
      </c>
      <c r="D237" s="14" t="s">
        <v>1467</v>
      </c>
      <c r="E237" s="14" t="s">
        <v>1467</v>
      </c>
      <c r="F237" s="14"/>
      <c r="G237" s="14" t="s">
        <v>1501</v>
      </c>
      <c r="H237" s="14" t="s">
        <v>1467</v>
      </c>
      <c r="I237" s="14" t="s">
        <v>1501</v>
      </c>
      <c r="J237" s="14" t="s">
        <v>1501</v>
      </c>
      <c r="K237" s="14"/>
      <c r="L237" s="14"/>
      <c r="M237" s="14"/>
      <c r="N237" s="155"/>
      <c r="O237" s="14" t="s">
        <v>3487</v>
      </c>
    </row>
    <row r="238" spans="1:15" x14ac:dyDescent="0.25">
      <c r="A238" s="2" t="s">
        <v>1410</v>
      </c>
      <c r="B238" s="3" t="s">
        <v>1101</v>
      </c>
      <c r="C238" s="14"/>
      <c r="D238" s="14"/>
      <c r="E238" s="14"/>
      <c r="F238" s="14" t="s">
        <v>4446</v>
      </c>
      <c r="G238" s="14"/>
      <c r="H238" s="14"/>
      <c r="I238" s="14"/>
      <c r="J238" s="14"/>
      <c r="K238" s="14"/>
      <c r="L238" s="14"/>
      <c r="M238" s="14"/>
      <c r="N238" s="155">
        <v>0</v>
      </c>
      <c r="O238" s="14"/>
    </row>
    <row r="239" spans="1:15" x14ac:dyDescent="0.25">
      <c r="A239" s="2" t="s">
        <v>1411</v>
      </c>
      <c r="B239" s="3" t="s">
        <v>1150</v>
      </c>
      <c r="C239" s="14" t="s">
        <v>1467</v>
      </c>
      <c r="D239" s="14" t="s">
        <v>1467</v>
      </c>
      <c r="E239" s="14" t="s">
        <v>1467</v>
      </c>
      <c r="F239" s="14"/>
      <c r="G239" s="14" t="s">
        <v>1501</v>
      </c>
      <c r="H239" s="14" t="s">
        <v>2269</v>
      </c>
      <c r="I239" s="14" t="s">
        <v>1501</v>
      </c>
      <c r="J239" s="14" t="s">
        <v>1501</v>
      </c>
      <c r="K239" s="14"/>
      <c r="L239" s="14"/>
      <c r="M239" s="14"/>
      <c r="N239" s="155"/>
      <c r="O239" s="14" t="s">
        <v>3487</v>
      </c>
    </row>
    <row r="240" spans="1:15" x14ac:dyDescent="0.25">
      <c r="A240" s="2" t="s">
        <v>1412</v>
      </c>
      <c r="B240" s="3" t="s">
        <v>1033</v>
      </c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55">
        <v>0</v>
      </c>
      <c r="O240" s="14"/>
    </row>
    <row r="241" spans="1:15" x14ac:dyDescent="0.25">
      <c r="A241" s="2" t="s">
        <v>1413</v>
      </c>
      <c r="B241" s="3" t="s">
        <v>998</v>
      </c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55">
        <v>0</v>
      </c>
      <c r="O241" s="14"/>
    </row>
    <row r="242" spans="1:15" x14ac:dyDescent="0.25">
      <c r="A242" s="2" t="s">
        <v>1414</v>
      </c>
      <c r="B242" s="3" t="s">
        <v>1013</v>
      </c>
      <c r="C242" s="14"/>
      <c r="D242" s="14"/>
      <c r="E242" s="14"/>
      <c r="F242" s="14" t="s">
        <v>2665</v>
      </c>
      <c r="G242" s="14"/>
      <c r="H242" s="14"/>
      <c r="I242" s="14"/>
      <c r="J242" s="14"/>
      <c r="K242" s="14"/>
      <c r="L242" s="14"/>
      <c r="M242" s="14"/>
      <c r="N242" s="155">
        <v>0</v>
      </c>
      <c r="O242" s="14"/>
    </row>
    <row r="243" spans="1:15" x14ac:dyDescent="0.25">
      <c r="A243" s="2" t="s">
        <v>1415</v>
      </c>
      <c r="B243" s="3" t="s">
        <v>954</v>
      </c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55">
        <v>0</v>
      </c>
      <c r="O243" s="14"/>
    </row>
    <row r="244" spans="1:15" x14ac:dyDescent="0.25">
      <c r="A244" s="2" t="s">
        <v>1416</v>
      </c>
      <c r="B244" s="3" t="s">
        <v>1106</v>
      </c>
      <c r="C244" s="14"/>
      <c r="D244" s="14"/>
      <c r="E244" s="14"/>
      <c r="F244" s="14" t="s">
        <v>2269</v>
      </c>
      <c r="G244" s="14"/>
      <c r="H244" s="14"/>
      <c r="I244" s="14"/>
      <c r="J244" s="14"/>
      <c r="K244" s="14"/>
      <c r="L244" s="14"/>
      <c r="M244" s="14"/>
      <c r="N244" s="155">
        <v>0</v>
      </c>
      <c r="O244" s="14"/>
    </row>
    <row r="245" spans="1:15" x14ac:dyDescent="0.25">
      <c r="A245" s="2" t="s">
        <v>1417</v>
      </c>
      <c r="B245" s="3" t="s">
        <v>1117</v>
      </c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55">
        <v>0</v>
      </c>
      <c r="O245" s="14"/>
    </row>
    <row r="246" spans="1:15" x14ac:dyDescent="0.25">
      <c r="A246" s="2" t="s">
        <v>1418</v>
      </c>
      <c r="B246" s="3" t="s">
        <v>1131</v>
      </c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55">
        <v>0</v>
      </c>
      <c r="O246" s="14"/>
    </row>
    <row r="247" spans="1:15" x14ac:dyDescent="0.25">
      <c r="A247" s="2" t="s">
        <v>1419</v>
      </c>
      <c r="B247" s="3" t="s">
        <v>1119</v>
      </c>
      <c r="C247" s="14" t="s">
        <v>1467</v>
      </c>
      <c r="D247" s="14" t="s">
        <v>1467</v>
      </c>
      <c r="E247" s="14" t="s">
        <v>1467</v>
      </c>
      <c r="F247" s="14"/>
      <c r="G247" s="14" t="s">
        <v>1501</v>
      </c>
      <c r="H247" s="14" t="s">
        <v>1467</v>
      </c>
      <c r="I247" s="14" t="s">
        <v>1501</v>
      </c>
      <c r="J247" s="14" t="s">
        <v>1501</v>
      </c>
      <c r="K247" s="14"/>
      <c r="L247" s="14"/>
      <c r="M247" s="14"/>
      <c r="N247" s="155"/>
      <c r="O247" s="14" t="s">
        <v>3489</v>
      </c>
    </row>
    <row r="248" spans="1:15" x14ac:dyDescent="0.25">
      <c r="A248" s="2" t="s">
        <v>1420</v>
      </c>
      <c r="B248" s="3" t="s">
        <v>1099</v>
      </c>
      <c r="C248" s="14" t="s">
        <v>1467</v>
      </c>
      <c r="D248" s="14" t="s">
        <v>1467</v>
      </c>
      <c r="E248" s="14" t="s">
        <v>1467</v>
      </c>
      <c r="F248" s="14"/>
      <c r="G248" s="14" t="s">
        <v>1501</v>
      </c>
      <c r="H248" s="14" t="s">
        <v>1467</v>
      </c>
      <c r="I248" s="14" t="s">
        <v>1467</v>
      </c>
      <c r="J248" s="14" t="s">
        <v>1501</v>
      </c>
      <c r="K248" s="14"/>
      <c r="L248" s="14"/>
      <c r="M248" s="14"/>
      <c r="N248" s="155"/>
      <c r="O248" s="14" t="s">
        <v>3489</v>
      </c>
    </row>
    <row r="249" spans="1:15" x14ac:dyDescent="0.25">
      <c r="A249" s="2" t="s">
        <v>1421</v>
      </c>
      <c r="B249" s="3" t="s">
        <v>1034</v>
      </c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55">
        <v>0</v>
      </c>
      <c r="O249" s="14"/>
    </row>
    <row r="250" spans="1:15" x14ac:dyDescent="0.25">
      <c r="A250" s="2" t="s">
        <v>1422</v>
      </c>
      <c r="B250" s="3" t="s">
        <v>1124</v>
      </c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55">
        <v>0</v>
      </c>
      <c r="O250" s="14"/>
    </row>
    <row r="251" spans="1:15" x14ac:dyDescent="0.25">
      <c r="A251" s="2" t="s">
        <v>1423</v>
      </c>
      <c r="B251" s="3" t="s">
        <v>1083</v>
      </c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55">
        <v>0</v>
      </c>
      <c r="O251" s="14"/>
    </row>
    <row r="252" spans="1:15" x14ac:dyDescent="0.25">
      <c r="A252" s="2" t="s">
        <v>1424</v>
      </c>
      <c r="B252" s="3" t="s">
        <v>1116</v>
      </c>
      <c r="C252" s="14"/>
      <c r="D252" s="14"/>
      <c r="E252" s="14"/>
      <c r="F252" s="14" t="s">
        <v>3219</v>
      </c>
      <c r="G252" s="14"/>
      <c r="H252" s="14"/>
      <c r="I252" s="14"/>
      <c r="J252" s="14"/>
      <c r="K252" s="14"/>
      <c r="L252" s="14"/>
      <c r="M252" s="14"/>
      <c r="N252" s="155">
        <v>0</v>
      </c>
      <c r="O252" s="14"/>
    </row>
    <row r="253" spans="1:15" x14ac:dyDescent="0.25">
      <c r="A253" s="2" t="s">
        <v>1425</v>
      </c>
      <c r="B253" s="3" t="s">
        <v>1110</v>
      </c>
      <c r="C253" s="14"/>
      <c r="D253" s="14"/>
      <c r="E253" s="14"/>
      <c r="F253" s="14" t="s">
        <v>1467</v>
      </c>
      <c r="G253" s="14"/>
      <c r="H253" s="14"/>
      <c r="I253" s="14"/>
      <c r="J253" s="14"/>
      <c r="K253" s="14"/>
      <c r="L253" s="14"/>
      <c r="M253" s="14"/>
      <c r="N253" s="155">
        <v>0</v>
      </c>
      <c r="O253" s="14"/>
    </row>
    <row r="254" spans="1:15" x14ac:dyDescent="0.25">
      <c r="A254" s="2" t="s">
        <v>1426</v>
      </c>
      <c r="B254" s="3" t="s">
        <v>1098</v>
      </c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55">
        <v>0</v>
      </c>
      <c r="O254" s="14"/>
    </row>
    <row r="255" spans="1:15" x14ac:dyDescent="0.25">
      <c r="A255" s="2" t="s">
        <v>1427</v>
      </c>
      <c r="B255" s="3" t="s">
        <v>1135</v>
      </c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55">
        <v>0</v>
      </c>
      <c r="O255" s="14"/>
    </row>
    <row r="256" spans="1:15" x14ac:dyDescent="0.25">
      <c r="A256" s="2" t="s">
        <v>1428</v>
      </c>
      <c r="B256" s="3" t="s">
        <v>2328</v>
      </c>
      <c r="C256" s="14" t="s">
        <v>1467</v>
      </c>
      <c r="D256" s="14" t="s">
        <v>1467</v>
      </c>
      <c r="E256" s="14" t="s">
        <v>1467</v>
      </c>
      <c r="F256" s="14"/>
      <c r="G256" s="14" t="s">
        <v>1501</v>
      </c>
      <c r="H256" s="14" t="s">
        <v>2329</v>
      </c>
      <c r="I256" s="14" t="s">
        <v>1501</v>
      </c>
      <c r="J256" s="14" t="s">
        <v>1501</v>
      </c>
      <c r="K256" s="14"/>
      <c r="L256" s="14"/>
      <c r="M256" s="14"/>
      <c r="N256" s="155"/>
      <c r="O256" s="14" t="s">
        <v>3487</v>
      </c>
    </row>
    <row r="257" spans="1:15" x14ac:dyDescent="0.25">
      <c r="A257" s="2" t="s">
        <v>1429</v>
      </c>
      <c r="B257" s="3" t="s">
        <v>1152</v>
      </c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55">
        <v>0</v>
      </c>
      <c r="O257" s="14"/>
    </row>
    <row r="258" spans="1:15" x14ac:dyDescent="0.25">
      <c r="A258" s="2" t="s">
        <v>1430</v>
      </c>
      <c r="B258" s="3" t="s">
        <v>1139</v>
      </c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55">
        <v>0</v>
      </c>
      <c r="O258" s="14"/>
    </row>
    <row r="259" spans="1:15" x14ac:dyDescent="0.25">
      <c r="A259" s="2" t="s">
        <v>1431</v>
      </c>
      <c r="B259" s="3" t="s">
        <v>1026</v>
      </c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55">
        <v>0</v>
      </c>
      <c r="O259" s="14"/>
    </row>
    <row r="260" spans="1:15" x14ac:dyDescent="0.25">
      <c r="A260" s="2" t="s">
        <v>1432</v>
      </c>
      <c r="B260" s="6" t="s">
        <v>1006</v>
      </c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55">
        <v>0</v>
      </c>
      <c r="O260" s="14"/>
    </row>
    <row r="261" spans="1:15" x14ac:dyDescent="0.25">
      <c r="A261" s="2" t="s">
        <v>1433</v>
      </c>
      <c r="B261" s="3" t="s">
        <v>1148</v>
      </c>
      <c r="C261" s="14" t="s">
        <v>1467</v>
      </c>
      <c r="D261" s="14" t="s">
        <v>1467</v>
      </c>
      <c r="E261" s="14" t="s">
        <v>1467</v>
      </c>
      <c r="F261" s="14" t="s">
        <v>2329</v>
      </c>
      <c r="G261" s="14" t="s">
        <v>1501</v>
      </c>
      <c r="H261" s="14" t="s">
        <v>1467</v>
      </c>
      <c r="I261" s="14" t="s">
        <v>1467</v>
      </c>
      <c r="J261" s="14" t="s">
        <v>1501</v>
      </c>
      <c r="K261" s="14"/>
      <c r="L261" s="14"/>
      <c r="M261" s="14"/>
      <c r="N261" s="155"/>
      <c r="O261" s="14" t="s">
        <v>3487</v>
      </c>
    </row>
    <row r="262" spans="1:15" x14ac:dyDescent="0.25">
      <c r="A262" s="2" t="s">
        <v>1434</v>
      </c>
      <c r="B262" s="3" t="s">
        <v>997</v>
      </c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55">
        <v>0</v>
      </c>
      <c r="O262" s="14"/>
    </row>
    <row r="263" spans="1:15" x14ac:dyDescent="0.25">
      <c r="A263" s="2" t="s">
        <v>1435</v>
      </c>
      <c r="B263" s="3" t="s">
        <v>1129</v>
      </c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55">
        <v>0</v>
      </c>
      <c r="O263" s="14"/>
    </row>
    <row r="264" spans="1:15" x14ac:dyDescent="0.25">
      <c r="A264" s="2" t="s">
        <v>1436</v>
      </c>
      <c r="B264" s="6" t="s">
        <v>1132</v>
      </c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55">
        <v>0</v>
      </c>
      <c r="O264" s="14"/>
    </row>
    <row r="265" spans="1:15" x14ac:dyDescent="0.25">
      <c r="A265" s="2" t="s">
        <v>1437</v>
      </c>
      <c r="B265" s="3" t="s">
        <v>980</v>
      </c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55">
        <v>0</v>
      </c>
      <c r="O265" s="14"/>
    </row>
    <row r="266" spans="1:15" x14ac:dyDescent="0.25">
      <c r="A266" s="2" t="s">
        <v>1438</v>
      </c>
      <c r="B266" s="3" t="s">
        <v>1003</v>
      </c>
      <c r="C266" s="14"/>
      <c r="D266" s="14"/>
      <c r="E266" s="14"/>
      <c r="F266" s="14" t="s">
        <v>5556</v>
      </c>
      <c r="G266" s="14"/>
      <c r="H266" s="14"/>
      <c r="I266" s="14"/>
      <c r="J266" s="14"/>
      <c r="K266" s="14"/>
      <c r="L266" s="14"/>
      <c r="M266" s="14"/>
      <c r="N266" s="155">
        <v>0</v>
      </c>
      <c r="O266" s="14"/>
    </row>
    <row r="267" spans="1:15" x14ac:dyDescent="0.25">
      <c r="A267" s="2" t="s">
        <v>1439</v>
      </c>
      <c r="B267" s="6" t="s">
        <v>1076</v>
      </c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55">
        <v>0</v>
      </c>
      <c r="O267" s="14"/>
    </row>
    <row r="268" spans="1:15" x14ac:dyDescent="0.25">
      <c r="A268" s="2" t="s">
        <v>1440</v>
      </c>
      <c r="B268" s="3" t="s">
        <v>1114</v>
      </c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55">
        <v>0</v>
      </c>
      <c r="O268" s="14"/>
    </row>
    <row r="269" spans="1:15" x14ac:dyDescent="0.25">
      <c r="A269" s="2" t="s">
        <v>1441</v>
      </c>
      <c r="B269" s="3" t="s">
        <v>1087</v>
      </c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55">
        <v>0</v>
      </c>
      <c r="O269" s="14"/>
    </row>
    <row r="270" spans="1:15" x14ac:dyDescent="0.25">
      <c r="A270" s="2" t="s">
        <v>1509</v>
      </c>
      <c r="B270" s="3" t="s">
        <v>1510</v>
      </c>
      <c r="C270" s="14" t="s">
        <v>1467</v>
      </c>
      <c r="D270" s="14" t="s">
        <v>1467</v>
      </c>
      <c r="E270" s="14" t="s">
        <v>1467</v>
      </c>
      <c r="F270" s="14"/>
      <c r="G270" s="14" t="s">
        <v>1467</v>
      </c>
      <c r="H270" s="14" t="s">
        <v>1467</v>
      </c>
      <c r="I270" s="14" t="s">
        <v>1467</v>
      </c>
      <c r="J270" s="14" t="s">
        <v>1501</v>
      </c>
      <c r="K270" s="14"/>
      <c r="L270" s="14"/>
      <c r="M270" s="14"/>
      <c r="N270" s="155"/>
      <c r="O270" s="14" t="s">
        <v>3489</v>
      </c>
    </row>
    <row r="271" spans="1:15" x14ac:dyDescent="0.25">
      <c r="A271" s="2" t="s">
        <v>1511</v>
      </c>
      <c r="B271" s="3" t="s">
        <v>1512</v>
      </c>
      <c r="C271" s="14" t="s">
        <v>1467</v>
      </c>
      <c r="D271" s="14" t="s">
        <v>1512</v>
      </c>
      <c r="E271" s="14" t="s">
        <v>1467</v>
      </c>
      <c r="F271" s="14"/>
      <c r="G271" s="14" t="s">
        <v>1467</v>
      </c>
      <c r="H271" s="14" t="s">
        <v>1467</v>
      </c>
      <c r="I271" s="14" t="s">
        <v>1467</v>
      </c>
      <c r="J271" s="14" t="s">
        <v>1501</v>
      </c>
      <c r="K271" s="14"/>
      <c r="L271" s="14"/>
      <c r="M271" s="14"/>
      <c r="N271" s="155"/>
      <c r="O271" s="14" t="s">
        <v>3489</v>
      </c>
    </row>
    <row r="272" spans="1:15" x14ac:dyDescent="0.25">
      <c r="A272" s="2" t="s">
        <v>1517</v>
      </c>
      <c r="B272" s="3" t="s">
        <v>2168</v>
      </c>
      <c r="C272" s="14" t="s">
        <v>2169</v>
      </c>
      <c r="D272" s="14" t="s">
        <v>1467</v>
      </c>
      <c r="E272" s="14" t="s">
        <v>1467</v>
      </c>
      <c r="F272" s="14"/>
      <c r="G272" s="14" t="s">
        <v>1501</v>
      </c>
      <c r="H272" s="14" t="s">
        <v>2170</v>
      </c>
      <c r="I272" s="14" t="s">
        <v>1501</v>
      </c>
      <c r="J272" s="14" t="s">
        <v>1501</v>
      </c>
      <c r="K272" s="14"/>
      <c r="L272" s="14"/>
      <c r="M272" s="14"/>
      <c r="N272" s="155">
        <v>0</v>
      </c>
      <c r="O272" s="14"/>
    </row>
    <row r="273" spans="1:15" x14ac:dyDescent="0.25">
      <c r="A273" s="2" t="s">
        <v>1639</v>
      </c>
      <c r="B273" s="3" t="s">
        <v>1644</v>
      </c>
      <c r="C273" s="14" t="s">
        <v>1641</v>
      </c>
      <c r="D273" s="3" t="s">
        <v>1640</v>
      </c>
      <c r="E273" s="14" t="s">
        <v>1641</v>
      </c>
      <c r="F273" s="14"/>
      <c r="G273" s="14" t="s">
        <v>1643</v>
      </c>
      <c r="H273" s="14" t="s">
        <v>1642</v>
      </c>
      <c r="I273" s="14" t="s">
        <v>1643</v>
      </c>
      <c r="J273" s="14" t="s">
        <v>1445</v>
      </c>
      <c r="K273" s="14"/>
      <c r="L273" s="14"/>
      <c r="M273" s="14"/>
      <c r="N273" s="155">
        <v>0</v>
      </c>
      <c r="O273" s="14"/>
    </row>
    <row r="274" spans="1:15" x14ac:dyDescent="0.25">
      <c r="A274" s="2" t="s">
        <v>1869</v>
      </c>
      <c r="B274" s="14" t="s">
        <v>1870</v>
      </c>
      <c r="C274" s="14" t="s">
        <v>1467</v>
      </c>
      <c r="D274" s="14" t="s">
        <v>1467</v>
      </c>
      <c r="E274" s="14" t="s">
        <v>1467</v>
      </c>
      <c r="F274" s="14"/>
      <c r="G274" s="14" t="s">
        <v>1501</v>
      </c>
      <c r="H274" s="14" t="s">
        <v>1871</v>
      </c>
      <c r="I274" s="14" t="s">
        <v>1501</v>
      </c>
      <c r="J274" s="14" t="s">
        <v>1501</v>
      </c>
      <c r="K274" s="14"/>
      <c r="L274" s="14"/>
      <c r="M274" s="14"/>
      <c r="N274" s="155"/>
      <c r="O274" s="14" t="s">
        <v>3489</v>
      </c>
    </row>
    <row r="275" spans="1:15" x14ac:dyDescent="0.25">
      <c r="A275" s="2" t="s">
        <v>1872</v>
      </c>
      <c r="B275" s="14" t="s">
        <v>1873</v>
      </c>
      <c r="C275" s="14" t="s">
        <v>1467</v>
      </c>
      <c r="D275" t="s">
        <v>1467</v>
      </c>
      <c r="E275" s="14" t="s">
        <v>1467</v>
      </c>
      <c r="F275" s="14" t="s">
        <v>1467</v>
      </c>
      <c r="G275" s="14" t="s">
        <v>1501</v>
      </c>
      <c r="H275" s="14" t="s">
        <v>1875</v>
      </c>
      <c r="I275" s="14" t="s">
        <v>1501</v>
      </c>
      <c r="J275" s="14" t="s">
        <v>1501</v>
      </c>
      <c r="K275" s="14"/>
      <c r="L275" s="14"/>
      <c r="M275" s="14"/>
      <c r="N275" s="155"/>
      <c r="O275" s="14" t="s">
        <v>3487</v>
      </c>
    </row>
    <row r="276" spans="1:15" x14ac:dyDescent="0.25">
      <c r="A276" s="2" t="s">
        <v>1907</v>
      </c>
      <c r="B276" s="14" t="s">
        <v>1905</v>
      </c>
      <c r="C276" s="14" t="s">
        <v>1467</v>
      </c>
      <c r="D276" s="14" t="s">
        <v>1467</v>
      </c>
      <c r="E276" s="14" t="s">
        <v>1467</v>
      </c>
      <c r="F276" s="14" t="s">
        <v>1513</v>
      </c>
      <c r="G276" s="14" t="s">
        <v>1501</v>
      </c>
      <c r="H276" s="14" t="s">
        <v>1906</v>
      </c>
      <c r="I276" s="14" t="s">
        <v>1501</v>
      </c>
      <c r="J276" s="14" t="s">
        <v>1501</v>
      </c>
      <c r="K276" s="14"/>
      <c r="L276" s="14"/>
      <c r="M276" s="14"/>
      <c r="N276" s="155"/>
      <c r="O276" s="14" t="s">
        <v>3489</v>
      </c>
    </row>
    <row r="277" spans="1:15" x14ac:dyDescent="0.25">
      <c r="A277" s="2" t="s">
        <v>1986</v>
      </c>
      <c r="B277" s="14" t="s">
        <v>1984</v>
      </c>
      <c r="C277" s="14" t="s">
        <v>1467</v>
      </c>
      <c r="D277" s="14" t="s">
        <v>1467</v>
      </c>
      <c r="E277" s="14" t="s">
        <v>1467</v>
      </c>
      <c r="F277" s="14" t="s">
        <v>2170</v>
      </c>
      <c r="G277" s="14" t="s">
        <v>1501</v>
      </c>
      <c r="H277" s="14" t="s">
        <v>1985</v>
      </c>
      <c r="I277" s="14" t="s">
        <v>1501</v>
      </c>
      <c r="J277" s="14" t="s">
        <v>1501</v>
      </c>
      <c r="K277" s="14"/>
      <c r="L277" s="14"/>
      <c r="M277" s="14"/>
      <c r="N277" s="155"/>
      <c r="O277" s="14" t="s">
        <v>3489</v>
      </c>
    </row>
    <row r="278" spans="1:15" x14ac:dyDescent="0.25">
      <c r="A278" s="2" t="s">
        <v>2001</v>
      </c>
      <c r="B278" s="14" t="s">
        <v>1954</v>
      </c>
      <c r="C278" s="14"/>
      <c r="D278" s="14"/>
      <c r="E278" s="14"/>
      <c r="F278" s="14" t="s">
        <v>1642</v>
      </c>
      <c r="G278" s="14"/>
      <c r="H278" s="14"/>
      <c r="I278" s="14"/>
      <c r="J278" s="14"/>
      <c r="K278" s="14"/>
      <c r="L278" s="14"/>
      <c r="M278" s="14"/>
      <c r="N278" s="155"/>
      <c r="O278" s="14"/>
    </row>
    <row r="279" spans="1:15" x14ac:dyDescent="0.25">
      <c r="A279" s="2" t="s">
        <v>2002</v>
      </c>
      <c r="B279" s="14" t="s">
        <v>1930</v>
      </c>
      <c r="C279" s="14"/>
      <c r="D279" s="14"/>
      <c r="E279" s="14"/>
      <c r="F279" s="14" t="s">
        <v>1871</v>
      </c>
      <c r="G279" s="14"/>
      <c r="H279" s="14"/>
      <c r="I279" s="14"/>
      <c r="J279" s="14"/>
      <c r="K279" s="14"/>
      <c r="L279" s="14"/>
      <c r="M279" s="14"/>
      <c r="N279" s="155"/>
      <c r="O279" s="14"/>
    </row>
    <row r="280" spans="1:15" x14ac:dyDescent="0.25">
      <c r="A280" s="2" t="s">
        <v>2003</v>
      </c>
      <c r="B280" s="14" t="s">
        <v>1937</v>
      </c>
      <c r="C280" s="14" t="s">
        <v>1467</v>
      </c>
      <c r="D280" s="14" t="s">
        <v>1467</v>
      </c>
      <c r="E280" s="14" t="s">
        <v>1467</v>
      </c>
      <c r="F280" s="14" t="s">
        <v>1874</v>
      </c>
      <c r="G280" s="14" t="s">
        <v>1501</v>
      </c>
      <c r="H280" s="14" t="s">
        <v>1918</v>
      </c>
      <c r="I280" s="14" t="s">
        <v>1501</v>
      </c>
      <c r="J280" s="14" t="s">
        <v>1501</v>
      </c>
      <c r="K280" s="14"/>
      <c r="L280" s="14"/>
      <c r="M280" s="14"/>
      <c r="N280" s="155"/>
      <c r="O280" s="14"/>
    </row>
    <row r="281" spans="1:15" x14ac:dyDescent="0.25">
      <c r="A281" s="2" t="s">
        <v>2004</v>
      </c>
      <c r="B281" s="14" t="s">
        <v>1941</v>
      </c>
      <c r="C281" s="14"/>
      <c r="D281" s="14"/>
      <c r="E281" s="14"/>
      <c r="F281" s="14" t="s">
        <v>2325</v>
      </c>
      <c r="G281" s="14"/>
      <c r="H281" s="14"/>
      <c r="I281" s="14"/>
      <c r="J281" s="14"/>
      <c r="K281" s="14"/>
      <c r="L281" s="14"/>
      <c r="M281" s="14"/>
      <c r="N281" s="155"/>
      <c r="O281" s="14"/>
    </row>
    <row r="282" spans="1:15" x14ac:dyDescent="0.25">
      <c r="A282" s="2" t="s">
        <v>2005</v>
      </c>
      <c r="B282" s="14" t="s">
        <v>1992</v>
      </c>
      <c r="C282" s="14"/>
      <c r="D282" s="14"/>
      <c r="E282" s="14"/>
      <c r="F282" s="14" t="s">
        <v>1467</v>
      </c>
      <c r="G282" s="14"/>
      <c r="H282" s="14"/>
      <c r="I282" s="14"/>
      <c r="J282" s="14"/>
      <c r="K282" s="14"/>
      <c r="L282" s="14"/>
      <c r="M282" s="14"/>
      <c r="N282" s="155"/>
      <c r="O282" s="14"/>
    </row>
    <row r="283" spans="1:15" x14ac:dyDescent="0.25">
      <c r="A283" s="2" t="s">
        <v>2006</v>
      </c>
      <c r="B283" s="14" t="s">
        <v>1951</v>
      </c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55"/>
      <c r="O283" s="14"/>
    </row>
    <row r="284" spans="1:15" x14ac:dyDescent="0.25">
      <c r="A284" s="2" t="s">
        <v>2007</v>
      </c>
      <c r="B284" s="14" t="s">
        <v>1939</v>
      </c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55"/>
      <c r="O284" s="14"/>
    </row>
    <row r="285" spans="1:15" x14ac:dyDescent="0.25">
      <c r="A285" s="2" t="s">
        <v>2008</v>
      </c>
      <c r="B285" s="14" t="s">
        <v>1955</v>
      </c>
      <c r="C285" s="14"/>
      <c r="D285" s="14"/>
      <c r="E285" s="14"/>
      <c r="F285" s="14" t="s">
        <v>2693</v>
      </c>
      <c r="G285" s="14"/>
      <c r="H285" s="14"/>
      <c r="I285" s="14"/>
      <c r="J285" s="14"/>
      <c r="K285" s="14"/>
      <c r="L285" s="14"/>
      <c r="M285" s="14"/>
      <c r="N285" s="155"/>
      <c r="O285" s="14"/>
    </row>
    <row r="286" spans="1:15" x14ac:dyDescent="0.25">
      <c r="A286" s="2" t="s">
        <v>2009</v>
      </c>
      <c r="B286" s="14" t="s">
        <v>1945</v>
      </c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55"/>
      <c r="O286" s="14"/>
    </row>
    <row r="287" spans="1:15" x14ac:dyDescent="0.25">
      <c r="A287" s="2" t="s">
        <v>2010</v>
      </c>
      <c r="B287" s="14" t="s">
        <v>1948</v>
      </c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55"/>
      <c r="O287" s="14"/>
    </row>
    <row r="288" spans="1:15" x14ac:dyDescent="0.25">
      <c r="A288" s="2" t="s">
        <v>2011</v>
      </c>
      <c r="B288" s="14" t="s">
        <v>2162</v>
      </c>
      <c r="C288" s="14" t="s">
        <v>2163</v>
      </c>
      <c r="D288" s="14" t="s">
        <v>1467</v>
      </c>
      <c r="E288" s="14" t="s">
        <v>1467</v>
      </c>
      <c r="F288" s="14" t="s">
        <v>2164</v>
      </c>
      <c r="G288" s="14" t="s">
        <v>1501</v>
      </c>
      <c r="H288" s="14" t="s">
        <v>1922</v>
      </c>
      <c r="I288" s="14" t="s">
        <v>1501</v>
      </c>
      <c r="J288" s="14" t="s">
        <v>1501</v>
      </c>
      <c r="K288" s="14"/>
      <c r="L288" s="14"/>
      <c r="M288" s="14"/>
      <c r="N288" s="155"/>
      <c r="O288" s="14" t="s">
        <v>3487</v>
      </c>
    </row>
    <row r="289" spans="1:15" x14ac:dyDescent="0.25">
      <c r="A289" s="2" t="s">
        <v>2012</v>
      </c>
      <c r="B289" s="14" t="s">
        <v>1938</v>
      </c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55"/>
      <c r="O289" s="14"/>
    </row>
    <row r="290" spans="1:15" x14ac:dyDescent="0.25">
      <c r="A290" s="2" t="s">
        <v>2013</v>
      </c>
      <c r="B290" s="14" t="s">
        <v>1946</v>
      </c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55"/>
      <c r="O290" s="14"/>
    </row>
    <row r="291" spans="1:15" x14ac:dyDescent="0.25">
      <c r="A291" s="2" t="s">
        <v>2014</v>
      </c>
      <c r="B291" s="14" t="s">
        <v>1949</v>
      </c>
      <c r="C291" s="14" t="s">
        <v>1467</v>
      </c>
      <c r="D291" s="14" t="s">
        <v>1467</v>
      </c>
      <c r="E291" s="14" t="s">
        <v>1467</v>
      </c>
      <c r="F291" s="14" t="s">
        <v>4001</v>
      </c>
      <c r="G291" s="14" t="s">
        <v>1501</v>
      </c>
      <c r="H291" s="14" t="s">
        <v>1467</v>
      </c>
      <c r="I291" s="14" t="s">
        <v>1467</v>
      </c>
      <c r="J291" s="14" t="s">
        <v>1501</v>
      </c>
      <c r="K291" s="14"/>
      <c r="L291" s="14"/>
      <c r="M291" s="14"/>
      <c r="N291" s="155"/>
      <c r="O291" s="14" t="s">
        <v>3489</v>
      </c>
    </row>
    <row r="292" spans="1:15" x14ac:dyDescent="0.25">
      <c r="A292" s="2" t="s">
        <v>2015</v>
      </c>
      <c r="B292" s="14" t="s">
        <v>1749</v>
      </c>
      <c r="C292" s="14" t="s">
        <v>1467</v>
      </c>
      <c r="D292" s="14" t="s">
        <v>1467</v>
      </c>
      <c r="E292" s="14" t="s">
        <v>1467</v>
      </c>
      <c r="F292" s="14" t="s">
        <v>1467</v>
      </c>
      <c r="G292" s="14" t="s">
        <v>1467</v>
      </c>
      <c r="H292" s="14" t="s">
        <v>1467</v>
      </c>
      <c r="I292" s="14" t="s">
        <v>1467</v>
      </c>
      <c r="J292" s="14" t="s">
        <v>1501</v>
      </c>
      <c r="K292" s="14"/>
      <c r="L292" s="14"/>
      <c r="M292" s="14"/>
      <c r="N292" s="155"/>
      <c r="O292" s="14" t="s">
        <v>5050</v>
      </c>
    </row>
    <row r="293" spans="1:15" x14ac:dyDescent="0.25">
      <c r="A293" s="2" t="s">
        <v>2016</v>
      </c>
      <c r="B293" s="14" t="s">
        <v>1934</v>
      </c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55"/>
      <c r="O293" s="14"/>
    </row>
    <row r="294" spans="1:15" x14ac:dyDescent="0.25">
      <c r="A294" s="2" t="s">
        <v>2017</v>
      </c>
      <c r="B294" s="14" t="s">
        <v>1750</v>
      </c>
      <c r="C294" s="14" t="s">
        <v>1467</v>
      </c>
      <c r="D294" s="14" t="s">
        <v>1467</v>
      </c>
      <c r="E294" s="14" t="s">
        <v>1467</v>
      </c>
      <c r="F294" s="14" t="s">
        <v>2104</v>
      </c>
      <c r="G294" s="14" t="s">
        <v>1467</v>
      </c>
      <c r="H294" s="14" t="s">
        <v>1467</v>
      </c>
      <c r="I294" s="14" t="s">
        <v>1467</v>
      </c>
      <c r="J294" s="14" t="s">
        <v>1501</v>
      </c>
      <c r="K294" s="14"/>
      <c r="L294" s="14"/>
      <c r="M294" s="14"/>
      <c r="N294" s="155"/>
      <c r="O294" s="14"/>
    </row>
    <row r="295" spans="1:15" x14ac:dyDescent="0.25">
      <c r="A295" s="2" t="s">
        <v>2018</v>
      </c>
      <c r="B295" s="14" t="s">
        <v>1932</v>
      </c>
      <c r="C295" s="14"/>
      <c r="D295" s="14"/>
      <c r="E295" s="14"/>
      <c r="F295" s="14" t="s">
        <v>2106</v>
      </c>
      <c r="G295" s="14"/>
      <c r="H295" s="14"/>
      <c r="I295" s="14"/>
      <c r="J295" s="14"/>
      <c r="K295" s="14"/>
      <c r="L295" s="14"/>
      <c r="M295" s="14"/>
      <c r="N295" s="155"/>
      <c r="O295" s="14"/>
    </row>
    <row r="296" spans="1:15" x14ac:dyDescent="0.25">
      <c r="A296" s="2" t="s">
        <v>2019</v>
      </c>
      <c r="B296" s="14" t="s">
        <v>1947</v>
      </c>
      <c r="C296" s="14"/>
      <c r="D296" s="14"/>
      <c r="E296" s="14"/>
      <c r="F296" s="14" t="s">
        <v>2127</v>
      </c>
      <c r="G296" s="14"/>
      <c r="H296" s="14"/>
      <c r="I296" s="14"/>
      <c r="J296" s="14"/>
      <c r="K296" s="14"/>
      <c r="L296" s="14"/>
      <c r="M296" s="14"/>
      <c r="N296" s="155"/>
      <c r="O296" s="14"/>
    </row>
    <row r="297" spans="1:15" x14ac:dyDescent="0.25">
      <c r="A297" s="2" t="s">
        <v>2020</v>
      </c>
      <c r="B297" s="14" t="s">
        <v>1936</v>
      </c>
      <c r="C297" s="14"/>
      <c r="D297" s="14"/>
      <c r="E297" s="14"/>
      <c r="F297" s="14" t="s">
        <v>2189</v>
      </c>
      <c r="G297" s="14"/>
      <c r="H297" s="14"/>
      <c r="I297" s="14"/>
      <c r="J297" s="14"/>
      <c r="K297" s="14"/>
      <c r="L297" s="14"/>
      <c r="M297" s="14"/>
      <c r="N297" s="155"/>
      <c r="O297" s="14"/>
    </row>
    <row r="298" spans="1:15" x14ac:dyDescent="0.25">
      <c r="A298" s="2" t="s">
        <v>2021</v>
      </c>
      <c r="B298" s="14" t="s">
        <v>1956</v>
      </c>
      <c r="C298" s="14"/>
      <c r="D298" s="14"/>
      <c r="E298" s="14"/>
      <c r="F298" s="14" t="s">
        <v>5658</v>
      </c>
      <c r="G298" s="14"/>
      <c r="H298" s="14"/>
      <c r="I298" s="14"/>
      <c r="J298" s="14"/>
      <c r="K298" s="14"/>
      <c r="L298" s="14"/>
      <c r="M298" s="14"/>
      <c r="N298" s="155"/>
      <c r="O298" s="14"/>
    </row>
    <row r="299" spans="1:15" x14ac:dyDescent="0.25">
      <c r="A299" s="2" t="s">
        <v>2022</v>
      </c>
      <c r="B299" s="14" t="s">
        <v>1950</v>
      </c>
      <c r="C299" s="14"/>
      <c r="D299" s="14"/>
      <c r="E299" s="14"/>
      <c r="F299" s="14" t="s">
        <v>2193</v>
      </c>
      <c r="G299" s="14"/>
      <c r="H299" s="14"/>
      <c r="I299" s="14"/>
      <c r="J299" s="14"/>
      <c r="K299" s="14"/>
      <c r="L299" s="14"/>
      <c r="M299" s="14"/>
      <c r="N299" s="155"/>
      <c r="O299" s="14"/>
    </row>
    <row r="300" spans="1:15" x14ac:dyDescent="0.25">
      <c r="A300" s="2" t="s">
        <v>2023</v>
      </c>
      <c r="B300" s="14" t="s">
        <v>1998</v>
      </c>
      <c r="C300" s="14"/>
      <c r="D300" s="14"/>
      <c r="E300" s="14"/>
      <c r="F300" s="14" t="s">
        <v>1740</v>
      </c>
      <c r="G300" s="14"/>
      <c r="H300" s="14"/>
      <c r="I300" s="14"/>
      <c r="J300" s="14"/>
      <c r="K300" s="14"/>
      <c r="L300" s="14"/>
      <c r="M300" s="14"/>
      <c r="N300" s="155"/>
      <c r="O300" s="14"/>
    </row>
    <row r="301" spans="1:15" x14ac:dyDescent="0.25">
      <c r="A301" s="2" t="s">
        <v>2024</v>
      </c>
      <c r="B301" s="14" t="s">
        <v>1996</v>
      </c>
      <c r="C301" s="14" t="s">
        <v>1467</v>
      </c>
      <c r="D301" s="14" t="s">
        <v>1467</v>
      </c>
      <c r="E301" s="14" t="s">
        <v>1467</v>
      </c>
      <c r="F301" s="14" t="s">
        <v>2228</v>
      </c>
      <c r="G301" s="14" t="s">
        <v>1467</v>
      </c>
      <c r="H301" s="14" t="s">
        <v>2123</v>
      </c>
      <c r="I301" s="14" t="s">
        <v>1467</v>
      </c>
      <c r="J301" s="14" t="s">
        <v>1467</v>
      </c>
      <c r="K301" s="14"/>
      <c r="L301" s="14"/>
      <c r="M301" s="14"/>
      <c r="N301" s="155">
        <v>0</v>
      </c>
      <c r="O301" s="14"/>
    </row>
    <row r="302" spans="1:15" x14ac:dyDescent="0.25">
      <c r="A302" s="2" t="s">
        <v>2025</v>
      </c>
      <c r="B302" s="14" t="s">
        <v>1997</v>
      </c>
      <c r="C302" s="14"/>
      <c r="D302" s="14"/>
      <c r="E302" s="14"/>
      <c r="F302" s="14" t="s">
        <v>2242</v>
      </c>
      <c r="G302" s="14"/>
      <c r="H302" s="14"/>
      <c r="I302" s="14"/>
      <c r="J302" s="14"/>
      <c r="K302" s="14"/>
      <c r="L302" s="14"/>
      <c r="M302" s="14"/>
      <c r="N302" s="155"/>
      <c r="O302" s="14"/>
    </row>
    <row r="303" spans="1:15" x14ac:dyDescent="0.25">
      <c r="A303" s="2" t="s">
        <v>2026</v>
      </c>
      <c r="B303" s="14" t="s">
        <v>1933</v>
      </c>
      <c r="C303" s="14"/>
      <c r="D303" s="14"/>
      <c r="E303" s="14"/>
      <c r="F303" s="14" t="s">
        <v>2275</v>
      </c>
      <c r="G303" s="14"/>
      <c r="H303" s="14"/>
      <c r="I303" s="14"/>
      <c r="J303" s="14"/>
      <c r="K303" s="14"/>
      <c r="L303" s="14"/>
      <c r="M303" s="14"/>
      <c r="N303" s="155"/>
      <c r="O303" s="14"/>
    </row>
    <row r="304" spans="1:15" x14ac:dyDescent="0.25">
      <c r="A304" s="2" t="s">
        <v>2027</v>
      </c>
      <c r="B304" s="14" t="s">
        <v>1952</v>
      </c>
      <c r="C304" s="14"/>
      <c r="D304" s="14"/>
      <c r="E304" s="14"/>
      <c r="F304" s="14" t="s">
        <v>2279</v>
      </c>
      <c r="G304" s="14"/>
      <c r="H304" s="14"/>
      <c r="I304" s="14"/>
      <c r="J304" s="14"/>
      <c r="K304" s="14"/>
      <c r="L304" s="14"/>
      <c r="M304" s="14"/>
      <c r="N304" s="155"/>
      <c r="O304" s="14"/>
    </row>
    <row r="305" spans="1:15" x14ac:dyDescent="0.25">
      <c r="A305" s="2" t="s">
        <v>2028</v>
      </c>
      <c r="B305" s="14" t="s">
        <v>1935</v>
      </c>
      <c r="C305" s="14"/>
      <c r="D305" s="14"/>
      <c r="E305" s="14"/>
      <c r="F305" s="14" t="s">
        <v>1467</v>
      </c>
      <c r="G305" s="14"/>
      <c r="H305" s="14"/>
      <c r="I305" s="14"/>
      <c r="J305" s="14"/>
      <c r="K305" s="14"/>
      <c r="L305" s="14"/>
      <c r="M305" s="14"/>
      <c r="N305" s="155"/>
      <c r="O305" s="14"/>
    </row>
    <row r="306" spans="1:15" x14ac:dyDescent="0.25">
      <c r="A306" s="2" t="s">
        <v>2029</v>
      </c>
      <c r="B306" s="14" t="s">
        <v>1953</v>
      </c>
      <c r="C306" s="14" t="s">
        <v>1467</v>
      </c>
      <c r="D306" s="14" t="s">
        <v>1467</v>
      </c>
      <c r="E306" s="14" t="s">
        <v>1467</v>
      </c>
      <c r="F306" s="14" t="s">
        <v>1467</v>
      </c>
      <c r="G306" s="14" t="s">
        <v>1467</v>
      </c>
      <c r="H306" s="14" t="s">
        <v>1467</v>
      </c>
      <c r="I306" s="14" t="s">
        <v>1467</v>
      </c>
      <c r="J306" s="14" t="s">
        <v>1501</v>
      </c>
      <c r="K306" s="14"/>
      <c r="L306" s="14"/>
      <c r="M306" s="14"/>
      <c r="N306" s="155" t="s">
        <v>1502</v>
      </c>
      <c r="O306" s="14"/>
    </row>
    <row r="307" spans="1:15" x14ac:dyDescent="0.25">
      <c r="A307" s="2" t="s">
        <v>2030</v>
      </c>
      <c r="B307" s="14" t="s">
        <v>2000</v>
      </c>
      <c r="C307" s="14"/>
      <c r="D307" s="14"/>
      <c r="E307" s="14"/>
      <c r="F307" s="14" t="s">
        <v>2343</v>
      </c>
      <c r="G307" s="14"/>
      <c r="H307" s="14"/>
      <c r="I307" s="14"/>
      <c r="J307" s="14"/>
      <c r="K307" s="14"/>
      <c r="L307" s="14"/>
      <c r="M307" s="14"/>
      <c r="N307" s="155"/>
      <c r="O307" s="14"/>
    </row>
    <row r="308" spans="1:15" x14ac:dyDescent="0.25">
      <c r="A308" s="2" t="s">
        <v>2105</v>
      </c>
      <c r="B308" s="14" t="s">
        <v>2102</v>
      </c>
      <c r="C308" s="14" t="s">
        <v>2103</v>
      </c>
      <c r="D308" s="14" t="s">
        <v>1467</v>
      </c>
      <c r="E308" s="14" t="s">
        <v>1467</v>
      </c>
      <c r="F308" s="14" t="s">
        <v>2346</v>
      </c>
      <c r="G308" s="14" t="s">
        <v>1501</v>
      </c>
      <c r="H308" s="14" t="s">
        <v>2104</v>
      </c>
      <c r="I308" s="14" t="s">
        <v>1501</v>
      </c>
      <c r="J308" s="14" t="s">
        <v>1501</v>
      </c>
      <c r="K308" s="14"/>
      <c r="L308" s="14"/>
      <c r="M308" s="14"/>
      <c r="N308" s="155">
        <v>0</v>
      </c>
      <c r="O308" s="14"/>
    </row>
    <row r="309" spans="1:15" x14ac:dyDescent="0.25">
      <c r="A309" s="2" t="s">
        <v>2108</v>
      </c>
      <c r="B309" s="14" t="s">
        <v>2214</v>
      </c>
      <c r="C309" s="14" t="s">
        <v>2215</v>
      </c>
      <c r="D309" s="14" t="s">
        <v>1467</v>
      </c>
      <c r="E309" s="14" t="s">
        <v>1467</v>
      </c>
      <c r="F309" s="14" t="s">
        <v>2351</v>
      </c>
      <c r="G309" s="14" t="s">
        <v>1501</v>
      </c>
      <c r="H309" s="14" t="s">
        <v>2107</v>
      </c>
      <c r="I309" s="14" t="s">
        <v>1467</v>
      </c>
      <c r="J309" s="14" t="s">
        <v>1501</v>
      </c>
      <c r="K309" s="14"/>
      <c r="L309" s="14"/>
      <c r="M309" s="14"/>
      <c r="N309" s="155">
        <v>0</v>
      </c>
      <c r="O309" s="14"/>
    </row>
    <row r="310" spans="1:15" x14ac:dyDescent="0.25">
      <c r="A310" s="2" t="s">
        <v>2128</v>
      </c>
      <c r="B310" s="14" t="s">
        <v>2382</v>
      </c>
      <c r="C310" s="14" t="s">
        <v>1467</v>
      </c>
      <c r="D310" s="14" t="s">
        <v>1467</v>
      </c>
      <c r="E310" s="14" t="s">
        <v>1467</v>
      </c>
      <c r="F310" s="14" t="s">
        <v>4297</v>
      </c>
      <c r="G310" s="14" t="s">
        <v>1501</v>
      </c>
      <c r="H310" s="14" t="s">
        <v>2127</v>
      </c>
      <c r="I310" s="14" t="s">
        <v>1501</v>
      </c>
      <c r="J310" s="14" t="s">
        <v>1501</v>
      </c>
      <c r="K310" s="14"/>
      <c r="L310" s="14"/>
      <c r="M310" s="14"/>
      <c r="N310" s="155">
        <v>0</v>
      </c>
      <c r="O310" s="14"/>
    </row>
    <row r="311" spans="1:15" x14ac:dyDescent="0.25">
      <c r="A311" s="2" t="s">
        <v>2187</v>
      </c>
      <c r="B311" s="14" t="s">
        <v>2188</v>
      </c>
      <c r="C311" s="14" t="s">
        <v>1467</v>
      </c>
      <c r="D311" s="14" t="s">
        <v>1467</v>
      </c>
      <c r="E311" s="14" t="s">
        <v>1467</v>
      </c>
      <c r="F311" s="14" t="s">
        <v>2386</v>
      </c>
      <c r="G311" s="14" t="s">
        <v>1501</v>
      </c>
      <c r="H311" s="14" t="s">
        <v>2189</v>
      </c>
      <c r="I311" s="14" t="s">
        <v>1501</v>
      </c>
      <c r="J311" s="14" t="s">
        <v>1501</v>
      </c>
      <c r="K311" s="14"/>
      <c r="L311" s="14"/>
      <c r="M311" s="14"/>
      <c r="N311" s="155">
        <v>0</v>
      </c>
      <c r="O311" s="14"/>
    </row>
    <row r="312" spans="1:15" x14ac:dyDescent="0.25">
      <c r="A312" s="2" t="s">
        <v>2190</v>
      </c>
      <c r="B312" s="14" t="s">
        <v>2191</v>
      </c>
      <c r="C312" s="14" t="s">
        <v>1467</v>
      </c>
      <c r="D312" s="14" t="s">
        <v>1467</v>
      </c>
      <c r="E312" s="14" t="s">
        <v>1467</v>
      </c>
      <c r="F312" s="14" t="s">
        <v>1467</v>
      </c>
      <c r="G312" s="14" t="s">
        <v>1501</v>
      </c>
      <c r="H312" s="14" t="s">
        <v>1467</v>
      </c>
      <c r="I312" s="14" t="s">
        <v>1467</v>
      </c>
      <c r="J312" s="14" t="s">
        <v>1501</v>
      </c>
      <c r="K312" s="14"/>
      <c r="L312" s="14"/>
      <c r="M312" s="14"/>
      <c r="N312" s="155"/>
      <c r="O312" s="14" t="s">
        <v>5060</v>
      </c>
    </row>
    <row r="313" spans="1:15" x14ac:dyDescent="0.25">
      <c r="A313" s="2" t="s">
        <v>2192</v>
      </c>
      <c r="B313" s="14" t="s">
        <v>2354</v>
      </c>
      <c r="C313" s="14" t="s">
        <v>1467</v>
      </c>
      <c r="D313" s="14" t="s">
        <v>1467</v>
      </c>
      <c r="E313" s="14" t="s">
        <v>1467</v>
      </c>
      <c r="F313" s="14" t="s">
        <v>2429</v>
      </c>
      <c r="G313" s="14" t="s">
        <v>1501</v>
      </c>
      <c r="H313" s="14" t="s">
        <v>2194</v>
      </c>
      <c r="I313" s="14" t="s">
        <v>1501</v>
      </c>
      <c r="J313" s="14" t="s">
        <v>1501</v>
      </c>
      <c r="K313" s="14"/>
      <c r="L313" s="14"/>
      <c r="M313" s="14"/>
      <c r="N313" s="155">
        <v>0</v>
      </c>
      <c r="O313" s="14"/>
    </row>
    <row r="314" spans="1:15" x14ac:dyDescent="0.25">
      <c r="A314" s="2" t="s">
        <v>2211</v>
      </c>
      <c r="B314" s="14" t="s">
        <v>2212</v>
      </c>
      <c r="C314" s="14" t="s">
        <v>2213</v>
      </c>
      <c r="D314" s="14" t="s">
        <v>1467</v>
      </c>
      <c r="E314" s="14" t="s">
        <v>1467</v>
      </c>
      <c r="F314" s="14" t="s">
        <v>2433</v>
      </c>
      <c r="G314" s="14" t="s">
        <v>1741</v>
      </c>
      <c r="H314" s="14" t="s">
        <v>1467</v>
      </c>
      <c r="I314" s="14" t="s">
        <v>1467</v>
      </c>
      <c r="J314" s="14" t="s">
        <v>1467</v>
      </c>
      <c r="K314" s="14"/>
      <c r="L314" s="14"/>
      <c r="M314" s="14"/>
      <c r="N314" s="155">
        <v>0</v>
      </c>
      <c r="O314" s="14"/>
    </row>
    <row r="315" spans="1:15" x14ac:dyDescent="0.25">
      <c r="A315" s="2" t="s">
        <v>2226</v>
      </c>
      <c r="B315" s="14" t="s">
        <v>2227</v>
      </c>
      <c r="C315" s="14" t="s">
        <v>1467</v>
      </c>
      <c r="D315" s="14" t="s">
        <v>1467</v>
      </c>
      <c r="E315" s="14" t="s">
        <v>1467</v>
      </c>
      <c r="F315" s="14" t="s">
        <v>2439</v>
      </c>
      <c r="G315" s="14" t="s">
        <v>1501</v>
      </c>
      <c r="H315" s="14" t="s">
        <v>5583</v>
      </c>
      <c r="I315" s="14" t="s">
        <v>1501</v>
      </c>
      <c r="J315" s="14" t="s">
        <v>1501</v>
      </c>
      <c r="K315" s="14"/>
      <c r="L315" s="14"/>
      <c r="M315" s="14"/>
      <c r="N315" s="155"/>
      <c r="O315" s="14" t="s">
        <v>3487</v>
      </c>
    </row>
    <row r="316" spans="1:15" x14ac:dyDescent="0.25">
      <c r="A316" s="2" t="s">
        <v>2240</v>
      </c>
      <c r="B316" s="14" t="s">
        <v>2241</v>
      </c>
      <c r="C316" s="14" t="s">
        <v>1467</v>
      </c>
      <c r="D316" s="14" t="s">
        <v>1467</v>
      </c>
      <c r="E316" s="14" t="s">
        <v>1467</v>
      </c>
      <c r="F316" s="14" t="s">
        <v>1467</v>
      </c>
      <c r="G316" s="14" t="s">
        <v>1501</v>
      </c>
      <c r="H316" s="14" t="s">
        <v>1467</v>
      </c>
      <c r="I316" s="14" t="s">
        <v>1501</v>
      </c>
      <c r="J316" s="14" t="s">
        <v>1501</v>
      </c>
      <c r="K316" s="14"/>
      <c r="L316" s="14"/>
      <c r="M316" s="14"/>
      <c r="N316" s="155">
        <v>0</v>
      </c>
      <c r="O316" s="14"/>
    </row>
    <row r="317" spans="1:15" x14ac:dyDescent="0.25">
      <c r="A317" s="2" t="s">
        <v>2273</v>
      </c>
      <c r="B317" s="14" t="s">
        <v>2274</v>
      </c>
      <c r="C317" s="14" t="s">
        <v>1467</v>
      </c>
      <c r="D317" s="14" t="s">
        <v>1467</v>
      </c>
      <c r="E317" s="14" t="s">
        <v>1467</v>
      </c>
      <c r="F317" s="14" t="s">
        <v>2474</v>
      </c>
      <c r="G317" s="14" t="s">
        <v>1501</v>
      </c>
      <c r="H317" s="14" t="s">
        <v>2275</v>
      </c>
      <c r="I317" s="14" t="s">
        <v>1501</v>
      </c>
      <c r="J317" s="14" t="s">
        <v>1501</v>
      </c>
      <c r="K317" s="14"/>
      <c r="L317" s="14"/>
      <c r="M317" s="14"/>
      <c r="N317" s="155"/>
      <c r="O317" s="14" t="s">
        <v>3489</v>
      </c>
    </row>
    <row r="318" spans="1:15" x14ac:dyDescent="0.25">
      <c r="A318" s="2" t="s">
        <v>2276</v>
      </c>
      <c r="B318" s="14" t="s">
        <v>2277</v>
      </c>
      <c r="C318" s="14" t="s">
        <v>2278</v>
      </c>
      <c r="D318" s="14" t="s">
        <v>1467</v>
      </c>
      <c r="E318" s="14" t="s">
        <v>1467</v>
      </c>
      <c r="F318" s="14" t="s">
        <v>2482</v>
      </c>
      <c r="G318" s="14" t="s">
        <v>1862</v>
      </c>
      <c r="H318" s="14" t="s">
        <v>2279</v>
      </c>
      <c r="I318" s="14" t="s">
        <v>1862</v>
      </c>
      <c r="J318" s="14" t="s">
        <v>2050</v>
      </c>
      <c r="K318" s="14"/>
      <c r="L318" s="14"/>
      <c r="M318" s="14"/>
      <c r="N318" s="155"/>
      <c r="O318" s="14" t="s">
        <v>3490</v>
      </c>
    </row>
    <row r="319" spans="1:15" x14ac:dyDescent="0.25">
      <c r="A319" s="2" t="s">
        <v>2280</v>
      </c>
      <c r="B319" s="14" t="s">
        <v>2281</v>
      </c>
      <c r="C319" s="14" t="s">
        <v>1467</v>
      </c>
      <c r="D319" s="14" t="s">
        <v>1467</v>
      </c>
      <c r="E319" s="14" t="s">
        <v>1467</v>
      </c>
      <c r="F319" s="14" t="s">
        <v>2527</v>
      </c>
      <c r="G319" s="14" t="s">
        <v>1467</v>
      </c>
      <c r="H319" s="14" t="s">
        <v>2282</v>
      </c>
      <c r="I319" s="14" t="s">
        <v>1467</v>
      </c>
      <c r="J319" s="14" t="s">
        <v>1501</v>
      </c>
      <c r="K319" s="14"/>
      <c r="L319" s="14"/>
      <c r="M319" s="14"/>
      <c r="N319" s="155"/>
      <c r="O319" s="14" t="s">
        <v>3489</v>
      </c>
    </row>
    <row r="320" spans="1:15" x14ac:dyDescent="0.25">
      <c r="A320" s="2" t="s">
        <v>2330</v>
      </c>
      <c r="B320" s="14" t="s">
        <v>2331</v>
      </c>
      <c r="C320" s="14" t="s">
        <v>1467</v>
      </c>
      <c r="D320" s="14" t="s">
        <v>1467</v>
      </c>
      <c r="E320" s="14" t="s">
        <v>1467</v>
      </c>
      <c r="F320" s="14" t="s">
        <v>1467</v>
      </c>
      <c r="G320" s="14" t="s">
        <v>1467</v>
      </c>
      <c r="H320" s="14" t="s">
        <v>1467</v>
      </c>
      <c r="I320" s="14" t="s">
        <v>1467</v>
      </c>
      <c r="J320" s="14" t="s">
        <v>1467</v>
      </c>
      <c r="K320" s="14"/>
      <c r="L320" s="14"/>
      <c r="M320" s="14"/>
      <c r="N320" s="155">
        <v>0</v>
      </c>
      <c r="O320" s="14"/>
    </row>
    <row r="321" spans="1:15" x14ac:dyDescent="0.25">
      <c r="A321" s="2" t="s">
        <v>2342</v>
      </c>
      <c r="B321" s="14" t="s">
        <v>3017</v>
      </c>
      <c r="C321" s="14" t="s">
        <v>1467</v>
      </c>
      <c r="D321" s="14" t="s">
        <v>1467</v>
      </c>
      <c r="E321" s="14" t="s">
        <v>1467</v>
      </c>
      <c r="F321" s="14" t="s">
        <v>2571</v>
      </c>
      <c r="G321" s="14" t="s">
        <v>1444</v>
      </c>
      <c r="H321" s="14" t="s">
        <v>2343</v>
      </c>
      <c r="I321" s="14" t="s">
        <v>1444</v>
      </c>
      <c r="J321" s="14" t="s">
        <v>1445</v>
      </c>
      <c r="K321" s="14"/>
      <c r="L321" s="14"/>
      <c r="M321" s="14"/>
      <c r="N321" s="155"/>
      <c r="O321" s="14" t="s">
        <v>3489</v>
      </c>
    </row>
    <row r="322" spans="1:15" x14ac:dyDescent="0.25">
      <c r="A322" s="2" t="s">
        <v>2344</v>
      </c>
      <c r="B322" s="14" t="s">
        <v>2345</v>
      </c>
      <c r="C322" s="14" t="s">
        <v>1467</v>
      </c>
      <c r="D322" s="14" t="s">
        <v>1467</v>
      </c>
      <c r="E322" s="14" t="s">
        <v>1467</v>
      </c>
      <c r="F322" s="14" t="s">
        <v>1467</v>
      </c>
      <c r="G322" s="14" t="s">
        <v>1501</v>
      </c>
      <c r="H322" s="14" t="s">
        <v>1467</v>
      </c>
      <c r="I322" s="14" t="s">
        <v>1501</v>
      </c>
      <c r="J322" s="14" t="s">
        <v>1501</v>
      </c>
      <c r="K322" s="14"/>
      <c r="L322" s="14"/>
      <c r="M322" s="14"/>
      <c r="N322" s="155"/>
      <c r="O322" s="14" t="s">
        <v>3487</v>
      </c>
    </row>
    <row r="323" spans="1:15" x14ac:dyDescent="0.25">
      <c r="A323" s="2" t="s">
        <v>2349</v>
      </c>
      <c r="B323" s="14" t="s">
        <v>2350</v>
      </c>
      <c r="C323" s="14" t="s">
        <v>1467</v>
      </c>
      <c r="D323" s="14" t="s">
        <v>1467</v>
      </c>
      <c r="E323" s="14" t="s">
        <v>1467</v>
      </c>
      <c r="F323" s="14" t="s">
        <v>3162</v>
      </c>
      <c r="G323" s="14" t="s">
        <v>1501</v>
      </c>
      <c r="H323" s="14" t="s">
        <v>2352</v>
      </c>
      <c r="I323" s="14" t="s">
        <v>1501</v>
      </c>
      <c r="J323" s="14" t="s">
        <v>1501</v>
      </c>
      <c r="K323" s="14"/>
      <c r="L323" s="14"/>
      <c r="M323" s="14"/>
      <c r="N323" s="155">
        <v>0</v>
      </c>
      <c r="O323" s="14"/>
    </row>
    <row r="324" spans="1:15" x14ac:dyDescent="0.25">
      <c r="A324" s="2" t="s">
        <v>2360</v>
      </c>
      <c r="B324" s="14" t="s">
        <v>4296</v>
      </c>
      <c r="C324" s="14" t="s">
        <v>1467</v>
      </c>
      <c r="D324" s="14" t="s">
        <v>1467</v>
      </c>
      <c r="E324" s="14" t="s">
        <v>1467</v>
      </c>
      <c r="F324" s="14" t="s">
        <v>1467</v>
      </c>
      <c r="G324" s="14" t="s">
        <v>1501</v>
      </c>
      <c r="H324" s="14" t="s">
        <v>4298</v>
      </c>
      <c r="I324" s="14" t="s">
        <v>1501</v>
      </c>
      <c r="J324" s="14" t="s">
        <v>1501</v>
      </c>
      <c r="K324" s="14"/>
      <c r="L324" s="14"/>
      <c r="M324" s="14"/>
      <c r="N324" s="155"/>
      <c r="O324" s="14" t="s">
        <v>3487</v>
      </c>
    </row>
    <row r="325" spans="1:15" x14ac:dyDescent="0.25">
      <c r="A325" s="2" t="s">
        <v>2384</v>
      </c>
      <c r="B325" s="14" t="s">
        <v>2385</v>
      </c>
      <c r="C325" s="14" t="s">
        <v>1467</v>
      </c>
      <c r="D325" s="14" t="s">
        <v>1467</v>
      </c>
      <c r="E325" s="14" t="s">
        <v>1467</v>
      </c>
      <c r="F325" s="14" t="s">
        <v>2631</v>
      </c>
      <c r="G325" s="14" t="s">
        <v>1501</v>
      </c>
      <c r="H325" s="14" t="s">
        <v>1467</v>
      </c>
      <c r="I325" s="14" t="s">
        <v>1501</v>
      </c>
      <c r="J325" s="14" t="s">
        <v>1467</v>
      </c>
      <c r="K325" s="14"/>
      <c r="L325" s="14"/>
      <c r="M325" s="14"/>
      <c r="N325" s="155">
        <v>0</v>
      </c>
      <c r="O325" s="14"/>
    </row>
    <row r="326" spans="1:15" x14ac:dyDescent="0.25">
      <c r="A326" s="2" t="s">
        <v>2391</v>
      </c>
      <c r="B326" s="14" t="s">
        <v>2392</v>
      </c>
      <c r="C326" s="14" t="s">
        <v>1467</v>
      </c>
      <c r="D326" s="14" t="s">
        <v>1467</v>
      </c>
      <c r="E326" s="14" t="s">
        <v>1467</v>
      </c>
      <c r="F326" s="14" t="s">
        <v>2634</v>
      </c>
      <c r="G326" s="14" t="s">
        <v>1467</v>
      </c>
      <c r="H326" s="14" t="s">
        <v>1467</v>
      </c>
      <c r="I326" s="14" t="s">
        <v>1467</v>
      </c>
      <c r="J326" s="14" t="s">
        <v>1467</v>
      </c>
      <c r="K326" s="14"/>
      <c r="L326" s="14"/>
      <c r="M326" s="14"/>
      <c r="N326" s="155">
        <v>0</v>
      </c>
      <c r="O326" s="14"/>
    </row>
    <row r="327" spans="1:15" x14ac:dyDescent="0.25">
      <c r="A327" s="2" t="s">
        <v>2428</v>
      </c>
      <c r="B327" s="14" t="s">
        <v>1752</v>
      </c>
      <c r="C327" s="14" t="s">
        <v>1467</v>
      </c>
      <c r="D327" s="14" t="s">
        <v>1467</v>
      </c>
      <c r="E327" s="14" t="s">
        <v>1467</v>
      </c>
      <c r="F327" s="14" t="s">
        <v>2637</v>
      </c>
      <c r="G327" s="14" t="s">
        <v>1855</v>
      </c>
      <c r="H327" s="14" t="s">
        <v>2429</v>
      </c>
      <c r="I327" s="14" t="s">
        <v>1855</v>
      </c>
      <c r="J327" s="14" t="s">
        <v>1445</v>
      </c>
      <c r="K327" s="14"/>
      <c r="L327" s="14"/>
      <c r="M327" s="14"/>
      <c r="N327" s="155">
        <v>0</v>
      </c>
      <c r="O327" s="14"/>
    </row>
    <row r="328" spans="1:15" x14ac:dyDescent="0.25">
      <c r="A328" s="2" t="s">
        <v>2431</v>
      </c>
      <c r="B328" s="14" t="s">
        <v>2432</v>
      </c>
      <c r="C328" s="14" t="s">
        <v>1467</v>
      </c>
      <c r="D328" s="14" t="s">
        <v>1467</v>
      </c>
      <c r="E328" s="14" t="s">
        <v>1467</v>
      </c>
      <c r="F328" s="14" t="s">
        <v>2654</v>
      </c>
      <c r="G328" s="14" t="s">
        <v>1501</v>
      </c>
      <c r="H328" s="14" t="s">
        <v>1467</v>
      </c>
      <c r="I328" s="14" t="s">
        <v>1467</v>
      </c>
      <c r="J328" s="14" t="s">
        <v>1501</v>
      </c>
      <c r="K328" s="14"/>
      <c r="L328" s="14"/>
      <c r="M328" s="14"/>
      <c r="N328" s="155">
        <v>0</v>
      </c>
      <c r="O328" s="14"/>
    </row>
    <row r="329" spans="1:15" x14ac:dyDescent="0.25">
      <c r="A329" s="2" t="s">
        <v>2437</v>
      </c>
      <c r="B329" s="14" t="s">
        <v>2438</v>
      </c>
      <c r="C329" s="14" t="s">
        <v>1467</v>
      </c>
      <c r="D329" s="14" t="s">
        <v>1467</v>
      </c>
      <c r="E329" s="14" t="s">
        <v>1467</v>
      </c>
      <c r="F329" s="14" t="s">
        <v>2657</v>
      </c>
      <c r="G329" s="14" t="s">
        <v>1501</v>
      </c>
      <c r="H329" s="14" t="s">
        <v>2440</v>
      </c>
      <c r="I329" s="14" t="s">
        <v>1501</v>
      </c>
      <c r="J329" s="14" t="s">
        <v>1501</v>
      </c>
      <c r="K329" s="14"/>
      <c r="L329" s="14"/>
      <c r="M329" s="14"/>
      <c r="N329" s="155"/>
      <c r="O329" s="14" t="s">
        <v>3489</v>
      </c>
    </row>
    <row r="330" spans="1:15" x14ac:dyDescent="0.25">
      <c r="A330" s="2" t="s">
        <v>2442</v>
      </c>
      <c r="B330" s="14" t="s">
        <v>2443</v>
      </c>
      <c r="C330" s="14" t="s">
        <v>1467</v>
      </c>
      <c r="D330" s="14" t="s">
        <v>1467</v>
      </c>
      <c r="E330" s="14" t="s">
        <v>1467</v>
      </c>
      <c r="F330" s="14" t="s">
        <v>2660</v>
      </c>
      <c r="G330" s="14" t="s">
        <v>1467</v>
      </c>
      <c r="H330" s="14" t="s">
        <v>1467</v>
      </c>
      <c r="I330" s="14" t="s">
        <v>1467</v>
      </c>
      <c r="J330" s="14" t="s">
        <v>1849</v>
      </c>
      <c r="K330" s="14"/>
      <c r="L330" s="14"/>
      <c r="M330" s="14"/>
      <c r="N330" s="155"/>
      <c r="O330" s="14"/>
    </row>
    <row r="331" spans="1:15" x14ac:dyDescent="0.25">
      <c r="A331" s="2" t="s">
        <v>2471</v>
      </c>
      <c r="B331" s="14" t="s">
        <v>2472</v>
      </c>
      <c r="C331" s="14" t="s">
        <v>2473</v>
      </c>
      <c r="D331" s="14" t="s">
        <v>1467</v>
      </c>
      <c r="E331" s="14" t="s">
        <v>1467</v>
      </c>
      <c r="F331" s="14" t="s">
        <v>2663</v>
      </c>
      <c r="G331" s="14" t="s">
        <v>1444</v>
      </c>
      <c r="H331" s="14" t="s">
        <v>2475</v>
      </c>
      <c r="I331" s="14" t="s">
        <v>2476</v>
      </c>
      <c r="J331" s="14" t="s">
        <v>1445</v>
      </c>
      <c r="K331" s="14"/>
      <c r="L331" s="14"/>
      <c r="M331" s="14"/>
      <c r="N331" s="155"/>
      <c r="O331" s="14"/>
    </row>
    <row r="332" spans="1:15" x14ac:dyDescent="0.25">
      <c r="A332" s="2" t="s">
        <v>2480</v>
      </c>
      <c r="B332" s="14" t="s">
        <v>2481</v>
      </c>
      <c r="C332" s="14" t="s">
        <v>1467</v>
      </c>
      <c r="D332" s="14" t="s">
        <v>1467</v>
      </c>
      <c r="E332" s="14" t="s">
        <v>1467</v>
      </c>
      <c r="F332" s="14" t="s">
        <v>2677</v>
      </c>
      <c r="G332" s="14" t="s">
        <v>1501</v>
      </c>
      <c r="H332" s="14" t="s">
        <v>2483</v>
      </c>
      <c r="I332" s="14" t="s">
        <v>1501</v>
      </c>
      <c r="J332" s="14" t="s">
        <v>1501</v>
      </c>
      <c r="K332" s="14"/>
      <c r="L332" s="14"/>
      <c r="M332" s="14"/>
      <c r="N332" s="155"/>
      <c r="O332" s="14"/>
    </row>
    <row r="333" spans="1:15" x14ac:dyDescent="0.25">
      <c r="A333" s="2" t="s">
        <v>2525</v>
      </c>
      <c r="B333" s="14" t="s">
        <v>2526</v>
      </c>
      <c r="C333" s="14" t="s">
        <v>1467</v>
      </c>
      <c r="D333" s="14" t="s">
        <v>1467</v>
      </c>
      <c r="E333" s="14" t="s">
        <v>1467</v>
      </c>
      <c r="F333" s="14" t="s">
        <v>1467</v>
      </c>
      <c r="G333" s="14" t="s">
        <v>1501</v>
      </c>
      <c r="H333" s="14" t="s">
        <v>1467</v>
      </c>
      <c r="I333" s="14" t="s">
        <v>1467</v>
      </c>
      <c r="J333" s="14" t="s">
        <v>1501</v>
      </c>
      <c r="K333" s="14"/>
      <c r="L333" s="14"/>
      <c r="M333" s="14"/>
      <c r="N333" s="155"/>
      <c r="O333" s="14"/>
    </row>
    <row r="334" spans="1:15" x14ac:dyDescent="0.25">
      <c r="A334" s="2" t="s">
        <v>2565</v>
      </c>
      <c r="B334" s="14" t="s">
        <v>2566</v>
      </c>
      <c r="C334" s="14" t="s">
        <v>1467</v>
      </c>
      <c r="D334" s="14" t="s">
        <v>1467</v>
      </c>
      <c r="E334" s="14" t="s">
        <v>1467</v>
      </c>
      <c r="F334" s="14" t="s">
        <v>2727</v>
      </c>
      <c r="G334" s="14" t="s">
        <v>1467</v>
      </c>
      <c r="H334" s="14" t="s">
        <v>1467</v>
      </c>
      <c r="I334" s="14" t="s">
        <v>1467</v>
      </c>
      <c r="J334" s="14" t="s">
        <v>1501</v>
      </c>
      <c r="K334" s="14"/>
      <c r="L334" s="14"/>
      <c r="M334" s="14"/>
      <c r="N334" s="155"/>
      <c r="O334" s="14" t="s">
        <v>3489</v>
      </c>
    </row>
    <row r="335" spans="1:15" x14ac:dyDescent="0.25">
      <c r="A335" s="2" t="s">
        <v>2569</v>
      </c>
      <c r="B335" s="14" t="s">
        <v>2570</v>
      </c>
      <c r="C335" s="14" t="s">
        <v>1467</v>
      </c>
      <c r="D335" s="14" t="s">
        <v>1467</v>
      </c>
      <c r="E335" s="14" t="s">
        <v>1467</v>
      </c>
      <c r="F335" s="14" t="s">
        <v>2731</v>
      </c>
      <c r="G335" s="14" t="s">
        <v>1501</v>
      </c>
      <c r="H335" s="14" t="s">
        <v>1467</v>
      </c>
      <c r="I335" s="14" t="s">
        <v>1467</v>
      </c>
      <c r="J335" s="14" t="s">
        <v>1501</v>
      </c>
      <c r="K335" s="14"/>
      <c r="L335" s="14"/>
      <c r="M335" s="14"/>
      <c r="N335" s="155"/>
      <c r="O335" s="14"/>
    </row>
    <row r="336" spans="1:15" x14ac:dyDescent="0.25">
      <c r="A336" s="2" t="s">
        <v>2572</v>
      </c>
      <c r="B336" s="14" t="s">
        <v>2649</v>
      </c>
      <c r="C336" s="14" t="s">
        <v>1467</v>
      </c>
      <c r="D336" s="14" t="s">
        <v>1467</v>
      </c>
      <c r="E336" s="14" t="s">
        <v>1467</v>
      </c>
      <c r="F336" s="14" t="s">
        <v>2735</v>
      </c>
      <c r="G336" s="14" t="s">
        <v>1467</v>
      </c>
      <c r="H336" s="14" t="s">
        <v>2282</v>
      </c>
      <c r="I336" s="14" t="s">
        <v>1467</v>
      </c>
      <c r="J336" s="14" t="s">
        <v>1501</v>
      </c>
      <c r="K336" s="14"/>
      <c r="L336" s="14"/>
      <c r="M336" s="14"/>
      <c r="N336" s="155"/>
      <c r="O336" s="14" t="s">
        <v>3489</v>
      </c>
    </row>
    <row r="337" spans="1:15" x14ac:dyDescent="0.25">
      <c r="A337" s="2" t="s">
        <v>2598</v>
      </c>
      <c r="B337" s="14" t="s">
        <v>2599</v>
      </c>
      <c r="C337" s="14" t="s">
        <v>1467</v>
      </c>
      <c r="D337" s="14" t="s">
        <v>1467</v>
      </c>
      <c r="E337" s="14" t="s">
        <v>1467</v>
      </c>
      <c r="F337" s="14" t="s">
        <v>2741</v>
      </c>
      <c r="G337" s="14" t="s">
        <v>1501</v>
      </c>
      <c r="H337" s="14" t="s">
        <v>3163</v>
      </c>
      <c r="I337" s="14" t="s">
        <v>1467</v>
      </c>
      <c r="J337" s="14" t="s">
        <v>1501</v>
      </c>
      <c r="K337" s="14"/>
      <c r="L337" s="14"/>
      <c r="M337" s="14"/>
      <c r="N337" s="155"/>
      <c r="O337" s="14" t="s">
        <v>3489</v>
      </c>
    </row>
    <row r="338" spans="1:15" x14ac:dyDescent="0.25">
      <c r="A338" s="2" t="s">
        <v>2619</v>
      </c>
      <c r="B338" s="14" t="s">
        <v>3361</v>
      </c>
      <c r="C338" s="14" t="s">
        <v>1467</v>
      </c>
      <c r="D338" s="14" t="s">
        <v>1467</v>
      </c>
      <c r="E338" s="14" t="s">
        <v>1467</v>
      </c>
      <c r="F338" s="14" t="s">
        <v>2751</v>
      </c>
      <c r="G338" s="14" t="s">
        <v>1501</v>
      </c>
      <c r="H338" s="14" t="s">
        <v>1467</v>
      </c>
      <c r="I338" s="14" t="s">
        <v>1467</v>
      </c>
      <c r="J338" s="14" t="s">
        <v>1501</v>
      </c>
      <c r="K338" s="14"/>
      <c r="L338" s="14"/>
      <c r="M338" s="14"/>
      <c r="N338" s="155"/>
      <c r="O338" s="14" t="s">
        <v>3489</v>
      </c>
    </row>
    <row r="339" spans="1:15" x14ac:dyDescent="0.25">
      <c r="A339" s="2" t="s">
        <v>2629</v>
      </c>
      <c r="B339" s="14" t="s">
        <v>2630</v>
      </c>
      <c r="C339" s="14" t="s">
        <v>1467</v>
      </c>
      <c r="D339" s="14" t="s">
        <v>1467</v>
      </c>
      <c r="E339" s="14" t="s">
        <v>1467</v>
      </c>
      <c r="F339" s="14" t="s">
        <v>2754</v>
      </c>
      <c r="G339" s="14" t="s">
        <v>1501</v>
      </c>
      <c r="H339" s="14" t="s">
        <v>1467</v>
      </c>
      <c r="I339" s="14" t="s">
        <v>1501</v>
      </c>
      <c r="J339" s="14" t="s">
        <v>1501</v>
      </c>
      <c r="K339" s="14"/>
      <c r="L339" s="14"/>
      <c r="M339" s="14"/>
      <c r="N339" s="155"/>
      <c r="O339" s="14"/>
    </row>
    <row r="340" spans="1:15" x14ac:dyDescent="0.25">
      <c r="A340" s="2" t="s">
        <v>2632</v>
      </c>
      <c r="B340" s="14" t="s">
        <v>2633</v>
      </c>
      <c r="C340" s="14" t="s">
        <v>1467</v>
      </c>
      <c r="D340" s="14" t="s">
        <v>1467</v>
      </c>
      <c r="E340" s="14" t="s">
        <v>1467</v>
      </c>
      <c r="F340" s="14" t="s">
        <v>2759</v>
      </c>
      <c r="G340" s="14" t="s">
        <v>1855</v>
      </c>
      <c r="H340" s="14" t="s">
        <v>1467</v>
      </c>
      <c r="I340" s="14" t="s">
        <v>1467</v>
      </c>
      <c r="J340" s="14" t="s">
        <v>1445</v>
      </c>
      <c r="K340" s="14"/>
      <c r="L340" s="14"/>
      <c r="M340" s="14"/>
      <c r="N340" s="155"/>
      <c r="O340" s="14" t="s">
        <v>3487</v>
      </c>
    </row>
    <row r="341" spans="1:15" x14ac:dyDescent="0.25">
      <c r="A341" s="2" t="s">
        <v>2635</v>
      </c>
      <c r="B341" s="14" t="s">
        <v>2636</v>
      </c>
      <c r="C341" s="14" t="s">
        <v>1467</v>
      </c>
      <c r="D341" s="14" t="s">
        <v>1467</v>
      </c>
      <c r="E341" s="14" t="s">
        <v>1467</v>
      </c>
      <c r="F341" s="14" t="s">
        <v>2800</v>
      </c>
      <c r="G341" s="14" t="s">
        <v>1501</v>
      </c>
      <c r="H341" s="14" t="s">
        <v>2638</v>
      </c>
      <c r="I341" s="14" t="s">
        <v>1501</v>
      </c>
      <c r="J341" s="14" t="s">
        <v>2050</v>
      </c>
      <c r="K341" s="14"/>
      <c r="L341" s="14"/>
      <c r="M341" s="14"/>
      <c r="N341" s="155"/>
      <c r="O341" s="14"/>
    </row>
    <row r="342" spans="1:15" x14ac:dyDescent="0.25">
      <c r="A342" s="2" t="s">
        <v>2652</v>
      </c>
      <c r="B342" s="14" t="s">
        <v>2653</v>
      </c>
      <c r="C342" s="14" t="s">
        <v>1467</v>
      </c>
      <c r="D342" s="14" t="s">
        <v>1467</v>
      </c>
      <c r="E342" s="14" t="s">
        <v>1467</v>
      </c>
      <c r="F342" s="14" t="s">
        <v>2853</v>
      </c>
      <c r="G342" s="14" t="s">
        <v>1501</v>
      </c>
      <c r="H342" s="14" t="s">
        <v>2655</v>
      </c>
      <c r="I342" s="14" t="s">
        <v>1501</v>
      </c>
      <c r="J342" s="14" t="s">
        <v>1501</v>
      </c>
      <c r="K342" s="14"/>
      <c r="L342" s="14"/>
      <c r="M342" s="14"/>
      <c r="N342" s="155"/>
      <c r="O342" s="14"/>
    </row>
    <row r="343" spans="1:15" x14ac:dyDescent="0.25">
      <c r="A343" s="2" t="s">
        <v>2656</v>
      </c>
      <c r="B343" s="14" t="s">
        <v>3362</v>
      </c>
      <c r="C343" s="14" t="s">
        <v>1467</v>
      </c>
      <c r="D343" s="14" t="s">
        <v>1467</v>
      </c>
      <c r="E343" s="14" t="s">
        <v>1467</v>
      </c>
      <c r="F343" s="14" t="s">
        <v>2889</v>
      </c>
      <c r="G343" s="14" t="s">
        <v>1501</v>
      </c>
      <c r="H343" s="14" t="s">
        <v>2386</v>
      </c>
      <c r="I343" s="14" t="s">
        <v>1501</v>
      </c>
      <c r="J343" s="14" t="s">
        <v>1501</v>
      </c>
      <c r="K343" s="14"/>
      <c r="L343" s="14"/>
      <c r="M343" s="14"/>
      <c r="N343" s="155"/>
      <c r="O343" s="14" t="s">
        <v>3489</v>
      </c>
    </row>
    <row r="344" spans="1:15" x14ac:dyDescent="0.25">
      <c r="A344" s="2" t="s">
        <v>2658</v>
      </c>
      <c r="B344" s="14" t="s">
        <v>2659</v>
      </c>
      <c r="C344" s="14" t="s">
        <v>1467</v>
      </c>
      <c r="D344" s="14" t="s">
        <v>1467</v>
      </c>
      <c r="E344" s="14" t="s">
        <v>1467</v>
      </c>
      <c r="F344" s="14" t="s">
        <v>2892</v>
      </c>
      <c r="G344" s="14" t="s">
        <v>1501</v>
      </c>
      <c r="H344" s="14" t="s">
        <v>1922</v>
      </c>
      <c r="I344" s="14" t="s">
        <v>1501</v>
      </c>
      <c r="J344" s="14" t="s">
        <v>1501</v>
      </c>
      <c r="K344" s="14"/>
      <c r="L344" s="14"/>
      <c r="M344" s="14"/>
      <c r="N344" s="155"/>
      <c r="O344" s="14" t="s">
        <v>3489</v>
      </c>
    </row>
    <row r="345" spans="1:15" x14ac:dyDescent="0.25">
      <c r="A345" s="2" t="s">
        <v>2661</v>
      </c>
      <c r="B345" s="14" t="s">
        <v>2662</v>
      </c>
      <c r="C345" s="14" t="s">
        <v>1467</v>
      </c>
      <c r="D345" s="14" t="s">
        <v>1467</v>
      </c>
      <c r="E345" s="14" t="s">
        <v>1467</v>
      </c>
      <c r="F345" s="14" t="s">
        <v>2896</v>
      </c>
      <c r="G345" s="14" t="s">
        <v>1501</v>
      </c>
      <c r="H345" s="14" t="s">
        <v>2664</v>
      </c>
      <c r="I345" s="14" t="s">
        <v>1501</v>
      </c>
      <c r="J345" s="14" t="s">
        <v>1501</v>
      </c>
      <c r="K345" s="14"/>
      <c r="L345" s="14"/>
      <c r="M345" s="14"/>
      <c r="N345" s="155"/>
      <c r="O345" s="14" t="s">
        <v>3487</v>
      </c>
    </row>
    <row r="346" spans="1:15" x14ac:dyDescent="0.25">
      <c r="A346" s="2" t="s">
        <v>2675</v>
      </c>
      <c r="B346" s="14" t="s">
        <v>2676</v>
      </c>
      <c r="C346" s="14" t="s">
        <v>1467</v>
      </c>
      <c r="D346" s="14" t="s">
        <v>1467</v>
      </c>
      <c r="E346" s="14" t="s">
        <v>1467</v>
      </c>
      <c r="F346" s="14" t="s">
        <v>2962</v>
      </c>
      <c r="G346" s="14" t="s">
        <v>1501</v>
      </c>
      <c r="H346" s="14" t="s">
        <v>1922</v>
      </c>
      <c r="I346" s="14" t="s">
        <v>1501</v>
      </c>
      <c r="J346" s="14" t="s">
        <v>1501</v>
      </c>
      <c r="K346" s="14"/>
      <c r="L346" s="14"/>
      <c r="M346" s="14"/>
      <c r="N346" s="155"/>
      <c r="O346" s="14" t="s">
        <v>3489</v>
      </c>
    </row>
    <row r="347" spans="1:15" x14ac:dyDescent="0.25">
      <c r="A347" s="2" t="s">
        <v>2688</v>
      </c>
      <c r="B347" s="14" t="s">
        <v>2689</v>
      </c>
      <c r="C347" s="14" t="s">
        <v>1467</v>
      </c>
      <c r="D347" s="14" t="s">
        <v>1467</v>
      </c>
      <c r="E347" s="14" t="s">
        <v>1467</v>
      </c>
      <c r="F347" s="14" t="s">
        <v>2965</v>
      </c>
      <c r="G347" s="14" t="s">
        <v>1467</v>
      </c>
      <c r="H347" s="14" t="s">
        <v>1467</v>
      </c>
      <c r="I347" s="14" t="s">
        <v>1467</v>
      </c>
      <c r="J347" s="14" t="s">
        <v>1501</v>
      </c>
      <c r="K347" s="14"/>
      <c r="L347" s="14"/>
      <c r="M347" s="14"/>
      <c r="N347" s="155"/>
      <c r="O347" s="14"/>
    </row>
    <row r="348" spans="1:15" x14ac:dyDescent="0.25">
      <c r="A348" s="2" t="s">
        <v>2724</v>
      </c>
      <c r="B348" s="14" t="s">
        <v>2725</v>
      </c>
      <c r="C348" s="14" t="s">
        <v>2726</v>
      </c>
      <c r="D348" s="14" t="s">
        <v>1467</v>
      </c>
      <c r="E348" s="14" t="s">
        <v>1467</v>
      </c>
      <c r="F348" s="14" t="s">
        <v>2996</v>
      </c>
      <c r="G348" s="14" t="s">
        <v>2728</v>
      </c>
      <c r="H348" s="14" t="s">
        <v>1467</v>
      </c>
      <c r="I348" s="14" t="s">
        <v>1467</v>
      </c>
      <c r="J348" s="14" t="s">
        <v>1849</v>
      </c>
      <c r="K348" s="14"/>
      <c r="L348" s="14"/>
      <c r="M348" s="14"/>
      <c r="N348" s="155"/>
      <c r="O348" s="14"/>
    </row>
    <row r="349" spans="1:15" x14ac:dyDescent="0.25">
      <c r="A349" s="2" t="s">
        <v>2729</v>
      </c>
      <c r="B349" s="14" t="s">
        <v>2730</v>
      </c>
      <c r="C349" s="14" t="s">
        <v>1467</v>
      </c>
      <c r="D349" s="14" t="s">
        <v>1467</v>
      </c>
      <c r="E349" s="14" t="s">
        <v>1467</v>
      </c>
      <c r="F349" s="14" t="s">
        <v>2999</v>
      </c>
      <c r="G349" s="14" t="s">
        <v>1501</v>
      </c>
      <c r="H349" s="14" t="s">
        <v>2732</v>
      </c>
      <c r="I349" s="14" t="s">
        <v>1467</v>
      </c>
      <c r="J349" s="14" t="s">
        <v>1501</v>
      </c>
      <c r="K349" s="14"/>
      <c r="L349" s="14"/>
      <c r="M349" s="14"/>
      <c r="N349" s="155"/>
      <c r="O349" s="14" t="s">
        <v>3489</v>
      </c>
    </row>
    <row r="350" spans="1:15" x14ac:dyDescent="0.25">
      <c r="A350" s="2" t="s">
        <v>2733</v>
      </c>
      <c r="B350" s="14" t="s">
        <v>2734</v>
      </c>
      <c r="C350" s="14" t="s">
        <v>1467</v>
      </c>
      <c r="D350" s="14" t="s">
        <v>1467</v>
      </c>
      <c r="E350" s="14" t="s">
        <v>1467</v>
      </c>
      <c r="F350" s="14" t="s">
        <v>3003</v>
      </c>
      <c r="G350" s="14" t="s">
        <v>1501</v>
      </c>
      <c r="H350" s="14" t="s">
        <v>2736</v>
      </c>
      <c r="I350" s="14" t="s">
        <v>1501</v>
      </c>
      <c r="J350" s="14" t="s">
        <v>1501</v>
      </c>
      <c r="K350" s="14"/>
      <c r="L350" s="14"/>
      <c r="M350" s="14"/>
      <c r="N350" s="155"/>
      <c r="O350" s="14" t="s">
        <v>3489</v>
      </c>
    </row>
    <row r="351" spans="1:15" x14ac:dyDescent="0.25">
      <c r="A351" s="2" t="s">
        <v>2739</v>
      </c>
      <c r="B351" s="14" t="s">
        <v>2740</v>
      </c>
      <c r="C351" s="14" t="s">
        <v>1467</v>
      </c>
      <c r="D351" s="14" t="s">
        <v>1467</v>
      </c>
      <c r="E351" s="14" t="s">
        <v>1467</v>
      </c>
      <c r="F351" s="14" t="s">
        <v>3007</v>
      </c>
      <c r="G351" s="14" t="s">
        <v>1501</v>
      </c>
      <c r="H351" s="14" t="s">
        <v>2386</v>
      </c>
      <c r="I351" s="14" t="s">
        <v>1501</v>
      </c>
      <c r="J351" s="14" t="s">
        <v>1501</v>
      </c>
      <c r="K351" s="14"/>
      <c r="L351" s="14"/>
      <c r="M351" s="14"/>
      <c r="N351" s="155"/>
      <c r="O351" s="14"/>
    </row>
    <row r="352" spans="1:15" x14ac:dyDescent="0.25">
      <c r="A352" s="2" t="s">
        <v>2749</v>
      </c>
      <c r="B352" s="14" t="s">
        <v>2750</v>
      </c>
      <c r="C352" s="14" t="s">
        <v>1467</v>
      </c>
      <c r="D352" s="14" t="s">
        <v>1467</v>
      </c>
      <c r="E352" s="14" t="s">
        <v>1467</v>
      </c>
      <c r="F352" s="14" t="s">
        <v>3021</v>
      </c>
      <c r="G352" s="14" t="s">
        <v>1501</v>
      </c>
      <c r="H352" s="14" t="s">
        <v>2751</v>
      </c>
      <c r="I352" s="14" t="s">
        <v>1501</v>
      </c>
      <c r="J352" s="14" t="s">
        <v>1501</v>
      </c>
      <c r="K352" s="14"/>
      <c r="L352" s="14"/>
      <c r="M352" s="14"/>
      <c r="N352" s="155"/>
      <c r="O352" s="14"/>
    </row>
    <row r="353" spans="1:15" x14ac:dyDescent="0.25">
      <c r="A353" s="2" t="s">
        <v>2752</v>
      </c>
      <c r="B353" s="14" t="s">
        <v>2753</v>
      </c>
      <c r="C353" s="14" t="s">
        <v>1467</v>
      </c>
      <c r="D353" s="14" t="s">
        <v>1467</v>
      </c>
      <c r="E353" s="14" t="s">
        <v>1467</v>
      </c>
      <c r="F353" s="14" t="s">
        <v>3166</v>
      </c>
      <c r="G353" s="14" t="s">
        <v>1501</v>
      </c>
      <c r="H353" s="14" t="s">
        <v>1467</v>
      </c>
      <c r="I353" s="14" t="s">
        <v>1501</v>
      </c>
      <c r="J353" s="14" t="s">
        <v>1501</v>
      </c>
      <c r="K353" s="14"/>
      <c r="L353" s="14"/>
      <c r="M353" s="14"/>
      <c r="N353" s="155"/>
      <c r="O353" s="14" t="s">
        <v>3489</v>
      </c>
    </row>
    <row r="354" spans="1:15" x14ac:dyDescent="0.25">
      <c r="A354" s="2" t="s">
        <v>2756</v>
      </c>
      <c r="B354" s="14" t="s">
        <v>2757</v>
      </c>
      <c r="C354" s="14" t="s">
        <v>2758</v>
      </c>
      <c r="D354" s="14" t="s">
        <v>1467</v>
      </c>
      <c r="E354" s="14" t="s">
        <v>1467</v>
      </c>
      <c r="F354" s="14" t="s">
        <v>1467</v>
      </c>
      <c r="G354" s="14" t="s">
        <v>1862</v>
      </c>
      <c r="H354" s="14" t="s">
        <v>1467</v>
      </c>
      <c r="I354" s="14" t="s">
        <v>1467</v>
      </c>
      <c r="J354" s="14" t="s">
        <v>2050</v>
      </c>
      <c r="K354" s="14"/>
      <c r="L354" s="14"/>
      <c r="M354" s="14"/>
      <c r="N354" s="155"/>
      <c r="O354" s="14" t="s">
        <v>3490</v>
      </c>
    </row>
    <row r="355" spans="1:15" x14ac:dyDescent="0.25">
      <c r="A355" s="2" t="s">
        <v>2798</v>
      </c>
      <c r="B355" s="14" t="s">
        <v>2799</v>
      </c>
      <c r="C355" s="14" t="s">
        <v>1467</v>
      </c>
      <c r="D355" s="14" t="s">
        <v>1467</v>
      </c>
      <c r="E355" s="14" t="s">
        <v>1467</v>
      </c>
      <c r="F355" s="14" t="s">
        <v>5157</v>
      </c>
      <c r="G355" s="14" t="s">
        <v>1501</v>
      </c>
      <c r="H355" s="14" t="s">
        <v>1467</v>
      </c>
      <c r="I355" s="14" t="s">
        <v>1467</v>
      </c>
      <c r="J355" s="14" t="s">
        <v>1501</v>
      </c>
      <c r="K355" s="14"/>
      <c r="L355" s="14"/>
      <c r="M355" s="14"/>
      <c r="N355" s="155"/>
      <c r="O355" s="14" t="s">
        <v>3489</v>
      </c>
    </row>
    <row r="356" spans="1:15" x14ac:dyDescent="0.25">
      <c r="A356" s="2" t="s">
        <v>2851</v>
      </c>
      <c r="B356" s="14" t="s">
        <v>2852</v>
      </c>
      <c r="C356" s="14" t="s">
        <v>1467</v>
      </c>
      <c r="D356" s="14" t="s">
        <v>1467</v>
      </c>
      <c r="E356" s="14" t="s">
        <v>1467</v>
      </c>
      <c r="F356" s="14" t="s">
        <v>3206</v>
      </c>
      <c r="G356" s="14" t="s">
        <v>1501</v>
      </c>
      <c r="H356" s="14" t="s">
        <v>1467</v>
      </c>
      <c r="I356" s="14" t="s">
        <v>1467</v>
      </c>
      <c r="J356" s="14" t="s">
        <v>1501</v>
      </c>
      <c r="K356" s="14"/>
      <c r="L356" s="14"/>
      <c r="M356" s="14"/>
      <c r="N356" s="155"/>
      <c r="O356" s="14" t="s">
        <v>3489</v>
      </c>
    </row>
    <row r="357" spans="1:15" x14ac:dyDescent="0.25">
      <c r="A357" s="2" t="s">
        <v>2887</v>
      </c>
      <c r="B357" s="14" t="s">
        <v>2888</v>
      </c>
      <c r="C357" s="14" t="s">
        <v>1467</v>
      </c>
      <c r="D357" s="14" t="s">
        <v>1467</v>
      </c>
      <c r="E357" s="14" t="s">
        <v>1467</v>
      </c>
      <c r="F357" s="14" t="s">
        <v>3212</v>
      </c>
      <c r="G357" s="14" t="s">
        <v>1501</v>
      </c>
      <c r="H357" s="14" t="s">
        <v>1467</v>
      </c>
      <c r="I357" s="14" t="s">
        <v>1467</v>
      </c>
      <c r="J357" s="14" t="s">
        <v>2050</v>
      </c>
      <c r="K357" s="14"/>
      <c r="L357" s="14"/>
      <c r="M357" s="14"/>
      <c r="N357" s="155"/>
      <c r="O357" s="14" t="s">
        <v>3489</v>
      </c>
    </row>
    <row r="358" spans="1:15" x14ac:dyDescent="0.25">
      <c r="A358" s="2" t="s">
        <v>2890</v>
      </c>
      <c r="B358" s="14" t="s">
        <v>2891</v>
      </c>
      <c r="C358" s="14" t="s">
        <v>1467</v>
      </c>
      <c r="D358" s="14" t="s">
        <v>1467</v>
      </c>
      <c r="E358" s="14" t="s">
        <v>1467</v>
      </c>
      <c r="F358" s="14" t="s">
        <v>3216</v>
      </c>
      <c r="G358" s="14" t="s">
        <v>2893</v>
      </c>
      <c r="H358" s="14" t="s">
        <v>1467</v>
      </c>
      <c r="I358" s="14" t="s">
        <v>1467</v>
      </c>
      <c r="J358" s="14" t="s">
        <v>1445</v>
      </c>
      <c r="K358" s="14"/>
      <c r="L358" s="14"/>
      <c r="M358" s="14"/>
      <c r="N358" s="155"/>
      <c r="O358" s="14" t="s">
        <v>3489</v>
      </c>
    </row>
    <row r="359" spans="1:15" x14ac:dyDescent="0.25">
      <c r="A359" s="2" t="s">
        <v>2894</v>
      </c>
      <c r="B359" s="14" t="s">
        <v>2895</v>
      </c>
      <c r="C359" s="14" t="s">
        <v>1467</v>
      </c>
      <c r="D359" s="14" t="s">
        <v>1467</v>
      </c>
      <c r="E359" s="14" t="s">
        <v>1467</v>
      </c>
      <c r="F359" s="14" t="s">
        <v>5206</v>
      </c>
      <c r="G359" s="14" t="s">
        <v>1501</v>
      </c>
      <c r="H359" s="14" t="s">
        <v>1467</v>
      </c>
      <c r="I359" s="14" t="s">
        <v>1467</v>
      </c>
      <c r="J359" s="14" t="s">
        <v>1501</v>
      </c>
      <c r="K359" s="14"/>
      <c r="L359" s="14"/>
      <c r="M359" s="14"/>
      <c r="N359" s="155"/>
      <c r="O359" s="14"/>
    </row>
    <row r="360" spans="1:15" x14ac:dyDescent="0.25">
      <c r="A360" s="2" t="s">
        <v>2960</v>
      </c>
      <c r="B360" s="14" t="s">
        <v>2961</v>
      </c>
      <c r="C360" s="14" t="s">
        <v>1467</v>
      </c>
      <c r="D360" s="14" t="s">
        <v>1467</v>
      </c>
      <c r="E360" s="14" t="s">
        <v>1467</v>
      </c>
      <c r="F360" s="14" t="s">
        <v>3305</v>
      </c>
      <c r="G360" s="14" t="s">
        <v>1501</v>
      </c>
      <c r="H360" s="14" t="s">
        <v>2962</v>
      </c>
      <c r="I360" s="14" t="s">
        <v>1501</v>
      </c>
      <c r="J360" s="14" t="s">
        <v>1501</v>
      </c>
      <c r="K360" s="14"/>
      <c r="L360" s="14"/>
      <c r="M360" s="14"/>
      <c r="N360" s="155"/>
      <c r="O360" s="14" t="s">
        <v>3489</v>
      </c>
    </row>
    <row r="361" spans="1:15" x14ac:dyDescent="0.25">
      <c r="A361" s="2" t="s">
        <v>2963</v>
      </c>
      <c r="B361" s="14" t="s">
        <v>2964</v>
      </c>
      <c r="C361" s="14" t="s">
        <v>1467</v>
      </c>
      <c r="D361" s="14" t="s">
        <v>1467</v>
      </c>
      <c r="E361" s="14" t="s">
        <v>1467</v>
      </c>
      <c r="F361" s="14" t="s">
        <v>3308</v>
      </c>
      <c r="G361" s="14" t="s">
        <v>1501</v>
      </c>
      <c r="H361" s="14" t="s">
        <v>2966</v>
      </c>
      <c r="I361" s="14" t="s">
        <v>1501</v>
      </c>
      <c r="J361" s="14" t="s">
        <v>1501</v>
      </c>
      <c r="K361" s="14"/>
      <c r="L361" s="14"/>
      <c r="M361" s="14"/>
      <c r="N361" s="155"/>
      <c r="O361" s="14"/>
    </row>
    <row r="362" spans="1:15" x14ac:dyDescent="0.25">
      <c r="A362" s="2" t="s">
        <v>2994</v>
      </c>
      <c r="B362" s="14" t="s">
        <v>1025</v>
      </c>
      <c r="C362" s="14" t="s">
        <v>2995</v>
      </c>
      <c r="D362" s="14" t="s">
        <v>1467</v>
      </c>
      <c r="E362" s="14" t="s">
        <v>1467</v>
      </c>
      <c r="F362" s="14" t="s">
        <v>3338</v>
      </c>
      <c r="G362" s="14" t="s">
        <v>1444</v>
      </c>
      <c r="H362" s="14" t="s">
        <v>2996</v>
      </c>
      <c r="I362" s="14" t="s">
        <v>1444</v>
      </c>
      <c r="J362" s="14" t="s">
        <v>1445</v>
      </c>
      <c r="K362" s="14"/>
      <c r="L362" s="14"/>
      <c r="M362" s="14"/>
      <c r="N362" s="155"/>
      <c r="O362" s="14" t="s">
        <v>3490</v>
      </c>
    </row>
    <row r="363" spans="1:15" x14ac:dyDescent="0.25">
      <c r="A363" s="2" t="s">
        <v>2997</v>
      </c>
      <c r="B363" s="14" t="s">
        <v>2998</v>
      </c>
      <c r="C363" s="14" t="s">
        <v>1467</v>
      </c>
      <c r="D363" s="14" t="s">
        <v>1467</v>
      </c>
      <c r="E363" s="14" t="s">
        <v>1467</v>
      </c>
      <c r="F363" s="14" t="s">
        <v>3392</v>
      </c>
      <c r="G363" s="14" t="s">
        <v>1501</v>
      </c>
      <c r="H363" s="14" t="s">
        <v>3000</v>
      </c>
      <c r="I363" s="14" t="s">
        <v>1501</v>
      </c>
      <c r="J363" s="14" t="s">
        <v>1501</v>
      </c>
      <c r="K363" s="14"/>
      <c r="L363" s="14"/>
      <c r="M363" s="14"/>
      <c r="N363" s="155"/>
      <c r="O363" s="14"/>
    </row>
    <row r="364" spans="1:15" x14ac:dyDescent="0.25">
      <c r="A364" s="2" t="s">
        <v>3001</v>
      </c>
      <c r="B364" s="14" t="s">
        <v>3002</v>
      </c>
      <c r="C364" s="14" t="s">
        <v>1467</v>
      </c>
      <c r="D364" s="14" t="s">
        <v>1467</v>
      </c>
      <c r="E364" s="14" t="s">
        <v>1467</v>
      </c>
      <c r="F364" s="14" t="s">
        <v>1467</v>
      </c>
      <c r="G364" s="14" t="s">
        <v>1501</v>
      </c>
      <c r="H364" s="14" t="s">
        <v>3004</v>
      </c>
      <c r="I364" s="14" t="s">
        <v>1501</v>
      </c>
      <c r="J364" s="14" t="s">
        <v>1501</v>
      </c>
      <c r="K364" s="14"/>
      <c r="L364" s="14"/>
      <c r="M364" s="14"/>
      <c r="N364" s="155"/>
      <c r="O364" s="14" t="s">
        <v>3489</v>
      </c>
    </row>
    <row r="365" spans="1:15" x14ac:dyDescent="0.25">
      <c r="A365" s="2" t="s">
        <v>3005</v>
      </c>
      <c r="B365" s="14" t="s">
        <v>3006</v>
      </c>
      <c r="C365" s="14" t="s">
        <v>1467</v>
      </c>
      <c r="D365" s="14" t="s">
        <v>1467</v>
      </c>
      <c r="E365" s="14" t="s">
        <v>1467</v>
      </c>
      <c r="F365" s="14" t="s">
        <v>3423</v>
      </c>
      <c r="G365" s="14" t="s">
        <v>2087</v>
      </c>
      <c r="H365" s="14" t="s">
        <v>3007</v>
      </c>
      <c r="I365" s="14" t="s">
        <v>2087</v>
      </c>
      <c r="J365" s="14" t="s">
        <v>1849</v>
      </c>
      <c r="K365" s="14"/>
      <c r="L365" s="14"/>
      <c r="M365" s="14"/>
      <c r="N365" s="155"/>
      <c r="O365" s="14" t="s">
        <v>3489</v>
      </c>
    </row>
    <row r="366" spans="1:15" x14ac:dyDescent="0.25">
      <c r="A366" s="2" t="s">
        <v>3018</v>
      </c>
      <c r="B366" s="14" t="s">
        <v>3019</v>
      </c>
      <c r="C366" s="14" t="s">
        <v>3020</v>
      </c>
      <c r="D366" s="14" t="s">
        <v>3019</v>
      </c>
      <c r="E366" s="14" t="s">
        <v>1467</v>
      </c>
      <c r="F366" s="14" t="s">
        <v>3445</v>
      </c>
      <c r="G366" s="14" t="s">
        <v>2056</v>
      </c>
      <c r="H366" s="14" t="s">
        <v>3021</v>
      </c>
      <c r="I366" s="14" t="s">
        <v>3022</v>
      </c>
      <c r="J366" s="14" t="s">
        <v>2050</v>
      </c>
      <c r="K366" s="14"/>
      <c r="L366" s="14"/>
      <c r="M366" s="14"/>
      <c r="N366" s="155"/>
      <c r="O366" s="14" t="s">
        <v>3490</v>
      </c>
    </row>
    <row r="367" spans="1:15" x14ac:dyDescent="0.25">
      <c r="A367" s="2" t="s">
        <v>3164</v>
      </c>
      <c r="B367" s="14" t="s">
        <v>3165</v>
      </c>
      <c r="C367" s="14" t="s">
        <v>1467</v>
      </c>
      <c r="D367" s="14" t="s">
        <v>1467</v>
      </c>
      <c r="E367" s="14" t="s">
        <v>1467</v>
      </c>
      <c r="F367" s="14" t="s">
        <v>3449</v>
      </c>
      <c r="G367" s="14" t="s">
        <v>1501</v>
      </c>
      <c r="H367" s="14" t="s">
        <v>3167</v>
      </c>
      <c r="I367" s="14" t="s">
        <v>1501</v>
      </c>
      <c r="J367" s="14" t="s">
        <v>1501</v>
      </c>
      <c r="K367" s="14"/>
      <c r="L367" s="14"/>
      <c r="M367" s="14"/>
      <c r="N367" s="155"/>
      <c r="O367" s="14"/>
    </row>
    <row r="368" spans="1:15" x14ac:dyDescent="0.25">
      <c r="A368" s="2" t="s">
        <v>3175</v>
      </c>
      <c r="B368" s="14" t="s">
        <v>3176</v>
      </c>
      <c r="C368" s="14" t="s">
        <v>1467</v>
      </c>
      <c r="D368" s="14" t="s">
        <v>1467</v>
      </c>
      <c r="E368" s="14" t="s">
        <v>1467</v>
      </c>
      <c r="F368" s="14" t="s">
        <v>1467</v>
      </c>
      <c r="G368" s="14" t="s">
        <v>1467</v>
      </c>
      <c r="H368" s="14" t="s">
        <v>1467</v>
      </c>
      <c r="I368" s="14" t="s">
        <v>1467</v>
      </c>
      <c r="J368" s="14" t="s">
        <v>1501</v>
      </c>
      <c r="K368" s="14"/>
      <c r="L368" s="14"/>
      <c r="M368" s="14"/>
      <c r="N368" s="155"/>
      <c r="O368" s="14" t="s">
        <v>3489</v>
      </c>
    </row>
    <row r="369" spans="1:15" x14ac:dyDescent="0.25">
      <c r="A369" s="2" t="s">
        <v>3200</v>
      </c>
      <c r="B369" s="14" t="s">
        <v>3201</v>
      </c>
      <c r="C369" s="14" t="s">
        <v>1467</v>
      </c>
      <c r="D369" s="14" t="s">
        <v>1467</v>
      </c>
      <c r="E369" s="14" t="s">
        <v>1467</v>
      </c>
      <c r="F369" s="14" t="s">
        <v>2946</v>
      </c>
      <c r="G369" s="14" t="s">
        <v>1501</v>
      </c>
      <c r="H369" s="14" t="s">
        <v>1467</v>
      </c>
      <c r="I369" s="14" t="s">
        <v>1467</v>
      </c>
      <c r="J369" s="14" t="s">
        <v>1501</v>
      </c>
      <c r="K369" s="14"/>
      <c r="L369" s="14"/>
      <c r="M369" s="14"/>
      <c r="N369" s="155"/>
      <c r="O369" s="14" t="s">
        <v>3487</v>
      </c>
    </row>
    <row r="370" spans="1:15" x14ac:dyDescent="0.25">
      <c r="A370" s="2" t="s">
        <v>3204</v>
      </c>
      <c r="B370" s="14" t="s">
        <v>3205</v>
      </c>
      <c r="C370" s="14" t="s">
        <v>3213</v>
      </c>
      <c r="D370" s="14" t="s">
        <v>1467</v>
      </c>
      <c r="E370" s="14" t="s">
        <v>1467</v>
      </c>
      <c r="F370" s="14" t="s">
        <v>3463</v>
      </c>
      <c r="G370" s="14" t="s">
        <v>1444</v>
      </c>
      <c r="H370" s="14" t="s">
        <v>3207</v>
      </c>
      <c r="I370" s="14" t="s">
        <v>3208</v>
      </c>
      <c r="J370" s="14" t="s">
        <v>1445</v>
      </c>
      <c r="K370" s="14"/>
      <c r="L370" s="14"/>
      <c r="M370" s="14"/>
      <c r="N370" s="155"/>
      <c r="O370" s="14"/>
    </row>
    <row r="371" spans="1:15" x14ac:dyDescent="0.25">
      <c r="A371" s="2" t="s">
        <v>3209</v>
      </c>
      <c r="B371" s="14" t="s">
        <v>3210</v>
      </c>
      <c r="C371" s="14" t="s">
        <v>3211</v>
      </c>
      <c r="D371" s="14" t="s">
        <v>1467</v>
      </c>
      <c r="E371" s="14" t="s">
        <v>1467</v>
      </c>
      <c r="F371" s="14" t="s">
        <v>3468</v>
      </c>
      <c r="G371" s="14" t="s">
        <v>1855</v>
      </c>
      <c r="H371" s="14" t="s">
        <v>3212</v>
      </c>
      <c r="I371" s="14" t="s">
        <v>1855</v>
      </c>
      <c r="J371" s="14" t="s">
        <v>1445</v>
      </c>
      <c r="K371" s="14"/>
      <c r="L371" s="14"/>
      <c r="M371" s="14"/>
      <c r="N371" s="155">
        <v>30</v>
      </c>
      <c r="O371" s="14" t="s">
        <v>3490</v>
      </c>
    </row>
    <row r="372" spans="1:15" x14ac:dyDescent="0.25">
      <c r="A372" s="2" t="s">
        <v>3214</v>
      </c>
      <c r="B372" s="14" t="s">
        <v>3215</v>
      </c>
      <c r="C372" s="14" t="s">
        <v>1467</v>
      </c>
      <c r="D372" s="14" t="s">
        <v>1467</v>
      </c>
      <c r="E372" s="14" t="s">
        <v>1467</v>
      </c>
      <c r="F372" s="14" t="s">
        <v>3474</v>
      </c>
      <c r="G372" s="14" t="s">
        <v>1501</v>
      </c>
      <c r="H372" s="14" t="s">
        <v>3217</v>
      </c>
      <c r="I372" s="14" t="s">
        <v>1501</v>
      </c>
      <c r="J372" s="14" t="s">
        <v>1501</v>
      </c>
      <c r="K372" s="14"/>
      <c r="L372" s="14"/>
      <c r="M372" s="14"/>
      <c r="N372" s="155"/>
      <c r="O372" s="14" t="s">
        <v>3487</v>
      </c>
    </row>
    <row r="373" spans="1:15" x14ac:dyDescent="0.25">
      <c r="A373" s="2" t="s">
        <v>3236</v>
      </c>
      <c r="B373" s="14" t="s">
        <v>3237</v>
      </c>
      <c r="C373" s="14" t="s">
        <v>1467</v>
      </c>
      <c r="D373" s="14" t="s">
        <v>1467</v>
      </c>
      <c r="E373" s="14" t="s">
        <v>1467</v>
      </c>
      <c r="F373" s="14" t="s">
        <v>4842</v>
      </c>
      <c r="G373" s="14" t="s">
        <v>1501</v>
      </c>
      <c r="H373" s="14" t="s">
        <v>1467</v>
      </c>
      <c r="I373" s="14" t="s">
        <v>1467</v>
      </c>
      <c r="J373" s="14" t="s">
        <v>1501</v>
      </c>
      <c r="K373" s="14"/>
      <c r="L373" s="14"/>
      <c r="M373" s="14"/>
      <c r="N373" s="155"/>
      <c r="O373" s="14" t="s">
        <v>3489</v>
      </c>
    </row>
    <row r="374" spans="1:15" x14ac:dyDescent="0.25">
      <c r="A374" s="2" t="s">
        <v>3303</v>
      </c>
      <c r="B374" s="14" t="s">
        <v>3304</v>
      </c>
      <c r="C374" s="14" t="s">
        <v>1467</v>
      </c>
      <c r="D374" s="14" t="s">
        <v>1467</v>
      </c>
      <c r="E374" s="14" t="s">
        <v>1467</v>
      </c>
      <c r="F374" s="14" t="s">
        <v>3497</v>
      </c>
      <c r="G374" s="14" t="s">
        <v>1501</v>
      </c>
      <c r="H374" s="14" t="s">
        <v>1467</v>
      </c>
      <c r="I374" s="14" t="s">
        <v>1501</v>
      </c>
      <c r="J374" s="14" t="s">
        <v>1501</v>
      </c>
      <c r="K374" s="14"/>
      <c r="L374" s="14"/>
      <c r="M374" s="14"/>
      <c r="N374" s="155"/>
      <c r="O374" s="14" t="s">
        <v>3487</v>
      </c>
    </row>
    <row r="375" spans="1:15" x14ac:dyDescent="0.25">
      <c r="A375" s="2" t="s">
        <v>3306</v>
      </c>
      <c r="B375" s="14" t="s">
        <v>3307</v>
      </c>
      <c r="C375" s="14" t="s">
        <v>1467</v>
      </c>
      <c r="D375" s="14" t="s">
        <v>1467</v>
      </c>
      <c r="E375" s="14" t="s">
        <v>1467</v>
      </c>
      <c r="F375" s="14" t="s">
        <v>1467</v>
      </c>
      <c r="G375" s="14" t="s">
        <v>1501</v>
      </c>
      <c r="H375" s="14" t="s">
        <v>1467</v>
      </c>
      <c r="I375" s="14" t="s">
        <v>1501</v>
      </c>
      <c r="J375" s="14" t="s">
        <v>1501</v>
      </c>
      <c r="K375" s="14"/>
      <c r="L375" s="14"/>
      <c r="M375" s="14"/>
      <c r="N375" s="155"/>
      <c r="O375" s="14" t="s">
        <v>3489</v>
      </c>
    </row>
    <row r="376" spans="1:15" x14ac:dyDescent="0.25">
      <c r="A376" s="2" t="s">
        <v>3336</v>
      </c>
      <c r="B376" s="14" t="s">
        <v>3337</v>
      </c>
      <c r="C376" s="14" t="s">
        <v>1467</v>
      </c>
      <c r="D376" s="14" t="s">
        <v>1467</v>
      </c>
      <c r="E376" s="14" t="s">
        <v>1467</v>
      </c>
      <c r="F376" s="14" t="s">
        <v>3506</v>
      </c>
      <c r="G376" s="14" t="s">
        <v>1501</v>
      </c>
      <c r="H376" s="14" t="s">
        <v>3339</v>
      </c>
      <c r="I376" s="14" t="s">
        <v>1501</v>
      </c>
      <c r="J376" s="14" t="s">
        <v>1501</v>
      </c>
      <c r="K376" s="14"/>
      <c r="L376" s="14"/>
      <c r="M376" s="14"/>
      <c r="N376" s="155"/>
      <c r="O376" s="14"/>
    </row>
    <row r="377" spans="1:15" x14ac:dyDescent="0.25">
      <c r="A377" s="2" t="s">
        <v>3390</v>
      </c>
      <c r="B377" s="14" t="s">
        <v>3393</v>
      </c>
      <c r="C377" s="14" t="s">
        <v>3391</v>
      </c>
      <c r="D377" s="14" t="s">
        <v>1467</v>
      </c>
      <c r="E377" s="14" t="s">
        <v>1467</v>
      </c>
      <c r="F377" s="14" t="s">
        <v>3544</v>
      </c>
      <c r="G377" s="14" t="s">
        <v>1444</v>
      </c>
      <c r="H377" s="14" t="s">
        <v>1467</v>
      </c>
      <c r="I377" s="14" t="s">
        <v>1467</v>
      </c>
      <c r="J377" s="14" t="s">
        <v>1445</v>
      </c>
      <c r="K377" s="14"/>
      <c r="L377" s="14"/>
      <c r="M377" s="14"/>
      <c r="N377" s="155"/>
      <c r="O377" s="14"/>
    </row>
    <row r="378" spans="1:15" x14ac:dyDescent="0.25">
      <c r="A378" s="2" t="s">
        <v>3401</v>
      </c>
      <c r="B378" s="14" t="s">
        <v>3402</v>
      </c>
      <c r="C378" s="14" t="s">
        <v>1467</v>
      </c>
      <c r="D378" s="14" t="s">
        <v>1467</v>
      </c>
      <c r="E378" s="14" t="s">
        <v>1467</v>
      </c>
      <c r="F378" s="14" t="s">
        <v>3560</v>
      </c>
      <c r="G378" s="14" t="s">
        <v>1467</v>
      </c>
      <c r="H378" s="14" t="s">
        <v>1467</v>
      </c>
      <c r="I378" s="14" t="s">
        <v>1467</v>
      </c>
      <c r="J378" s="14" t="s">
        <v>1849</v>
      </c>
      <c r="K378" s="14"/>
      <c r="L378" s="14"/>
      <c r="M378" s="14"/>
      <c r="N378" s="155"/>
      <c r="O378" s="14" t="s">
        <v>3490</v>
      </c>
    </row>
    <row r="379" spans="1:15" x14ac:dyDescent="0.25">
      <c r="A379" s="2" t="s">
        <v>3421</v>
      </c>
      <c r="B379" s="14" t="s">
        <v>3422</v>
      </c>
      <c r="C379" s="14" t="s">
        <v>1467</v>
      </c>
      <c r="D379" s="14" t="s">
        <v>1467</v>
      </c>
      <c r="E379" s="14" t="s">
        <v>1467</v>
      </c>
      <c r="F379" s="14" t="s">
        <v>3564</v>
      </c>
      <c r="G379" s="14" t="s">
        <v>1501</v>
      </c>
      <c r="H379" s="14" t="s">
        <v>1467</v>
      </c>
      <c r="I379" s="14" t="s">
        <v>1501</v>
      </c>
      <c r="J379" s="14" t="s">
        <v>1501</v>
      </c>
      <c r="K379" s="14"/>
      <c r="L379" s="14"/>
      <c r="M379" s="14"/>
      <c r="N379" s="155"/>
      <c r="O379" s="14" t="s">
        <v>3489</v>
      </c>
    </row>
    <row r="380" spans="1:15" x14ac:dyDescent="0.25">
      <c r="A380" s="2" t="s">
        <v>3443</v>
      </c>
      <c r="B380" s="14" t="s">
        <v>3444</v>
      </c>
      <c r="C380" s="14" t="s">
        <v>1467</v>
      </c>
      <c r="D380" s="14" t="s">
        <v>1467</v>
      </c>
      <c r="E380" s="14" t="s">
        <v>1467</v>
      </c>
      <c r="F380" s="14" t="s">
        <v>3569</v>
      </c>
      <c r="G380" s="14" t="s">
        <v>1501</v>
      </c>
      <c r="H380" s="14" t="s">
        <v>3446</v>
      </c>
      <c r="I380" s="14" t="s">
        <v>1501</v>
      </c>
      <c r="J380" s="14" t="s">
        <v>1501</v>
      </c>
      <c r="K380" s="14"/>
      <c r="L380" s="14"/>
      <c r="M380" s="14"/>
      <c r="N380" s="155"/>
      <c r="O380" s="14"/>
    </row>
    <row r="381" spans="1:15" x14ac:dyDescent="0.25">
      <c r="A381" s="2" t="s">
        <v>3447</v>
      </c>
      <c r="B381" s="14" t="s">
        <v>3448</v>
      </c>
      <c r="C381" s="14" t="s">
        <v>1467</v>
      </c>
      <c r="D381" s="14" t="s">
        <v>1467</v>
      </c>
      <c r="E381" s="14" t="s">
        <v>1467</v>
      </c>
      <c r="F381" s="14" t="s">
        <v>3572</v>
      </c>
      <c r="G381" s="14" t="s">
        <v>1501</v>
      </c>
      <c r="H381" s="14" t="s">
        <v>1467</v>
      </c>
      <c r="I381" s="14" t="s">
        <v>1467</v>
      </c>
      <c r="J381" s="14" t="s">
        <v>1501</v>
      </c>
      <c r="K381" s="14"/>
      <c r="L381" s="14"/>
      <c r="M381" s="14"/>
      <c r="N381" s="155"/>
      <c r="O381" s="14" t="s">
        <v>3489</v>
      </c>
    </row>
    <row r="382" spans="1:15" x14ac:dyDescent="0.25">
      <c r="A382" s="2" t="s">
        <v>3450</v>
      </c>
      <c r="B382" s="14" t="s">
        <v>3451</v>
      </c>
      <c r="C382" s="14" t="s">
        <v>1467</v>
      </c>
      <c r="D382" s="14" t="s">
        <v>1467</v>
      </c>
      <c r="E382" s="14" t="s">
        <v>1467</v>
      </c>
      <c r="F382" s="14" t="s">
        <v>3582</v>
      </c>
      <c r="G382" s="14" t="s">
        <v>1467</v>
      </c>
      <c r="H382" s="14" t="s">
        <v>1467</v>
      </c>
      <c r="I382" s="14" t="s">
        <v>1467</v>
      </c>
      <c r="J382" s="14" t="s">
        <v>1501</v>
      </c>
      <c r="K382" s="14"/>
      <c r="L382" s="14"/>
      <c r="M382" s="14"/>
      <c r="N382" s="155"/>
      <c r="O382" s="14"/>
    </row>
    <row r="383" spans="1:15" x14ac:dyDescent="0.25">
      <c r="A383" s="2" t="s">
        <v>3457</v>
      </c>
      <c r="B383" s="14" t="s">
        <v>3458</v>
      </c>
      <c r="C383" s="14" t="s">
        <v>2945</v>
      </c>
      <c r="D383" s="14" t="s">
        <v>1467</v>
      </c>
      <c r="E383" s="14" t="s">
        <v>1467</v>
      </c>
      <c r="F383" s="14" t="s">
        <v>3586</v>
      </c>
      <c r="G383" s="14" t="s">
        <v>2264</v>
      </c>
      <c r="H383" s="14" t="s">
        <v>2946</v>
      </c>
      <c r="I383" s="14" t="s">
        <v>3459</v>
      </c>
      <c r="J383" s="14" t="s">
        <v>1445</v>
      </c>
      <c r="K383" s="14"/>
      <c r="L383" s="14"/>
      <c r="M383" s="14"/>
      <c r="N383" s="155">
        <v>30</v>
      </c>
      <c r="O383" s="14"/>
    </row>
    <row r="384" spans="1:15" x14ac:dyDescent="0.25">
      <c r="A384" s="2" t="s">
        <v>3460</v>
      </c>
      <c r="B384" s="14" t="s">
        <v>3461</v>
      </c>
      <c r="C384" s="14" t="s">
        <v>3462</v>
      </c>
      <c r="D384" s="14" t="s">
        <v>1467</v>
      </c>
      <c r="E384" s="14" t="s">
        <v>1467</v>
      </c>
      <c r="F384" s="14" t="s">
        <v>3593</v>
      </c>
      <c r="G384" s="14" t="s">
        <v>1501</v>
      </c>
      <c r="H384" s="14" t="s">
        <v>3463</v>
      </c>
      <c r="I384" s="14" t="s">
        <v>3464</v>
      </c>
      <c r="J384" s="14" t="s">
        <v>1501</v>
      </c>
      <c r="K384" s="14"/>
      <c r="L384" s="14"/>
      <c r="M384" s="14"/>
      <c r="N384" s="155"/>
      <c r="O384" s="14" t="s">
        <v>3490</v>
      </c>
    </row>
    <row r="385" spans="1:15" x14ac:dyDescent="0.25">
      <c r="A385" s="2" t="s">
        <v>3465</v>
      </c>
      <c r="B385" s="14" t="s">
        <v>3466</v>
      </c>
      <c r="C385" s="14" t="s">
        <v>3467</v>
      </c>
      <c r="D385" s="14" t="s">
        <v>1467</v>
      </c>
      <c r="E385" s="14" t="s">
        <v>1467</v>
      </c>
      <c r="F385" s="14" t="s">
        <v>3605</v>
      </c>
      <c r="G385" s="14" t="s">
        <v>1444</v>
      </c>
      <c r="H385" s="14" t="s">
        <v>3469</v>
      </c>
      <c r="I385" s="14" t="s">
        <v>1444</v>
      </c>
      <c r="J385" s="14" t="s">
        <v>1445</v>
      </c>
      <c r="K385" s="14"/>
      <c r="L385" s="14"/>
      <c r="M385" s="14"/>
      <c r="N385" s="155">
        <v>15</v>
      </c>
      <c r="O385" s="14"/>
    </row>
    <row r="386" spans="1:15" x14ac:dyDescent="0.25">
      <c r="A386" s="2" t="s">
        <v>3471</v>
      </c>
      <c r="B386" s="14" t="s">
        <v>3472</v>
      </c>
      <c r="C386" s="14" t="s">
        <v>3473</v>
      </c>
      <c r="D386" s="14" t="s">
        <v>1467</v>
      </c>
      <c r="E386" s="14" t="s">
        <v>1467</v>
      </c>
      <c r="F386" s="14" t="s">
        <v>3611</v>
      </c>
      <c r="G386" s="14" t="s">
        <v>1501</v>
      </c>
      <c r="H386" s="14" t="s">
        <v>3475</v>
      </c>
      <c r="I386" s="14" t="s">
        <v>1501</v>
      </c>
      <c r="J386" s="14" t="s">
        <v>1501</v>
      </c>
      <c r="K386" s="14"/>
      <c r="L386" s="14"/>
      <c r="M386" s="14"/>
      <c r="N386" s="155">
        <v>30</v>
      </c>
      <c r="O386" s="14" t="s">
        <v>3490</v>
      </c>
    </row>
    <row r="387" spans="1:15" x14ac:dyDescent="0.25">
      <c r="A387" s="2" t="s">
        <v>3491</v>
      </c>
      <c r="B387" s="14" t="s">
        <v>4841</v>
      </c>
      <c r="C387" s="14" t="s">
        <v>1467</v>
      </c>
      <c r="D387" s="14" t="s">
        <v>1467</v>
      </c>
      <c r="E387" s="14" t="s">
        <v>1467</v>
      </c>
      <c r="F387" s="14" t="s">
        <v>3619</v>
      </c>
      <c r="G387" s="14" t="s">
        <v>1444</v>
      </c>
      <c r="H387" s="14" t="s">
        <v>2373</v>
      </c>
      <c r="I387" s="14" t="s">
        <v>1444</v>
      </c>
      <c r="J387" s="14" t="s">
        <v>1445</v>
      </c>
      <c r="K387" s="14"/>
      <c r="L387" s="14"/>
      <c r="M387" s="14"/>
      <c r="N387" s="155"/>
      <c r="O387" s="14" t="s">
        <v>3489</v>
      </c>
    </row>
    <row r="388" spans="1:15" x14ac:dyDescent="0.25">
      <c r="A388" s="2" t="s">
        <v>3495</v>
      </c>
      <c r="B388" s="14" t="s">
        <v>3510</v>
      </c>
      <c r="C388" s="14" t="s">
        <v>3496</v>
      </c>
      <c r="D388" s="14" t="s">
        <v>1467</v>
      </c>
      <c r="E388" s="14" t="s">
        <v>1467</v>
      </c>
      <c r="F388" s="14" t="s">
        <v>3622</v>
      </c>
      <c r="G388" s="14" t="s">
        <v>2056</v>
      </c>
      <c r="H388" s="14" t="s">
        <v>3498</v>
      </c>
      <c r="I388" s="14" t="s">
        <v>1862</v>
      </c>
      <c r="J388" s="14" t="s">
        <v>2050</v>
      </c>
      <c r="K388" s="14"/>
      <c r="L388" s="14"/>
      <c r="M388" s="14"/>
      <c r="N388" s="155">
        <v>0</v>
      </c>
      <c r="O388" s="14" t="s">
        <v>3490</v>
      </c>
    </row>
    <row r="389" spans="1:15" x14ac:dyDescent="0.25">
      <c r="A389" s="2" t="s">
        <v>3500</v>
      </c>
      <c r="B389" s="14" t="s">
        <v>3499</v>
      </c>
      <c r="C389" s="14" t="s">
        <v>1467</v>
      </c>
      <c r="D389" s="14" t="s">
        <v>1467</v>
      </c>
      <c r="E389" s="14" t="s">
        <v>1467</v>
      </c>
      <c r="F389" s="14" t="s">
        <v>3645</v>
      </c>
      <c r="G389" s="14" t="s">
        <v>1467</v>
      </c>
      <c r="H389" s="14" t="s">
        <v>1467</v>
      </c>
      <c r="I389" s="14" t="s">
        <v>1467</v>
      </c>
      <c r="J389" s="14" t="s">
        <v>1849</v>
      </c>
      <c r="K389" s="14"/>
      <c r="L389" s="14"/>
      <c r="M389" s="14"/>
      <c r="N389" s="155">
        <v>0</v>
      </c>
      <c r="O389" s="14" t="s">
        <v>3489</v>
      </c>
    </row>
    <row r="390" spans="1:15" x14ac:dyDescent="0.25">
      <c r="A390" s="2" t="s">
        <v>3504</v>
      </c>
      <c r="B390" s="14" t="s">
        <v>3505</v>
      </c>
      <c r="C390" s="14" t="s">
        <v>1467</v>
      </c>
      <c r="D390" s="14" t="s">
        <v>1467</v>
      </c>
      <c r="E390" s="14" t="s">
        <v>1467</v>
      </c>
      <c r="F390" s="14" t="s">
        <v>1467</v>
      </c>
      <c r="G390" s="14" t="s">
        <v>1501</v>
      </c>
      <c r="H390" s="14" t="s">
        <v>3507</v>
      </c>
      <c r="I390" s="14" t="s">
        <v>1501</v>
      </c>
      <c r="J390" s="14" t="s">
        <v>1501</v>
      </c>
      <c r="K390" s="14"/>
      <c r="L390" s="14"/>
      <c r="M390" s="14"/>
      <c r="N390" s="155">
        <v>0</v>
      </c>
      <c r="O390" s="14" t="s">
        <v>3489</v>
      </c>
    </row>
    <row r="391" spans="1:15" x14ac:dyDescent="0.25">
      <c r="A391" s="2" t="s">
        <v>3542</v>
      </c>
      <c r="B391" s="14" t="s">
        <v>3543</v>
      </c>
      <c r="C391" s="14" t="s">
        <v>1467</v>
      </c>
      <c r="D391" s="14" t="s">
        <v>1467</v>
      </c>
      <c r="E391" s="14" t="s">
        <v>1467</v>
      </c>
      <c r="F391" s="14" t="s">
        <v>1467</v>
      </c>
      <c r="G391" s="14" t="s">
        <v>2087</v>
      </c>
      <c r="H391" s="14" t="s">
        <v>1467</v>
      </c>
      <c r="I391" s="14" t="s">
        <v>1467</v>
      </c>
      <c r="J391" s="14" t="s">
        <v>1849</v>
      </c>
      <c r="K391" s="14"/>
      <c r="L391" s="14"/>
      <c r="M391" s="14"/>
      <c r="N391" s="155"/>
      <c r="O391" s="14" t="s">
        <v>3489</v>
      </c>
    </row>
    <row r="392" spans="1:15" x14ac:dyDescent="0.25">
      <c r="A392" s="2" t="s">
        <v>3558</v>
      </c>
      <c r="B392" s="14" t="s">
        <v>3559</v>
      </c>
      <c r="C392" s="14" t="s">
        <v>1467</v>
      </c>
      <c r="D392" s="14" t="s">
        <v>1467</v>
      </c>
      <c r="E392" s="14" t="s">
        <v>1467</v>
      </c>
      <c r="F392" s="14" t="s">
        <v>1467</v>
      </c>
      <c r="G392" s="14" t="s">
        <v>1501</v>
      </c>
      <c r="H392" s="14" t="s">
        <v>3561</v>
      </c>
      <c r="I392" s="14" t="s">
        <v>1501</v>
      </c>
      <c r="J392" s="14" t="s">
        <v>1501</v>
      </c>
      <c r="K392" s="14"/>
      <c r="L392" s="14"/>
      <c r="M392" s="14"/>
      <c r="N392" s="155"/>
      <c r="O392" s="14" t="s">
        <v>3488</v>
      </c>
    </row>
    <row r="393" spans="1:15" x14ac:dyDescent="0.25">
      <c r="A393" s="2" t="s">
        <v>3562</v>
      </c>
      <c r="B393" s="14" t="s">
        <v>3563</v>
      </c>
      <c r="C393" s="14" t="s">
        <v>1467</v>
      </c>
      <c r="D393" s="14" t="s">
        <v>1467</v>
      </c>
      <c r="E393" s="14" t="s">
        <v>1467</v>
      </c>
      <c r="F393" s="14" t="s">
        <v>3688</v>
      </c>
      <c r="G393" s="14" t="s">
        <v>1501</v>
      </c>
      <c r="H393" s="14" t="s">
        <v>3565</v>
      </c>
      <c r="I393" s="14" t="s">
        <v>1501</v>
      </c>
      <c r="J393" s="14" t="s">
        <v>1501</v>
      </c>
      <c r="K393" s="14"/>
      <c r="L393" s="14"/>
      <c r="M393" s="14"/>
      <c r="N393" s="155"/>
      <c r="O393" s="14" t="s">
        <v>3489</v>
      </c>
    </row>
    <row r="394" spans="1:15" x14ac:dyDescent="0.25">
      <c r="A394" s="2" t="s">
        <v>3567</v>
      </c>
      <c r="B394" s="14" t="s">
        <v>3568</v>
      </c>
      <c r="C394" s="14" t="s">
        <v>1467</v>
      </c>
      <c r="D394" s="14" t="s">
        <v>1467</v>
      </c>
      <c r="E394" s="14" t="s">
        <v>1467</v>
      </c>
      <c r="F394" s="14" t="s">
        <v>3677</v>
      </c>
      <c r="G394" s="14" t="s">
        <v>1501</v>
      </c>
      <c r="H394" s="14" t="s">
        <v>3217</v>
      </c>
      <c r="I394" s="14" t="s">
        <v>1501</v>
      </c>
      <c r="J394" s="14" t="s">
        <v>1501</v>
      </c>
      <c r="K394" s="14"/>
      <c r="L394" s="14"/>
      <c r="M394" s="14"/>
      <c r="N394" s="155"/>
      <c r="O394" s="14" t="s">
        <v>3489</v>
      </c>
    </row>
    <row r="395" spans="1:15" x14ac:dyDescent="0.25">
      <c r="A395" s="2" t="s">
        <v>3570</v>
      </c>
      <c r="B395" s="14" t="s">
        <v>3571</v>
      </c>
      <c r="C395" s="14" t="s">
        <v>1467</v>
      </c>
      <c r="D395" s="14" t="s">
        <v>1467</v>
      </c>
      <c r="E395" s="14" t="s">
        <v>1467</v>
      </c>
      <c r="F395" s="14" t="s">
        <v>3685</v>
      </c>
      <c r="G395" s="14" t="s">
        <v>1501</v>
      </c>
      <c r="H395" s="14" t="s">
        <v>3573</v>
      </c>
      <c r="I395" s="14" t="s">
        <v>1501</v>
      </c>
      <c r="J395" s="14" t="s">
        <v>1501</v>
      </c>
      <c r="K395" s="14"/>
      <c r="L395" s="14"/>
      <c r="M395" s="14"/>
      <c r="N395" s="155"/>
      <c r="O395" s="14" t="s">
        <v>3489</v>
      </c>
    </row>
    <row r="396" spans="1:15" x14ac:dyDescent="0.25">
      <c r="A396" s="2" t="s">
        <v>3580</v>
      </c>
      <c r="B396" s="14" t="s">
        <v>3581</v>
      </c>
      <c r="C396" s="14" t="s">
        <v>1467</v>
      </c>
      <c r="D396" s="14" t="s">
        <v>1467</v>
      </c>
      <c r="E396" s="14" t="s">
        <v>1467</v>
      </c>
      <c r="F396" s="14" t="s">
        <v>3692</v>
      </c>
      <c r="G396" s="14" t="s">
        <v>1501</v>
      </c>
      <c r="H396" s="14" t="s">
        <v>1467</v>
      </c>
      <c r="I396" s="14" t="s">
        <v>1501</v>
      </c>
      <c r="J396" s="14" t="s">
        <v>1501</v>
      </c>
      <c r="K396" s="14"/>
      <c r="L396" s="14"/>
      <c r="M396" s="14"/>
      <c r="N396" s="155"/>
      <c r="O396" s="14" t="s">
        <v>3489</v>
      </c>
    </row>
    <row r="397" spans="1:15" x14ac:dyDescent="0.25">
      <c r="A397" s="2" t="s">
        <v>3583</v>
      </c>
      <c r="B397" s="14" t="s">
        <v>3584</v>
      </c>
      <c r="C397" s="14" t="s">
        <v>3585</v>
      </c>
      <c r="D397" s="14" t="s">
        <v>1467</v>
      </c>
      <c r="E397" s="14" t="s">
        <v>1467</v>
      </c>
      <c r="F397" s="14" t="s">
        <v>3695</v>
      </c>
      <c r="G397" s="14" t="s">
        <v>3587</v>
      </c>
      <c r="H397" s="14" t="s">
        <v>3586</v>
      </c>
      <c r="I397" s="14" t="s">
        <v>3587</v>
      </c>
      <c r="J397" s="14" t="s">
        <v>3587</v>
      </c>
      <c r="K397" s="14"/>
      <c r="L397" s="14"/>
      <c r="M397" s="14"/>
      <c r="N397" s="155"/>
      <c r="O397" s="14" t="s">
        <v>3490</v>
      </c>
    </row>
    <row r="398" spans="1:15" x14ac:dyDescent="0.25">
      <c r="A398" s="2" t="s">
        <v>3591</v>
      </c>
      <c r="B398" s="14" t="s">
        <v>3592</v>
      </c>
      <c r="C398" s="14" t="s">
        <v>1467</v>
      </c>
      <c r="D398" s="14" t="s">
        <v>1467</v>
      </c>
      <c r="E398" s="14" t="s">
        <v>1467</v>
      </c>
      <c r="F398" s="14" t="s">
        <v>3720</v>
      </c>
      <c r="G398" s="14" t="s">
        <v>1501</v>
      </c>
      <c r="H398" s="14" t="s">
        <v>3594</v>
      </c>
      <c r="I398" s="14" t="s">
        <v>1501</v>
      </c>
      <c r="J398" s="14" t="s">
        <v>1501</v>
      </c>
      <c r="K398" s="14"/>
      <c r="L398" s="14"/>
      <c r="M398" s="14"/>
      <c r="N398" s="155"/>
      <c r="O398" s="14" t="s">
        <v>3488</v>
      </c>
    </row>
    <row r="399" spans="1:15" x14ac:dyDescent="0.25">
      <c r="A399" s="2" t="s">
        <v>3602</v>
      </c>
      <c r="B399" s="14" t="s">
        <v>3606</v>
      </c>
      <c r="C399" s="14" t="s">
        <v>3603</v>
      </c>
      <c r="D399" s="14" t="s">
        <v>3604</v>
      </c>
      <c r="E399" s="14" t="s">
        <v>1467</v>
      </c>
      <c r="F399" s="14" t="s">
        <v>3724</v>
      </c>
      <c r="G399" s="14" t="s">
        <v>1501</v>
      </c>
      <c r="H399" s="14" t="s">
        <v>3607</v>
      </c>
      <c r="I399" s="14" t="s">
        <v>1501</v>
      </c>
      <c r="J399" s="14" t="s">
        <v>1501</v>
      </c>
      <c r="K399" s="14"/>
      <c r="L399" s="14"/>
      <c r="M399" s="14"/>
      <c r="N399" s="155">
        <v>15</v>
      </c>
      <c r="O399" s="14" t="s">
        <v>3490</v>
      </c>
    </row>
    <row r="400" spans="1:15" x14ac:dyDescent="0.25">
      <c r="A400" s="2" t="s">
        <v>3608</v>
      </c>
      <c r="B400" s="14" t="s">
        <v>3609</v>
      </c>
      <c r="C400" s="14" t="s">
        <v>3610</v>
      </c>
      <c r="D400" s="14" t="s">
        <v>1467</v>
      </c>
      <c r="E400" s="14" t="s">
        <v>1467</v>
      </c>
      <c r="F400" s="14" t="s">
        <v>3732</v>
      </c>
      <c r="G400" s="14" t="s">
        <v>1467</v>
      </c>
      <c r="H400" s="14" t="s">
        <v>3612</v>
      </c>
      <c r="I400" s="14" t="s">
        <v>3613</v>
      </c>
      <c r="J400" s="14" t="s">
        <v>3587</v>
      </c>
      <c r="K400" s="14"/>
      <c r="L400" s="14"/>
      <c r="M400" s="14"/>
      <c r="N400" s="155"/>
      <c r="O400" s="14" t="s">
        <v>3490</v>
      </c>
    </row>
    <row r="401" spans="1:15" x14ac:dyDescent="0.25">
      <c r="A401" s="2" t="s">
        <v>3617</v>
      </c>
      <c r="B401" s="14" t="s">
        <v>3618</v>
      </c>
      <c r="C401" s="14" t="s">
        <v>1467</v>
      </c>
      <c r="D401" s="14" t="s">
        <v>1467</v>
      </c>
      <c r="E401" s="14" t="s">
        <v>1467</v>
      </c>
      <c r="F401" s="14" t="s">
        <v>3423</v>
      </c>
      <c r="G401" s="14" t="s">
        <v>1501</v>
      </c>
      <c r="H401" s="14" t="s">
        <v>3217</v>
      </c>
      <c r="I401" s="14" t="s">
        <v>1501</v>
      </c>
      <c r="J401" s="14" t="s">
        <v>1501</v>
      </c>
      <c r="K401" s="14"/>
      <c r="L401" s="14"/>
      <c r="M401" s="14"/>
      <c r="N401" s="155"/>
      <c r="O401" s="14" t="s">
        <v>3489</v>
      </c>
    </row>
    <row r="402" spans="1:15" x14ac:dyDescent="0.25">
      <c r="A402" s="2" t="s">
        <v>3620</v>
      </c>
      <c r="B402" s="14" t="s">
        <v>3621</v>
      </c>
      <c r="C402" s="14" t="s">
        <v>1467</v>
      </c>
      <c r="D402" s="14" t="s">
        <v>1467</v>
      </c>
      <c r="E402" s="14" t="s">
        <v>1467</v>
      </c>
      <c r="F402" s="14" t="s">
        <v>3974</v>
      </c>
      <c r="G402" s="14" t="s">
        <v>1501</v>
      </c>
      <c r="H402" s="14" t="s">
        <v>3623</v>
      </c>
      <c r="I402" s="14" t="s">
        <v>1501</v>
      </c>
      <c r="J402" s="14" t="s">
        <v>1501</v>
      </c>
      <c r="K402" s="14"/>
      <c r="L402" s="14"/>
      <c r="M402" s="14"/>
      <c r="N402" s="155"/>
      <c r="O402" s="14" t="s">
        <v>3489</v>
      </c>
    </row>
    <row r="403" spans="1:15" x14ac:dyDescent="0.25">
      <c r="A403" s="2" t="s">
        <v>3643</v>
      </c>
      <c r="B403" s="14" t="s">
        <v>3644</v>
      </c>
      <c r="C403" s="14" t="s">
        <v>1467</v>
      </c>
      <c r="D403" s="14" t="s">
        <v>1467</v>
      </c>
      <c r="E403" s="14" t="s">
        <v>1467</v>
      </c>
      <c r="F403" s="14" t="s">
        <v>3982</v>
      </c>
      <c r="G403" s="14" t="s">
        <v>1444</v>
      </c>
      <c r="H403" s="14" t="s">
        <v>3646</v>
      </c>
      <c r="I403" s="14" t="s">
        <v>1444</v>
      </c>
      <c r="J403" s="14" t="s">
        <v>1445</v>
      </c>
      <c r="K403" s="14"/>
      <c r="L403" s="14"/>
      <c r="M403" s="14"/>
      <c r="N403" s="155"/>
      <c r="O403" s="14" t="s">
        <v>3490</v>
      </c>
    </row>
    <row r="404" spans="1:15" x14ac:dyDescent="0.25">
      <c r="A404" s="2" t="s">
        <v>3647</v>
      </c>
      <c r="B404" s="14" t="s">
        <v>3648</v>
      </c>
      <c r="C404" s="14" t="s">
        <v>1467</v>
      </c>
      <c r="D404" s="14" t="s">
        <v>1467</v>
      </c>
      <c r="E404" s="14" t="s">
        <v>1467</v>
      </c>
      <c r="F404" s="14" t="s">
        <v>3989</v>
      </c>
      <c r="G404" s="14" t="s">
        <v>1467</v>
      </c>
      <c r="H404" s="14" t="s">
        <v>1467</v>
      </c>
      <c r="I404" s="14" t="s">
        <v>1467</v>
      </c>
      <c r="J404" s="14" t="s">
        <v>1501</v>
      </c>
      <c r="K404" s="14"/>
      <c r="L404" s="14"/>
      <c r="M404" s="14"/>
      <c r="N404" s="155"/>
      <c r="O404" s="14" t="s">
        <v>3489</v>
      </c>
    </row>
    <row r="405" spans="1:15" x14ac:dyDescent="0.25">
      <c r="A405" s="2" t="s">
        <v>3649</v>
      </c>
      <c r="B405" s="14" t="s">
        <v>3650</v>
      </c>
      <c r="C405" s="14" t="s">
        <v>1467</v>
      </c>
      <c r="D405" s="14" t="s">
        <v>1467</v>
      </c>
      <c r="E405" s="14" t="s">
        <v>1467</v>
      </c>
      <c r="F405" s="14" t="s">
        <v>3991</v>
      </c>
      <c r="G405" s="14" t="s">
        <v>1467</v>
      </c>
      <c r="H405" s="14" t="s">
        <v>1467</v>
      </c>
      <c r="I405" s="14" t="s">
        <v>1467</v>
      </c>
      <c r="J405" s="14" t="s">
        <v>1501</v>
      </c>
      <c r="K405" s="14"/>
      <c r="L405" s="14"/>
      <c r="M405" s="14"/>
      <c r="N405" s="155"/>
      <c r="O405" s="14" t="s">
        <v>3489</v>
      </c>
    </row>
    <row r="406" spans="1:15" x14ac:dyDescent="0.25">
      <c r="A406" s="2" t="s">
        <v>3662</v>
      </c>
      <c r="B406" s="14" t="s">
        <v>3663</v>
      </c>
      <c r="C406" s="14" t="s">
        <v>1467</v>
      </c>
      <c r="D406" s="14" t="s">
        <v>1467</v>
      </c>
      <c r="E406" s="14" t="s">
        <v>1467</v>
      </c>
      <c r="F406" s="14" t="s">
        <v>3996</v>
      </c>
      <c r="G406" s="14" t="s">
        <v>1467</v>
      </c>
      <c r="H406" s="14" t="s">
        <v>1467</v>
      </c>
      <c r="I406" s="14" t="s">
        <v>1467</v>
      </c>
      <c r="J406" s="14" t="s">
        <v>1501</v>
      </c>
      <c r="K406" s="14"/>
      <c r="L406" s="14"/>
      <c r="M406" s="14"/>
      <c r="N406" s="155"/>
      <c r="O406" s="14" t="s">
        <v>3489</v>
      </c>
    </row>
    <row r="407" spans="1:15" x14ac:dyDescent="0.25">
      <c r="A407" s="2" t="s">
        <v>3673</v>
      </c>
      <c r="B407" s="14" t="s">
        <v>3674</v>
      </c>
      <c r="C407" s="14" t="s">
        <v>1467</v>
      </c>
      <c r="D407" s="14" t="s">
        <v>1467</v>
      </c>
      <c r="E407" s="14" t="s">
        <v>1467</v>
      </c>
      <c r="F407" s="14" t="s">
        <v>4000</v>
      </c>
      <c r="G407" s="14" t="s">
        <v>1501</v>
      </c>
      <c r="H407" s="14" t="s">
        <v>3689</v>
      </c>
      <c r="I407" s="14" t="s">
        <v>1501</v>
      </c>
      <c r="J407" s="14" t="s">
        <v>1501</v>
      </c>
      <c r="K407" s="14"/>
      <c r="L407" s="14"/>
      <c r="M407" s="14"/>
      <c r="N407" s="155"/>
      <c r="O407" s="14" t="s">
        <v>3489</v>
      </c>
    </row>
    <row r="408" spans="1:15" x14ac:dyDescent="0.25">
      <c r="A408" s="2" t="s">
        <v>3675</v>
      </c>
      <c r="B408" s="14" t="s">
        <v>3676</v>
      </c>
      <c r="C408" s="14" t="s">
        <v>1467</v>
      </c>
      <c r="D408" s="14" t="s">
        <v>1467</v>
      </c>
      <c r="E408" s="14" t="s">
        <v>1467</v>
      </c>
      <c r="F408" s="14" t="s">
        <v>4007</v>
      </c>
      <c r="G408" s="14" t="s">
        <v>1501</v>
      </c>
      <c r="H408" s="14" t="s">
        <v>3678</v>
      </c>
      <c r="I408" s="14" t="s">
        <v>3464</v>
      </c>
      <c r="J408" s="14" t="s">
        <v>1501</v>
      </c>
      <c r="K408" s="14"/>
      <c r="L408" s="14"/>
      <c r="M408" s="14"/>
      <c r="N408" s="155"/>
      <c r="O408" s="14" t="s">
        <v>3486</v>
      </c>
    </row>
    <row r="409" spans="1:15" x14ac:dyDescent="0.25">
      <c r="A409" s="2" t="s">
        <v>3683</v>
      </c>
      <c r="B409" s="14" t="s">
        <v>3684</v>
      </c>
      <c r="C409" s="14" t="s">
        <v>1467</v>
      </c>
      <c r="D409" s="14" t="s">
        <v>1467</v>
      </c>
      <c r="E409" s="14" t="s">
        <v>1467</v>
      </c>
      <c r="F409" s="14" t="s">
        <v>4103</v>
      </c>
      <c r="G409" s="14" t="s">
        <v>1501</v>
      </c>
      <c r="H409" s="14" t="s">
        <v>1467</v>
      </c>
      <c r="I409" s="14" t="s">
        <v>1467</v>
      </c>
      <c r="J409" s="14" t="s">
        <v>1501</v>
      </c>
      <c r="K409" s="14"/>
      <c r="L409" s="14"/>
      <c r="M409" s="14"/>
      <c r="N409" s="155"/>
      <c r="O409" s="14" t="s">
        <v>3487</v>
      </c>
    </row>
    <row r="410" spans="1:15" x14ac:dyDescent="0.25">
      <c r="A410" s="2" t="s">
        <v>3690</v>
      </c>
      <c r="B410" s="14" t="s">
        <v>3691</v>
      </c>
      <c r="C410" s="14" t="s">
        <v>1467</v>
      </c>
      <c r="D410" s="14" t="s">
        <v>1467</v>
      </c>
      <c r="E410" s="14" t="s">
        <v>1467</v>
      </c>
      <c r="F410" s="14" t="s">
        <v>4012</v>
      </c>
      <c r="G410" s="14" t="s">
        <v>1501</v>
      </c>
      <c r="H410" s="14" t="s">
        <v>1467</v>
      </c>
      <c r="I410" s="14" t="s">
        <v>1501</v>
      </c>
      <c r="J410" s="14" t="s">
        <v>1501</v>
      </c>
      <c r="K410" s="14"/>
      <c r="L410" s="14"/>
      <c r="M410" s="14"/>
      <c r="N410" s="155"/>
      <c r="O410" s="14" t="s">
        <v>3489</v>
      </c>
    </row>
    <row r="411" spans="1:15" x14ac:dyDescent="0.25">
      <c r="A411" s="2" t="s">
        <v>3693</v>
      </c>
      <c r="B411" s="14" t="s">
        <v>3694</v>
      </c>
      <c r="C411" s="14" t="s">
        <v>1467</v>
      </c>
      <c r="D411" s="14" t="s">
        <v>1467</v>
      </c>
      <c r="E411" s="14" t="s">
        <v>1467</v>
      </c>
      <c r="F411" s="14" t="s">
        <v>4030</v>
      </c>
      <c r="G411" s="14" t="s">
        <v>1501</v>
      </c>
      <c r="H411" s="14" t="s">
        <v>3696</v>
      </c>
      <c r="I411" s="14" t="s">
        <v>1501</v>
      </c>
      <c r="J411" s="14" t="s">
        <v>1501</v>
      </c>
      <c r="K411" s="14"/>
      <c r="L411" s="14"/>
      <c r="M411" s="14"/>
      <c r="N411" s="155"/>
      <c r="O411" s="14" t="s">
        <v>3489</v>
      </c>
    </row>
    <row r="412" spans="1:15" x14ac:dyDescent="0.25">
      <c r="A412" s="2" t="s">
        <v>3718</v>
      </c>
      <c r="B412" s="14" t="s">
        <v>3719</v>
      </c>
      <c r="C412" s="14" t="s">
        <v>1467</v>
      </c>
      <c r="D412" s="14" t="s">
        <v>1467</v>
      </c>
      <c r="E412" s="14" t="s">
        <v>1467</v>
      </c>
      <c r="F412" s="14" t="s">
        <v>1467</v>
      </c>
      <c r="G412" s="14" t="s">
        <v>1501</v>
      </c>
      <c r="H412" s="14" t="s">
        <v>3721</v>
      </c>
      <c r="I412" s="14" t="s">
        <v>1501</v>
      </c>
      <c r="J412" s="14" t="s">
        <v>1501</v>
      </c>
      <c r="K412" s="14"/>
      <c r="L412" s="14"/>
      <c r="M412" s="14"/>
      <c r="N412" s="155"/>
      <c r="O412" s="14" t="s">
        <v>3489</v>
      </c>
    </row>
    <row r="413" spans="1:15" x14ac:dyDescent="0.25">
      <c r="A413" s="2" t="s">
        <v>3722</v>
      </c>
      <c r="B413" s="14" t="s">
        <v>3723</v>
      </c>
      <c r="C413" s="14" t="s">
        <v>1467</v>
      </c>
      <c r="D413" s="14" t="s">
        <v>1467</v>
      </c>
      <c r="E413" s="14" t="s">
        <v>1467</v>
      </c>
      <c r="F413" s="14" t="s">
        <v>4036</v>
      </c>
      <c r="G413" s="14" t="s">
        <v>1501</v>
      </c>
      <c r="H413" s="14" t="s">
        <v>3724</v>
      </c>
      <c r="I413" s="14" t="s">
        <v>1501</v>
      </c>
      <c r="J413" s="14" t="s">
        <v>1501</v>
      </c>
      <c r="K413" s="14"/>
      <c r="L413" s="14"/>
      <c r="M413" s="14"/>
      <c r="N413" s="155"/>
      <c r="O413" s="14" t="s">
        <v>3487</v>
      </c>
    </row>
    <row r="414" spans="1:15" x14ac:dyDescent="0.25">
      <c r="A414" s="2" t="s">
        <v>3730</v>
      </c>
      <c r="B414" s="14" t="s">
        <v>3731</v>
      </c>
      <c r="C414" s="14" t="s">
        <v>1467</v>
      </c>
      <c r="D414" s="14" t="s">
        <v>1467</v>
      </c>
      <c r="E414" s="14" t="s">
        <v>1467</v>
      </c>
      <c r="F414" s="14" t="s">
        <v>4039</v>
      </c>
      <c r="G414" s="14" t="s">
        <v>1501</v>
      </c>
      <c r="H414" s="14" t="s">
        <v>1467</v>
      </c>
      <c r="I414" s="14" t="s">
        <v>1501</v>
      </c>
      <c r="J414" s="14" t="s">
        <v>1501</v>
      </c>
      <c r="K414" s="14"/>
      <c r="L414" s="14"/>
      <c r="M414" s="14"/>
      <c r="N414" s="155"/>
      <c r="O414" s="14" t="s">
        <v>3486</v>
      </c>
    </row>
    <row r="415" spans="1:15" x14ac:dyDescent="0.25">
      <c r="A415" s="2" t="s">
        <v>3740</v>
      </c>
      <c r="B415" s="14" t="s">
        <v>3741</v>
      </c>
      <c r="C415" s="14" t="s">
        <v>1467</v>
      </c>
      <c r="D415" s="14" t="s">
        <v>1467</v>
      </c>
      <c r="E415" s="14" t="s">
        <v>1467</v>
      </c>
      <c r="F415" s="14" t="s">
        <v>4043</v>
      </c>
      <c r="G415" s="14" t="s">
        <v>3742</v>
      </c>
      <c r="H415" s="14" t="s">
        <v>1467</v>
      </c>
      <c r="I415" s="14" t="s">
        <v>1501</v>
      </c>
      <c r="J415" s="14" t="s">
        <v>1501</v>
      </c>
      <c r="K415" s="14"/>
      <c r="L415" s="14"/>
      <c r="M415" s="14"/>
      <c r="N415" s="155"/>
      <c r="O415" s="14" t="s">
        <v>3489</v>
      </c>
    </row>
    <row r="416" spans="1:15" x14ac:dyDescent="0.25">
      <c r="A416" s="2" t="s">
        <v>3971</v>
      </c>
      <c r="B416" s="14" t="s">
        <v>3972</v>
      </c>
      <c r="C416" s="14" t="s">
        <v>3973</v>
      </c>
      <c r="D416" s="14" t="s">
        <v>1467</v>
      </c>
      <c r="E416" s="14" t="s">
        <v>1467</v>
      </c>
      <c r="F416" s="14" t="s">
        <v>4101</v>
      </c>
      <c r="G416" s="14" t="s">
        <v>1467</v>
      </c>
      <c r="H416" s="14" t="s">
        <v>3975</v>
      </c>
      <c r="I416" s="14" t="s">
        <v>3587</v>
      </c>
      <c r="J416" s="14" t="s">
        <v>3587</v>
      </c>
      <c r="K416" s="14"/>
      <c r="L416" s="14"/>
      <c r="M416" s="14"/>
      <c r="N416" s="155"/>
      <c r="O416" s="14" t="s">
        <v>3490</v>
      </c>
    </row>
    <row r="417" spans="1:15" x14ac:dyDescent="0.25">
      <c r="A417" s="2" t="s">
        <v>3980</v>
      </c>
      <c r="B417" s="14" t="s">
        <v>3981</v>
      </c>
      <c r="C417" s="14" t="s">
        <v>1467</v>
      </c>
      <c r="D417" s="14" t="s">
        <v>1467</v>
      </c>
      <c r="E417" s="14" t="s">
        <v>1467</v>
      </c>
      <c r="F417" s="14" t="s">
        <v>4106</v>
      </c>
      <c r="G417" s="14" t="s">
        <v>1444</v>
      </c>
      <c r="H417" s="14" t="s">
        <v>3983</v>
      </c>
      <c r="I417" s="14" t="s">
        <v>1444</v>
      </c>
      <c r="J417" s="14" t="s">
        <v>1445</v>
      </c>
      <c r="K417" s="14"/>
      <c r="L417" s="14"/>
      <c r="M417" s="14"/>
      <c r="N417" s="155"/>
      <c r="O417" s="14" t="s">
        <v>3489</v>
      </c>
    </row>
    <row r="418" spans="1:15" x14ac:dyDescent="0.25">
      <c r="A418" s="2" t="s">
        <v>3987</v>
      </c>
      <c r="B418" s="14" t="s">
        <v>3988</v>
      </c>
      <c r="C418" s="14" t="s">
        <v>1467</v>
      </c>
      <c r="D418" s="14" t="s">
        <v>1467</v>
      </c>
      <c r="E418" s="14" t="s">
        <v>1467</v>
      </c>
      <c r="F418" s="14" t="s">
        <v>4176</v>
      </c>
      <c r="G418" s="14" t="s">
        <v>1501</v>
      </c>
      <c r="H418" s="14" t="s">
        <v>3989</v>
      </c>
      <c r="I418" s="14" t="s">
        <v>1467</v>
      </c>
      <c r="J418" s="14" t="s">
        <v>1501</v>
      </c>
      <c r="K418" s="14"/>
      <c r="L418" s="14"/>
      <c r="M418" s="14"/>
      <c r="N418" s="155"/>
      <c r="O418" s="14" t="s">
        <v>3488</v>
      </c>
    </row>
    <row r="419" spans="1:15" x14ac:dyDescent="0.25">
      <c r="A419" s="2" t="s">
        <v>3990</v>
      </c>
      <c r="B419" s="14" t="s">
        <v>3993</v>
      </c>
      <c r="C419" s="14" t="s">
        <v>1467</v>
      </c>
      <c r="D419" s="14" t="s">
        <v>1467</v>
      </c>
      <c r="E419" s="14" t="s">
        <v>1467</v>
      </c>
      <c r="F419" s="14" t="s">
        <v>4200</v>
      </c>
      <c r="G419" s="14" t="s">
        <v>1501</v>
      </c>
      <c r="H419" s="14" t="s">
        <v>3992</v>
      </c>
      <c r="I419" s="14" t="s">
        <v>1501</v>
      </c>
      <c r="J419" s="14" t="s">
        <v>1501</v>
      </c>
      <c r="K419" s="14"/>
      <c r="L419" s="14"/>
      <c r="M419" s="14"/>
      <c r="N419" s="155"/>
      <c r="O419" s="14" t="s">
        <v>3487</v>
      </c>
    </row>
    <row r="420" spans="1:15" x14ac:dyDescent="0.25">
      <c r="A420" s="2" t="s">
        <v>3994</v>
      </c>
      <c r="B420" s="14" t="s">
        <v>3995</v>
      </c>
      <c r="C420" s="14" t="s">
        <v>1467</v>
      </c>
      <c r="D420" s="14" t="s">
        <v>1467</v>
      </c>
      <c r="E420" s="14" t="s">
        <v>1467</v>
      </c>
      <c r="F420" s="14" t="s">
        <v>4205</v>
      </c>
      <c r="G420" s="14" t="s">
        <v>1501</v>
      </c>
      <c r="H420" s="14" t="s">
        <v>3997</v>
      </c>
      <c r="I420" s="14" t="s">
        <v>1501</v>
      </c>
      <c r="J420" s="14" t="s">
        <v>2050</v>
      </c>
      <c r="K420" s="14"/>
      <c r="L420" s="14"/>
      <c r="M420" s="14"/>
      <c r="N420" s="155"/>
      <c r="O420" s="14" t="s">
        <v>3487</v>
      </c>
    </row>
    <row r="421" spans="1:15" x14ac:dyDescent="0.25">
      <c r="A421" s="2" t="s">
        <v>3998</v>
      </c>
      <c r="B421" s="14" t="s">
        <v>3999</v>
      </c>
      <c r="C421" s="14" t="s">
        <v>1467</v>
      </c>
      <c r="D421" s="14" t="s">
        <v>1467</v>
      </c>
      <c r="E421" s="14" t="s">
        <v>1467</v>
      </c>
      <c r="F421" s="14" t="s">
        <v>4208</v>
      </c>
      <c r="G421" s="14" t="s">
        <v>1501</v>
      </c>
      <c r="H421" s="14" t="s">
        <v>1467</v>
      </c>
      <c r="I421" s="14" t="s">
        <v>1467</v>
      </c>
      <c r="J421" s="14" t="s">
        <v>1501</v>
      </c>
      <c r="K421" s="14"/>
      <c r="L421" s="14"/>
      <c r="M421" s="14"/>
      <c r="N421" s="155"/>
      <c r="O421" s="14" t="s">
        <v>3489</v>
      </c>
    </row>
    <row r="422" spans="1:15" x14ac:dyDescent="0.25">
      <c r="A422" s="2" t="s">
        <v>4005</v>
      </c>
      <c r="B422" s="14" t="s">
        <v>4006</v>
      </c>
      <c r="C422" s="14" t="s">
        <v>1467</v>
      </c>
      <c r="D422" s="14" t="s">
        <v>1467</v>
      </c>
      <c r="E422" s="14" t="s">
        <v>1467</v>
      </c>
      <c r="F422" s="14" t="s">
        <v>4211</v>
      </c>
      <c r="G422" s="14" t="s">
        <v>1501</v>
      </c>
      <c r="H422" s="14" t="s">
        <v>1467</v>
      </c>
      <c r="I422" s="14" t="s">
        <v>1467</v>
      </c>
      <c r="J422" s="14" t="s">
        <v>1501</v>
      </c>
      <c r="K422" s="14"/>
      <c r="L422" s="14"/>
      <c r="M422" s="14"/>
      <c r="N422" s="155"/>
      <c r="O422" s="14" t="s">
        <v>3488</v>
      </c>
    </row>
    <row r="423" spans="1:15" x14ac:dyDescent="0.25">
      <c r="A423" s="2" t="s">
        <v>4008</v>
      </c>
      <c r="B423" s="14" t="s">
        <v>4009</v>
      </c>
      <c r="C423" s="14" t="s">
        <v>4102</v>
      </c>
      <c r="D423" s="14" t="s">
        <v>4009</v>
      </c>
      <c r="E423" s="14" t="s">
        <v>1467</v>
      </c>
      <c r="F423" s="14" t="s">
        <v>4214</v>
      </c>
      <c r="G423" s="14" t="s">
        <v>1501</v>
      </c>
      <c r="H423" s="14" t="s">
        <v>1467</v>
      </c>
      <c r="I423" s="14" t="s">
        <v>1467</v>
      </c>
      <c r="J423" s="14" t="s">
        <v>1501</v>
      </c>
      <c r="K423" s="14"/>
      <c r="L423" s="14"/>
      <c r="M423" s="14"/>
      <c r="N423" s="155">
        <v>30</v>
      </c>
      <c r="O423" s="14" t="s">
        <v>3489</v>
      </c>
    </row>
    <row r="424" spans="1:15" x14ac:dyDescent="0.25">
      <c r="A424" s="2" t="s">
        <v>4010</v>
      </c>
      <c r="B424" s="14" t="s">
        <v>4011</v>
      </c>
      <c r="C424" s="14" t="s">
        <v>1467</v>
      </c>
      <c r="D424" s="14" t="s">
        <v>1467</v>
      </c>
      <c r="E424" s="14" t="s">
        <v>1467</v>
      </c>
      <c r="F424" s="14" t="s">
        <v>4249</v>
      </c>
      <c r="G424" s="14" t="s">
        <v>1501</v>
      </c>
      <c r="H424" s="14" t="s">
        <v>1467</v>
      </c>
      <c r="I424" s="14" t="s">
        <v>1467</v>
      </c>
      <c r="J424" s="14" t="s">
        <v>1501</v>
      </c>
      <c r="K424" s="14"/>
      <c r="L424" s="14"/>
      <c r="M424" s="14"/>
      <c r="N424" s="155"/>
      <c r="O424" s="14" t="s">
        <v>3487</v>
      </c>
    </row>
    <row r="425" spans="1:15" x14ac:dyDescent="0.25">
      <c r="A425" s="2" t="s">
        <v>4028</v>
      </c>
      <c r="B425" s="14" t="s">
        <v>4029</v>
      </c>
      <c r="C425" s="14" t="s">
        <v>1467</v>
      </c>
      <c r="D425" s="14" t="s">
        <v>1467</v>
      </c>
      <c r="E425" s="14" t="s">
        <v>1467</v>
      </c>
      <c r="F425" s="14" t="s">
        <v>4253</v>
      </c>
      <c r="G425" s="14" t="s">
        <v>1501</v>
      </c>
      <c r="H425" s="14" t="s">
        <v>3217</v>
      </c>
      <c r="I425" s="14" t="s">
        <v>1501</v>
      </c>
      <c r="J425" s="14" t="s">
        <v>1501</v>
      </c>
      <c r="K425" s="14"/>
      <c r="L425" s="14"/>
      <c r="M425" s="14"/>
      <c r="N425" s="155"/>
      <c r="O425" s="14" t="s">
        <v>3489</v>
      </c>
    </row>
    <row r="426" spans="1:15" x14ac:dyDescent="0.25">
      <c r="A426" s="2" t="s">
        <v>4031</v>
      </c>
      <c r="B426" s="14" t="s">
        <v>4032</v>
      </c>
      <c r="C426" s="14" t="s">
        <v>1467</v>
      </c>
      <c r="D426" s="14" t="s">
        <v>1467</v>
      </c>
      <c r="E426" s="14" t="s">
        <v>1467</v>
      </c>
      <c r="F426" s="14" t="s">
        <v>4256</v>
      </c>
      <c r="G426" s="14" t="s">
        <v>1467</v>
      </c>
      <c r="H426" s="14" t="s">
        <v>4033</v>
      </c>
      <c r="I426" s="14" t="s">
        <v>1467</v>
      </c>
      <c r="J426" s="14" t="s">
        <v>1501</v>
      </c>
      <c r="K426" s="14"/>
      <c r="L426" s="14"/>
      <c r="M426" s="14"/>
      <c r="N426" s="155"/>
      <c r="O426" s="14" t="s">
        <v>3487</v>
      </c>
    </row>
    <row r="427" spans="1:15" x14ac:dyDescent="0.25">
      <c r="A427" s="2" t="s">
        <v>4034</v>
      </c>
      <c r="B427" s="14" t="s">
        <v>4035</v>
      </c>
      <c r="C427" s="14" t="s">
        <v>1467</v>
      </c>
      <c r="D427" s="14" t="s">
        <v>1467</v>
      </c>
      <c r="E427" s="14" t="s">
        <v>1467</v>
      </c>
      <c r="F427" s="14" t="s">
        <v>4264</v>
      </c>
      <c r="G427" s="14" t="s">
        <v>1501</v>
      </c>
      <c r="H427" s="14" t="s">
        <v>3217</v>
      </c>
      <c r="I427" s="14" t="s">
        <v>1501</v>
      </c>
      <c r="J427" s="14" t="s">
        <v>1501</v>
      </c>
      <c r="K427" s="14"/>
      <c r="L427" s="14"/>
      <c r="M427" s="14"/>
      <c r="N427" s="155"/>
      <c r="O427" s="14" t="s">
        <v>3488</v>
      </c>
    </row>
    <row r="428" spans="1:15" x14ac:dyDescent="0.25">
      <c r="A428" s="2" t="s">
        <v>4040</v>
      </c>
      <c r="B428" s="14" t="s">
        <v>4038</v>
      </c>
      <c r="C428" s="14" t="s">
        <v>1467</v>
      </c>
      <c r="D428" s="14" t="s">
        <v>1467</v>
      </c>
      <c r="E428" s="14" t="s">
        <v>1467</v>
      </c>
      <c r="F428" s="14" t="s">
        <v>4272</v>
      </c>
      <c r="G428" s="14" t="s">
        <v>1501</v>
      </c>
      <c r="H428" s="14" t="s">
        <v>1467</v>
      </c>
      <c r="I428" s="14" t="s">
        <v>1467</v>
      </c>
      <c r="J428" s="14" t="s">
        <v>1501</v>
      </c>
      <c r="K428" s="14"/>
      <c r="L428" s="14"/>
      <c r="M428" s="14"/>
      <c r="N428" s="155"/>
      <c r="O428" s="14" t="s">
        <v>3489</v>
      </c>
    </row>
    <row r="429" spans="1:15" x14ac:dyDescent="0.25">
      <c r="A429" s="2" t="s">
        <v>4041</v>
      </c>
      <c r="B429" s="14" t="s">
        <v>4042</v>
      </c>
      <c r="C429" s="14" t="s">
        <v>1467</v>
      </c>
      <c r="D429" s="14" t="s">
        <v>1467</v>
      </c>
      <c r="E429" s="14" t="s">
        <v>1467</v>
      </c>
      <c r="F429" s="14" t="s">
        <v>4282</v>
      </c>
      <c r="G429" s="14" t="s">
        <v>1501</v>
      </c>
      <c r="H429" s="14" t="s">
        <v>1467</v>
      </c>
      <c r="I429" s="14" t="s">
        <v>1467</v>
      </c>
      <c r="J429" s="14" t="s">
        <v>1501</v>
      </c>
      <c r="K429" s="14"/>
      <c r="L429" s="14"/>
      <c r="M429" s="14"/>
      <c r="N429" s="155"/>
      <c r="O429" s="14" t="s">
        <v>3489</v>
      </c>
    </row>
    <row r="430" spans="1:15" x14ac:dyDescent="0.25">
      <c r="A430" s="2" t="s">
        <v>4099</v>
      </c>
      <c r="B430" s="14" t="s">
        <v>4100</v>
      </c>
      <c r="C430" s="14" t="s">
        <v>1467</v>
      </c>
      <c r="D430" s="14" t="s">
        <v>1467</v>
      </c>
      <c r="E430" s="14" t="s">
        <v>1467</v>
      </c>
      <c r="F430" s="14" t="s">
        <v>4293</v>
      </c>
      <c r="G430" s="14" t="s">
        <v>1501</v>
      </c>
      <c r="H430" s="14" t="s">
        <v>1467</v>
      </c>
      <c r="I430" s="14" t="s">
        <v>1467</v>
      </c>
      <c r="J430" s="14" t="s">
        <v>1501</v>
      </c>
      <c r="K430" s="14"/>
      <c r="L430" s="14"/>
      <c r="M430" s="14"/>
      <c r="N430" s="155"/>
      <c r="O430" s="14" t="s">
        <v>3487</v>
      </c>
    </row>
    <row r="431" spans="1:15" x14ac:dyDescent="0.25">
      <c r="A431" s="2" t="s">
        <v>4104</v>
      </c>
      <c r="B431" s="14" t="s">
        <v>4105</v>
      </c>
      <c r="C431" s="14" t="s">
        <v>1467</v>
      </c>
      <c r="D431" s="14" t="s">
        <v>1467</v>
      </c>
      <c r="E431" s="14" t="s">
        <v>1467</v>
      </c>
      <c r="F431" s="14" t="s">
        <v>4301</v>
      </c>
      <c r="G431" s="14" t="s">
        <v>1501</v>
      </c>
      <c r="H431" s="14" t="s">
        <v>4106</v>
      </c>
      <c r="I431" s="14" t="s">
        <v>1501</v>
      </c>
      <c r="J431" s="14" t="s">
        <v>1501</v>
      </c>
      <c r="K431" s="14"/>
      <c r="L431" s="14"/>
      <c r="M431" s="14"/>
      <c r="N431" s="155"/>
      <c r="O431" s="14" t="s">
        <v>3487</v>
      </c>
    </row>
    <row r="432" spans="1:15" x14ac:dyDescent="0.25">
      <c r="A432" s="2" t="s">
        <v>4174</v>
      </c>
      <c r="B432" s="14" t="s">
        <v>4175</v>
      </c>
      <c r="C432" s="14" t="s">
        <v>1467</v>
      </c>
      <c r="D432" s="14" t="s">
        <v>1467</v>
      </c>
      <c r="E432" s="14" t="s">
        <v>1467</v>
      </c>
      <c r="F432" s="14" t="s">
        <v>4312</v>
      </c>
      <c r="G432" s="14" t="s">
        <v>1501</v>
      </c>
      <c r="H432" s="14" t="s">
        <v>4176</v>
      </c>
      <c r="I432" s="14" t="s">
        <v>1501</v>
      </c>
      <c r="J432" s="14" t="s">
        <v>1501</v>
      </c>
      <c r="K432" s="14"/>
      <c r="L432" s="14"/>
      <c r="M432" s="14"/>
      <c r="N432" s="155"/>
      <c r="O432" s="14" t="s">
        <v>3489</v>
      </c>
    </row>
    <row r="433" spans="1:15" x14ac:dyDescent="0.25">
      <c r="A433" s="2" t="s">
        <v>4198</v>
      </c>
      <c r="B433" s="14" t="s">
        <v>4199</v>
      </c>
      <c r="C433" s="14" t="s">
        <v>1467</v>
      </c>
      <c r="D433" s="14" t="s">
        <v>1467</v>
      </c>
      <c r="E433" s="14" t="s">
        <v>1467</v>
      </c>
      <c r="F433" s="14" t="s">
        <v>4315</v>
      </c>
      <c r="G433" s="14" t="s">
        <v>2893</v>
      </c>
      <c r="H433" s="14" t="s">
        <v>1467</v>
      </c>
      <c r="I433" s="14" t="s">
        <v>1467</v>
      </c>
      <c r="J433" s="14" t="s">
        <v>1445</v>
      </c>
      <c r="K433" s="14"/>
      <c r="L433" s="14"/>
      <c r="M433" s="14"/>
      <c r="N433" s="155"/>
      <c r="O433" s="14" t="s">
        <v>3490</v>
      </c>
    </row>
    <row r="434" spans="1:15" x14ac:dyDescent="0.25">
      <c r="A434" s="2" t="s">
        <v>4203</v>
      </c>
      <c r="B434" s="14" t="s">
        <v>4204</v>
      </c>
      <c r="C434" s="14" t="s">
        <v>1467</v>
      </c>
      <c r="D434" s="14" t="s">
        <v>1467</v>
      </c>
      <c r="E434" s="14" t="s">
        <v>1467</v>
      </c>
      <c r="F434" s="14" t="s">
        <v>4325</v>
      </c>
      <c r="G434" s="14" t="s">
        <v>1855</v>
      </c>
      <c r="H434" s="14" t="s">
        <v>1467</v>
      </c>
      <c r="I434" s="14" t="s">
        <v>1467</v>
      </c>
      <c r="J434" s="14" t="s">
        <v>1445</v>
      </c>
      <c r="K434" s="14"/>
      <c r="L434" s="14"/>
      <c r="M434" s="14"/>
      <c r="N434" s="155"/>
      <c r="O434" s="14" t="s">
        <v>3489</v>
      </c>
    </row>
    <row r="435" spans="1:15" x14ac:dyDescent="0.25">
      <c r="A435" s="2" t="s">
        <v>4206</v>
      </c>
      <c r="B435" s="14" t="s">
        <v>4207</v>
      </c>
      <c r="C435" s="14" t="s">
        <v>1467</v>
      </c>
      <c r="D435" s="14" t="s">
        <v>1467</v>
      </c>
      <c r="E435" s="14" t="s">
        <v>1467</v>
      </c>
      <c r="F435" s="14" t="s">
        <v>4340</v>
      </c>
      <c r="G435" s="14" t="s">
        <v>1501</v>
      </c>
      <c r="H435" s="14" t="s">
        <v>4208</v>
      </c>
      <c r="I435" s="14" t="s">
        <v>1501</v>
      </c>
      <c r="J435" s="14" t="s">
        <v>1501</v>
      </c>
      <c r="K435" s="14"/>
      <c r="L435" s="14"/>
      <c r="M435" s="14"/>
      <c r="N435" s="155"/>
      <c r="O435" s="14" t="s">
        <v>3487</v>
      </c>
    </row>
    <row r="436" spans="1:15" x14ac:dyDescent="0.25">
      <c r="A436" s="2" t="s">
        <v>4209</v>
      </c>
      <c r="B436" s="14" t="s">
        <v>4210</v>
      </c>
      <c r="C436" s="14" t="s">
        <v>1467</v>
      </c>
      <c r="D436" s="14" t="s">
        <v>1467</v>
      </c>
      <c r="E436" s="14" t="s">
        <v>1467</v>
      </c>
      <c r="F436" s="14" t="s">
        <v>4347</v>
      </c>
      <c r="G436" s="14" t="s">
        <v>1501</v>
      </c>
      <c r="H436" s="14" t="s">
        <v>1467</v>
      </c>
      <c r="I436" s="14" t="s">
        <v>1467</v>
      </c>
      <c r="J436" s="14" t="s">
        <v>1501</v>
      </c>
      <c r="K436" s="14"/>
      <c r="L436" s="14"/>
      <c r="M436" s="14"/>
      <c r="N436" s="155"/>
      <c r="O436" s="14" t="s">
        <v>3487</v>
      </c>
    </row>
    <row r="437" spans="1:15" x14ac:dyDescent="0.25">
      <c r="A437" s="2" t="s">
        <v>4212</v>
      </c>
      <c r="B437" s="14" t="s">
        <v>4213</v>
      </c>
      <c r="C437" s="14" t="s">
        <v>1467</v>
      </c>
      <c r="D437" s="14" t="s">
        <v>1467</v>
      </c>
      <c r="E437" s="14" t="s">
        <v>1467</v>
      </c>
      <c r="F437" s="14" t="s">
        <v>4363</v>
      </c>
      <c r="G437" s="14" t="s">
        <v>1501</v>
      </c>
      <c r="H437" s="14" t="s">
        <v>1467</v>
      </c>
      <c r="I437" s="14" t="s">
        <v>1467</v>
      </c>
      <c r="J437" s="14" t="s">
        <v>1501</v>
      </c>
      <c r="K437" s="14"/>
      <c r="L437" s="14"/>
      <c r="M437" s="14"/>
      <c r="N437" s="155"/>
      <c r="O437" s="14" t="s">
        <v>3487</v>
      </c>
    </row>
    <row r="438" spans="1:15" x14ac:dyDescent="0.25">
      <c r="A438" s="2" t="s">
        <v>4247</v>
      </c>
      <c r="B438" s="14" t="s">
        <v>4248</v>
      </c>
      <c r="C438" s="14" t="s">
        <v>1467</v>
      </c>
      <c r="D438" s="14" t="s">
        <v>1467</v>
      </c>
      <c r="E438" s="14" t="s">
        <v>1467</v>
      </c>
      <c r="F438" s="14" t="s">
        <v>4371</v>
      </c>
      <c r="G438" s="14" t="s">
        <v>1501</v>
      </c>
      <c r="H438" s="14" t="s">
        <v>4250</v>
      </c>
      <c r="I438" s="14" t="s">
        <v>1501</v>
      </c>
      <c r="J438" s="14" t="s">
        <v>1501</v>
      </c>
      <c r="K438" s="14"/>
      <c r="L438" s="14"/>
      <c r="M438" s="14"/>
      <c r="N438" s="155"/>
      <c r="O438" s="14" t="s">
        <v>3487</v>
      </c>
    </row>
    <row r="439" spans="1:15" x14ac:dyDescent="0.25">
      <c r="A439" s="2" t="s">
        <v>4251</v>
      </c>
      <c r="B439" s="14" t="s">
        <v>4252</v>
      </c>
      <c r="C439" s="14" t="s">
        <v>1467</v>
      </c>
      <c r="D439" s="14" t="s">
        <v>1467</v>
      </c>
      <c r="E439" s="14" t="s">
        <v>1467</v>
      </c>
      <c r="F439" s="14" t="s">
        <v>4374</v>
      </c>
      <c r="G439" s="14" t="s">
        <v>1501</v>
      </c>
      <c r="H439" s="14" t="s">
        <v>4253</v>
      </c>
      <c r="I439" s="14" t="s">
        <v>1501</v>
      </c>
      <c r="J439" s="14" t="s">
        <v>1501</v>
      </c>
      <c r="K439" s="14"/>
      <c r="L439" s="14"/>
      <c r="M439" s="14"/>
      <c r="N439" s="155"/>
      <c r="O439" s="14" t="s">
        <v>3487</v>
      </c>
    </row>
    <row r="440" spans="1:15" x14ac:dyDescent="0.25">
      <c r="A440" s="2" t="s">
        <v>4254</v>
      </c>
      <c r="B440" s="14" t="s">
        <v>4255</v>
      </c>
      <c r="C440" s="14" t="s">
        <v>1467</v>
      </c>
      <c r="D440" s="14" t="s">
        <v>1467</v>
      </c>
      <c r="E440" s="14" t="s">
        <v>1467</v>
      </c>
      <c r="F440" s="14" t="s">
        <v>4386</v>
      </c>
      <c r="G440" s="14" t="s">
        <v>4257</v>
      </c>
      <c r="H440" s="14" t="s">
        <v>4256</v>
      </c>
      <c r="I440" s="14" t="s">
        <v>1467</v>
      </c>
      <c r="J440" s="14" t="s">
        <v>1501</v>
      </c>
      <c r="K440" s="14"/>
      <c r="L440" s="14"/>
      <c r="M440" s="14"/>
      <c r="N440" s="155"/>
      <c r="O440" s="14" t="s">
        <v>3489</v>
      </c>
    </row>
    <row r="441" spans="1:15" x14ac:dyDescent="0.25">
      <c r="A441" s="2" t="s">
        <v>4262</v>
      </c>
      <c r="B441" s="14" t="s">
        <v>4263</v>
      </c>
      <c r="C441" s="14" t="s">
        <v>1467</v>
      </c>
      <c r="D441" s="14" t="s">
        <v>1467</v>
      </c>
      <c r="E441" s="14" t="s">
        <v>1467</v>
      </c>
      <c r="F441" s="14" t="s">
        <v>4396</v>
      </c>
      <c r="G441" s="14" t="s">
        <v>1501</v>
      </c>
      <c r="H441" s="14" t="s">
        <v>4264</v>
      </c>
      <c r="I441" s="14" t="s">
        <v>1501</v>
      </c>
      <c r="J441" s="14" t="s">
        <v>1501</v>
      </c>
      <c r="K441" s="14"/>
      <c r="L441" s="14"/>
      <c r="M441" s="14"/>
      <c r="N441" s="155"/>
      <c r="O441" s="14" t="s">
        <v>3487</v>
      </c>
    </row>
    <row r="442" spans="1:15" x14ac:dyDescent="0.25">
      <c r="A442" s="2" t="s">
        <v>4271</v>
      </c>
      <c r="B442" s="14" t="s">
        <v>4273</v>
      </c>
      <c r="C442" s="14" t="s">
        <v>1467</v>
      </c>
      <c r="D442" s="14" t="s">
        <v>1467</v>
      </c>
      <c r="E442" s="14" t="s">
        <v>1467</v>
      </c>
      <c r="F442" s="14" t="s">
        <v>4399</v>
      </c>
      <c r="G442" s="14" t="s">
        <v>1501</v>
      </c>
      <c r="H442" s="14" t="s">
        <v>4272</v>
      </c>
      <c r="I442" s="14" t="s">
        <v>1501</v>
      </c>
      <c r="J442" s="14" t="s">
        <v>1501</v>
      </c>
      <c r="K442" s="14"/>
      <c r="L442" s="14"/>
      <c r="M442" s="14"/>
      <c r="N442" s="155"/>
      <c r="O442" s="14" t="s">
        <v>3487</v>
      </c>
    </row>
    <row r="443" spans="1:15" x14ac:dyDescent="0.25">
      <c r="A443" s="2" t="s">
        <v>4280</v>
      </c>
      <c r="B443" s="14" t="s">
        <v>4281</v>
      </c>
      <c r="C443" s="14" t="s">
        <v>1467</v>
      </c>
      <c r="D443" s="14" t="s">
        <v>1467</v>
      </c>
      <c r="E443" s="14" t="s">
        <v>1467</v>
      </c>
      <c r="F443" s="14" t="s">
        <v>4402</v>
      </c>
      <c r="G443" s="14" t="s">
        <v>1501</v>
      </c>
      <c r="H443" s="14" t="s">
        <v>4283</v>
      </c>
      <c r="I443" s="14" t="s">
        <v>1501</v>
      </c>
      <c r="J443" s="14" t="s">
        <v>1501</v>
      </c>
      <c r="K443" s="14"/>
      <c r="L443" s="14"/>
      <c r="M443" s="14"/>
      <c r="N443" s="155"/>
      <c r="O443" s="14" t="s">
        <v>3489</v>
      </c>
    </row>
    <row r="444" spans="1:15" x14ac:dyDescent="0.25">
      <c r="A444" s="2" t="s">
        <v>4291</v>
      </c>
      <c r="B444" s="14" t="s">
        <v>4292</v>
      </c>
      <c r="C444" s="14" t="s">
        <v>1467</v>
      </c>
      <c r="D444" s="14" t="s">
        <v>1467</v>
      </c>
      <c r="E444" s="14" t="s">
        <v>1467</v>
      </c>
      <c r="F444" s="14" t="s">
        <v>4404</v>
      </c>
      <c r="G444" s="14" t="s">
        <v>1501</v>
      </c>
      <c r="H444" s="14" t="s">
        <v>4294</v>
      </c>
      <c r="I444" s="14" t="s">
        <v>1501</v>
      </c>
      <c r="J444" s="14" t="s">
        <v>1501</v>
      </c>
      <c r="K444" s="14"/>
      <c r="L444" s="14"/>
      <c r="M444" s="14"/>
      <c r="N444" s="155"/>
      <c r="O444" s="14" t="s">
        <v>3486</v>
      </c>
    </row>
    <row r="445" spans="1:15" x14ac:dyDescent="0.25">
      <c r="A445" s="2" t="s">
        <v>4299</v>
      </c>
      <c r="B445" s="14" t="s">
        <v>4300</v>
      </c>
      <c r="C445" s="14" t="s">
        <v>1467</v>
      </c>
      <c r="D445" s="14" t="s">
        <v>1467</v>
      </c>
      <c r="E445" s="14" t="s">
        <v>1467</v>
      </c>
      <c r="F445" s="14" t="s">
        <v>4408</v>
      </c>
      <c r="G445" s="14" t="s">
        <v>1501</v>
      </c>
      <c r="H445" s="14" t="s">
        <v>4301</v>
      </c>
      <c r="I445" s="14" t="s">
        <v>1501</v>
      </c>
      <c r="J445" s="14" t="s">
        <v>1501</v>
      </c>
      <c r="K445" s="14"/>
      <c r="L445" s="14"/>
      <c r="M445" s="14"/>
      <c r="N445" s="155"/>
      <c r="O445" s="14" t="s">
        <v>3487</v>
      </c>
    </row>
    <row r="446" spans="1:15" x14ac:dyDescent="0.25">
      <c r="A446" s="2" t="s">
        <v>4310</v>
      </c>
      <c r="B446" s="14" t="s">
        <v>4311</v>
      </c>
      <c r="C446" s="14" t="s">
        <v>1467</v>
      </c>
      <c r="D446" s="14" t="s">
        <v>1467</v>
      </c>
      <c r="E446" s="14" t="s">
        <v>1467</v>
      </c>
      <c r="F446" s="14" t="s">
        <v>4428</v>
      </c>
      <c r="G446" s="14" t="s">
        <v>1501</v>
      </c>
      <c r="H446" s="14" t="s">
        <v>4312</v>
      </c>
      <c r="I446" s="14" t="s">
        <v>1501</v>
      </c>
      <c r="J446" s="14" t="s">
        <v>1501</v>
      </c>
      <c r="K446" s="14"/>
      <c r="L446" s="14"/>
      <c r="M446" s="14"/>
      <c r="N446" s="155"/>
      <c r="O446" s="14" t="s">
        <v>3487</v>
      </c>
    </row>
    <row r="447" spans="1:15" x14ac:dyDescent="0.25">
      <c r="A447" s="2" t="s">
        <v>4313</v>
      </c>
      <c r="B447" s="14" t="s">
        <v>4314</v>
      </c>
      <c r="C447" s="14" t="s">
        <v>1467</v>
      </c>
      <c r="D447" s="14" t="s">
        <v>1467</v>
      </c>
      <c r="E447" s="14" t="s">
        <v>1467</v>
      </c>
      <c r="F447" s="14" t="s">
        <v>4431</v>
      </c>
      <c r="G447" s="14" t="s">
        <v>1501</v>
      </c>
      <c r="H447" s="14" t="s">
        <v>4316</v>
      </c>
      <c r="I447" s="14" t="s">
        <v>1501</v>
      </c>
      <c r="J447" s="14" t="s">
        <v>1501</v>
      </c>
      <c r="K447" s="14"/>
      <c r="L447" s="14"/>
      <c r="M447" s="14"/>
      <c r="N447" s="155"/>
      <c r="O447" s="14" t="s">
        <v>3487</v>
      </c>
    </row>
    <row r="448" spans="1:15" x14ac:dyDescent="0.25">
      <c r="A448" s="2" t="s">
        <v>4323</v>
      </c>
      <c r="B448" s="14" t="s">
        <v>4324</v>
      </c>
      <c r="C448" s="14" t="s">
        <v>1467</v>
      </c>
      <c r="D448" s="14" t="s">
        <v>1467</v>
      </c>
      <c r="E448" s="14" t="s">
        <v>1467</v>
      </c>
      <c r="F448" s="14" t="s">
        <v>4443</v>
      </c>
      <c r="G448" s="14" t="s">
        <v>1501</v>
      </c>
      <c r="H448" s="14" t="s">
        <v>4326</v>
      </c>
      <c r="I448" s="14" t="s">
        <v>1501</v>
      </c>
      <c r="J448" s="14" t="s">
        <v>1501</v>
      </c>
      <c r="K448" s="14"/>
      <c r="L448" s="14"/>
      <c r="M448" s="14"/>
      <c r="N448" s="155"/>
      <c r="O448" s="14" t="s">
        <v>3487</v>
      </c>
    </row>
    <row r="449" spans="1:15" x14ac:dyDescent="0.25">
      <c r="A449" s="2" t="s">
        <v>4338</v>
      </c>
      <c r="B449" s="14" t="s">
        <v>4339</v>
      </c>
      <c r="C449" s="14" t="s">
        <v>1467</v>
      </c>
      <c r="D449" s="14" t="s">
        <v>1467</v>
      </c>
      <c r="E449" s="14" t="s">
        <v>1467</v>
      </c>
      <c r="F449" s="14" t="s">
        <v>4450</v>
      </c>
      <c r="G449" s="14" t="s">
        <v>1501</v>
      </c>
      <c r="H449" s="14" t="s">
        <v>4341</v>
      </c>
      <c r="I449" s="14" t="s">
        <v>1501</v>
      </c>
      <c r="J449" s="14" t="s">
        <v>1501</v>
      </c>
      <c r="K449" s="14"/>
      <c r="L449" s="14"/>
      <c r="M449" s="14"/>
      <c r="N449" s="155"/>
      <c r="O449" s="14" t="s">
        <v>3487</v>
      </c>
    </row>
    <row r="450" spans="1:15" x14ac:dyDescent="0.25">
      <c r="A450" s="2" t="s">
        <v>4343</v>
      </c>
      <c r="B450" s="14" t="s">
        <v>4344</v>
      </c>
      <c r="C450" s="14" t="s">
        <v>4345</v>
      </c>
      <c r="D450" s="14" t="s">
        <v>4346</v>
      </c>
      <c r="E450" s="14" t="s">
        <v>1467</v>
      </c>
      <c r="F450" s="14" t="s">
        <v>4464</v>
      </c>
      <c r="G450" s="14" t="s">
        <v>2078</v>
      </c>
      <c r="H450" s="14" t="s">
        <v>4348</v>
      </c>
      <c r="I450" s="14" t="s">
        <v>1501</v>
      </c>
      <c r="J450" s="14" t="s">
        <v>1501</v>
      </c>
      <c r="K450" s="14"/>
      <c r="L450" s="14"/>
      <c r="M450" s="14"/>
      <c r="N450" s="155">
        <v>15</v>
      </c>
      <c r="O450" s="14" t="s">
        <v>3487</v>
      </c>
    </row>
    <row r="451" spans="1:15" x14ac:dyDescent="0.25">
      <c r="A451" s="2" t="s">
        <v>4361</v>
      </c>
      <c r="B451" s="14" t="s">
        <v>4362</v>
      </c>
      <c r="C451" s="14" t="s">
        <v>1467</v>
      </c>
      <c r="D451" s="14" t="s">
        <v>1467</v>
      </c>
      <c r="E451" s="14" t="s">
        <v>1467</v>
      </c>
      <c r="F451" s="14" t="s">
        <v>4467</v>
      </c>
      <c r="G451" s="14" t="s">
        <v>1501</v>
      </c>
      <c r="H451" s="14" t="s">
        <v>1467</v>
      </c>
      <c r="I451" s="14" t="s">
        <v>1467</v>
      </c>
      <c r="J451" s="14" t="s">
        <v>1501</v>
      </c>
      <c r="K451" s="14"/>
      <c r="L451" s="14"/>
      <c r="M451" s="14"/>
      <c r="N451" s="155"/>
      <c r="O451" s="14" t="s">
        <v>3489</v>
      </c>
    </row>
    <row r="452" spans="1:15" x14ac:dyDescent="0.25">
      <c r="A452" s="2" t="s">
        <v>4369</v>
      </c>
      <c r="B452" s="14" t="s">
        <v>4370</v>
      </c>
      <c r="C452" s="14" t="s">
        <v>1467</v>
      </c>
      <c r="D452" s="14" t="s">
        <v>1467</v>
      </c>
      <c r="E452" s="14" t="s">
        <v>1467</v>
      </c>
      <c r="F452" s="14" t="s">
        <v>4470</v>
      </c>
      <c r="G452" s="14" t="s">
        <v>1501</v>
      </c>
      <c r="H452" s="14" t="s">
        <v>1467</v>
      </c>
      <c r="I452" s="14" t="s">
        <v>1467</v>
      </c>
      <c r="J452" s="14" t="s">
        <v>1501</v>
      </c>
      <c r="K452" s="14"/>
      <c r="L452" s="14"/>
      <c r="M452" s="14"/>
      <c r="N452" s="155"/>
      <c r="O452" s="14" t="s">
        <v>3487</v>
      </c>
    </row>
    <row r="453" spans="1:15" x14ac:dyDescent="0.25">
      <c r="A453" s="2" t="s">
        <v>4372</v>
      </c>
      <c r="B453" s="14" t="s">
        <v>4373</v>
      </c>
      <c r="C453" s="14" t="s">
        <v>1467</v>
      </c>
      <c r="D453" s="14" t="s">
        <v>1467</v>
      </c>
      <c r="E453" s="14" t="s">
        <v>1467</v>
      </c>
      <c r="F453" s="14" t="s">
        <v>4472</v>
      </c>
      <c r="G453" s="14" t="s">
        <v>1501</v>
      </c>
      <c r="H453" s="14" t="s">
        <v>4375</v>
      </c>
      <c r="I453" s="14" t="s">
        <v>1501</v>
      </c>
      <c r="J453" s="14" t="s">
        <v>1501</v>
      </c>
      <c r="K453" s="14"/>
      <c r="L453" s="14"/>
      <c r="M453" s="14"/>
      <c r="N453" s="155"/>
      <c r="O453" s="14" t="s">
        <v>3487</v>
      </c>
    </row>
    <row r="454" spans="1:15" x14ac:dyDescent="0.25">
      <c r="A454" s="2" t="s">
        <v>4385</v>
      </c>
      <c r="B454" s="14" t="s">
        <v>4387</v>
      </c>
      <c r="C454" s="14" t="s">
        <v>1467</v>
      </c>
      <c r="D454" s="14" t="s">
        <v>1467</v>
      </c>
      <c r="E454" s="14" t="s">
        <v>1467</v>
      </c>
      <c r="F454" s="14" t="s">
        <v>4475</v>
      </c>
      <c r="G454" s="14" t="s">
        <v>1501</v>
      </c>
      <c r="H454" s="14" t="s">
        <v>1467</v>
      </c>
      <c r="I454" s="14" t="s">
        <v>1467</v>
      </c>
      <c r="J454" s="14" t="s">
        <v>1501</v>
      </c>
      <c r="K454" s="14"/>
      <c r="L454" s="14"/>
      <c r="M454" s="14"/>
      <c r="N454" s="155"/>
      <c r="O454" s="14" t="s">
        <v>1467</v>
      </c>
    </row>
    <row r="455" spans="1:15" x14ac:dyDescent="0.25">
      <c r="A455" s="2" t="s">
        <v>4394</v>
      </c>
      <c r="B455" s="14" t="s">
        <v>4395</v>
      </c>
      <c r="C455" s="14" t="s">
        <v>1467</v>
      </c>
      <c r="D455" s="14" t="s">
        <v>1467</v>
      </c>
      <c r="E455" s="14" t="s">
        <v>1467</v>
      </c>
      <c r="F455" s="14" t="s">
        <v>4479</v>
      </c>
      <c r="G455" s="14" t="s">
        <v>1501</v>
      </c>
      <c r="H455" s="14" t="s">
        <v>1467</v>
      </c>
      <c r="I455" s="14" t="s">
        <v>1467</v>
      </c>
      <c r="J455" s="14" t="s">
        <v>1501</v>
      </c>
      <c r="K455" s="14"/>
      <c r="L455" s="14"/>
      <c r="M455" s="14"/>
      <c r="N455" s="155"/>
      <c r="O455" s="14" t="s">
        <v>3489</v>
      </c>
    </row>
    <row r="456" spans="1:15" x14ac:dyDescent="0.25">
      <c r="A456" s="2" t="s">
        <v>4397</v>
      </c>
      <c r="B456" s="14" t="s">
        <v>4398</v>
      </c>
      <c r="C456" s="14" t="s">
        <v>1467</v>
      </c>
      <c r="D456" s="14" t="s">
        <v>1467</v>
      </c>
      <c r="E456" s="14" t="s">
        <v>1467</v>
      </c>
      <c r="F456" s="14" t="s">
        <v>4482</v>
      </c>
      <c r="G456" s="14" t="s">
        <v>1501</v>
      </c>
      <c r="H456" s="14" t="s">
        <v>1467</v>
      </c>
      <c r="I456" s="14" t="s">
        <v>1467</v>
      </c>
      <c r="J456" s="14" t="s">
        <v>1501</v>
      </c>
      <c r="K456" s="14"/>
      <c r="L456" s="14"/>
      <c r="M456" s="14"/>
      <c r="N456" s="155"/>
      <c r="O456" s="14" t="s">
        <v>3487</v>
      </c>
    </row>
    <row r="457" spans="1:15" x14ac:dyDescent="0.25">
      <c r="A457" s="2" t="s">
        <v>4400</v>
      </c>
      <c r="B457" s="14" t="s">
        <v>4401</v>
      </c>
      <c r="C457" s="14" t="s">
        <v>1467</v>
      </c>
      <c r="D457" s="14" t="s">
        <v>1467</v>
      </c>
      <c r="E457" s="14" t="s">
        <v>1467</v>
      </c>
      <c r="F457" s="14" t="s">
        <v>4485</v>
      </c>
      <c r="G457" s="14" t="s">
        <v>1501</v>
      </c>
      <c r="H457" s="14" t="s">
        <v>1467</v>
      </c>
      <c r="I457" s="14" t="s">
        <v>1467</v>
      </c>
      <c r="J457" s="14" t="s">
        <v>1501</v>
      </c>
      <c r="K457" s="14"/>
      <c r="L457" s="14"/>
      <c r="M457" s="14"/>
      <c r="N457" s="155"/>
      <c r="O457" s="14" t="s">
        <v>3487</v>
      </c>
    </row>
    <row r="458" spans="1:15" x14ac:dyDescent="0.25">
      <c r="A458" s="2" t="s">
        <v>4403</v>
      </c>
      <c r="B458" s="14" t="s">
        <v>4405</v>
      </c>
      <c r="C458" s="14" t="s">
        <v>1467</v>
      </c>
      <c r="D458" s="14" t="s">
        <v>1467</v>
      </c>
      <c r="E458" s="14" t="s">
        <v>1467</v>
      </c>
      <c r="F458" s="14" t="s">
        <v>4487</v>
      </c>
      <c r="G458" s="14" t="s">
        <v>1501</v>
      </c>
      <c r="H458" s="14" t="s">
        <v>1467</v>
      </c>
      <c r="I458" s="14" t="s">
        <v>1467</v>
      </c>
      <c r="J458" s="14" t="s">
        <v>1501</v>
      </c>
      <c r="K458" s="14"/>
      <c r="L458" s="14"/>
      <c r="M458" s="14"/>
      <c r="N458" s="155"/>
      <c r="O458" s="14" t="s">
        <v>3487</v>
      </c>
    </row>
    <row r="459" spans="1:15" x14ac:dyDescent="0.25">
      <c r="A459" s="2" t="s">
        <v>4406</v>
      </c>
      <c r="B459" s="14" t="s">
        <v>4407</v>
      </c>
      <c r="C459" s="14" t="s">
        <v>1467</v>
      </c>
      <c r="D459" s="14" t="s">
        <v>1467</v>
      </c>
      <c r="E459" s="14" t="s">
        <v>1467</v>
      </c>
      <c r="F459" s="14" t="s">
        <v>4491</v>
      </c>
      <c r="G459" s="14" t="s">
        <v>1855</v>
      </c>
      <c r="H459" s="14" t="s">
        <v>1467</v>
      </c>
      <c r="I459" s="14" t="s">
        <v>1855</v>
      </c>
      <c r="J459" s="14" t="s">
        <v>1445</v>
      </c>
      <c r="K459" s="14"/>
      <c r="L459" s="14"/>
      <c r="M459" s="14"/>
      <c r="N459" s="155"/>
      <c r="O459" s="14" t="s">
        <v>4409</v>
      </c>
    </row>
    <row r="460" spans="1:15" x14ac:dyDescent="0.25">
      <c r="A460" s="2" t="s">
        <v>4426</v>
      </c>
      <c r="B460" s="14" t="s">
        <v>4427</v>
      </c>
      <c r="C460" s="14" t="s">
        <v>1467</v>
      </c>
      <c r="D460" s="14" t="s">
        <v>1467</v>
      </c>
      <c r="E460" s="14" t="s">
        <v>1467</v>
      </c>
      <c r="F460" s="14" t="s">
        <v>4497</v>
      </c>
      <c r="G460" s="14" t="s">
        <v>1501</v>
      </c>
      <c r="H460" s="14" t="s">
        <v>1467</v>
      </c>
      <c r="I460" s="14" t="s">
        <v>1467</v>
      </c>
      <c r="J460" s="14" t="s">
        <v>1501</v>
      </c>
      <c r="K460" s="14"/>
      <c r="L460" s="14"/>
      <c r="M460" s="14"/>
      <c r="N460" s="155"/>
      <c r="O460" s="14" t="s">
        <v>3489</v>
      </c>
    </row>
    <row r="461" spans="1:15" x14ac:dyDescent="0.25">
      <c r="A461" s="2" t="s">
        <v>4430</v>
      </c>
      <c r="B461" s="14" t="s">
        <v>4432</v>
      </c>
      <c r="C461" s="14" t="s">
        <v>1467</v>
      </c>
      <c r="D461" s="14" t="s">
        <v>1467</v>
      </c>
      <c r="E461" s="14" t="s">
        <v>1467</v>
      </c>
      <c r="F461" s="14" t="s">
        <v>4501</v>
      </c>
      <c r="G461" s="14" t="s">
        <v>2087</v>
      </c>
      <c r="H461" s="14" t="s">
        <v>1467</v>
      </c>
      <c r="I461" s="14" t="s">
        <v>1467</v>
      </c>
      <c r="J461" s="14" t="s">
        <v>1501</v>
      </c>
      <c r="K461" s="14"/>
      <c r="L461" s="14"/>
      <c r="M461" s="14"/>
      <c r="N461" s="155"/>
      <c r="O461" s="14" t="s">
        <v>3489</v>
      </c>
    </row>
    <row r="462" spans="1:15" x14ac:dyDescent="0.25">
      <c r="A462" s="2" t="s">
        <v>4441</v>
      </c>
      <c r="B462" s="14" t="s">
        <v>4442</v>
      </c>
      <c r="C462" s="14" t="s">
        <v>1467</v>
      </c>
      <c r="D462" s="14" t="s">
        <v>1467</v>
      </c>
      <c r="E462" s="14" t="s">
        <v>1467</v>
      </c>
      <c r="F462" s="14" t="s">
        <v>4507</v>
      </c>
      <c r="G462" s="14" t="s">
        <v>1501</v>
      </c>
      <c r="H462" s="14" t="s">
        <v>1467</v>
      </c>
      <c r="I462" s="14" t="s">
        <v>1501</v>
      </c>
      <c r="J462" s="14" t="s">
        <v>1501</v>
      </c>
      <c r="K462" s="14"/>
      <c r="L462" s="14"/>
      <c r="M462" s="14"/>
      <c r="N462" s="155"/>
      <c r="O462" s="14" t="s">
        <v>3489</v>
      </c>
    </row>
    <row r="463" spans="1:15" x14ac:dyDescent="0.25">
      <c r="A463" s="2" t="s">
        <v>4448</v>
      </c>
      <c r="B463" s="14" t="s">
        <v>4449</v>
      </c>
      <c r="C463" s="14" t="s">
        <v>1467</v>
      </c>
      <c r="D463" s="14" t="s">
        <v>1467</v>
      </c>
      <c r="E463" s="14" t="s">
        <v>1467</v>
      </c>
      <c r="F463" s="14" t="s">
        <v>1919</v>
      </c>
      <c r="G463" s="14" t="s">
        <v>1501</v>
      </c>
      <c r="H463" s="14" t="s">
        <v>1467</v>
      </c>
      <c r="I463" s="14" t="s">
        <v>1501</v>
      </c>
      <c r="J463" s="14" t="s">
        <v>1501</v>
      </c>
      <c r="K463" s="14"/>
      <c r="L463" s="14"/>
      <c r="M463" s="14"/>
      <c r="N463" s="155"/>
      <c r="O463" s="14" t="s">
        <v>3487</v>
      </c>
    </row>
    <row r="464" spans="1:15" x14ac:dyDescent="0.25">
      <c r="A464" s="2" t="s">
        <v>4462</v>
      </c>
      <c r="B464" s="14" t="s">
        <v>4463</v>
      </c>
      <c r="C464" s="14" t="s">
        <v>1467</v>
      </c>
      <c r="D464" s="14" t="s">
        <v>1467</v>
      </c>
      <c r="E464" s="14" t="s">
        <v>1467</v>
      </c>
      <c r="F464" s="14" t="s">
        <v>4544</v>
      </c>
      <c r="G464" s="14" t="s">
        <v>1501</v>
      </c>
      <c r="H464" s="14" t="s">
        <v>1467</v>
      </c>
      <c r="I464" s="14" t="s">
        <v>1467</v>
      </c>
      <c r="J464" s="14" t="s">
        <v>1501</v>
      </c>
      <c r="K464" s="14"/>
      <c r="L464" s="14"/>
      <c r="M464" s="14"/>
      <c r="N464" s="155"/>
      <c r="O464" s="14" t="s">
        <v>3487</v>
      </c>
    </row>
    <row r="465" spans="1:15" x14ac:dyDescent="0.25">
      <c r="A465" s="2" t="s">
        <v>4465</v>
      </c>
      <c r="B465" s="14" t="s">
        <v>4466</v>
      </c>
      <c r="C465" s="14" t="s">
        <v>1467</v>
      </c>
      <c r="D465" s="14" t="s">
        <v>1467</v>
      </c>
      <c r="E465" s="14" t="s">
        <v>1467</v>
      </c>
      <c r="F465" s="14" t="s">
        <v>4547</v>
      </c>
      <c r="G465" s="14" t="s">
        <v>1501</v>
      </c>
      <c r="H465" s="14" t="s">
        <v>1467</v>
      </c>
      <c r="I465" s="14" t="s">
        <v>1467</v>
      </c>
      <c r="J465" s="14" t="s">
        <v>1501</v>
      </c>
      <c r="K465" s="14"/>
      <c r="L465" s="14"/>
      <c r="M465" s="14"/>
      <c r="N465" s="155"/>
      <c r="O465" s="14" t="s">
        <v>3487</v>
      </c>
    </row>
    <row r="466" spans="1:15" x14ac:dyDescent="0.25">
      <c r="A466" s="2" t="s">
        <v>4468</v>
      </c>
      <c r="B466" s="14" t="s">
        <v>4469</v>
      </c>
      <c r="C466" s="14" t="s">
        <v>1467</v>
      </c>
      <c r="D466" s="14" t="s">
        <v>1467</v>
      </c>
      <c r="E466" s="14" t="s">
        <v>1467</v>
      </c>
      <c r="F466" s="14" t="s">
        <v>4550</v>
      </c>
      <c r="G466" s="14" t="s">
        <v>1501</v>
      </c>
      <c r="H466" s="14" t="s">
        <v>1467</v>
      </c>
      <c r="I466" s="14" t="s">
        <v>1467</v>
      </c>
      <c r="J466" s="14" t="s">
        <v>1501</v>
      </c>
      <c r="K466" s="14"/>
      <c r="L466" s="14"/>
      <c r="M466" s="14"/>
      <c r="N466" s="155"/>
      <c r="O466" s="14" t="s">
        <v>3487</v>
      </c>
    </row>
    <row r="467" spans="1:15" x14ac:dyDescent="0.25">
      <c r="A467" s="2" t="s">
        <v>4471</v>
      </c>
      <c r="B467" s="14" t="s">
        <v>4873</v>
      </c>
      <c r="C467" s="14" t="s">
        <v>1467</v>
      </c>
      <c r="D467" s="14" t="s">
        <v>1467</v>
      </c>
      <c r="E467" s="14" t="s">
        <v>1467</v>
      </c>
      <c r="F467" s="14" t="s">
        <v>4553</v>
      </c>
      <c r="G467" s="14" t="s">
        <v>1501</v>
      </c>
      <c r="H467" s="14" t="s">
        <v>1467</v>
      </c>
      <c r="I467" s="14" t="s">
        <v>1467</v>
      </c>
      <c r="J467" s="14" t="s">
        <v>1501</v>
      </c>
      <c r="K467" s="14"/>
      <c r="L467" s="14"/>
      <c r="M467" s="14"/>
      <c r="N467" s="155"/>
      <c r="O467" s="14" t="s">
        <v>3487</v>
      </c>
    </row>
    <row r="468" spans="1:15" x14ac:dyDescent="0.25">
      <c r="A468" s="2" t="s">
        <v>4473</v>
      </c>
      <c r="B468" s="14" t="s">
        <v>4474</v>
      </c>
      <c r="C468" s="14" t="s">
        <v>1467</v>
      </c>
      <c r="D468" s="14" t="s">
        <v>1467</v>
      </c>
      <c r="E468" s="14" t="s">
        <v>1467</v>
      </c>
      <c r="F468" s="14" t="s">
        <v>4556</v>
      </c>
      <c r="G468" s="14" t="s">
        <v>2893</v>
      </c>
      <c r="H468" s="14" t="s">
        <v>1467</v>
      </c>
      <c r="I468" s="14" t="s">
        <v>1467</v>
      </c>
      <c r="J468" s="14" t="s">
        <v>1445</v>
      </c>
      <c r="K468" s="14"/>
      <c r="L468" s="14"/>
      <c r="M468" s="14"/>
      <c r="N468" s="155"/>
      <c r="O468" s="14" t="s">
        <v>4476</v>
      </c>
    </row>
    <row r="469" spans="1:15" x14ac:dyDescent="0.25">
      <c r="A469" s="2" t="s">
        <v>4477</v>
      </c>
      <c r="B469" s="14" t="s">
        <v>4478</v>
      </c>
      <c r="C469" s="14" t="s">
        <v>1467</v>
      </c>
      <c r="D469" s="14" t="s">
        <v>1467</v>
      </c>
      <c r="E469" s="14" t="s">
        <v>1467</v>
      </c>
      <c r="F469" s="14" t="s">
        <v>4562</v>
      </c>
      <c r="G469" s="14" t="s">
        <v>1501</v>
      </c>
      <c r="H469" s="14" t="s">
        <v>1467</v>
      </c>
      <c r="I469" s="14" t="s">
        <v>1467</v>
      </c>
      <c r="J469" s="14" t="s">
        <v>1501</v>
      </c>
      <c r="K469" s="14"/>
      <c r="L469" s="14"/>
      <c r="M469" s="14"/>
      <c r="N469" s="155"/>
      <c r="O469" s="14" t="s">
        <v>3489</v>
      </c>
    </row>
    <row r="470" spans="1:15" x14ac:dyDescent="0.25">
      <c r="A470" s="2" t="s">
        <v>4480</v>
      </c>
      <c r="B470" s="14" t="s">
        <v>4481</v>
      </c>
      <c r="C470" s="14" t="s">
        <v>1467</v>
      </c>
      <c r="D470" s="14" t="s">
        <v>1467</v>
      </c>
      <c r="E470" s="14" t="s">
        <v>1467</v>
      </c>
      <c r="F470" s="14" t="s">
        <v>4565</v>
      </c>
      <c r="G470" s="14" t="s">
        <v>2087</v>
      </c>
      <c r="H470" s="14" t="s">
        <v>1467</v>
      </c>
      <c r="I470" s="14" t="s">
        <v>1467</v>
      </c>
      <c r="J470" s="14" t="s">
        <v>1501</v>
      </c>
      <c r="K470" s="14"/>
      <c r="L470" s="14"/>
      <c r="M470" s="14"/>
      <c r="N470" s="155"/>
      <c r="O470" s="14" t="s">
        <v>3487</v>
      </c>
    </row>
    <row r="471" spans="1:15" x14ac:dyDescent="0.25">
      <c r="A471" s="2" t="s">
        <v>4483</v>
      </c>
      <c r="B471" s="14" t="s">
        <v>4484</v>
      </c>
      <c r="C471" s="14" t="s">
        <v>1467</v>
      </c>
      <c r="D471" s="14" t="s">
        <v>1467</v>
      </c>
      <c r="E471" s="14" t="s">
        <v>1467</v>
      </c>
      <c r="F471" s="14" t="s">
        <v>4576</v>
      </c>
      <c r="G471" s="14" t="s">
        <v>1501</v>
      </c>
      <c r="H471" s="14" t="s">
        <v>1467</v>
      </c>
      <c r="I471" s="14" t="s">
        <v>1467</v>
      </c>
      <c r="J471" s="14" t="s">
        <v>1501</v>
      </c>
      <c r="K471" s="14"/>
      <c r="L471" s="14"/>
      <c r="M471" s="14"/>
      <c r="N471" s="155"/>
      <c r="O471" s="14" t="s">
        <v>3487</v>
      </c>
    </row>
    <row r="472" spans="1:15" x14ac:dyDescent="0.25">
      <c r="A472" s="2" t="s">
        <v>4486</v>
      </c>
      <c r="B472" s="14" t="s">
        <v>4346</v>
      </c>
      <c r="C472" s="14" t="s">
        <v>1467</v>
      </c>
      <c r="D472" s="14" t="s">
        <v>1467</v>
      </c>
      <c r="E472" s="14" t="s">
        <v>1467</v>
      </c>
      <c r="F472" s="14" t="s">
        <v>4579</v>
      </c>
      <c r="G472" s="14" t="s">
        <v>1501</v>
      </c>
      <c r="H472" s="14" t="s">
        <v>1467</v>
      </c>
      <c r="I472" s="14" t="s">
        <v>1467</v>
      </c>
      <c r="J472" s="14" t="s">
        <v>1501</v>
      </c>
      <c r="K472" s="14"/>
      <c r="L472" s="14"/>
      <c r="M472" s="14"/>
      <c r="N472" s="155"/>
      <c r="O472" s="14" t="s">
        <v>3487</v>
      </c>
    </row>
    <row r="473" spans="1:15" x14ac:dyDescent="0.25">
      <c r="A473" s="2" t="s">
        <v>4489</v>
      </c>
      <c r="B473" s="14" t="s">
        <v>4490</v>
      </c>
      <c r="C473" s="14" t="s">
        <v>1467</v>
      </c>
      <c r="D473" s="14" t="s">
        <v>1467</v>
      </c>
      <c r="E473" s="14" t="s">
        <v>1467</v>
      </c>
      <c r="F473" s="14" t="s">
        <v>4582</v>
      </c>
      <c r="G473" s="14" t="s">
        <v>2056</v>
      </c>
      <c r="H473" s="14" t="s">
        <v>4492</v>
      </c>
      <c r="I473" s="14" t="s">
        <v>4493</v>
      </c>
      <c r="J473" s="14" t="s">
        <v>2050</v>
      </c>
      <c r="K473" s="14"/>
      <c r="L473" s="14"/>
      <c r="M473" s="14"/>
      <c r="N473" s="155"/>
      <c r="O473" s="14" t="s">
        <v>3490</v>
      </c>
    </row>
    <row r="474" spans="1:15" x14ac:dyDescent="0.25">
      <c r="A474" s="2" t="s">
        <v>4495</v>
      </c>
      <c r="B474" s="14" t="s">
        <v>4496</v>
      </c>
      <c r="C474" s="14" t="s">
        <v>1467</v>
      </c>
      <c r="D474" s="14" t="s">
        <v>1467</v>
      </c>
      <c r="E474" s="14" t="s">
        <v>1467</v>
      </c>
      <c r="F474" s="14" t="s">
        <v>4585</v>
      </c>
      <c r="G474" s="14" t="s">
        <v>1501</v>
      </c>
      <c r="H474" s="14" t="s">
        <v>1467</v>
      </c>
      <c r="I474" s="14" t="s">
        <v>1467</v>
      </c>
      <c r="J474" s="14" t="s">
        <v>1501</v>
      </c>
      <c r="K474" s="14"/>
      <c r="L474" s="14"/>
      <c r="M474" s="14"/>
      <c r="N474" s="155"/>
      <c r="O474" s="14" t="s">
        <v>3489</v>
      </c>
    </row>
    <row r="475" spans="1:15" x14ac:dyDescent="0.25">
      <c r="A475" s="2" t="s">
        <v>4499</v>
      </c>
      <c r="B475" s="14" t="s">
        <v>4500</v>
      </c>
      <c r="C475" s="14" t="s">
        <v>1467</v>
      </c>
      <c r="D475" s="14" t="s">
        <v>1467</v>
      </c>
      <c r="E475" s="14" t="s">
        <v>1467</v>
      </c>
      <c r="F475" s="14" t="s">
        <v>4588</v>
      </c>
      <c r="G475" s="14" t="s">
        <v>1501</v>
      </c>
      <c r="H475" s="14" t="s">
        <v>1467</v>
      </c>
      <c r="I475" s="14" t="s">
        <v>1501</v>
      </c>
      <c r="J475" s="14" t="s">
        <v>1501</v>
      </c>
      <c r="K475" s="14"/>
      <c r="L475" s="14"/>
      <c r="M475" s="14"/>
      <c r="N475" s="155"/>
      <c r="O475" s="14" t="s">
        <v>3487</v>
      </c>
    </row>
    <row r="476" spans="1:15" x14ac:dyDescent="0.25">
      <c r="A476" s="2" t="s">
        <v>4505</v>
      </c>
      <c r="B476" s="14" t="s">
        <v>4506</v>
      </c>
      <c r="C476" s="14" t="s">
        <v>1467</v>
      </c>
      <c r="D476" s="14" t="s">
        <v>1467</v>
      </c>
      <c r="E476" s="14" t="s">
        <v>1467</v>
      </c>
      <c r="F476" s="14" t="s">
        <v>4591</v>
      </c>
      <c r="G476" s="14" t="s">
        <v>1501</v>
      </c>
      <c r="H476" s="14" t="s">
        <v>4508</v>
      </c>
      <c r="I476" s="14" t="s">
        <v>1467</v>
      </c>
      <c r="J476" s="14" t="s">
        <v>1501</v>
      </c>
      <c r="K476" s="14"/>
      <c r="L476" s="14"/>
      <c r="M476" s="14"/>
      <c r="N476" s="155"/>
      <c r="O476" s="14" t="s">
        <v>3487</v>
      </c>
    </row>
    <row r="477" spans="1:15" x14ac:dyDescent="0.25">
      <c r="A477" s="2" t="s">
        <v>4541</v>
      </c>
      <c r="B477" s="14" t="s">
        <v>3397</v>
      </c>
      <c r="C477" s="14" t="s">
        <v>1467</v>
      </c>
      <c r="D477" s="14" t="s">
        <v>1467</v>
      </c>
      <c r="E477" s="14" t="s">
        <v>1467</v>
      </c>
      <c r="F477" s="14" t="s">
        <v>4594</v>
      </c>
      <c r="G477" s="14" t="s">
        <v>1501</v>
      </c>
      <c r="H477" s="14" t="s">
        <v>1467</v>
      </c>
      <c r="I477" s="14" t="s">
        <v>1467</v>
      </c>
      <c r="J477" s="14" t="s">
        <v>1501</v>
      </c>
      <c r="K477" s="14"/>
      <c r="L477" s="14"/>
      <c r="M477" s="14"/>
      <c r="N477" s="155"/>
      <c r="O477" s="14" t="s">
        <v>3489</v>
      </c>
    </row>
    <row r="478" spans="1:15" x14ac:dyDescent="0.25">
      <c r="A478" s="2" t="s">
        <v>4542</v>
      </c>
      <c r="B478" s="14" t="s">
        <v>4543</v>
      </c>
      <c r="C478" s="14" t="s">
        <v>1467</v>
      </c>
      <c r="D478" s="14" t="s">
        <v>1467</v>
      </c>
      <c r="E478" s="14" t="s">
        <v>1467</v>
      </c>
      <c r="F478" s="14" t="s">
        <v>4686</v>
      </c>
      <c r="G478" s="14" t="s">
        <v>1501</v>
      </c>
      <c r="H478" s="14" t="s">
        <v>1467</v>
      </c>
      <c r="I478" s="14" t="s">
        <v>1467</v>
      </c>
      <c r="J478" s="14" t="s">
        <v>1501</v>
      </c>
      <c r="K478" s="14"/>
      <c r="L478" s="14"/>
      <c r="M478" s="14"/>
      <c r="N478" s="155"/>
      <c r="O478" s="14" t="s">
        <v>3489</v>
      </c>
    </row>
    <row r="479" spans="1:15" x14ac:dyDescent="0.25">
      <c r="A479" s="2" t="s">
        <v>4545</v>
      </c>
      <c r="B479" s="14" t="s">
        <v>4546</v>
      </c>
      <c r="C479" s="14" t="s">
        <v>1467</v>
      </c>
      <c r="D479" s="14" t="s">
        <v>1467</v>
      </c>
      <c r="E479" s="14" t="s">
        <v>1467</v>
      </c>
      <c r="F479" s="14" t="s">
        <v>4692</v>
      </c>
      <c r="G479" s="14" t="s">
        <v>1501</v>
      </c>
      <c r="H479" s="14" t="s">
        <v>1467</v>
      </c>
      <c r="I479" s="14" t="s">
        <v>1467</v>
      </c>
      <c r="J479" s="14" t="s">
        <v>1501</v>
      </c>
      <c r="K479" s="14"/>
      <c r="L479" s="14"/>
      <c r="M479" s="14"/>
      <c r="N479" s="155"/>
      <c r="O479" s="14" t="s">
        <v>3487</v>
      </c>
    </row>
    <row r="480" spans="1:15" x14ac:dyDescent="0.25">
      <c r="A480" s="2" t="s">
        <v>4548</v>
      </c>
      <c r="B480" s="14" t="s">
        <v>4549</v>
      </c>
      <c r="C480" s="14" t="s">
        <v>1467</v>
      </c>
      <c r="D480" s="14" t="s">
        <v>1467</v>
      </c>
      <c r="E480" s="14" t="s">
        <v>1467</v>
      </c>
      <c r="F480" s="14" t="s">
        <v>4708</v>
      </c>
      <c r="G480" s="14" t="s">
        <v>1501</v>
      </c>
      <c r="H480" s="14" t="s">
        <v>1467</v>
      </c>
      <c r="I480" s="14" t="s">
        <v>1467</v>
      </c>
      <c r="J480" s="14" t="s">
        <v>1501</v>
      </c>
      <c r="K480" s="14"/>
      <c r="L480" s="14"/>
      <c r="M480" s="14"/>
      <c r="N480" s="155"/>
      <c r="O480" s="14" t="s">
        <v>3487</v>
      </c>
    </row>
    <row r="481" spans="1:15" x14ac:dyDescent="0.25">
      <c r="A481" s="2" t="s">
        <v>4551</v>
      </c>
      <c r="B481" s="14" t="s">
        <v>4552</v>
      </c>
      <c r="C481" s="14" t="s">
        <v>1467</v>
      </c>
      <c r="D481" s="14" t="s">
        <v>1467</v>
      </c>
      <c r="E481" s="14" t="s">
        <v>1467</v>
      </c>
      <c r="F481" s="14" t="s">
        <v>4711</v>
      </c>
      <c r="G481" s="14" t="s">
        <v>1501</v>
      </c>
      <c r="H481" s="14" t="s">
        <v>1467</v>
      </c>
      <c r="I481" s="14" t="s">
        <v>1467</v>
      </c>
      <c r="J481" s="14" t="s">
        <v>1501</v>
      </c>
      <c r="K481" s="14"/>
      <c r="L481" s="14"/>
      <c r="M481" s="14"/>
      <c r="N481" s="155"/>
      <c r="O481" s="14" t="s">
        <v>3489</v>
      </c>
    </row>
    <row r="482" spans="1:15" x14ac:dyDescent="0.25">
      <c r="A482" s="2" t="s">
        <v>4554</v>
      </c>
      <c r="B482" s="14" t="s">
        <v>4555</v>
      </c>
      <c r="C482" s="14" t="s">
        <v>1467</v>
      </c>
      <c r="D482" s="14" t="s">
        <v>1467</v>
      </c>
      <c r="E482" s="14" t="s">
        <v>1467</v>
      </c>
      <c r="F482" s="14" t="s">
        <v>4716</v>
      </c>
      <c r="G482" s="14" t="s">
        <v>1444</v>
      </c>
      <c r="H482" s="14" t="s">
        <v>1467</v>
      </c>
      <c r="I482" s="14" t="s">
        <v>1467</v>
      </c>
      <c r="J482" s="14" t="s">
        <v>1445</v>
      </c>
      <c r="K482" s="14"/>
      <c r="L482" s="14"/>
      <c r="M482" s="14"/>
      <c r="N482" s="155"/>
      <c r="O482" s="14" t="s">
        <v>3489</v>
      </c>
    </row>
    <row r="483" spans="1:15" x14ac:dyDescent="0.25">
      <c r="A483" s="2" t="s">
        <v>4560</v>
      </c>
      <c r="B483" s="14" t="s">
        <v>4561</v>
      </c>
      <c r="C483" s="14" t="s">
        <v>1467</v>
      </c>
      <c r="D483" s="14" t="s">
        <v>1467</v>
      </c>
      <c r="E483" s="14" t="s">
        <v>1467</v>
      </c>
      <c r="F483" s="14" t="s">
        <v>4728</v>
      </c>
      <c r="G483" s="14" t="s">
        <v>1501</v>
      </c>
      <c r="H483" s="14" t="s">
        <v>1467</v>
      </c>
      <c r="I483" s="14" t="s">
        <v>1467</v>
      </c>
      <c r="J483" s="14" t="s">
        <v>1501</v>
      </c>
      <c r="K483" s="14"/>
      <c r="L483" s="14"/>
      <c r="M483" s="14"/>
      <c r="N483" s="155"/>
      <c r="O483" s="14" t="s">
        <v>3487</v>
      </c>
    </row>
    <row r="484" spans="1:15" x14ac:dyDescent="0.25">
      <c r="A484" s="2" t="s">
        <v>4563</v>
      </c>
      <c r="B484" s="14" t="s">
        <v>4564</v>
      </c>
      <c r="C484" s="14" t="s">
        <v>1467</v>
      </c>
      <c r="D484" s="14" t="s">
        <v>1467</v>
      </c>
      <c r="E484" s="14" t="s">
        <v>1467</v>
      </c>
      <c r="F484" s="14" t="s">
        <v>4732</v>
      </c>
      <c r="G484" s="14" t="s">
        <v>1501</v>
      </c>
      <c r="H484" s="14" t="s">
        <v>1467</v>
      </c>
      <c r="I484" s="14" t="s">
        <v>1467</v>
      </c>
      <c r="J484" s="14" t="s">
        <v>1501</v>
      </c>
      <c r="K484" s="14"/>
      <c r="L484" s="14"/>
      <c r="M484" s="14"/>
      <c r="N484" s="155"/>
      <c r="O484" s="14" t="s">
        <v>3487</v>
      </c>
    </row>
    <row r="485" spans="1:15" x14ac:dyDescent="0.25">
      <c r="A485" s="2" t="s">
        <v>4574</v>
      </c>
      <c r="B485" s="14" t="s">
        <v>4575</v>
      </c>
      <c r="C485" s="14" t="s">
        <v>1467</v>
      </c>
      <c r="D485" s="14" t="s">
        <v>1467</v>
      </c>
      <c r="E485" s="14" t="s">
        <v>1467</v>
      </c>
      <c r="F485" s="14" t="s">
        <v>4738</v>
      </c>
      <c r="G485" s="14" t="s">
        <v>1501</v>
      </c>
      <c r="H485" s="14" t="s">
        <v>1467</v>
      </c>
      <c r="I485" s="14" t="s">
        <v>1501</v>
      </c>
      <c r="J485" s="14" t="s">
        <v>1501</v>
      </c>
      <c r="K485" s="14"/>
      <c r="L485" s="14"/>
      <c r="M485" s="14"/>
      <c r="N485" s="155"/>
      <c r="O485" s="14" t="s">
        <v>3487</v>
      </c>
    </row>
    <row r="486" spans="1:15" x14ac:dyDescent="0.25">
      <c r="A486" s="2" t="s">
        <v>4577</v>
      </c>
      <c r="B486" s="14" t="s">
        <v>4578</v>
      </c>
      <c r="C486" s="14" t="s">
        <v>1467</v>
      </c>
      <c r="D486" s="14" t="s">
        <v>1467</v>
      </c>
      <c r="E486" s="14" t="s">
        <v>1467</v>
      </c>
      <c r="F486" s="14" t="s">
        <v>4743</v>
      </c>
      <c r="G486" s="14" t="s">
        <v>1501</v>
      </c>
      <c r="H486" s="14" t="s">
        <v>1467</v>
      </c>
      <c r="I486" s="14" t="s">
        <v>1467</v>
      </c>
      <c r="J486" s="14" t="s">
        <v>1501</v>
      </c>
      <c r="K486" s="14"/>
      <c r="L486" s="14"/>
      <c r="M486" s="14"/>
      <c r="N486" s="155"/>
      <c r="O486" s="14" t="s">
        <v>3487</v>
      </c>
    </row>
    <row r="487" spans="1:15" x14ac:dyDescent="0.25">
      <c r="A487" s="2" t="s">
        <v>4580</v>
      </c>
      <c r="B487" s="14" t="s">
        <v>4581</v>
      </c>
      <c r="C487" s="14" t="s">
        <v>1467</v>
      </c>
      <c r="D487" s="14" t="s">
        <v>1467</v>
      </c>
      <c r="E487" s="14" t="s">
        <v>1467</v>
      </c>
      <c r="F487" s="14" t="s">
        <v>4757</v>
      </c>
      <c r="G487" s="14" t="s">
        <v>1501</v>
      </c>
      <c r="H487" s="14" t="s">
        <v>1467</v>
      </c>
      <c r="I487" s="14" t="s">
        <v>1467</v>
      </c>
      <c r="J487" s="14" t="s">
        <v>1501</v>
      </c>
      <c r="K487" s="14"/>
      <c r="L487" s="14"/>
      <c r="M487" s="14"/>
      <c r="N487" s="155"/>
      <c r="O487" s="14" t="s">
        <v>3487</v>
      </c>
    </row>
    <row r="488" spans="1:15" x14ac:dyDescent="0.25">
      <c r="A488" s="2" t="s">
        <v>4583</v>
      </c>
      <c r="B488" s="14" t="s">
        <v>4584</v>
      </c>
      <c r="C488" s="14" t="s">
        <v>1467</v>
      </c>
      <c r="D488" s="14" t="s">
        <v>1467</v>
      </c>
      <c r="E488" s="14" t="s">
        <v>1467</v>
      </c>
      <c r="F488" s="14" t="s">
        <v>4789</v>
      </c>
      <c r="G488" s="14" t="s">
        <v>1501</v>
      </c>
      <c r="H488" s="14" t="s">
        <v>1467</v>
      </c>
      <c r="I488" s="14" t="s">
        <v>1501</v>
      </c>
      <c r="J488" s="14" t="s">
        <v>1501</v>
      </c>
      <c r="K488" s="14"/>
      <c r="L488" s="14"/>
      <c r="M488" s="14"/>
      <c r="N488" s="155"/>
      <c r="O488" s="14" t="s">
        <v>3487</v>
      </c>
    </row>
    <row r="489" spans="1:15" x14ac:dyDescent="0.25">
      <c r="A489" s="2" t="s">
        <v>4586</v>
      </c>
      <c r="B489" s="14" t="s">
        <v>4587</v>
      </c>
      <c r="C489" s="14" t="s">
        <v>1467</v>
      </c>
      <c r="D489" s="14" t="s">
        <v>1467</v>
      </c>
      <c r="E489" s="14" t="s">
        <v>1467</v>
      </c>
      <c r="F489" s="14" t="s">
        <v>4793</v>
      </c>
      <c r="G489" s="14" t="s">
        <v>1501</v>
      </c>
      <c r="H489" s="14" t="s">
        <v>1467</v>
      </c>
      <c r="I489" s="14" t="s">
        <v>1501</v>
      </c>
      <c r="J489" s="14" t="s">
        <v>1501</v>
      </c>
      <c r="K489" s="14"/>
      <c r="L489" s="14"/>
      <c r="M489" s="14"/>
      <c r="N489" s="155"/>
      <c r="O489" s="14" t="s">
        <v>3487</v>
      </c>
    </row>
    <row r="490" spans="1:15" x14ac:dyDescent="0.25">
      <c r="A490" s="2" t="s">
        <v>4589</v>
      </c>
      <c r="B490" s="14" t="s">
        <v>4590</v>
      </c>
      <c r="C490" s="14" t="s">
        <v>1467</v>
      </c>
      <c r="D490" s="14" t="s">
        <v>1467</v>
      </c>
      <c r="E490" s="14" t="s">
        <v>1467</v>
      </c>
      <c r="F490" s="14" t="s">
        <v>4796</v>
      </c>
      <c r="G490" s="14" t="s">
        <v>1501</v>
      </c>
      <c r="H490" s="14" t="s">
        <v>1467</v>
      </c>
      <c r="I490" s="14" t="s">
        <v>1467</v>
      </c>
      <c r="J490" s="14" t="s">
        <v>1501</v>
      </c>
      <c r="K490" s="14"/>
      <c r="L490" s="14"/>
      <c r="M490" s="14"/>
      <c r="N490" s="155"/>
      <c r="O490" s="14" t="s">
        <v>3487</v>
      </c>
    </row>
    <row r="491" spans="1:15" x14ac:dyDescent="0.25">
      <c r="A491" s="2" t="s">
        <v>4592</v>
      </c>
      <c r="B491" s="14" t="s">
        <v>4593</v>
      </c>
      <c r="C491" s="14" t="s">
        <v>1467</v>
      </c>
      <c r="D491" s="14" t="s">
        <v>1467</v>
      </c>
      <c r="E491" s="14" t="s">
        <v>1467</v>
      </c>
      <c r="F491" s="14" t="s">
        <v>4802</v>
      </c>
      <c r="G491" s="14" t="s">
        <v>1501</v>
      </c>
      <c r="H491" s="14" t="s">
        <v>4595</v>
      </c>
      <c r="I491" s="14" t="s">
        <v>1467</v>
      </c>
      <c r="J491" s="14" t="s">
        <v>1501</v>
      </c>
      <c r="K491" s="14"/>
      <c r="L491" s="14"/>
      <c r="M491" s="14"/>
      <c r="N491" s="155"/>
      <c r="O491" s="14" t="s">
        <v>3487</v>
      </c>
    </row>
    <row r="492" spans="1:15" x14ac:dyDescent="0.25">
      <c r="A492" s="2" t="s">
        <v>4681</v>
      </c>
      <c r="B492" s="14" t="s">
        <v>4682</v>
      </c>
      <c r="C492" s="14" t="s">
        <v>4683</v>
      </c>
      <c r="D492" s="14" t="s">
        <v>4684</v>
      </c>
      <c r="E492" s="14" t="s">
        <v>4685</v>
      </c>
      <c r="F492" s="14" t="s">
        <v>4806</v>
      </c>
      <c r="G492" s="14" t="s">
        <v>3587</v>
      </c>
      <c r="H492" s="14" t="s">
        <v>4687</v>
      </c>
      <c r="I492" s="14" t="s">
        <v>4688</v>
      </c>
      <c r="J492" s="14" t="s">
        <v>3587</v>
      </c>
      <c r="K492" s="14"/>
      <c r="L492" s="14"/>
      <c r="M492" s="14"/>
      <c r="N492" s="155">
        <v>30</v>
      </c>
      <c r="O492" s="14" t="s">
        <v>3490</v>
      </c>
    </row>
    <row r="493" spans="1:15" x14ac:dyDescent="0.25">
      <c r="A493" s="2" t="s">
        <v>4689</v>
      </c>
      <c r="B493" s="14" t="s">
        <v>4690</v>
      </c>
      <c r="C493" s="14" t="s">
        <v>4691</v>
      </c>
      <c r="D493" s="14" t="s">
        <v>1467</v>
      </c>
      <c r="E493" s="14" t="s">
        <v>1467</v>
      </c>
      <c r="F493" s="14" t="s">
        <v>4809</v>
      </c>
      <c r="G493" s="14" t="s">
        <v>1444</v>
      </c>
      <c r="H493" s="14" t="s">
        <v>4693</v>
      </c>
      <c r="I493" s="14" t="s">
        <v>1444</v>
      </c>
      <c r="J493" s="14" t="s">
        <v>1445</v>
      </c>
      <c r="K493" s="14"/>
      <c r="L493" s="14"/>
      <c r="M493" s="14"/>
      <c r="N493" s="155"/>
      <c r="O493" s="14" t="s">
        <v>3490</v>
      </c>
    </row>
    <row r="494" spans="1:15" x14ac:dyDescent="0.25">
      <c r="A494" s="2" t="s">
        <v>4706</v>
      </c>
      <c r="B494" s="14" t="s">
        <v>4707</v>
      </c>
      <c r="C494" s="14" t="s">
        <v>1467</v>
      </c>
      <c r="D494" s="14" t="s">
        <v>1467</v>
      </c>
      <c r="E494" s="14" t="s">
        <v>1467</v>
      </c>
      <c r="F494" s="14" t="s">
        <v>4812</v>
      </c>
      <c r="G494" s="14" t="s">
        <v>1501</v>
      </c>
      <c r="H494" s="14" t="s">
        <v>1467</v>
      </c>
      <c r="I494" s="14" t="s">
        <v>1467</v>
      </c>
      <c r="J494" s="14" t="s">
        <v>1501</v>
      </c>
      <c r="K494" s="14"/>
      <c r="L494" s="14"/>
      <c r="M494" s="14"/>
      <c r="N494" s="155"/>
      <c r="O494" s="14" t="s">
        <v>3487</v>
      </c>
    </row>
    <row r="495" spans="1:15" x14ac:dyDescent="0.25">
      <c r="A495" s="2" t="s">
        <v>4709</v>
      </c>
      <c r="B495" s="14" t="s">
        <v>4712</v>
      </c>
      <c r="C495" s="14" t="s">
        <v>4710</v>
      </c>
      <c r="D495" s="14" t="s">
        <v>1467</v>
      </c>
      <c r="E495" s="14" t="s">
        <v>1467</v>
      </c>
      <c r="F495" s="14" t="s">
        <v>4834</v>
      </c>
      <c r="G495" s="14" t="s">
        <v>1862</v>
      </c>
      <c r="H495" s="14" t="s">
        <v>1467</v>
      </c>
      <c r="I495" s="14" t="s">
        <v>1467</v>
      </c>
      <c r="J495" s="14" t="s">
        <v>2050</v>
      </c>
      <c r="K495" s="14"/>
      <c r="L495" s="14"/>
      <c r="M495" s="14"/>
      <c r="N495" s="155"/>
      <c r="O495" s="14" t="s">
        <v>1467</v>
      </c>
    </row>
    <row r="496" spans="1:15" x14ac:dyDescent="0.25">
      <c r="A496" s="2" t="s">
        <v>4713</v>
      </c>
      <c r="B496" s="14" t="s">
        <v>4714</v>
      </c>
      <c r="C496" s="14" t="s">
        <v>4715</v>
      </c>
      <c r="D496" s="14" t="s">
        <v>1467</v>
      </c>
      <c r="E496" s="14" t="s">
        <v>1467</v>
      </c>
      <c r="F496" s="14" t="s">
        <v>1918</v>
      </c>
      <c r="G496" s="14" t="s">
        <v>1862</v>
      </c>
      <c r="H496" s="14" t="s">
        <v>1467</v>
      </c>
      <c r="I496" s="14" t="s">
        <v>1467</v>
      </c>
      <c r="J496" s="14" t="s">
        <v>2050</v>
      </c>
      <c r="K496" s="14"/>
      <c r="L496" s="14"/>
      <c r="M496" s="14"/>
      <c r="N496" s="155">
        <v>30</v>
      </c>
      <c r="O496" s="14" t="s">
        <v>3490</v>
      </c>
    </row>
    <row r="497" spans="1:15" x14ac:dyDescent="0.25">
      <c r="A497" s="2" t="s">
        <v>4726</v>
      </c>
      <c r="B497" s="14" t="s">
        <v>4727</v>
      </c>
      <c r="C497" s="14" t="s">
        <v>1467</v>
      </c>
      <c r="D497" s="14" t="s">
        <v>1467</v>
      </c>
      <c r="E497" s="14" t="s">
        <v>1467</v>
      </c>
      <c r="F497" s="14" t="s">
        <v>4848</v>
      </c>
      <c r="G497" s="14" t="s">
        <v>1444</v>
      </c>
      <c r="H497" s="14" t="s">
        <v>4729</v>
      </c>
      <c r="I497" s="14" t="s">
        <v>2893</v>
      </c>
      <c r="J497" s="14" t="s">
        <v>1445</v>
      </c>
      <c r="K497" s="14"/>
      <c r="L497" s="14"/>
      <c r="M497" s="14"/>
      <c r="N497" s="155"/>
      <c r="O497" s="14" t="s">
        <v>3487</v>
      </c>
    </row>
    <row r="498" spans="1:15" x14ac:dyDescent="0.25">
      <c r="A498" s="2" t="s">
        <v>4730</v>
      </c>
      <c r="B498" s="14" t="s">
        <v>4731</v>
      </c>
      <c r="C498" s="14" t="s">
        <v>4734</v>
      </c>
      <c r="D498" s="14" t="s">
        <v>1467</v>
      </c>
      <c r="E498" s="14" t="s">
        <v>1467</v>
      </c>
      <c r="F498" s="14" t="s">
        <v>4851</v>
      </c>
      <c r="G498" s="14" t="s">
        <v>3587</v>
      </c>
      <c r="H498" s="14" t="s">
        <v>4733</v>
      </c>
      <c r="I498" s="14" t="s">
        <v>3587</v>
      </c>
      <c r="J498" s="14" t="s">
        <v>3587</v>
      </c>
      <c r="K498" s="14"/>
      <c r="L498" s="14"/>
      <c r="M498" s="14"/>
      <c r="N498" s="155"/>
      <c r="O498" s="14" t="s">
        <v>1467</v>
      </c>
    </row>
    <row r="499" spans="1:15" x14ac:dyDescent="0.25">
      <c r="A499" s="2" t="s">
        <v>4735</v>
      </c>
      <c r="B499" s="14" t="s">
        <v>4736</v>
      </c>
      <c r="C499" s="14" t="s">
        <v>4737</v>
      </c>
      <c r="D499" s="14" t="s">
        <v>1467</v>
      </c>
      <c r="E499" s="14" t="s">
        <v>1467</v>
      </c>
      <c r="F499" s="14" t="s">
        <v>4855</v>
      </c>
      <c r="G499" s="14" t="s">
        <v>4257</v>
      </c>
      <c r="H499" s="14" t="s">
        <v>4738</v>
      </c>
      <c r="I499" s="14" t="s">
        <v>4739</v>
      </c>
      <c r="J499" s="14" t="s">
        <v>2050</v>
      </c>
      <c r="K499" s="14"/>
      <c r="L499" s="14"/>
      <c r="M499" s="14"/>
      <c r="N499" s="155"/>
      <c r="O499" s="14" t="s">
        <v>3490</v>
      </c>
    </row>
    <row r="500" spans="1:15" x14ac:dyDescent="0.25">
      <c r="A500" s="2" t="s">
        <v>4740</v>
      </c>
      <c r="B500" s="14" t="s">
        <v>4741</v>
      </c>
      <c r="C500" s="14" t="s">
        <v>4742</v>
      </c>
      <c r="D500" s="14" t="s">
        <v>1467</v>
      </c>
      <c r="E500" s="14" t="s">
        <v>1467</v>
      </c>
      <c r="F500" s="14" t="s">
        <v>4865</v>
      </c>
      <c r="G500" s="14" t="s">
        <v>2056</v>
      </c>
      <c r="H500" s="14" t="s">
        <v>4743</v>
      </c>
      <c r="I500" s="14" t="s">
        <v>2056</v>
      </c>
      <c r="J500" s="14" t="s">
        <v>2050</v>
      </c>
      <c r="K500" s="14"/>
      <c r="L500" s="14"/>
      <c r="M500" s="14"/>
      <c r="N500" s="155"/>
      <c r="O500" s="14" t="s">
        <v>3490</v>
      </c>
    </row>
    <row r="501" spans="1:15" x14ac:dyDescent="0.25">
      <c r="A501" s="2" t="s">
        <v>4753</v>
      </c>
      <c r="B501" s="14" t="s">
        <v>4754</v>
      </c>
      <c r="C501" s="14" t="s">
        <v>1467</v>
      </c>
      <c r="D501" s="14" t="s">
        <v>1467</v>
      </c>
      <c r="E501" s="14" t="s">
        <v>1467</v>
      </c>
      <c r="F501" s="14" t="s">
        <v>4868</v>
      </c>
      <c r="G501" s="14" t="s">
        <v>1501</v>
      </c>
      <c r="H501" s="14" t="s">
        <v>4758</v>
      </c>
      <c r="I501" s="14" t="s">
        <v>1467</v>
      </c>
      <c r="J501" s="14" t="s">
        <v>1501</v>
      </c>
      <c r="K501" s="14"/>
      <c r="L501" s="14"/>
      <c r="M501" s="14"/>
      <c r="N501" s="155"/>
      <c r="O501" s="14" t="s">
        <v>3487</v>
      </c>
    </row>
    <row r="502" spans="1:15" x14ac:dyDescent="0.25">
      <c r="A502" s="2" t="s">
        <v>4787</v>
      </c>
      <c r="B502" s="14" t="s">
        <v>4788</v>
      </c>
      <c r="C502" s="14" t="s">
        <v>1467</v>
      </c>
      <c r="D502" s="14" t="s">
        <v>1467</v>
      </c>
      <c r="E502" s="14" t="s">
        <v>1467</v>
      </c>
      <c r="F502" s="14" t="s">
        <v>4872</v>
      </c>
      <c r="G502" s="14" t="s">
        <v>1501</v>
      </c>
      <c r="H502" s="14" t="s">
        <v>1467</v>
      </c>
      <c r="I502" s="14" t="s">
        <v>1501</v>
      </c>
      <c r="J502" s="14" t="s">
        <v>1501</v>
      </c>
      <c r="K502" s="14"/>
      <c r="L502" s="14"/>
      <c r="M502" s="14"/>
      <c r="N502" s="155"/>
      <c r="O502" s="14" t="s">
        <v>4790</v>
      </c>
    </row>
    <row r="503" spans="1:15" x14ac:dyDescent="0.25">
      <c r="A503" s="2" t="s">
        <v>4791</v>
      </c>
      <c r="B503" s="14" t="s">
        <v>4792</v>
      </c>
      <c r="C503" s="14" t="s">
        <v>1467</v>
      </c>
      <c r="D503" s="14" t="s">
        <v>1467</v>
      </c>
      <c r="E503" s="14" t="s">
        <v>1467</v>
      </c>
      <c r="F503" s="14" t="s">
        <v>4879</v>
      </c>
      <c r="G503" s="14" t="s">
        <v>1501</v>
      </c>
      <c r="H503" s="14" t="s">
        <v>1467</v>
      </c>
      <c r="I503" s="14" t="s">
        <v>1501</v>
      </c>
      <c r="J503" s="14" t="s">
        <v>1501</v>
      </c>
      <c r="K503" s="14"/>
      <c r="L503" s="14"/>
      <c r="M503" s="14"/>
      <c r="N503" s="155"/>
      <c r="O503" s="14" t="s">
        <v>3487</v>
      </c>
    </row>
    <row r="504" spans="1:15" x14ac:dyDescent="0.25">
      <c r="A504" s="2" t="s">
        <v>4794</v>
      </c>
      <c r="B504" s="14" t="s">
        <v>4795</v>
      </c>
      <c r="C504" s="14" t="s">
        <v>1467</v>
      </c>
      <c r="D504" s="14" t="s">
        <v>1467</v>
      </c>
      <c r="E504" s="14" t="s">
        <v>1467</v>
      </c>
      <c r="F504" s="14" t="s">
        <v>4893</v>
      </c>
      <c r="G504" s="14" t="s">
        <v>1501</v>
      </c>
      <c r="H504" s="14" t="s">
        <v>1467</v>
      </c>
      <c r="I504" s="14" t="s">
        <v>1501</v>
      </c>
      <c r="J504" s="14" t="s">
        <v>1501</v>
      </c>
      <c r="K504" s="14"/>
      <c r="L504" s="14"/>
      <c r="M504" s="14"/>
      <c r="N504" s="155"/>
      <c r="O504" s="14" t="s">
        <v>3487</v>
      </c>
    </row>
    <row r="505" spans="1:15" x14ac:dyDescent="0.25">
      <c r="A505" s="2" t="s">
        <v>4800</v>
      </c>
      <c r="B505" s="14" t="s">
        <v>4801</v>
      </c>
      <c r="C505" s="14" t="s">
        <v>1467</v>
      </c>
      <c r="D505" s="14" t="s">
        <v>1467</v>
      </c>
      <c r="E505" s="14" t="s">
        <v>1467</v>
      </c>
      <c r="F505" s="14" t="s">
        <v>4897</v>
      </c>
      <c r="G505" s="14" t="s">
        <v>1501</v>
      </c>
      <c r="H505" s="14" t="s">
        <v>1467</v>
      </c>
      <c r="I505" s="14" t="s">
        <v>1501</v>
      </c>
      <c r="J505" s="14" t="s">
        <v>1501</v>
      </c>
      <c r="K505" s="14"/>
      <c r="L505" s="14"/>
      <c r="M505" s="14"/>
      <c r="N505" s="155"/>
      <c r="O505" s="14" t="s">
        <v>4803</v>
      </c>
    </row>
    <row r="506" spans="1:15" x14ac:dyDescent="0.25">
      <c r="A506" s="2" t="s">
        <v>4804</v>
      </c>
      <c r="B506" s="14" t="s">
        <v>4805</v>
      </c>
      <c r="C506" s="14" t="s">
        <v>1467</v>
      </c>
      <c r="D506" s="14" t="s">
        <v>1467</v>
      </c>
      <c r="E506" s="14" t="s">
        <v>1467</v>
      </c>
      <c r="F506" s="14" t="s">
        <v>4900</v>
      </c>
      <c r="G506" s="14" t="s">
        <v>1501</v>
      </c>
      <c r="H506" s="14" t="s">
        <v>1467</v>
      </c>
      <c r="I506" s="14" t="s">
        <v>1467</v>
      </c>
      <c r="J506" s="14" t="s">
        <v>1501</v>
      </c>
      <c r="K506" s="14"/>
      <c r="L506" s="14"/>
      <c r="M506" s="14"/>
      <c r="N506" s="155"/>
      <c r="O506" s="14" t="s">
        <v>3487</v>
      </c>
    </row>
    <row r="507" spans="1:15" x14ac:dyDescent="0.25">
      <c r="A507" s="2" t="s">
        <v>4807</v>
      </c>
      <c r="B507" s="14" t="s">
        <v>4808</v>
      </c>
      <c r="C507" s="14" t="s">
        <v>1467</v>
      </c>
      <c r="D507" s="14" t="s">
        <v>1467</v>
      </c>
      <c r="E507" s="14" t="s">
        <v>1467</v>
      </c>
      <c r="F507" s="14" t="s">
        <v>4902</v>
      </c>
      <c r="G507" s="14" t="s">
        <v>1501</v>
      </c>
      <c r="H507" s="14" t="s">
        <v>1467</v>
      </c>
      <c r="I507" s="14" t="s">
        <v>1501</v>
      </c>
      <c r="J507" s="14" t="s">
        <v>1501</v>
      </c>
      <c r="K507" s="14"/>
      <c r="L507" s="14"/>
      <c r="M507" s="14"/>
      <c r="N507" s="155"/>
      <c r="O507" s="14" t="s">
        <v>3487</v>
      </c>
    </row>
    <row r="508" spans="1:15" x14ac:dyDescent="0.25">
      <c r="A508" s="2" t="s">
        <v>4810</v>
      </c>
      <c r="B508" s="14" t="s">
        <v>4811</v>
      </c>
      <c r="C508" s="14" t="s">
        <v>1467</v>
      </c>
      <c r="D508" s="14" t="s">
        <v>1467</v>
      </c>
      <c r="E508" s="14" t="s">
        <v>1467</v>
      </c>
      <c r="F508" s="14" t="s">
        <v>4910</v>
      </c>
      <c r="G508" s="14" t="s">
        <v>1501</v>
      </c>
      <c r="H508" s="14" t="s">
        <v>4813</v>
      </c>
      <c r="I508" s="14" t="s">
        <v>1501</v>
      </c>
      <c r="J508" s="14" t="s">
        <v>1501</v>
      </c>
      <c r="K508" s="14"/>
      <c r="L508" s="14"/>
      <c r="M508" s="14"/>
      <c r="N508" s="155"/>
      <c r="O508" s="14" t="s">
        <v>3487</v>
      </c>
    </row>
    <row r="509" spans="1:15" x14ac:dyDescent="0.25">
      <c r="A509" s="2" t="s">
        <v>4832</v>
      </c>
      <c r="B509" s="14" t="s">
        <v>4833</v>
      </c>
      <c r="C509" s="14" t="s">
        <v>1467</v>
      </c>
      <c r="D509" s="14" t="s">
        <v>1467</v>
      </c>
      <c r="E509" s="14" t="s">
        <v>1467</v>
      </c>
      <c r="F509" s="14" t="s">
        <v>5646</v>
      </c>
      <c r="G509" s="14" t="s">
        <v>1444</v>
      </c>
      <c r="H509" s="14" t="s">
        <v>4835</v>
      </c>
      <c r="I509" s="14" t="s">
        <v>1444</v>
      </c>
      <c r="J509" s="14" t="s">
        <v>1445</v>
      </c>
      <c r="K509" s="14"/>
      <c r="L509" s="14"/>
      <c r="M509" s="14"/>
      <c r="N509" s="155"/>
      <c r="O509" s="14" t="s">
        <v>4836</v>
      </c>
    </row>
    <row r="510" spans="1:15" x14ac:dyDescent="0.25">
      <c r="A510" s="2" t="s">
        <v>4839</v>
      </c>
      <c r="B510" s="14" t="s">
        <v>4840</v>
      </c>
      <c r="C510" s="14" t="s">
        <v>1467</v>
      </c>
      <c r="D510" s="14" t="s">
        <v>1467</v>
      </c>
      <c r="E510" s="14" t="s">
        <v>1467</v>
      </c>
      <c r="F510" s="14" t="s">
        <v>4949</v>
      </c>
      <c r="G510" s="14" t="s">
        <v>1501</v>
      </c>
      <c r="H510" s="14" t="s">
        <v>1467</v>
      </c>
      <c r="I510" s="14" t="s">
        <v>1501</v>
      </c>
      <c r="J510" s="14" t="s">
        <v>1501</v>
      </c>
      <c r="K510" s="14"/>
      <c r="L510" s="14"/>
      <c r="M510" s="14"/>
      <c r="N510" s="155"/>
      <c r="O510" s="14" t="s">
        <v>3487</v>
      </c>
    </row>
    <row r="511" spans="1:15" x14ac:dyDescent="0.25">
      <c r="A511" s="2" t="s">
        <v>4846</v>
      </c>
      <c r="B511" s="14" t="s">
        <v>4847</v>
      </c>
      <c r="C511" s="14" t="s">
        <v>1467</v>
      </c>
      <c r="D511" s="14" t="s">
        <v>1467</v>
      </c>
      <c r="E511" s="14" t="s">
        <v>1467</v>
      </c>
      <c r="F511" s="14" t="s">
        <v>4952</v>
      </c>
      <c r="G511" s="14" t="s">
        <v>1501</v>
      </c>
      <c r="H511" s="14" t="s">
        <v>1467</v>
      </c>
      <c r="I511" s="14" t="s">
        <v>1501</v>
      </c>
      <c r="J511" s="14" t="s">
        <v>1501</v>
      </c>
      <c r="K511" s="14"/>
      <c r="L511" s="14"/>
      <c r="M511" s="14"/>
      <c r="N511" s="155"/>
      <c r="O511" s="14" t="s">
        <v>3487</v>
      </c>
    </row>
    <row r="512" spans="1:15" x14ac:dyDescent="0.25">
      <c r="A512" s="2" t="s">
        <v>4849</v>
      </c>
      <c r="B512" s="14" t="s">
        <v>4850</v>
      </c>
      <c r="C512" s="14" t="s">
        <v>1467</v>
      </c>
      <c r="D512" s="14" t="s">
        <v>1467</v>
      </c>
      <c r="E512" s="14" t="s">
        <v>1467</v>
      </c>
      <c r="F512" s="14" t="s">
        <v>4955</v>
      </c>
      <c r="G512" s="14" t="s">
        <v>1501</v>
      </c>
      <c r="H512" s="14" t="s">
        <v>1467</v>
      </c>
      <c r="I512" s="14" t="s">
        <v>1501</v>
      </c>
      <c r="J512" s="14" t="s">
        <v>1501</v>
      </c>
      <c r="K512" s="14"/>
      <c r="L512" s="14"/>
      <c r="M512" s="14"/>
      <c r="N512" s="155"/>
      <c r="O512" s="14" t="s">
        <v>4852</v>
      </c>
    </row>
    <row r="513" spans="1:15" x14ac:dyDescent="0.25">
      <c r="A513" s="2" t="s">
        <v>4853</v>
      </c>
      <c r="B513" s="14" t="s">
        <v>4854</v>
      </c>
      <c r="C513" s="14" t="s">
        <v>1467</v>
      </c>
      <c r="D513" s="14" t="s">
        <v>1467</v>
      </c>
      <c r="E513" s="14" t="s">
        <v>1467</v>
      </c>
      <c r="F513" s="14" t="s">
        <v>4224</v>
      </c>
      <c r="G513" s="14" t="s">
        <v>1501</v>
      </c>
      <c r="H513" s="14" t="s">
        <v>1467</v>
      </c>
      <c r="I513" s="14" t="s">
        <v>1467</v>
      </c>
      <c r="J513" s="14" t="s">
        <v>1501</v>
      </c>
      <c r="K513" s="14"/>
      <c r="L513" s="14"/>
      <c r="M513" s="14"/>
      <c r="N513" s="155"/>
      <c r="O513" s="14" t="s">
        <v>3487</v>
      </c>
    </row>
    <row r="514" spans="1:15" x14ac:dyDescent="0.25">
      <c r="A514" s="2" t="s">
        <v>4863</v>
      </c>
      <c r="B514" s="14" t="s">
        <v>4864</v>
      </c>
      <c r="C514" s="14" t="s">
        <v>1467</v>
      </c>
      <c r="D514" s="14" t="s">
        <v>1467</v>
      </c>
      <c r="E514" s="14" t="s">
        <v>1467</v>
      </c>
      <c r="F514" s="14" t="s">
        <v>4964</v>
      </c>
      <c r="G514" s="14" t="s">
        <v>2087</v>
      </c>
      <c r="H514" s="14" t="s">
        <v>1467</v>
      </c>
      <c r="I514" s="14" t="s">
        <v>2087</v>
      </c>
      <c r="J514" s="14" t="s">
        <v>1501</v>
      </c>
      <c r="K514" s="14"/>
      <c r="L514" s="14"/>
      <c r="M514" s="14"/>
      <c r="N514" s="155"/>
      <c r="O514" s="14" t="s">
        <v>3487</v>
      </c>
    </row>
    <row r="515" spans="1:15" x14ac:dyDescent="0.25">
      <c r="A515" s="2" t="s">
        <v>4866</v>
      </c>
      <c r="B515" s="14" t="s">
        <v>4867</v>
      </c>
      <c r="C515" s="14" t="s">
        <v>1467</v>
      </c>
      <c r="D515" s="14" t="s">
        <v>1467</v>
      </c>
      <c r="E515" s="14" t="s">
        <v>1467</v>
      </c>
      <c r="F515" s="14" t="s">
        <v>5058</v>
      </c>
      <c r="G515" s="14" t="s">
        <v>1501</v>
      </c>
      <c r="H515" s="14" t="s">
        <v>1467</v>
      </c>
      <c r="I515" s="14" t="s">
        <v>1501</v>
      </c>
      <c r="J515" s="14" t="s">
        <v>1501</v>
      </c>
      <c r="K515" s="14"/>
      <c r="L515" s="14"/>
      <c r="M515" s="14"/>
      <c r="N515" s="155"/>
      <c r="O515" s="14" t="s">
        <v>4869</v>
      </c>
    </row>
    <row r="516" spans="1:15" x14ac:dyDescent="0.25">
      <c r="A516" s="2" t="s">
        <v>4870</v>
      </c>
      <c r="B516" s="14" t="s">
        <v>4871</v>
      </c>
      <c r="C516" s="14" t="s">
        <v>1467</v>
      </c>
      <c r="D516" s="14" t="s">
        <v>1467</v>
      </c>
      <c r="E516" s="14" t="s">
        <v>1467</v>
      </c>
      <c r="F516" s="14" t="s">
        <v>5063</v>
      </c>
      <c r="G516" s="14" t="s">
        <v>1501</v>
      </c>
      <c r="H516" s="14" t="s">
        <v>1467</v>
      </c>
      <c r="I516" s="14" t="s">
        <v>1501</v>
      </c>
      <c r="J516" s="14" t="s">
        <v>1501</v>
      </c>
      <c r="K516" s="14"/>
      <c r="L516" s="14"/>
      <c r="M516" s="14"/>
      <c r="N516" s="155"/>
      <c r="O516" s="14" t="s">
        <v>4869</v>
      </c>
    </row>
    <row r="517" spans="1:15" x14ac:dyDescent="0.25">
      <c r="A517" s="2" t="s">
        <v>4877</v>
      </c>
      <c r="B517" s="14" t="s">
        <v>4878</v>
      </c>
      <c r="C517" s="14" t="s">
        <v>1467</v>
      </c>
      <c r="D517" s="14" t="s">
        <v>1467</v>
      </c>
      <c r="E517" s="14" t="s">
        <v>1467</v>
      </c>
      <c r="F517" s="14" t="s">
        <v>5066</v>
      </c>
      <c r="G517" s="14" t="s">
        <v>1501</v>
      </c>
      <c r="H517" s="14" t="s">
        <v>1467</v>
      </c>
      <c r="I517" s="14" t="s">
        <v>1467</v>
      </c>
      <c r="J517" s="14" t="s">
        <v>1501</v>
      </c>
      <c r="K517" s="14"/>
      <c r="L517" s="14"/>
      <c r="M517" s="14"/>
      <c r="N517" s="155"/>
      <c r="O517" s="14" t="s">
        <v>3489</v>
      </c>
    </row>
    <row r="518" spans="1:15" x14ac:dyDescent="0.25">
      <c r="A518" s="2" t="s">
        <v>4891</v>
      </c>
      <c r="B518" s="14" t="s">
        <v>4892</v>
      </c>
      <c r="C518" s="14" t="s">
        <v>1467</v>
      </c>
      <c r="D518" s="14" t="s">
        <v>1467</v>
      </c>
      <c r="E518" s="14" t="s">
        <v>1467</v>
      </c>
      <c r="F518" s="14" t="s">
        <v>5069</v>
      </c>
      <c r="G518" s="14" t="s">
        <v>1833</v>
      </c>
      <c r="H518" s="14" t="s">
        <v>1467</v>
      </c>
      <c r="I518" s="14" t="s">
        <v>1467</v>
      </c>
      <c r="J518" s="14" t="s">
        <v>2050</v>
      </c>
      <c r="K518" s="14"/>
      <c r="L518" s="14"/>
      <c r="M518" s="14"/>
      <c r="N518" s="155"/>
      <c r="O518" s="14" t="s">
        <v>3490</v>
      </c>
    </row>
    <row r="519" spans="1:15" x14ac:dyDescent="0.25">
      <c r="A519" s="2" t="s">
        <v>4894</v>
      </c>
      <c r="B519" s="14" t="s">
        <v>4895</v>
      </c>
      <c r="C519" s="14" t="s">
        <v>4896</v>
      </c>
      <c r="D519" s="14" t="s">
        <v>1467</v>
      </c>
      <c r="E519" s="14" t="s">
        <v>1467</v>
      </c>
      <c r="F519" s="14" t="s">
        <v>5074</v>
      </c>
      <c r="G519" s="14" t="s">
        <v>1862</v>
      </c>
      <c r="H519" s="14" t="s">
        <v>1467</v>
      </c>
      <c r="I519" s="14" t="s">
        <v>1467</v>
      </c>
      <c r="J519" s="14" t="s">
        <v>2050</v>
      </c>
      <c r="K519" s="14"/>
      <c r="L519" s="14"/>
      <c r="M519" s="14"/>
      <c r="N519" s="155"/>
      <c r="O519" s="14" t="s">
        <v>3490</v>
      </c>
    </row>
    <row r="520" spans="1:15" x14ac:dyDescent="0.25">
      <c r="A520" s="2" t="s">
        <v>4898</v>
      </c>
      <c r="B520" s="14" t="s">
        <v>4899</v>
      </c>
      <c r="C520" s="14" t="s">
        <v>1467</v>
      </c>
      <c r="D520" s="14" t="s">
        <v>1467</v>
      </c>
      <c r="E520" s="14" t="s">
        <v>1467</v>
      </c>
      <c r="F520" s="14" t="s">
        <v>1501</v>
      </c>
      <c r="G520" s="14" t="s">
        <v>1501</v>
      </c>
      <c r="H520" s="14" t="s">
        <v>1467</v>
      </c>
      <c r="I520" s="14" t="s">
        <v>1501</v>
      </c>
      <c r="J520" s="14" t="s">
        <v>1501</v>
      </c>
      <c r="K520" s="14"/>
      <c r="L520" s="14"/>
      <c r="M520" s="14"/>
      <c r="N520" s="155"/>
      <c r="O520" s="14" t="s">
        <v>3487</v>
      </c>
    </row>
    <row r="521" spans="1:15" x14ac:dyDescent="0.25">
      <c r="A521" s="2" t="s">
        <v>4901</v>
      </c>
      <c r="B521" s="14" t="s">
        <v>5227</v>
      </c>
      <c r="C521" s="14" t="s">
        <v>1467</v>
      </c>
      <c r="D521" s="14" t="s">
        <v>1467</v>
      </c>
      <c r="E521" s="14" t="s">
        <v>1467</v>
      </c>
      <c r="F521" s="14" t="s">
        <v>5121</v>
      </c>
      <c r="G521" s="14" t="s">
        <v>1444</v>
      </c>
      <c r="H521" s="14" t="s">
        <v>5524</v>
      </c>
      <c r="I521" s="14" t="s">
        <v>1444</v>
      </c>
      <c r="J521" s="14" t="s">
        <v>1501</v>
      </c>
      <c r="K521" s="14"/>
      <c r="L521" s="14"/>
      <c r="M521" s="14"/>
      <c r="N521" s="155"/>
      <c r="O521" s="14" t="s">
        <v>3489</v>
      </c>
    </row>
    <row r="522" spans="1:15" x14ac:dyDescent="0.25">
      <c r="A522" s="2" t="s">
        <v>4907</v>
      </c>
      <c r="B522" s="14" t="s">
        <v>4908</v>
      </c>
      <c r="C522" s="14" t="s">
        <v>4909</v>
      </c>
      <c r="D522" s="14" t="s">
        <v>1467</v>
      </c>
      <c r="E522" s="14" t="s">
        <v>1467</v>
      </c>
      <c r="F522" s="14" t="s">
        <v>5124</v>
      </c>
      <c r="G522" s="14" t="s">
        <v>1855</v>
      </c>
      <c r="H522" s="14" t="s">
        <v>1467</v>
      </c>
      <c r="I522" s="14" t="s">
        <v>1467</v>
      </c>
      <c r="J522" s="14" t="s">
        <v>1445</v>
      </c>
      <c r="K522" s="14"/>
      <c r="L522" s="14"/>
      <c r="M522" s="14"/>
      <c r="N522" s="155">
        <v>30</v>
      </c>
      <c r="O522" s="14" t="s">
        <v>3490</v>
      </c>
    </row>
    <row r="523" spans="1:15" x14ac:dyDescent="0.25">
      <c r="A523" s="2" t="s">
        <v>4919</v>
      </c>
      <c r="B523" s="14" t="s">
        <v>4920</v>
      </c>
      <c r="C523" s="14" t="s">
        <v>1467</v>
      </c>
      <c r="D523" s="14" t="s">
        <v>1467</v>
      </c>
      <c r="E523" s="14" t="s">
        <v>1467</v>
      </c>
      <c r="F523" s="14" t="s">
        <v>1849</v>
      </c>
      <c r="G523" s="14" t="s">
        <v>2087</v>
      </c>
      <c r="H523" s="14" t="s">
        <v>5647</v>
      </c>
      <c r="I523" s="14" t="s">
        <v>1501</v>
      </c>
      <c r="J523" s="14" t="s">
        <v>1501</v>
      </c>
      <c r="K523" s="14"/>
      <c r="L523" s="14"/>
      <c r="M523" s="14"/>
      <c r="N523" s="155"/>
      <c r="O523" s="14" t="s">
        <v>3487</v>
      </c>
    </row>
    <row r="524" spans="1:15" x14ac:dyDescent="0.25">
      <c r="A524" s="2" t="s">
        <v>4947</v>
      </c>
      <c r="B524" s="14" t="s">
        <v>4948</v>
      </c>
      <c r="C524" s="14" t="s">
        <v>1467</v>
      </c>
      <c r="D524" s="14" t="s">
        <v>1467</v>
      </c>
      <c r="E524" s="14" t="s">
        <v>1467</v>
      </c>
      <c r="F524" s="14" t="s">
        <v>5130</v>
      </c>
      <c r="G524" s="14" t="s">
        <v>1501</v>
      </c>
      <c r="H524" s="14" t="s">
        <v>1467</v>
      </c>
      <c r="I524" s="14" t="s">
        <v>1501</v>
      </c>
      <c r="J524" s="14" t="s">
        <v>1501</v>
      </c>
      <c r="K524" s="14"/>
      <c r="L524" s="14"/>
      <c r="M524" s="14"/>
      <c r="N524" s="155"/>
      <c r="O524" s="14" t="s">
        <v>3487</v>
      </c>
    </row>
    <row r="525" spans="1:15" x14ac:dyDescent="0.25">
      <c r="A525" s="2" t="s">
        <v>4950</v>
      </c>
      <c r="B525" s="14" t="s">
        <v>4951</v>
      </c>
      <c r="C525" s="14" t="s">
        <v>1467</v>
      </c>
      <c r="D525" s="14" t="s">
        <v>1467</v>
      </c>
      <c r="E525" s="14" t="s">
        <v>1467</v>
      </c>
      <c r="F525" s="14" t="s">
        <v>5153</v>
      </c>
      <c r="G525" s="14" t="s">
        <v>1501</v>
      </c>
      <c r="H525" s="14" t="s">
        <v>1467</v>
      </c>
      <c r="I525" s="14" t="s">
        <v>1501</v>
      </c>
      <c r="J525" s="14" t="s">
        <v>1501</v>
      </c>
      <c r="K525" s="14"/>
      <c r="L525" s="14"/>
      <c r="M525" s="14"/>
      <c r="N525" s="155"/>
      <c r="O525" s="14" t="s">
        <v>3487</v>
      </c>
    </row>
    <row r="526" spans="1:15" x14ac:dyDescent="0.25">
      <c r="A526" s="2" t="s">
        <v>4953</v>
      </c>
      <c r="B526" s="14" t="s">
        <v>4954</v>
      </c>
      <c r="C526" s="14" t="s">
        <v>1467</v>
      </c>
      <c r="D526" s="14" t="s">
        <v>1467</v>
      </c>
      <c r="E526" s="14" t="s">
        <v>1467</v>
      </c>
      <c r="F526" s="14" t="s">
        <v>5156</v>
      </c>
      <c r="G526" s="14" t="s">
        <v>1501</v>
      </c>
      <c r="H526" s="14" t="s">
        <v>1467</v>
      </c>
      <c r="I526" s="14" t="s">
        <v>1467</v>
      </c>
      <c r="J526" s="14" t="s">
        <v>1501</v>
      </c>
      <c r="K526" s="14"/>
      <c r="L526" s="14"/>
      <c r="M526" s="14"/>
      <c r="N526" s="155"/>
      <c r="O526" s="14" t="s">
        <v>3487</v>
      </c>
    </row>
    <row r="527" spans="1:15" x14ac:dyDescent="0.25">
      <c r="A527" s="2" t="s">
        <v>4956</v>
      </c>
      <c r="B527" s="14" t="s">
        <v>4957</v>
      </c>
      <c r="C527" s="14" t="s">
        <v>1467</v>
      </c>
      <c r="D527" s="14" t="s">
        <v>1467</v>
      </c>
      <c r="E527" s="14" t="s">
        <v>1467</v>
      </c>
      <c r="F527" s="14" t="s">
        <v>5163</v>
      </c>
      <c r="G527" s="14" t="s">
        <v>4958</v>
      </c>
      <c r="H527" s="14" t="s">
        <v>1467</v>
      </c>
      <c r="I527" s="14" t="s">
        <v>1467</v>
      </c>
      <c r="J527" s="14" t="s">
        <v>1501</v>
      </c>
      <c r="K527" s="14"/>
      <c r="L527" s="14"/>
      <c r="M527" s="14"/>
      <c r="N527" s="155"/>
      <c r="O527" s="14" t="s">
        <v>3489</v>
      </c>
    </row>
    <row r="528" spans="1:15" x14ac:dyDescent="0.25">
      <c r="A528" s="2" t="s">
        <v>4962</v>
      </c>
      <c r="B528" s="14" t="s">
        <v>4963</v>
      </c>
      <c r="C528" s="14" t="s">
        <v>1467</v>
      </c>
      <c r="D528" s="14" t="s">
        <v>1467</v>
      </c>
      <c r="E528" s="14" t="s">
        <v>1467</v>
      </c>
      <c r="F528" s="14" t="s">
        <v>5166</v>
      </c>
      <c r="G528" s="14" t="s">
        <v>1501</v>
      </c>
      <c r="H528" s="14" t="s">
        <v>1467</v>
      </c>
      <c r="I528" s="14" t="s">
        <v>1501</v>
      </c>
      <c r="J528" s="14" t="s">
        <v>1501</v>
      </c>
      <c r="K528" s="14"/>
      <c r="L528" s="14"/>
      <c r="M528" s="14"/>
      <c r="N528" s="155"/>
      <c r="O528" s="14" t="s">
        <v>3487</v>
      </c>
    </row>
    <row r="529" spans="1:15" x14ac:dyDescent="0.25">
      <c r="A529" s="2" t="s">
        <v>5056</v>
      </c>
      <c r="B529" s="14" t="s">
        <v>5057</v>
      </c>
      <c r="C529" s="14" t="s">
        <v>1467</v>
      </c>
      <c r="D529" s="14" t="s">
        <v>1467</v>
      </c>
      <c r="E529" s="14" t="s">
        <v>1467</v>
      </c>
      <c r="F529" s="14" t="s">
        <v>5184</v>
      </c>
      <c r="G529" s="14" t="s">
        <v>1501</v>
      </c>
      <c r="H529" s="14" t="s">
        <v>5059</v>
      </c>
      <c r="I529" s="14" t="s">
        <v>1501</v>
      </c>
      <c r="J529" s="14" t="s">
        <v>1501</v>
      </c>
      <c r="K529" s="14"/>
      <c r="L529" s="14"/>
      <c r="M529" s="14"/>
      <c r="N529" s="155"/>
      <c r="O529" s="14" t="s">
        <v>5060</v>
      </c>
    </row>
    <row r="530" spans="1:15" x14ac:dyDescent="0.25">
      <c r="A530" s="2" t="s">
        <v>5061</v>
      </c>
      <c r="B530" s="14" t="s">
        <v>5062</v>
      </c>
      <c r="C530" s="14" t="s">
        <v>1467</v>
      </c>
      <c r="D530" s="14" t="s">
        <v>1467</v>
      </c>
      <c r="E530" s="14" t="s">
        <v>1467</v>
      </c>
      <c r="F530" s="14" t="s">
        <v>5188</v>
      </c>
      <c r="G530" s="14" t="s">
        <v>1501</v>
      </c>
      <c r="H530" s="14" t="s">
        <v>1467</v>
      </c>
      <c r="I530" s="14" t="s">
        <v>1501</v>
      </c>
      <c r="J530" s="14" t="s">
        <v>1501</v>
      </c>
      <c r="K530" s="14"/>
      <c r="L530" s="14"/>
      <c r="M530" s="14"/>
      <c r="N530" s="155"/>
      <c r="O530" s="14" t="s">
        <v>5060</v>
      </c>
    </row>
    <row r="531" spans="1:15" x14ac:dyDescent="0.25">
      <c r="A531" s="2" t="s">
        <v>5064</v>
      </c>
      <c r="B531" s="14" t="s">
        <v>5065</v>
      </c>
      <c r="C531" s="14" t="s">
        <v>1467</v>
      </c>
      <c r="D531" s="14" t="s">
        <v>1467</v>
      </c>
      <c r="E531" s="14" t="s">
        <v>1467</v>
      </c>
      <c r="F531" s="14" t="s">
        <v>5193</v>
      </c>
      <c r="G531" s="14" t="s">
        <v>1501</v>
      </c>
      <c r="H531" s="14" t="s">
        <v>1467</v>
      </c>
      <c r="I531" s="14" t="s">
        <v>1467</v>
      </c>
      <c r="J531" s="14" t="s">
        <v>1501</v>
      </c>
      <c r="K531" s="14"/>
      <c r="L531" s="14"/>
      <c r="M531" s="14"/>
      <c r="N531" s="155"/>
      <c r="O531" s="14" t="s">
        <v>3487</v>
      </c>
    </row>
    <row r="532" spans="1:15" x14ac:dyDescent="0.25">
      <c r="A532" s="2" t="s">
        <v>5067</v>
      </c>
      <c r="B532" s="14" t="s">
        <v>5068</v>
      </c>
      <c r="C532" s="14" t="s">
        <v>1467</v>
      </c>
      <c r="D532" s="14" t="s">
        <v>1467</v>
      </c>
      <c r="E532" s="14" t="s">
        <v>1467</v>
      </c>
      <c r="F532" s="14" t="s">
        <v>5196</v>
      </c>
      <c r="G532" s="14" t="s">
        <v>1501</v>
      </c>
      <c r="H532" s="14" t="s">
        <v>1467</v>
      </c>
      <c r="I532" s="14" t="s">
        <v>1467</v>
      </c>
      <c r="J532" s="14" t="s">
        <v>1501</v>
      </c>
      <c r="K532" s="14"/>
      <c r="L532" s="14"/>
      <c r="M532" s="14"/>
      <c r="N532" s="155"/>
      <c r="O532" s="14" t="s">
        <v>3487</v>
      </c>
    </row>
    <row r="533" spans="1:15" x14ac:dyDescent="0.25">
      <c r="A533" s="2" t="s">
        <v>5072</v>
      </c>
      <c r="B533" s="14" t="s">
        <v>5073</v>
      </c>
      <c r="C533" s="14" t="s">
        <v>1467</v>
      </c>
      <c r="D533" s="14" t="s">
        <v>1467</v>
      </c>
      <c r="E533" s="14" t="s">
        <v>1467</v>
      </c>
      <c r="F533" s="14" t="s">
        <v>5200</v>
      </c>
      <c r="G533" s="14" t="s">
        <v>1444</v>
      </c>
      <c r="H533" s="14" t="s">
        <v>1467</v>
      </c>
      <c r="I533" s="14" t="s">
        <v>1467</v>
      </c>
      <c r="J533" s="14" t="s">
        <v>1445</v>
      </c>
      <c r="K533" s="14"/>
      <c r="L533" s="14"/>
      <c r="M533" s="14"/>
      <c r="N533" s="155"/>
      <c r="O533" s="14" t="s">
        <v>3490</v>
      </c>
    </row>
    <row r="534" spans="1:15" x14ac:dyDescent="0.25">
      <c r="A534" s="2" t="s">
        <v>5075</v>
      </c>
      <c r="B534" s="14" t="s">
        <v>5076</v>
      </c>
      <c r="C534" s="14" t="s">
        <v>1467</v>
      </c>
      <c r="D534" s="14" t="s">
        <v>1467</v>
      </c>
      <c r="E534" s="14" t="s">
        <v>1467</v>
      </c>
      <c r="F534" s="14" t="s">
        <v>5205</v>
      </c>
      <c r="G534" s="14" t="s">
        <v>1501</v>
      </c>
      <c r="H534" s="14" t="s">
        <v>1467</v>
      </c>
      <c r="I534" s="14" t="s">
        <v>1467</v>
      </c>
      <c r="J534" s="14" t="s">
        <v>1501</v>
      </c>
      <c r="K534" s="14"/>
      <c r="L534" s="14"/>
      <c r="M534" s="14"/>
      <c r="N534" s="155"/>
      <c r="O534" s="14" t="s">
        <v>3487</v>
      </c>
    </row>
    <row r="535" spans="1:15" x14ac:dyDescent="0.25">
      <c r="A535" s="2" t="s">
        <v>5119</v>
      </c>
      <c r="B535" s="14" t="s">
        <v>5120</v>
      </c>
      <c r="C535" s="14" t="s">
        <v>1467</v>
      </c>
      <c r="D535" s="14" t="s">
        <v>1467</v>
      </c>
      <c r="E535" s="14" t="s">
        <v>1467</v>
      </c>
      <c r="F535" s="14" t="s">
        <v>5209</v>
      </c>
      <c r="G535" s="14" t="s">
        <v>1501</v>
      </c>
      <c r="H535" s="14" t="s">
        <v>1467</v>
      </c>
      <c r="I535" s="14" t="s">
        <v>1501</v>
      </c>
      <c r="J535" s="14" t="s">
        <v>1501</v>
      </c>
      <c r="K535" s="14"/>
      <c r="L535" s="14"/>
      <c r="M535" s="14"/>
      <c r="N535" s="155"/>
      <c r="O535" s="14" t="s">
        <v>3487</v>
      </c>
    </row>
    <row r="536" spans="1:15" x14ac:dyDescent="0.25">
      <c r="A536" s="2" t="s">
        <v>5122</v>
      </c>
      <c r="B536" s="14" t="s">
        <v>5123</v>
      </c>
      <c r="C536" s="14" t="s">
        <v>1467</v>
      </c>
      <c r="D536" s="14" t="s">
        <v>1467</v>
      </c>
      <c r="E536" s="14" t="s">
        <v>1467</v>
      </c>
      <c r="F536" s="14" t="s">
        <v>5212</v>
      </c>
      <c r="G536" s="14" t="s">
        <v>1501</v>
      </c>
      <c r="H536" s="14" t="s">
        <v>5124</v>
      </c>
      <c r="I536" s="14" t="s">
        <v>1467</v>
      </c>
      <c r="J536" s="14" t="s">
        <v>1501</v>
      </c>
      <c r="K536" s="14"/>
      <c r="L536" s="14"/>
      <c r="M536" s="14"/>
      <c r="N536" s="155"/>
      <c r="O536" s="14" t="s">
        <v>3487</v>
      </c>
    </row>
    <row r="537" spans="1:15" x14ac:dyDescent="0.25">
      <c r="A537" s="2" t="s">
        <v>5125</v>
      </c>
      <c r="B537" s="14" t="s">
        <v>5126</v>
      </c>
      <c r="C537" s="14" t="s">
        <v>1467</v>
      </c>
      <c r="D537" s="14" t="s">
        <v>1467</v>
      </c>
      <c r="E537" s="14" t="s">
        <v>1467</v>
      </c>
      <c r="F537" s="14" t="s">
        <v>5230</v>
      </c>
      <c r="G537" s="14" t="s">
        <v>1501</v>
      </c>
      <c r="H537" s="14" t="s">
        <v>1467</v>
      </c>
      <c r="I537" s="14" t="s">
        <v>1467</v>
      </c>
      <c r="J537" s="14" t="s">
        <v>1501</v>
      </c>
      <c r="K537" s="14"/>
      <c r="L537" s="14"/>
      <c r="M537" s="14"/>
      <c r="N537" s="155"/>
      <c r="O537" s="14" t="s">
        <v>5127</v>
      </c>
    </row>
    <row r="538" spans="1:15" x14ac:dyDescent="0.25">
      <c r="A538" s="2" t="s">
        <v>5128</v>
      </c>
      <c r="B538" s="14" t="s">
        <v>5129</v>
      </c>
      <c r="C538" s="14" t="s">
        <v>1467</v>
      </c>
      <c r="D538" s="14" t="s">
        <v>1467</v>
      </c>
      <c r="E538" s="14" t="s">
        <v>1467</v>
      </c>
      <c r="F538" s="14" t="s">
        <v>5234</v>
      </c>
      <c r="G538" s="14" t="s">
        <v>1501</v>
      </c>
      <c r="H538" s="14" t="s">
        <v>1467</v>
      </c>
      <c r="I538" s="14" t="s">
        <v>1501</v>
      </c>
      <c r="J538" s="14" t="s">
        <v>1501</v>
      </c>
      <c r="K538" s="14"/>
      <c r="L538" s="14"/>
      <c r="M538" s="14"/>
      <c r="N538" s="155"/>
      <c r="O538" s="14" t="s">
        <v>3487</v>
      </c>
    </row>
    <row r="539" spans="1:15" x14ac:dyDescent="0.25">
      <c r="A539" s="2" t="s">
        <v>5151</v>
      </c>
      <c r="B539" s="14" t="s">
        <v>5152</v>
      </c>
      <c r="C539" s="14" t="s">
        <v>1467</v>
      </c>
      <c r="D539" s="14" t="s">
        <v>1467</v>
      </c>
      <c r="E539" s="14" t="s">
        <v>1467</v>
      </c>
      <c r="F539" s="14" t="s">
        <v>5237</v>
      </c>
      <c r="G539" s="14" t="s">
        <v>1501</v>
      </c>
      <c r="H539" s="14" t="s">
        <v>1467</v>
      </c>
      <c r="I539" s="14" t="s">
        <v>1467</v>
      </c>
      <c r="J539" s="14" t="s">
        <v>1501</v>
      </c>
      <c r="K539" s="14"/>
      <c r="L539" s="14"/>
      <c r="M539" s="14"/>
      <c r="N539" s="155"/>
      <c r="O539" s="14" t="s">
        <v>3489</v>
      </c>
    </row>
    <row r="540" spans="1:15" x14ac:dyDescent="0.25">
      <c r="A540" s="2" t="s">
        <v>5154</v>
      </c>
      <c r="B540" s="14" t="s">
        <v>5155</v>
      </c>
      <c r="C540" s="14" t="s">
        <v>1467</v>
      </c>
      <c r="D540" s="14" t="s">
        <v>1467</v>
      </c>
      <c r="E540" s="14" t="s">
        <v>1467</v>
      </c>
      <c r="F540" s="14" t="s">
        <v>5247</v>
      </c>
      <c r="G540" s="14" t="s">
        <v>1501</v>
      </c>
      <c r="H540" s="14" t="s">
        <v>1467</v>
      </c>
      <c r="I540" s="14" t="s">
        <v>1501</v>
      </c>
      <c r="J540" s="14" t="s">
        <v>1501</v>
      </c>
      <c r="K540" s="14"/>
      <c r="L540" s="14"/>
      <c r="M540" s="14"/>
      <c r="N540" s="155"/>
      <c r="O540" s="14" t="s">
        <v>3487</v>
      </c>
    </row>
    <row r="541" spans="1:15" x14ac:dyDescent="0.25">
      <c r="A541" s="2" t="s">
        <v>5161</v>
      </c>
      <c r="B541" s="14" t="s">
        <v>5162</v>
      </c>
      <c r="C541" s="14" t="s">
        <v>1467</v>
      </c>
      <c r="D541" s="14" t="s">
        <v>1467</v>
      </c>
      <c r="E541" s="14" t="s">
        <v>1467</v>
      </c>
      <c r="F541" s="14" t="s">
        <v>5252</v>
      </c>
      <c r="G541" s="14" t="s">
        <v>1501</v>
      </c>
      <c r="H541" s="14" t="s">
        <v>1467</v>
      </c>
      <c r="I541" s="14" t="s">
        <v>1467</v>
      </c>
      <c r="J541" s="14" t="s">
        <v>1501</v>
      </c>
      <c r="K541" s="14"/>
      <c r="L541" s="14"/>
      <c r="M541" s="14"/>
      <c r="N541" s="155"/>
      <c r="O541" s="14" t="s">
        <v>3487</v>
      </c>
    </row>
    <row r="542" spans="1:15" x14ac:dyDescent="0.25">
      <c r="A542" s="2" t="s">
        <v>5164</v>
      </c>
      <c r="B542" s="14" t="s">
        <v>5165</v>
      </c>
      <c r="C542" s="14" t="s">
        <v>1467</v>
      </c>
      <c r="D542" s="14" t="s">
        <v>1467</v>
      </c>
      <c r="E542" s="14" t="s">
        <v>1467</v>
      </c>
      <c r="F542" s="14" t="s">
        <v>5255</v>
      </c>
      <c r="G542" s="14" t="s">
        <v>1501</v>
      </c>
      <c r="H542" s="14" t="s">
        <v>1467</v>
      </c>
      <c r="I542" s="14" t="s">
        <v>1501</v>
      </c>
      <c r="J542" s="14" t="s">
        <v>1501</v>
      </c>
      <c r="K542" s="14"/>
      <c r="L542" s="14"/>
      <c r="M542" s="14"/>
      <c r="N542" s="155"/>
      <c r="O542" s="14" t="s">
        <v>3489</v>
      </c>
    </row>
    <row r="543" spans="1:15" x14ac:dyDescent="0.25">
      <c r="A543" s="2" t="s">
        <v>5182</v>
      </c>
      <c r="B543" s="14" t="s">
        <v>5183</v>
      </c>
      <c r="C543" s="14" t="s">
        <v>1467</v>
      </c>
      <c r="D543" s="14" t="s">
        <v>1467</v>
      </c>
      <c r="E543" s="14" t="s">
        <v>1467</v>
      </c>
      <c r="F543" s="14" t="s">
        <v>5260</v>
      </c>
      <c r="G543" s="14" t="s">
        <v>1501</v>
      </c>
      <c r="H543" s="14" t="s">
        <v>1467</v>
      </c>
      <c r="I543" s="14" t="s">
        <v>1467</v>
      </c>
      <c r="J543" s="14" t="s">
        <v>1501</v>
      </c>
      <c r="K543" s="14"/>
      <c r="L543" s="14"/>
      <c r="M543" s="14"/>
      <c r="N543" s="155"/>
      <c r="O543" s="14" t="s">
        <v>3487</v>
      </c>
    </row>
    <row r="544" spans="1:15" x14ac:dyDescent="0.25">
      <c r="A544" s="2" t="s">
        <v>5185</v>
      </c>
      <c r="B544" s="14" t="s">
        <v>5186</v>
      </c>
      <c r="C544" s="14" t="s">
        <v>5187</v>
      </c>
      <c r="D544" s="14" t="s">
        <v>1467</v>
      </c>
      <c r="E544" s="14" t="s">
        <v>1467</v>
      </c>
      <c r="F544" s="14" t="s">
        <v>5263</v>
      </c>
      <c r="G544" s="14" t="s">
        <v>5189</v>
      </c>
      <c r="H544" s="14" t="s">
        <v>5190</v>
      </c>
      <c r="I544" s="14" t="s">
        <v>1501</v>
      </c>
      <c r="J544" s="14" t="s">
        <v>1501</v>
      </c>
      <c r="K544" s="14"/>
      <c r="L544" s="14"/>
      <c r="M544" s="14"/>
      <c r="N544" s="155">
        <v>30</v>
      </c>
      <c r="O544" s="14" t="s">
        <v>3490</v>
      </c>
    </row>
    <row r="545" spans="1:15" x14ac:dyDescent="0.25">
      <c r="A545" s="2" t="s">
        <v>5191</v>
      </c>
      <c r="B545" s="14" t="s">
        <v>5192</v>
      </c>
      <c r="C545" s="14" t="s">
        <v>1467</v>
      </c>
      <c r="D545" s="14" t="s">
        <v>1467</v>
      </c>
      <c r="E545" s="14" t="s">
        <v>1467</v>
      </c>
      <c r="F545" s="14" t="s">
        <v>5267</v>
      </c>
      <c r="G545" s="14" t="s">
        <v>1501</v>
      </c>
      <c r="H545" s="14" t="s">
        <v>1467</v>
      </c>
      <c r="I545" s="14" t="s">
        <v>1501</v>
      </c>
      <c r="J545" s="14" t="s">
        <v>1501</v>
      </c>
      <c r="K545" s="14"/>
      <c r="L545" s="14"/>
      <c r="M545" s="14"/>
      <c r="N545" s="155"/>
      <c r="O545" s="14" t="s">
        <v>3490</v>
      </c>
    </row>
    <row r="546" spans="1:15" x14ac:dyDescent="0.25">
      <c r="A546" s="2" t="s">
        <v>5194</v>
      </c>
      <c r="B546" s="14" t="s">
        <v>5195</v>
      </c>
      <c r="C546" s="14" t="s">
        <v>1467</v>
      </c>
      <c r="D546" s="14" t="s">
        <v>1467</v>
      </c>
      <c r="E546" s="14" t="s">
        <v>1467</v>
      </c>
      <c r="F546" s="14" t="s">
        <v>1849</v>
      </c>
      <c r="G546" s="14" t="s">
        <v>1501</v>
      </c>
      <c r="H546" s="14" t="s">
        <v>1467</v>
      </c>
      <c r="I546" s="14" t="s">
        <v>1501</v>
      </c>
      <c r="J546" s="14" t="s">
        <v>1501</v>
      </c>
      <c r="K546" s="14"/>
      <c r="L546" s="14"/>
      <c r="M546" s="14"/>
      <c r="N546" s="155"/>
      <c r="O546" s="14" t="s">
        <v>3487</v>
      </c>
    </row>
    <row r="547" spans="1:15" x14ac:dyDescent="0.25">
      <c r="A547" s="2" t="s">
        <v>5197</v>
      </c>
      <c r="B547" s="14" t="s">
        <v>5198</v>
      </c>
      <c r="C547" s="14" t="s">
        <v>5199</v>
      </c>
      <c r="D547" s="14" t="s">
        <v>1467</v>
      </c>
      <c r="E547" s="14" t="s">
        <v>1467</v>
      </c>
      <c r="F547" s="14" t="s">
        <v>5272</v>
      </c>
      <c r="G547" s="14" t="s">
        <v>2893</v>
      </c>
      <c r="H547" s="14" t="s">
        <v>1467</v>
      </c>
      <c r="I547" s="14" t="s">
        <v>2893</v>
      </c>
      <c r="J547" s="14" t="s">
        <v>1445</v>
      </c>
      <c r="K547" s="14"/>
      <c r="L547" s="14"/>
      <c r="M547" s="14"/>
      <c r="N547" s="155"/>
      <c r="O547" s="14" t="s">
        <v>3489</v>
      </c>
    </row>
    <row r="548" spans="1:15" x14ac:dyDescent="0.25">
      <c r="A548" s="2" t="s">
        <v>5203</v>
      </c>
      <c r="B548" s="14" t="s">
        <v>5204</v>
      </c>
      <c r="C548" s="14" t="s">
        <v>1467</v>
      </c>
      <c r="D548" s="14" t="s">
        <v>1467</v>
      </c>
      <c r="E548" s="14" t="s">
        <v>1467</v>
      </c>
      <c r="F548" s="14" t="s">
        <v>5275</v>
      </c>
      <c r="G548" s="14" t="s">
        <v>1501</v>
      </c>
      <c r="H548" s="14" t="s">
        <v>1467</v>
      </c>
      <c r="I548" s="14" t="s">
        <v>1467</v>
      </c>
      <c r="J548" s="14" t="s">
        <v>1501</v>
      </c>
      <c r="K548" s="14"/>
      <c r="L548" s="14"/>
      <c r="M548" s="14"/>
      <c r="N548" s="155"/>
      <c r="O548" s="14" t="s">
        <v>3487</v>
      </c>
    </row>
    <row r="549" spans="1:15" x14ac:dyDescent="0.25">
      <c r="A549" s="2" t="s">
        <v>5207</v>
      </c>
      <c r="B549" s="14" t="s">
        <v>5208</v>
      </c>
      <c r="C549" s="14" t="s">
        <v>1467</v>
      </c>
      <c r="D549" s="14" t="s">
        <v>1467</v>
      </c>
      <c r="E549" s="14" t="s">
        <v>1467</v>
      </c>
      <c r="F549" s="14" t="s">
        <v>5279</v>
      </c>
      <c r="G549" s="14" t="s">
        <v>1501</v>
      </c>
      <c r="H549" s="14" t="s">
        <v>1467</v>
      </c>
      <c r="I549" s="14" t="s">
        <v>1467</v>
      </c>
      <c r="J549" s="14" t="s">
        <v>1501</v>
      </c>
      <c r="K549" s="14"/>
      <c r="L549" s="14"/>
      <c r="M549" s="14"/>
      <c r="N549" s="155"/>
      <c r="O549" s="14" t="s">
        <v>3487</v>
      </c>
    </row>
    <row r="550" spans="1:15" x14ac:dyDescent="0.25">
      <c r="A550" s="2" t="s">
        <v>5210</v>
      </c>
      <c r="B550" s="14" t="s">
        <v>5211</v>
      </c>
      <c r="C550" s="14" t="s">
        <v>1467</v>
      </c>
      <c r="D550" s="14" t="s">
        <v>1467</v>
      </c>
      <c r="E550" s="14" t="s">
        <v>1467</v>
      </c>
      <c r="F550" s="14" t="s">
        <v>5284</v>
      </c>
      <c r="G550" s="14" t="s">
        <v>1501</v>
      </c>
      <c r="H550" s="14" t="s">
        <v>1467</v>
      </c>
      <c r="I550" s="14" t="s">
        <v>1467</v>
      </c>
      <c r="J550" s="14" t="s">
        <v>1501</v>
      </c>
      <c r="K550" s="14"/>
      <c r="L550" s="14"/>
      <c r="M550" s="14"/>
      <c r="N550" s="155"/>
      <c r="O550" s="14" t="s">
        <v>3487</v>
      </c>
    </row>
    <row r="551" spans="1:15" x14ac:dyDescent="0.25">
      <c r="A551" s="2" t="s">
        <v>5228</v>
      </c>
      <c r="B551" s="14" t="s">
        <v>5229</v>
      </c>
      <c r="C551" s="14" t="s">
        <v>1467</v>
      </c>
      <c r="D551" s="14" t="s">
        <v>1467</v>
      </c>
      <c r="E551" s="14" t="s">
        <v>1467</v>
      </c>
      <c r="F551" s="14" t="s">
        <v>5287</v>
      </c>
      <c r="G551" s="14" t="s">
        <v>1501</v>
      </c>
      <c r="H551" s="14" t="s">
        <v>1467</v>
      </c>
      <c r="I551" s="14" t="s">
        <v>1501</v>
      </c>
      <c r="J551" s="14" t="s">
        <v>1501</v>
      </c>
      <c r="K551" s="14"/>
      <c r="L551" s="14"/>
      <c r="M551" s="14"/>
      <c r="N551" s="155"/>
      <c r="O551" s="14" t="s">
        <v>3487</v>
      </c>
    </row>
    <row r="552" spans="1:15" x14ac:dyDescent="0.25">
      <c r="A552" s="2" t="s">
        <v>5232</v>
      </c>
      <c r="B552" s="14" t="s">
        <v>5233</v>
      </c>
      <c r="C552" s="14" t="s">
        <v>1467</v>
      </c>
      <c r="D552" s="14" t="s">
        <v>1467</v>
      </c>
      <c r="E552" s="14" t="s">
        <v>1467</v>
      </c>
      <c r="F552" s="14" t="s">
        <v>5290</v>
      </c>
      <c r="G552" s="14" t="s">
        <v>1501</v>
      </c>
      <c r="H552" s="14" t="s">
        <v>1467</v>
      </c>
      <c r="I552" s="14" t="s">
        <v>1467</v>
      </c>
      <c r="J552" s="14" t="s">
        <v>1501</v>
      </c>
      <c r="K552" s="14"/>
      <c r="L552" s="14"/>
      <c r="M552" s="14"/>
      <c r="N552" s="155"/>
      <c r="O552" s="14" t="s">
        <v>3487</v>
      </c>
    </row>
    <row r="553" spans="1:15" x14ac:dyDescent="0.25">
      <c r="A553" s="2" t="s">
        <v>5235</v>
      </c>
      <c r="B553" s="14" t="s">
        <v>5236</v>
      </c>
      <c r="C553" s="14" t="s">
        <v>1467</v>
      </c>
      <c r="D553" s="14" t="s">
        <v>1467</v>
      </c>
      <c r="E553" s="14" t="s">
        <v>1467</v>
      </c>
      <c r="F553" s="14" t="s">
        <v>5294</v>
      </c>
      <c r="G553" s="14" t="s">
        <v>1501</v>
      </c>
      <c r="H553" s="14" t="s">
        <v>1467</v>
      </c>
      <c r="I553" s="14" t="s">
        <v>1467</v>
      </c>
      <c r="J553" s="14" t="s">
        <v>1501</v>
      </c>
      <c r="K553" s="14"/>
      <c r="L553" s="14"/>
      <c r="M553" s="14"/>
      <c r="N553" s="155"/>
      <c r="O553" s="14" t="s">
        <v>3489</v>
      </c>
    </row>
    <row r="554" spans="1:15" x14ac:dyDescent="0.25">
      <c r="A554" s="2" t="s">
        <v>5245</v>
      </c>
      <c r="B554" s="14" t="s">
        <v>5246</v>
      </c>
      <c r="C554" s="14" t="s">
        <v>1467</v>
      </c>
      <c r="D554" s="14" t="s">
        <v>1467</v>
      </c>
      <c r="E554" s="14" t="s">
        <v>1467</v>
      </c>
      <c r="F554" s="14" t="s">
        <v>5290</v>
      </c>
      <c r="G554" s="14" t="s">
        <v>1501</v>
      </c>
      <c r="H554" s="14" t="s">
        <v>1467</v>
      </c>
      <c r="I554" s="14" t="s">
        <v>1467</v>
      </c>
      <c r="J554" s="14" t="s">
        <v>1501</v>
      </c>
      <c r="K554" s="14"/>
      <c r="L554" s="14"/>
      <c r="M554" s="14"/>
      <c r="N554" s="155"/>
      <c r="O554" s="14" t="s">
        <v>3487</v>
      </c>
    </row>
    <row r="555" spans="1:15" x14ac:dyDescent="0.25">
      <c r="A555" s="2" t="s">
        <v>5250</v>
      </c>
      <c r="B555" s="14" t="s">
        <v>5251</v>
      </c>
      <c r="C555" s="14" t="s">
        <v>1467</v>
      </c>
      <c r="D555" s="14" t="s">
        <v>1467</v>
      </c>
      <c r="E555" s="14" t="s">
        <v>1467</v>
      </c>
      <c r="F555" s="14" t="s">
        <v>5301</v>
      </c>
      <c r="G555" s="14" t="s">
        <v>1501</v>
      </c>
      <c r="H555" s="14" t="s">
        <v>1467</v>
      </c>
      <c r="I555" s="14" t="s">
        <v>1467</v>
      </c>
      <c r="J555" s="14" t="s">
        <v>1501</v>
      </c>
      <c r="K555" s="14"/>
      <c r="L555" s="14"/>
      <c r="M555" s="14"/>
      <c r="N555" s="155"/>
      <c r="O555" s="14" t="s">
        <v>3487</v>
      </c>
    </row>
    <row r="556" spans="1:15" x14ac:dyDescent="0.25">
      <c r="A556" s="2" t="s">
        <v>5253</v>
      </c>
      <c r="B556" s="14" t="s">
        <v>5254</v>
      </c>
      <c r="C556" s="14" t="s">
        <v>1467</v>
      </c>
      <c r="D556" s="14" t="s">
        <v>1467</v>
      </c>
      <c r="E556" s="14" t="s">
        <v>1467</v>
      </c>
      <c r="F556" s="14" t="s">
        <v>5290</v>
      </c>
      <c r="G556" s="14" t="s">
        <v>1501</v>
      </c>
      <c r="H556" s="14" t="s">
        <v>1467</v>
      </c>
      <c r="I556" s="14" t="s">
        <v>1467</v>
      </c>
      <c r="J556" s="14" t="s">
        <v>1501</v>
      </c>
      <c r="K556" s="14"/>
      <c r="L556" s="14"/>
      <c r="M556" s="14"/>
      <c r="N556" s="155"/>
      <c r="O556" s="14" t="s">
        <v>3487</v>
      </c>
    </row>
    <row r="557" spans="1:15" x14ac:dyDescent="0.25">
      <c r="A557" s="2" t="s">
        <v>5258</v>
      </c>
      <c r="B557" s="14" t="s">
        <v>5259</v>
      </c>
      <c r="C557" s="14" t="s">
        <v>1467</v>
      </c>
      <c r="D557" s="14" t="s">
        <v>1467</v>
      </c>
      <c r="E557" s="14" t="s">
        <v>1467</v>
      </c>
      <c r="F557" s="14" t="s">
        <v>5323</v>
      </c>
      <c r="G557" s="14" t="s">
        <v>1501</v>
      </c>
      <c r="H557" s="14" t="s">
        <v>1467</v>
      </c>
      <c r="I557" s="14" t="s">
        <v>1467</v>
      </c>
      <c r="J557" s="14" t="s">
        <v>1501</v>
      </c>
      <c r="K557" s="14"/>
      <c r="L557" s="14"/>
      <c r="M557" s="14"/>
      <c r="N557" s="155"/>
      <c r="O557" s="14" t="s">
        <v>3487</v>
      </c>
    </row>
    <row r="558" spans="1:15" x14ac:dyDescent="0.25">
      <c r="A558" s="2" t="s">
        <v>5261</v>
      </c>
      <c r="B558" s="14" t="s">
        <v>5262</v>
      </c>
      <c r="C558" s="14" t="s">
        <v>1467</v>
      </c>
      <c r="D558" s="14" t="s">
        <v>1467</v>
      </c>
      <c r="E558" s="14" t="s">
        <v>1467</v>
      </c>
      <c r="F558" s="14" t="s">
        <v>2386</v>
      </c>
      <c r="G558" s="14" t="s">
        <v>1501</v>
      </c>
      <c r="H558" s="14" t="s">
        <v>1467</v>
      </c>
      <c r="I558" s="14" t="s">
        <v>1501</v>
      </c>
      <c r="J558" s="14" t="s">
        <v>1501</v>
      </c>
      <c r="K558" s="14"/>
      <c r="L558" s="14"/>
      <c r="M558" s="14"/>
      <c r="N558" s="155"/>
      <c r="O558" s="14" t="s">
        <v>3487</v>
      </c>
    </row>
    <row r="559" spans="1:15" x14ac:dyDescent="0.25">
      <c r="A559" s="2" t="s">
        <v>5265</v>
      </c>
      <c r="B559" s="14" t="s">
        <v>5266</v>
      </c>
      <c r="C559" s="14" t="s">
        <v>1467</v>
      </c>
      <c r="D559" s="14" t="s">
        <v>1467</v>
      </c>
      <c r="E559" s="14" t="s">
        <v>1467</v>
      </c>
      <c r="F559" s="14" t="s">
        <v>5331</v>
      </c>
      <c r="G559" s="14" t="s">
        <v>1501</v>
      </c>
      <c r="H559" s="14" t="s">
        <v>1467</v>
      </c>
      <c r="I559" s="14" t="s">
        <v>1467</v>
      </c>
      <c r="J559" s="14" t="s">
        <v>1501</v>
      </c>
      <c r="K559" s="14"/>
      <c r="L559" s="14"/>
      <c r="M559" s="14"/>
      <c r="N559" s="155"/>
      <c r="O559" s="14" t="s">
        <v>3487</v>
      </c>
    </row>
    <row r="560" spans="1:15" x14ac:dyDescent="0.25">
      <c r="A560" s="2" t="s">
        <v>5268</v>
      </c>
      <c r="B560" s="14" t="s">
        <v>5269</v>
      </c>
      <c r="C560" s="14" t="s">
        <v>1467</v>
      </c>
      <c r="D560" s="14" t="s">
        <v>1467</v>
      </c>
      <c r="E560" s="14" t="s">
        <v>1467</v>
      </c>
      <c r="F560" s="14" t="s">
        <v>5334</v>
      </c>
      <c r="G560" s="14" t="s">
        <v>1501</v>
      </c>
      <c r="H560" s="14" t="s">
        <v>1467</v>
      </c>
      <c r="I560" s="14" t="s">
        <v>1467</v>
      </c>
      <c r="J560" s="14" t="s">
        <v>1501</v>
      </c>
      <c r="K560" s="14"/>
      <c r="L560" s="14"/>
      <c r="M560" s="14"/>
      <c r="N560" s="155"/>
      <c r="O560" s="14" t="s">
        <v>3489</v>
      </c>
    </row>
    <row r="561" spans="1:15" x14ac:dyDescent="0.25">
      <c r="A561" s="2" t="s">
        <v>5270</v>
      </c>
      <c r="B561" s="14" t="s">
        <v>5271</v>
      </c>
      <c r="C561" s="14" t="s">
        <v>1467</v>
      </c>
      <c r="D561" s="14" t="s">
        <v>1467</v>
      </c>
      <c r="E561" s="14" t="s">
        <v>1467</v>
      </c>
      <c r="F561" s="14" t="s">
        <v>5337</v>
      </c>
      <c r="G561" s="14" t="s">
        <v>1501</v>
      </c>
      <c r="H561" s="14" t="s">
        <v>1467</v>
      </c>
      <c r="I561" s="14" t="s">
        <v>1467</v>
      </c>
      <c r="J561" s="14" t="s">
        <v>1501</v>
      </c>
      <c r="K561" s="14"/>
      <c r="L561" s="14"/>
      <c r="M561" s="14"/>
      <c r="N561" s="155"/>
      <c r="O561" s="14" t="s">
        <v>3487</v>
      </c>
    </row>
    <row r="562" spans="1:15" x14ac:dyDescent="0.25">
      <c r="A562" s="2" t="s">
        <v>5273</v>
      </c>
      <c r="B562" s="14" t="s">
        <v>5274</v>
      </c>
      <c r="C562" s="14" t="s">
        <v>1467</v>
      </c>
      <c r="D562" s="14" t="s">
        <v>1467</v>
      </c>
      <c r="E562" s="14" t="s">
        <v>1467</v>
      </c>
      <c r="F562" s="14" t="s">
        <v>5344</v>
      </c>
      <c r="G562" s="14" t="s">
        <v>1501</v>
      </c>
      <c r="H562" s="14" t="s">
        <v>1467</v>
      </c>
      <c r="I562" s="14" t="s">
        <v>1467</v>
      </c>
      <c r="J562" s="14" t="s">
        <v>1501</v>
      </c>
      <c r="K562" s="14"/>
      <c r="L562" s="14"/>
      <c r="M562" s="14"/>
      <c r="N562" s="155"/>
      <c r="O562" s="14" t="s">
        <v>3487</v>
      </c>
    </row>
    <row r="563" spans="1:15" x14ac:dyDescent="0.25">
      <c r="A563" s="2" t="s">
        <v>5277</v>
      </c>
      <c r="B563" s="14" t="s">
        <v>5278</v>
      </c>
      <c r="C563" s="14" t="s">
        <v>1467</v>
      </c>
      <c r="D563" s="14" t="s">
        <v>1467</v>
      </c>
      <c r="E563" s="14" t="s">
        <v>1467</v>
      </c>
      <c r="F563" s="14" t="s">
        <v>5347</v>
      </c>
      <c r="G563" s="14" t="s">
        <v>1501</v>
      </c>
      <c r="H563" s="14" t="s">
        <v>1467</v>
      </c>
      <c r="I563" s="14" t="s">
        <v>1467</v>
      </c>
      <c r="J563" s="14" t="s">
        <v>1501</v>
      </c>
      <c r="K563" s="14"/>
      <c r="L563" s="14"/>
      <c r="M563" s="14"/>
      <c r="N563" s="155"/>
      <c r="O563" s="14" t="s">
        <v>3487</v>
      </c>
    </row>
    <row r="564" spans="1:15" x14ac:dyDescent="0.25">
      <c r="A564" s="2" t="s">
        <v>5282</v>
      </c>
      <c r="B564" s="14" t="s">
        <v>5283</v>
      </c>
      <c r="C564" s="14" t="s">
        <v>1467</v>
      </c>
      <c r="D564" s="14" t="s">
        <v>1467</v>
      </c>
      <c r="E564" s="14" t="s">
        <v>1467</v>
      </c>
      <c r="F564" s="14" t="s">
        <v>5350</v>
      </c>
      <c r="G564" s="14" t="s">
        <v>1501</v>
      </c>
      <c r="H564" s="14" t="s">
        <v>1467</v>
      </c>
      <c r="I564" s="14" t="s">
        <v>1467</v>
      </c>
      <c r="J564" s="14" t="s">
        <v>1501</v>
      </c>
      <c r="K564" s="14"/>
      <c r="L564" s="14"/>
      <c r="M564" s="14"/>
      <c r="N564" s="155"/>
      <c r="O564" s="14" t="s">
        <v>3487</v>
      </c>
    </row>
    <row r="565" spans="1:15" x14ac:dyDescent="0.25">
      <c r="A565" s="2" t="s">
        <v>5285</v>
      </c>
      <c r="B565" s="14" t="s">
        <v>5286</v>
      </c>
      <c r="C565" s="14" t="s">
        <v>1467</v>
      </c>
      <c r="D565" s="14" t="s">
        <v>1467</v>
      </c>
      <c r="E565" s="14" t="s">
        <v>1467</v>
      </c>
      <c r="F565" s="14" t="s">
        <v>5361</v>
      </c>
      <c r="G565" s="14" t="s">
        <v>1501</v>
      </c>
      <c r="H565" s="14" t="s">
        <v>1467</v>
      </c>
      <c r="I565" s="14" t="s">
        <v>1467</v>
      </c>
      <c r="J565" s="14" t="s">
        <v>1501</v>
      </c>
      <c r="K565" s="14"/>
      <c r="L565" s="14"/>
      <c r="M565" s="14"/>
      <c r="N565" s="155"/>
      <c r="O565" s="14" t="s">
        <v>3487</v>
      </c>
    </row>
    <row r="566" spans="1:15" x14ac:dyDescent="0.25">
      <c r="A566" s="2" t="s">
        <v>5288</v>
      </c>
      <c r="B566" s="14" t="s">
        <v>5289</v>
      </c>
      <c r="C566" s="14" t="s">
        <v>1467</v>
      </c>
      <c r="D566" s="14" t="s">
        <v>1467</v>
      </c>
      <c r="E566" s="14" t="s">
        <v>1467</v>
      </c>
      <c r="F566" s="14" t="s">
        <v>5367</v>
      </c>
      <c r="G566" s="14" t="s">
        <v>1501</v>
      </c>
      <c r="H566" s="14" t="s">
        <v>1467</v>
      </c>
      <c r="I566" s="14" t="s">
        <v>1467</v>
      </c>
      <c r="J566" s="14" t="s">
        <v>1501</v>
      </c>
      <c r="K566" s="14"/>
      <c r="L566" s="14"/>
      <c r="M566" s="14"/>
      <c r="N566" s="155"/>
      <c r="O566" s="14" t="s">
        <v>5291</v>
      </c>
    </row>
    <row r="567" spans="1:15" x14ac:dyDescent="0.25">
      <c r="A567" s="2" t="s">
        <v>5292</v>
      </c>
      <c r="B567" s="14" t="s">
        <v>5293</v>
      </c>
      <c r="C567" s="14" t="s">
        <v>1467</v>
      </c>
      <c r="D567" s="14" t="s">
        <v>1467</v>
      </c>
      <c r="E567" s="14" t="s">
        <v>1467</v>
      </c>
      <c r="F567" s="14" t="s">
        <v>5373</v>
      </c>
      <c r="G567" s="14" t="s">
        <v>1501</v>
      </c>
      <c r="H567" s="14" t="s">
        <v>1467</v>
      </c>
      <c r="I567" s="14" t="s">
        <v>1467</v>
      </c>
      <c r="J567" s="14" t="s">
        <v>1501</v>
      </c>
      <c r="K567" s="14"/>
      <c r="L567" s="14"/>
      <c r="M567" s="14"/>
      <c r="N567" s="155"/>
      <c r="O567" s="14" t="s">
        <v>5295</v>
      </c>
    </row>
    <row r="568" spans="1:15" x14ac:dyDescent="0.25">
      <c r="A568" s="2" t="s">
        <v>5296</v>
      </c>
      <c r="B568" s="14" t="s">
        <v>5297</v>
      </c>
      <c r="C568" s="14" t="s">
        <v>1467</v>
      </c>
      <c r="D568" s="14" t="s">
        <v>1467</v>
      </c>
      <c r="E568" s="14" t="s">
        <v>1467</v>
      </c>
      <c r="F568" s="14" t="s">
        <v>5376</v>
      </c>
      <c r="G568" s="14" t="s">
        <v>1501</v>
      </c>
      <c r="H568" s="14" t="s">
        <v>1467</v>
      </c>
      <c r="I568" s="14" t="s">
        <v>1467</v>
      </c>
      <c r="J568" s="14" t="s">
        <v>1501</v>
      </c>
      <c r="K568" s="14"/>
      <c r="L568" s="14"/>
      <c r="M568" s="14"/>
      <c r="N568" s="155"/>
      <c r="O568" s="14" t="s">
        <v>5298</v>
      </c>
    </row>
    <row r="569" spans="1:15" x14ac:dyDescent="0.25">
      <c r="A569" s="2" t="s">
        <v>5299</v>
      </c>
      <c r="B569" s="14" t="s">
        <v>5300</v>
      </c>
      <c r="C569" s="14" t="s">
        <v>1467</v>
      </c>
      <c r="D569" s="14" t="s">
        <v>1467</v>
      </c>
      <c r="E569" s="14" t="s">
        <v>1467</v>
      </c>
      <c r="F569" s="14" t="s">
        <v>5379</v>
      </c>
      <c r="G569" s="14" t="s">
        <v>1501</v>
      </c>
      <c r="H569" s="14" t="s">
        <v>1467</v>
      </c>
      <c r="I569" s="14" t="s">
        <v>1467</v>
      </c>
      <c r="J569" s="14" t="s">
        <v>1501</v>
      </c>
      <c r="K569" s="14"/>
      <c r="L569" s="14"/>
      <c r="M569" s="14"/>
      <c r="N569" s="155"/>
      <c r="O569" s="14" t="s">
        <v>5302</v>
      </c>
    </row>
    <row r="570" spans="1:15" x14ac:dyDescent="0.25">
      <c r="A570" s="2" t="s">
        <v>5303</v>
      </c>
      <c r="B570" s="14" t="s">
        <v>5304</v>
      </c>
      <c r="C570" s="14" t="s">
        <v>1467</v>
      </c>
      <c r="D570" s="14" t="s">
        <v>1467</v>
      </c>
      <c r="E570" s="14" t="s">
        <v>1467</v>
      </c>
      <c r="F570" s="14" t="s">
        <v>5384</v>
      </c>
      <c r="G570" s="14" t="s">
        <v>1501</v>
      </c>
      <c r="H570" s="14" t="s">
        <v>1467</v>
      </c>
      <c r="I570" s="14" t="s">
        <v>1467</v>
      </c>
      <c r="J570" s="14" t="s">
        <v>1501</v>
      </c>
      <c r="K570" s="14"/>
      <c r="L570" s="14"/>
      <c r="M570" s="14"/>
      <c r="N570" s="155"/>
      <c r="O570" s="14" t="s">
        <v>5302</v>
      </c>
    </row>
    <row r="571" spans="1:15" x14ac:dyDescent="0.25">
      <c r="A571" s="2" t="s">
        <v>5321</v>
      </c>
      <c r="B571" s="14" t="s">
        <v>5322</v>
      </c>
      <c r="C571" s="14" t="s">
        <v>1467</v>
      </c>
      <c r="D571" s="14" t="s">
        <v>1467</v>
      </c>
      <c r="E571" s="14" t="s">
        <v>1467</v>
      </c>
      <c r="F571" s="14" t="s">
        <v>5392</v>
      </c>
      <c r="G571" s="14" t="s">
        <v>1501</v>
      </c>
      <c r="H571" s="14" t="s">
        <v>1467</v>
      </c>
      <c r="I571" s="14" t="s">
        <v>1467</v>
      </c>
      <c r="J571" s="14" t="s">
        <v>1501</v>
      </c>
      <c r="K571" s="14"/>
      <c r="L571" s="14"/>
      <c r="M571" s="14"/>
      <c r="N571" s="155"/>
      <c r="O571" s="14" t="s">
        <v>5302</v>
      </c>
    </row>
    <row r="572" spans="1:15" x14ac:dyDescent="0.25">
      <c r="A572" s="2" t="s">
        <v>5324</v>
      </c>
      <c r="B572" s="14" t="s">
        <v>5325</v>
      </c>
      <c r="C572" s="14" t="s">
        <v>1467</v>
      </c>
      <c r="D572" s="14" t="s">
        <v>1467</v>
      </c>
      <c r="E572" s="14" t="s">
        <v>1467</v>
      </c>
      <c r="F572" s="14" t="s">
        <v>5401</v>
      </c>
      <c r="G572" s="14" t="s">
        <v>1501</v>
      </c>
      <c r="H572" s="14" t="s">
        <v>1467</v>
      </c>
      <c r="I572" s="14" t="s">
        <v>1467</v>
      </c>
      <c r="J572" s="14" t="s">
        <v>1501</v>
      </c>
      <c r="K572" s="14"/>
      <c r="L572" s="14"/>
      <c r="M572" s="14"/>
      <c r="N572" s="155"/>
      <c r="O572" s="14" t="s">
        <v>3489</v>
      </c>
    </row>
    <row r="573" spans="1:15" x14ac:dyDescent="0.25">
      <c r="A573" s="2" t="s">
        <v>5329</v>
      </c>
      <c r="B573" s="14" t="s">
        <v>5330</v>
      </c>
      <c r="C573" s="14" t="s">
        <v>1467</v>
      </c>
      <c r="D573" s="14" t="s">
        <v>1467</v>
      </c>
      <c r="E573" s="14" t="s">
        <v>1467</v>
      </c>
      <c r="F573" s="14" t="s">
        <v>5404</v>
      </c>
      <c r="G573" s="14" t="s">
        <v>1501</v>
      </c>
      <c r="H573" s="14" t="s">
        <v>1467</v>
      </c>
      <c r="I573" s="14" t="s">
        <v>1467</v>
      </c>
      <c r="J573" s="14" t="s">
        <v>1501</v>
      </c>
      <c r="K573" s="14"/>
      <c r="L573" s="14"/>
      <c r="M573" s="14"/>
      <c r="N573" s="155"/>
      <c r="O573" s="14" t="s">
        <v>3487</v>
      </c>
    </row>
    <row r="574" spans="1:15" x14ac:dyDescent="0.25">
      <c r="A574" s="2" t="s">
        <v>5332</v>
      </c>
      <c r="B574" s="14" t="s">
        <v>5333</v>
      </c>
      <c r="C574" s="14" t="s">
        <v>1467</v>
      </c>
      <c r="D574" s="14" t="s">
        <v>1467</v>
      </c>
      <c r="E574" s="14" t="s">
        <v>1467</v>
      </c>
      <c r="F574" s="14" t="s">
        <v>5407</v>
      </c>
      <c r="G574" s="14" t="s">
        <v>1501</v>
      </c>
      <c r="H574" s="14" t="s">
        <v>1467</v>
      </c>
      <c r="I574" s="14" t="s">
        <v>1467</v>
      </c>
      <c r="J574" s="14" t="s">
        <v>1501</v>
      </c>
      <c r="K574" s="14"/>
      <c r="L574" s="14"/>
      <c r="M574" s="14"/>
      <c r="N574" s="155"/>
      <c r="O574" s="14" t="s">
        <v>3487</v>
      </c>
    </row>
    <row r="575" spans="1:15" x14ac:dyDescent="0.25">
      <c r="A575" s="2" t="s">
        <v>5335</v>
      </c>
      <c r="B575" s="14" t="s">
        <v>5336</v>
      </c>
      <c r="C575" s="14" t="s">
        <v>1467</v>
      </c>
      <c r="D575" s="14" t="s">
        <v>1467</v>
      </c>
      <c r="E575" s="14" t="s">
        <v>1467</v>
      </c>
      <c r="F575" s="14" t="s">
        <v>5411</v>
      </c>
      <c r="G575" s="14" t="s">
        <v>1501</v>
      </c>
      <c r="H575" s="14" t="s">
        <v>1467</v>
      </c>
      <c r="I575" s="14" t="s">
        <v>1467</v>
      </c>
      <c r="J575" s="14" t="s">
        <v>1501</v>
      </c>
      <c r="K575" s="14"/>
      <c r="L575" s="14"/>
      <c r="M575" s="14"/>
      <c r="N575" s="155"/>
      <c r="O575" s="14" t="s">
        <v>3487</v>
      </c>
    </row>
    <row r="576" spans="1:15" x14ac:dyDescent="0.25">
      <c r="A576" s="2" t="s">
        <v>5342</v>
      </c>
      <c r="B576" s="14" t="s">
        <v>5343</v>
      </c>
      <c r="C576" s="14" t="s">
        <v>1467</v>
      </c>
      <c r="D576" s="14" t="s">
        <v>1467</v>
      </c>
      <c r="E576" s="14" t="s">
        <v>1467</v>
      </c>
      <c r="F576" s="14" t="s">
        <v>5415</v>
      </c>
      <c r="G576" s="14" t="s">
        <v>1501</v>
      </c>
      <c r="H576" s="14" t="s">
        <v>1467</v>
      </c>
      <c r="I576" s="14" t="s">
        <v>1467</v>
      </c>
      <c r="J576" s="14" t="s">
        <v>1501</v>
      </c>
      <c r="K576" s="14"/>
      <c r="L576" s="14"/>
      <c r="M576" s="14"/>
      <c r="N576" s="155"/>
      <c r="O576" s="14" t="s">
        <v>3489</v>
      </c>
    </row>
    <row r="577" spans="1:15" x14ac:dyDescent="0.25">
      <c r="A577" s="2" t="s">
        <v>5345</v>
      </c>
      <c r="B577" s="14" t="s">
        <v>5346</v>
      </c>
      <c r="C577" s="14" t="s">
        <v>1467</v>
      </c>
      <c r="D577" s="14" t="s">
        <v>1467</v>
      </c>
      <c r="E577" s="14" t="s">
        <v>1467</v>
      </c>
      <c r="F577" s="14" t="s">
        <v>5418</v>
      </c>
      <c r="G577" s="14" t="s">
        <v>1444</v>
      </c>
      <c r="H577" s="14" t="s">
        <v>1467</v>
      </c>
      <c r="I577" s="14" t="s">
        <v>1467</v>
      </c>
      <c r="J577" s="14" t="s">
        <v>1445</v>
      </c>
      <c r="K577" s="14"/>
      <c r="L577" s="14"/>
      <c r="M577" s="14"/>
      <c r="N577" s="155"/>
      <c r="O577" s="14" t="s">
        <v>3489</v>
      </c>
    </row>
    <row r="578" spans="1:15" x14ac:dyDescent="0.25">
      <c r="A578" s="2" t="s">
        <v>5348</v>
      </c>
      <c r="B578" s="14" t="s">
        <v>5349</v>
      </c>
      <c r="C578" s="14" t="s">
        <v>1467</v>
      </c>
      <c r="D578" s="14" t="s">
        <v>1467</v>
      </c>
      <c r="E578" s="14" t="s">
        <v>1467</v>
      </c>
      <c r="F578" s="14" t="s">
        <v>1894</v>
      </c>
      <c r="G578" s="14" t="s">
        <v>1501</v>
      </c>
      <c r="H578" s="14" t="s">
        <v>1467</v>
      </c>
      <c r="I578" s="14" t="s">
        <v>1467</v>
      </c>
      <c r="J578" s="14" t="s">
        <v>1501</v>
      </c>
      <c r="K578" s="14"/>
      <c r="L578" s="14"/>
      <c r="M578" s="14"/>
      <c r="N578" s="155"/>
      <c r="O578" s="14" t="s">
        <v>3487</v>
      </c>
    </row>
    <row r="579" spans="1:15" x14ac:dyDescent="0.25">
      <c r="A579" s="2" t="s">
        <v>5359</v>
      </c>
      <c r="B579" s="14" t="s">
        <v>5360</v>
      </c>
      <c r="C579" s="14" t="s">
        <v>1467</v>
      </c>
      <c r="D579" s="14" t="s">
        <v>1467</v>
      </c>
      <c r="E579" s="14" t="s">
        <v>1467</v>
      </c>
      <c r="F579" s="14" t="s">
        <v>5425</v>
      </c>
      <c r="G579" s="14" t="s">
        <v>1501</v>
      </c>
      <c r="H579" s="14" t="s">
        <v>1467</v>
      </c>
      <c r="I579" s="14" t="s">
        <v>1467</v>
      </c>
      <c r="J579" s="14" t="s">
        <v>1501</v>
      </c>
      <c r="K579" s="14"/>
      <c r="L579" s="14"/>
      <c r="M579" s="14"/>
      <c r="N579" s="155"/>
      <c r="O579" s="14" t="s">
        <v>3487</v>
      </c>
    </row>
    <row r="580" spans="1:15" x14ac:dyDescent="0.25">
      <c r="A580" s="2" t="s">
        <v>5364</v>
      </c>
      <c r="B580" s="14" t="s">
        <v>5365</v>
      </c>
      <c r="C580" s="14" t="s">
        <v>5366</v>
      </c>
      <c r="D580" s="14" t="s">
        <v>1467</v>
      </c>
      <c r="E580" s="14" t="s">
        <v>1467</v>
      </c>
      <c r="F580" s="14" t="s">
        <v>5444</v>
      </c>
      <c r="G580" s="14" t="s">
        <v>4026</v>
      </c>
      <c r="H580" s="14" t="s">
        <v>5368</v>
      </c>
      <c r="I580" s="14" t="s">
        <v>4026</v>
      </c>
      <c r="J580" s="14" t="s">
        <v>1445</v>
      </c>
      <c r="K580" s="14"/>
      <c r="L580" s="14"/>
      <c r="M580" s="14"/>
      <c r="N580" s="155"/>
      <c r="O580" s="14" t="s">
        <v>3490</v>
      </c>
    </row>
    <row r="581" spans="1:15" x14ac:dyDescent="0.25">
      <c r="A581" s="2" t="s">
        <v>5371</v>
      </c>
      <c r="B581" s="14" t="s">
        <v>5372</v>
      </c>
      <c r="C581" s="14" t="s">
        <v>1467</v>
      </c>
      <c r="D581" s="14" t="s">
        <v>1467</v>
      </c>
      <c r="E581" s="14" t="s">
        <v>1467</v>
      </c>
      <c r="F581" s="14" t="s">
        <v>5509</v>
      </c>
      <c r="G581" s="14" t="s">
        <v>1501</v>
      </c>
      <c r="H581" s="14" t="s">
        <v>1467</v>
      </c>
      <c r="I581" s="14" t="s">
        <v>1467</v>
      </c>
      <c r="J581" s="14" t="s">
        <v>1501</v>
      </c>
      <c r="K581" s="14"/>
      <c r="L581" s="14"/>
      <c r="M581" s="14"/>
      <c r="N581" s="155"/>
      <c r="O581" s="14" t="s">
        <v>3487</v>
      </c>
    </row>
    <row r="582" spans="1:15" x14ac:dyDescent="0.25">
      <c r="A582" s="2" t="s">
        <v>5374</v>
      </c>
      <c r="B582" s="14" t="s">
        <v>5375</v>
      </c>
      <c r="C582" s="14" t="s">
        <v>1467</v>
      </c>
      <c r="D582" s="14" t="s">
        <v>1467</v>
      </c>
      <c r="E582" s="14" t="s">
        <v>1467</v>
      </c>
      <c r="F582" s="14" t="s">
        <v>5512</v>
      </c>
      <c r="G582" s="14" t="s">
        <v>1501</v>
      </c>
      <c r="H582" s="14" t="s">
        <v>1467</v>
      </c>
      <c r="I582" s="14" t="s">
        <v>1467</v>
      </c>
      <c r="J582" s="14" t="s">
        <v>1501</v>
      </c>
      <c r="K582" s="14"/>
      <c r="L582" s="14"/>
      <c r="M582" s="14"/>
      <c r="N582" s="155"/>
      <c r="O582" s="14" t="s">
        <v>3487</v>
      </c>
    </row>
    <row r="583" spans="1:15" x14ac:dyDescent="0.25">
      <c r="A583" s="2" t="s">
        <v>5377</v>
      </c>
      <c r="B583" s="14" t="s">
        <v>5378</v>
      </c>
      <c r="C583" s="14" t="s">
        <v>1467</v>
      </c>
      <c r="D583" s="14" t="s">
        <v>1467</v>
      </c>
      <c r="E583" s="14" t="s">
        <v>1467</v>
      </c>
      <c r="F583" s="14" t="s">
        <v>5523</v>
      </c>
      <c r="G583" s="14" t="s">
        <v>1501</v>
      </c>
      <c r="H583" s="14" t="s">
        <v>1467</v>
      </c>
      <c r="I583" s="14" t="s">
        <v>1467</v>
      </c>
      <c r="J583" s="14" t="s">
        <v>1501</v>
      </c>
      <c r="K583" s="14"/>
      <c r="L583" s="14"/>
      <c r="M583" s="14"/>
      <c r="N583" s="155"/>
      <c r="O583" s="14" t="s">
        <v>3487</v>
      </c>
    </row>
    <row r="584" spans="1:15" x14ac:dyDescent="0.25">
      <c r="A584" s="2" t="s">
        <v>5382</v>
      </c>
      <c r="B584" s="14" t="s">
        <v>5383</v>
      </c>
      <c r="C584" s="14" t="s">
        <v>1467</v>
      </c>
      <c r="D584" s="14" t="s">
        <v>1467</v>
      </c>
      <c r="E584" s="14" t="s">
        <v>1467</v>
      </c>
      <c r="F584" s="14" t="s">
        <v>5527</v>
      </c>
      <c r="G584" s="14" t="s">
        <v>1501</v>
      </c>
      <c r="H584" s="14" t="s">
        <v>1467</v>
      </c>
      <c r="I584" s="14" t="s">
        <v>1467</v>
      </c>
      <c r="J584" s="14" t="s">
        <v>1501</v>
      </c>
      <c r="K584" s="14"/>
      <c r="L584" s="14"/>
      <c r="M584" s="14"/>
      <c r="N584" s="155"/>
      <c r="O584" s="14" t="s">
        <v>3489</v>
      </c>
    </row>
    <row r="585" spans="1:15" x14ac:dyDescent="0.25">
      <c r="A585" s="2" t="s">
        <v>5390</v>
      </c>
      <c r="B585" s="14" t="s">
        <v>5391</v>
      </c>
      <c r="C585" s="14" t="s">
        <v>1467</v>
      </c>
      <c r="D585" s="14" t="s">
        <v>1467</v>
      </c>
      <c r="E585" s="14" t="s">
        <v>1467</v>
      </c>
      <c r="F585" s="14" t="s">
        <v>5531</v>
      </c>
      <c r="G585" s="14" t="s">
        <v>1501</v>
      </c>
      <c r="H585" s="14" t="s">
        <v>5392</v>
      </c>
      <c r="I585" s="14" t="s">
        <v>1501</v>
      </c>
      <c r="J585" s="14" t="s">
        <v>1501</v>
      </c>
      <c r="K585" s="14"/>
      <c r="L585" s="14"/>
      <c r="M585" s="14"/>
      <c r="N585" s="155"/>
      <c r="O585" s="14" t="s">
        <v>3487</v>
      </c>
    </row>
    <row r="586" spans="1:15" x14ac:dyDescent="0.25">
      <c r="A586" s="2" t="s">
        <v>5399</v>
      </c>
      <c r="B586" s="14" t="s">
        <v>5400</v>
      </c>
      <c r="C586" s="14" t="s">
        <v>1467</v>
      </c>
      <c r="D586" s="14" t="s">
        <v>1467</v>
      </c>
      <c r="E586" s="14" t="s">
        <v>1467</v>
      </c>
      <c r="F586" s="14" t="s">
        <v>5534</v>
      </c>
      <c r="G586" s="14" t="s">
        <v>1501</v>
      </c>
      <c r="H586" s="14" t="s">
        <v>1467</v>
      </c>
      <c r="I586" s="14" t="s">
        <v>1467</v>
      </c>
      <c r="J586" s="14" t="s">
        <v>1501</v>
      </c>
      <c r="K586" s="14"/>
      <c r="L586" s="14"/>
      <c r="M586" s="14"/>
      <c r="N586" s="155"/>
      <c r="O586" s="14" t="s">
        <v>3487</v>
      </c>
    </row>
    <row r="587" spans="1:15" x14ac:dyDescent="0.25">
      <c r="A587" s="2" t="s">
        <v>5402</v>
      </c>
      <c r="B587" s="14" t="s">
        <v>5403</v>
      </c>
      <c r="C587" s="14" t="s">
        <v>1467</v>
      </c>
      <c r="D587" s="14" t="s">
        <v>1467</v>
      </c>
      <c r="E587" s="14" t="s">
        <v>1467</v>
      </c>
      <c r="F587" s="14" t="s">
        <v>5537</v>
      </c>
      <c r="G587" s="14" t="s">
        <v>1501</v>
      </c>
      <c r="H587" s="14" t="s">
        <v>1467</v>
      </c>
      <c r="I587" s="14" t="s">
        <v>1501</v>
      </c>
      <c r="J587" s="14" t="s">
        <v>1501</v>
      </c>
      <c r="K587" s="14"/>
      <c r="L587" s="14"/>
      <c r="M587" s="14"/>
      <c r="N587" s="155"/>
      <c r="O587" s="14" t="s">
        <v>3489</v>
      </c>
    </row>
    <row r="588" spans="1:15" x14ac:dyDescent="0.25">
      <c r="A588" s="2" t="s">
        <v>5405</v>
      </c>
      <c r="B588" s="14" t="s">
        <v>5406</v>
      </c>
      <c r="C588" s="14" t="s">
        <v>1467</v>
      </c>
      <c r="D588" s="14" t="s">
        <v>1467</v>
      </c>
      <c r="E588" s="14" t="s">
        <v>1467</v>
      </c>
      <c r="F588" s="14" t="s">
        <v>5540</v>
      </c>
      <c r="G588" s="14" t="s">
        <v>1501</v>
      </c>
      <c r="H588" s="14" t="s">
        <v>1467</v>
      </c>
      <c r="I588" s="14" t="s">
        <v>1501</v>
      </c>
      <c r="J588" s="14" t="s">
        <v>1501</v>
      </c>
      <c r="K588" s="14"/>
      <c r="L588" s="14"/>
      <c r="M588" s="14"/>
      <c r="N588" s="155"/>
      <c r="O588" s="14" t="s">
        <v>5408</v>
      </c>
    </row>
    <row r="589" spans="1:15" x14ac:dyDescent="0.25">
      <c r="A589" s="2" t="s">
        <v>5409</v>
      </c>
      <c r="B589" s="14" t="s">
        <v>5410</v>
      </c>
      <c r="C589" s="14" t="s">
        <v>4434</v>
      </c>
      <c r="D589" s="14" t="s">
        <v>1467</v>
      </c>
      <c r="E589" s="14" t="s">
        <v>1467</v>
      </c>
      <c r="F589" s="14" t="s">
        <v>5560</v>
      </c>
      <c r="G589" s="14" t="s">
        <v>5412</v>
      </c>
      <c r="H589" s="14" t="s">
        <v>1467</v>
      </c>
      <c r="I589" s="14" t="s">
        <v>5412</v>
      </c>
      <c r="J589" s="14" t="s">
        <v>1445</v>
      </c>
      <c r="K589" s="14"/>
      <c r="L589" s="14"/>
      <c r="M589" s="14"/>
      <c r="N589" s="155"/>
      <c r="O589" s="14" t="s">
        <v>3490</v>
      </c>
    </row>
    <row r="590" spans="1:15" x14ac:dyDescent="0.25">
      <c r="A590" s="2" t="s">
        <v>5413</v>
      </c>
      <c r="B590" s="14" t="s">
        <v>5414</v>
      </c>
      <c r="C590" s="14" t="s">
        <v>1467</v>
      </c>
      <c r="D590" s="14" t="s">
        <v>1467</v>
      </c>
      <c r="E590" s="14" t="s">
        <v>1467</v>
      </c>
      <c r="F590" s="14" t="s">
        <v>5563</v>
      </c>
      <c r="G590" s="14" t="s">
        <v>1501</v>
      </c>
      <c r="H590" s="14" t="s">
        <v>1467</v>
      </c>
      <c r="I590" s="14" t="s">
        <v>1467</v>
      </c>
      <c r="J590" s="14" t="s">
        <v>1501</v>
      </c>
      <c r="K590" s="14"/>
      <c r="L590" s="14"/>
      <c r="M590" s="14"/>
      <c r="N590" s="155"/>
      <c r="O590" s="14" t="s">
        <v>5408</v>
      </c>
    </row>
    <row r="591" spans="1:15" x14ac:dyDescent="0.25">
      <c r="A591" s="2" t="s">
        <v>5416</v>
      </c>
      <c r="B591" s="14" t="s">
        <v>5417</v>
      </c>
      <c r="C591" s="14" t="s">
        <v>1467</v>
      </c>
      <c r="D591" s="14" t="s">
        <v>1467</v>
      </c>
      <c r="E591" s="14" t="s">
        <v>1467</v>
      </c>
      <c r="F591" s="14" t="s">
        <v>5566</v>
      </c>
      <c r="G591" s="14" t="s">
        <v>1501</v>
      </c>
      <c r="H591" s="14" t="s">
        <v>1467</v>
      </c>
      <c r="I591" s="14" t="s">
        <v>1467</v>
      </c>
      <c r="J591" s="14" t="s">
        <v>1501</v>
      </c>
      <c r="K591" s="14"/>
      <c r="L591" s="14"/>
      <c r="M591" s="14"/>
      <c r="N591" s="155"/>
      <c r="O591" s="14" t="s">
        <v>3489</v>
      </c>
    </row>
    <row r="592" spans="1:15" x14ac:dyDescent="0.25">
      <c r="A592" s="2" t="s">
        <v>5419</v>
      </c>
      <c r="B592" s="14" t="s">
        <v>5420</v>
      </c>
      <c r="C592" s="14" t="s">
        <v>1467</v>
      </c>
      <c r="D592" s="14" t="s">
        <v>1467</v>
      </c>
      <c r="E592" s="14" t="s">
        <v>1467</v>
      </c>
      <c r="F592" s="14" t="s">
        <v>5587</v>
      </c>
      <c r="G592" s="14" t="s">
        <v>1501</v>
      </c>
      <c r="H592" s="14" t="s">
        <v>1467</v>
      </c>
      <c r="I592" s="14" t="s">
        <v>1467</v>
      </c>
      <c r="J592" s="14" t="s">
        <v>1501</v>
      </c>
      <c r="K592" s="14"/>
      <c r="L592" s="14"/>
      <c r="M592" s="14"/>
      <c r="N592" s="155"/>
      <c r="O592" s="14" t="s">
        <v>3487</v>
      </c>
    </row>
    <row r="593" spans="1:15" x14ac:dyDescent="0.25">
      <c r="A593" s="2" t="s">
        <v>5423</v>
      </c>
      <c r="B593" s="14" t="s">
        <v>5424</v>
      </c>
      <c r="C593" s="14" t="s">
        <v>1467</v>
      </c>
      <c r="D593" s="14" t="s">
        <v>1467</v>
      </c>
      <c r="E593" s="14" t="s">
        <v>1467</v>
      </c>
      <c r="F593" s="14" t="s">
        <v>5590</v>
      </c>
      <c r="G593" s="14" t="s">
        <v>2087</v>
      </c>
      <c r="H593" s="14" t="s">
        <v>1467</v>
      </c>
      <c r="I593" s="14" t="s">
        <v>1467</v>
      </c>
      <c r="J593" s="14" t="s">
        <v>1501</v>
      </c>
      <c r="K593" s="14"/>
      <c r="L593" s="14"/>
      <c r="M593" s="14"/>
      <c r="N593" s="155"/>
      <c r="O593" s="14" t="s">
        <v>3489</v>
      </c>
    </row>
    <row r="594" spans="1:15" x14ac:dyDescent="0.25">
      <c r="A594" s="2" t="s">
        <v>5443</v>
      </c>
      <c r="B594" s="14" t="s">
        <v>5909</v>
      </c>
      <c r="C594" s="14" t="s">
        <v>1467</v>
      </c>
      <c r="D594" s="14" t="s">
        <v>1467</v>
      </c>
      <c r="E594" s="14" t="s">
        <v>1467</v>
      </c>
      <c r="F594" s="14" t="s">
        <v>5773</v>
      </c>
      <c r="G594" s="14" t="s">
        <v>1501</v>
      </c>
      <c r="H594" s="14" t="s">
        <v>1467</v>
      </c>
      <c r="I594" s="14" t="s">
        <v>1467</v>
      </c>
      <c r="J594" s="14" t="s">
        <v>1501</v>
      </c>
      <c r="K594" s="14"/>
      <c r="L594" s="14"/>
      <c r="M594" s="14"/>
      <c r="N594" s="155"/>
      <c r="O594" s="14" t="s">
        <v>3487</v>
      </c>
    </row>
    <row r="595" spans="1:15" x14ac:dyDescent="0.25">
      <c r="A595" s="2" t="s">
        <v>5507</v>
      </c>
      <c r="B595" s="14" t="s">
        <v>5508</v>
      </c>
      <c r="C595" s="14" t="s">
        <v>1467</v>
      </c>
      <c r="D595" s="14" t="s">
        <v>1467</v>
      </c>
      <c r="E595" s="14" t="s">
        <v>1467</v>
      </c>
      <c r="F595" s="14" t="s">
        <v>1501</v>
      </c>
      <c r="G595" s="14" t="s">
        <v>1501</v>
      </c>
      <c r="H595" s="14" t="s">
        <v>1467</v>
      </c>
      <c r="I595" s="14" t="s">
        <v>1467</v>
      </c>
      <c r="J595" s="14" t="s">
        <v>1501</v>
      </c>
      <c r="K595" s="14"/>
      <c r="L595" s="14"/>
      <c r="M595" s="14"/>
      <c r="N595" s="155"/>
      <c r="O595" s="14" t="s">
        <v>3489</v>
      </c>
    </row>
    <row r="596" spans="1:15" x14ac:dyDescent="0.25">
      <c r="A596" s="2" t="s">
        <v>5510</v>
      </c>
      <c r="B596" s="14" t="s">
        <v>5511</v>
      </c>
      <c r="C596" s="14" t="s">
        <v>1467</v>
      </c>
      <c r="D596" s="14" t="s">
        <v>1467</v>
      </c>
      <c r="E596" s="14" t="s">
        <v>1467</v>
      </c>
      <c r="F596" s="14" t="s">
        <v>5598</v>
      </c>
      <c r="G596" s="14" t="s">
        <v>1501</v>
      </c>
      <c r="H596" s="14" t="s">
        <v>5513</v>
      </c>
      <c r="I596" s="14" t="s">
        <v>1467</v>
      </c>
      <c r="J596" s="14" t="s">
        <v>1501</v>
      </c>
      <c r="K596" s="14"/>
      <c r="L596" s="14"/>
      <c r="M596" s="14"/>
      <c r="N596" s="155"/>
      <c r="O596" s="14" t="s">
        <v>3489</v>
      </c>
    </row>
    <row r="597" spans="1:15" x14ac:dyDescent="0.25">
      <c r="A597" s="2" t="s">
        <v>5521</v>
      </c>
      <c r="B597" s="14" t="s">
        <v>5522</v>
      </c>
      <c r="C597" s="14" t="s">
        <v>1467</v>
      </c>
      <c r="D597" s="14" t="s">
        <v>1467</v>
      </c>
      <c r="E597" s="14" t="s">
        <v>1467</v>
      </c>
      <c r="F597" s="14" t="s">
        <v>5605</v>
      </c>
      <c r="G597" s="14" t="s">
        <v>1501</v>
      </c>
      <c r="H597" s="14" t="s">
        <v>1467</v>
      </c>
      <c r="I597" s="14" t="s">
        <v>1501</v>
      </c>
      <c r="J597" s="14" t="s">
        <v>1501</v>
      </c>
      <c r="K597" s="14"/>
      <c r="L597" s="14"/>
      <c r="M597" s="14"/>
      <c r="N597" s="155"/>
      <c r="O597" s="14" t="s">
        <v>3489</v>
      </c>
    </row>
    <row r="598" spans="1:15" x14ac:dyDescent="0.25">
      <c r="A598" s="2" t="s">
        <v>5525</v>
      </c>
      <c r="B598" s="14" t="s">
        <v>5526</v>
      </c>
      <c r="C598" s="14" t="s">
        <v>1467</v>
      </c>
      <c r="D598" s="14" t="s">
        <v>1467</v>
      </c>
      <c r="E598" s="14" t="s">
        <v>1467</v>
      </c>
      <c r="F598" s="14" t="s">
        <v>5608</v>
      </c>
      <c r="G598" s="14" t="s">
        <v>1501</v>
      </c>
      <c r="H598" s="14" t="s">
        <v>1467</v>
      </c>
      <c r="I598" s="14" t="s">
        <v>1467</v>
      </c>
      <c r="J598" s="14" t="s">
        <v>1501</v>
      </c>
      <c r="K598" s="14"/>
      <c r="L598" s="14"/>
      <c r="M598" s="14"/>
      <c r="N598" s="155"/>
      <c r="O598" s="14" t="s">
        <v>5528</v>
      </c>
    </row>
    <row r="599" spans="1:15" x14ac:dyDescent="0.25">
      <c r="A599" s="2" t="s">
        <v>5529</v>
      </c>
      <c r="B599" s="14" t="s">
        <v>5530</v>
      </c>
      <c r="C599" s="14" t="s">
        <v>1467</v>
      </c>
      <c r="D599" s="14" t="s">
        <v>1467</v>
      </c>
      <c r="E599" s="14" t="s">
        <v>1467</v>
      </c>
      <c r="F599" s="14" t="s">
        <v>5611</v>
      </c>
      <c r="G599" s="14" t="s">
        <v>1501</v>
      </c>
      <c r="H599" s="14" t="s">
        <v>1467</v>
      </c>
      <c r="I599" s="14" t="s">
        <v>1467</v>
      </c>
      <c r="J599" s="14" t="s">
        <v>1501</v>
      </c>
      <c r="K599" s="14"/>
      <c r="L599" s="14"/>
      <c r="M599" s="14"/>
      <c r="N599" s="155"/>
      <c r="O599" s="14" t="s">
        <v>3489</v>
      </c>
    </row>
    <row r="600" spans="1:15" x14ac:dyDescent="0.25">
      <c r="A600" s="2" t="s">
        <v>5532</v>
      </c>
      <c r="B600" s="14" t="s">
        <v>5533</v>
      </c>
      <c r="C600" s="14" t="s">
        <v>1467</v>
      </c>
      <c r="D600" s="14" t="s">
        <v>1467</v>
      </c>
      <c r="E600" s="14" t="s">
        <v>1467</v>
      </c>
      <c r="F600" s="14" t="s">
        <v>5615</v>
      </c>
      <c r="G600" s="14" t="s">
        <v>1501</v>
      </c>
      <c r="H600" s="14" t="s">
        <v>1467</v>
      </c>
      <c r="I600" s="14" t="s">
        <v>1467</v>
      </c>
      <c r="J600" s="14" t="s">
        <v>1501</v>
      </c>
      <c r="K600" s="14"/>
      <c r="L600" s="14"/>
      <c r="M600" s="14"/>
      <c r="N600" s="155"/>
      <c r="O600" s="14" t="s">
        <v>3489</v>
      </c>
    </row>
    <row r="601" spans="1:15" x14ac:dyDescent="0.25">
      <c r="A601" s="2" t="s">
        <v>5535</v>
      </c>
      <c r="B601" s="14" t="s">
        <v>5536</v>
      </c>
      <c r="C601" s="14" t="s">
        <v>1467</v>
      </c>
      <c r="D601" s="14" t="s">
        <v>1467</v>
      </c>
      <c r="E601" s="14" t="s">
        <v>1467</v>
      </c>
      <c r="F601" s="14" t="s">
        <v>5618</v>
      </c>
      <c r="G601" s="14" t="s">
        <v>1501</v>
      </c>
      <c r="H601" s="14" t="s">
        <v>1467</v>
      </c>
      <c r="I601" s="14" t="s">
        <v>1467</v>
      </c>
      <c r="J601" s="14" t="s">
        <v>1501</v>
      </c>
      <c r="K601" s="14"/>
      <c r="L601" s="14"/>
      <c r="M601" s="14"/>
      <c r="N601" s="155"/>
      <c r="O601" s="14" t="s">
        <v>3489</v>
      </c>
    </row>
    <row r="602" spans="1:15" x14ac:dyDescent="0.25">
      <c r="A602" s="2" t="s">
        <v>5538</v>
      </c>
      <c r="B602" s="14" t="s">
        <v>5539</v>
      </c>
      <c r="C602" s="14" t="s">
        <v>1467</v>
      </c>
      <c r="D602" s="14" t="s">
        <v>1467</v>
      </c>
      <c r="E602" s="14" t="s">
        <v>1467</v>
      </c>
      <c r="F602" s="14" t="s">
        <v>5645</v>
      </c>
      <c r="G602" s="14" t="s">
        <v>1501</v>
      </c>
      <c r="H602" s="14" t="s">
        <v>1467</v>
      </c>
      <c r="I602" s="14" t="s">
        <v>1467</v>
      </c>
      <c r="J602" s="14" t="s">
        <v>1501</v>
      </c>
      <c r="K602" s="14"/>
      <c r="L602" s="14"/>
      <c r="M602" s="14"/>
      <c r="N602" s="155"/>
      <c r="O602" s="14" t="s">
        <v>3487</v>
      </c>
    </row>
    <row r="603" spans="1:15" x14ac:dyDescent="0.25">
      <c r="A603" s="2" t="s">
        <v>5558</v>
      </c>
      <c r="B603" s="14" t="s">
        <v>5559</v>
      </c>
      <c r="C603" s="14" t="s">
        <v>1467</v>
      </c>
      <c r="D603" s="14" t="s">
        <v>1467</v>
      </c>
      <c r="E603" s="14" t="s">
        <v>1467</v>
      </c>
      <c r="F603" s="14" t="s">
        <v>5661</v>
      </c>
      <c r="G603" s="14" t="s">
        <v>1501</v>
      </c>
      <c r="H603" s="14" t="s">
        <v>1467</v>
      </c>
      <c r="I603" s="14" t="s">
        <v>1467</v>
      </c>
      <c r="J603" s="14" t="s">
        <v>1501</v>
      </c>
      <c r="K603" s="14"/>
      <c r="L603" s="14"/>
      <c r="M603" s="14"/>
      <c r="N603" s="155"/>
      <c r="O603" s="14" t="s">
        <v>3487</v>
      </c>
    </row>
    <row r="604" spans="1:15" x14ac:dyDescent="0.25">
      <c r="A604" s="2" t="s">
        <v>5561</v>
      </c>
      <c r="B604" s="14" t="s">
        <v>5562</v>
      </c>
      <c r="C604" s="14" t="s">
        <v>1467</v>
      </c>
      <c r="D604" s="14" t="s">
        <v>1467</v>
      </c>
      <c r="E604" s="14" t="s">
        <v>1467</v>
      </c>
      <c r="F604" s="14" t="s">
        <v>5667</v>
      </c>
      <c r="G604" s="14" t="s">
        <v>1501</v>
      </c>
      <c r="H604" s="14" t="s">
        <v>1467</v>
      </c>
      <c r="I604" s="14" t="s">
        <v>1467</v>
      </c>
      <c r="J604" s="14" t="s">
        <v>1501</v>
      </c>
      <c r="K604" s="14"/>
      <c r="L604" s="14"/>
      <c r="M604" s="14"/>
      <c r="N604" s="155"/>
      <c r="O604" s="14" t="s">
        <v>3487</v>
      </c>
    </row>
    <row r="605" spans="1:15" x14ac:dyDescent="0.25">
      <c r="A605" s="2" t="s">
        <v>5564</v>
      </c>
      <c r="B605" s="14" t="s">
        <v>5565</v>
      </c>
      <c r="C605" s="14" t="s">
        <v>1467</v>
      </c>
      <c r="D605" s="14" t="s">
        <v>1467</v>
      </c>
      <c r="E605" s="14" t="s">
        <v>1467</v>
      </c>
      <c r="F605" s="14" t="s">
        <v>5670</v>
      </c>
      <c r="G605" s="14" t="s">
        <v>1501</v>
      </c>
      <c r="H605" s="14" t="s">
        <v>1467</v>
      </c>
      <c r="I605" s="14" t="s">
        <v>1467</v>
      </c>
      <c r="J605" s="14" t="s">
        <v>1501</v>
      </c>
      <c r="K605" s="14"/>
      <c r="L605" s="14"/>
      <c r="M605" s="14"/>
      <c r="N605" s="155"/>
      <c r="O605" s="14" t="s">
        <v>3487</v>
      </c>
    </row>
    <row r="606" spans="1:15" x14ac:dyDescent="0.25">
      <c r="A606" s="2" t="s">
        <v>5585</v>
      </c>
      <c r="B606" s="14" t="s">
        <v>5586</v>
      </c>
      <c r="C606" s="14" t="s">
        <v>1467</v>
      </c>
      <c r="D606" s="14" t="s">
        <v>1467</v>
      </c>
      <c r="E606" s="14" t="s">
        <v>1467</v>
      </c>
      <c r="F606" s="14" t="s">
        <v>5676</v>
      </c>
      <c r="G606" s="14" t="s">
        <v>1501</v>
      </c>
      <c r="H606" s="14" t="s">
        <v>1467</v>
      </c>
      <c r="I606" s="14" t="s">
        <v>1467</v>
      </c>
      <c r="J606" s="14" t="s">
        <v>1501</v>
      </c>
      <c r="K606" s="14"/>
      <c r="L606" s="14"/>
      <c r="M606" s="14"/>
      <c r="N606" s="155"/>
      <c r="O606" s="14" t="s">
        <v>3489</v>
      </c>
    </row>
    <row r="607" spans="1:15" x14ac:dyDescent="0.25">
      <c r="A607" s="2" t="s">
        <v>5588</v>
      </c>
      <c r="B607" s="14" t="s">
        <v>5589</v>
      </c>
      <c r="C607" s="14" t="s">
        <v>1467</v>
      </c>
      <c r="D607" s="14" t="s">
        <v>1467</v>
      </c>
      <c r="E607" s="14" t="s">
        <v>1467</v>
      </c>
      <c r="F607" s="14" t="s">
        <v>5680</v>
      </c>
      <c r="G607" s="14" t="s">
        <v>1501</v>
      </c>
      <c r="H607" s="14" t="s">
        <v>1467</v>
      </c>
      <c r="I607" s="14" t="s">
        <v>1467</v>
      </c>
      <c r="J607" s="14" t="s">
        <v>1501</v>
      </c>
      <c r="K607" s="14"/>
      <c r="L607" s="14"/>
      <c r="M607" s="14"/>
      <c r="N607" s="155"/>
      <c r="O607" s="14" t="s">
        <v>3489</v>
      </c>
    </row>
    <row r="608" spans="1:15" x14ac:dyDescent="0.25">
      <c r="A608" s="2" t="s">
        <v>5591</v>
      </c>
      <c r="B608" s="14" t="s">
        <v>5592</v>
      </c>
      <c r="C608" s="14" t="s">
        <v>1467</v>
      </c>
      <c r="D608" s="14" t="s">
        <v>1467</v>
      </c>
      <c r="E608" s="14" t="s">
        <v>1467</v>
      </c>
      <c r="F608" s="14" t="s">
        <v>5697</v>
      </c>
      <c r="G608" s="14" t="s">
        <v>5593</v>
      </c>
      <c r="H608" s="14" t="s">
        <v>1467</v>
      </c>
      <c r="I608" s="14" t="s">
        <v>5774</v>
      </c>
      <c r="J608" s="14" t="s">
        <v>2050</v>
      </c>
      <c r="K608" s="14"/>
      <c r="L608" s="14"/>
      <c r="M608" s="14"/>
      <c r="N608" s="155"/>
      <c r="O608" s="14" t="s">
        <v>3487</v>
      </c>
    </row>
    <row r="609" spans="1:15" x14ac:dyDescent="0.25">
      <c r="A609" s="2" t="s">
        <v>5594</v>
      </c>
      <c r="B609" s="14" t="s">
        <v>5595</v>
      </c>
      <c r="C609" s="14" t="s">
        <v>1467</v>
      </c>
      <c r="D609" s="14" t="s">
        <v>1467</v>
      </c>
      <c r="E609" s="14" t="s">
        <v>1467</v>
      </c>
      <c r="F609" s="14" t="s">
        <v>5701</v>
      </c>
      <c r="G609" s="14" t="s">
        <v>1501</v>
      </c>
      <c r="H609" s="14" t="s">
        <v>1467</v>
      </c>
      <c r="I609" s="14" t="s">
        <v>1467</v>
      </c>
      <c r="J609" s="14" t="s">
        <v>1501</v>
      </c>
      <c r="K609" s="14"/>
      <c r="L609" s="14"/>
      <c r="M609" s="14"/>
      <c r="N609" s="155"/>
      <c r="O609" s="14" t="s">
        <v>3487</v>
      </c>
    </row>
    <row r="610" spans="1:15" x14ac:dyDescent="0.25">
      <c r="A610" s="2" t="s">
        <v>5596</v>
      </c>
      <c r="B610" s="14" t="s">
        <v>5597</v>
      </c>
      <c r="C610" s="14" t="s">
        <v>1467</v>
      </c>
      <c r="D610" s="14" t="s">
        <v>1467</v>
      </c>
      <c r="E610" s="14" t="s">
        <v>1467</v>
      </c>
      <c r="F610" t="s">
        <v>5739</v>
      </c>
      <c r="G610" s="14" t="s">
        <v>1501</v>
      </c>
      <c r="H610" s="14" t="s">
        <v>1467</v>
      </c>
      <c r="I610" s="14" t="s">
        <v>1467</v>
      </c>
      <c r="J610" s="14" t="s">
        <v>1501</v>
      </c>
      <c r="K610" s="14"/>
      <c r="L610" s="14"/>
      <c r="M610" s="14"/>
      <c r="N610" s="155"/>
      <c r="O610" s="14" t="s">
        <v>5291</v>
      </c>
    </row>
    <row r="611" spans="1:15" x14ac:dyDescent="0.25">
      <c r="A611" s="2" t="s">
        <v>5603</v>
      </c>
      <c r="B611" s="14" t="s">
        <v>5604</v>
      </c>
      <c r="C611" s="14" t="s">
        <v>1467</v>
      </c>
      <c r="D611" s="14" t="s">
        <v>1467</v>
      </c>
      <c r="E611" s="14" t="s">
        <v>1467</v>
      </c>
      <c r="F611" t="s">
        <v>5742</v>
      </c>
      <c r="G611" s="14" t="s">
        <v>1501</v>
      </c>
      <c r="H611" s="14" t="s">
        <v>1467</v>
      </c>
      <c r="I611" s="14" t="s">
        <v>1467</v>
      </c>
      <c r="J611" s="14" t="s">
        <v>1501</v>
      </c>
      <c r="K611" s="14"/>
      <c r="L611" s="14"/>
      <c r="M611" s="14"/>
      <c r="N611" s="155"/>
      <c r="O611" s="14" t="s">
        <v>3487</v>
      </c>
    </row>
    <row r="612" spans="1:15" x14ac:dyDescent="0.25">
      <c r="A612" s="2" t="s">
        <v>5606</v>
      </c>
      <c r="B612" s="14" t="s">
        <v>5607</v>
      </c>
      <c r="C612" s="14" t="s">
        <v>1467</v>
      </c>
      <c r="D612" s="14" t="s">
        <v>1467</v>
      </c>
      <c r="E612" s="14" t="s">
        <v>1467</v>
      </c>
      <c r="F612" t="s">
        <v>5745</v>
      </c>
      <c r="G612" s="14" t="s">
        <v>1501</v>
      </c>
      <c r="H612" s="14" t="s">
        <v>1467</v>
      </c>
      <c r="I612" s="14" t="s">
        <v>1467</v>
      </c>
      <c r="J612" s="14" t="s">
        <v>1445</v>
      </c>
      <c r="K612" s="14"/>
      <c r="L612" s="14"/>
      <c r="M612" s="14"/>
      <c r="N612" s="155"/>
      <c r="O612" s="14" t="s">
        <v>3487</v>
      </c>
    </row>
    <row r="613" spans="1:15" x14ac:dyDescent="0.25">
      <c r="A613" s="2" t="s">
        <v>5609</v>
      </c>
      <c r="B613" s="14" t="s">
        <v>5610</v>
      </c>
      <c r="C613" s="14" t="s">
        <v>1467</v>
      </c>
      <c r="D613" s="14" t="s">
        <v>1467</v>
      </c>
      <c r="E613" s="14" t="s">
        <v>1467</v>
      </c>
      <c r="F613" t="s">
        <v>5749</v>
      </c>
      <c r="G613" s="14" t="s">
        <v>1501</v>
      </c>
      <c r="H613" s="14" t="s">
        <v>1467</v>
      </c>
      <c r="I613" s="14" t="s">
        <v>1467</v>
      </c>
      <c r="J613" s="14" t="s">
        <v>1501</v>
      </c>
      <c r="K613" s="14"/>
      <c r="L613" s="14"/>
      <c r="M613" s="14"/>
      <c r="N613" s="155"/>
      <c r="O613" s="14" t="s">
        <v>3489</v>
      </c>
    </row>
    <row r="614" spans="1:15" x14ac:dyDescent="0.25">
      <c r="A614" s="2" t="s">
        <v>5613</v>
      </c>
      <c r="B614" s="14" t="s">
        <v>5614</v>
      </c>
      <c r="C614" s="14" t="s">
        <v>1467</v>
      </c>
      <c r="D614" s="14" t="s">
        <v>1467</v>
      </c>
      <c r="E614" s="14" t="s">
        <v>1467</v>
      </c>
      <c r="F614" t="s">
        <v>5756</v>
      </c>
      <c r="G614" s="14" t="s">
        <v>1444</v>
      </c>
      <c r="H614" s="14" t="s">
        <v>1467</v>
      </c>
      <c r="I614" s="14" t="s">
        <v>1444</v>
      </c>
      <c r="J614" s="14" t="s">
        <v>1445</v>
      </c>
      <c r="K614" s="14"/>
      <c r="L614" s="14"/>
      <c r="M614" s="14"/>
      <c r="N614" s="155"/>
      <c r="O614" s="14" t="s">
        <v>3489</v>
      </c>
    </row>
    <row r="615" spans="1:15" x14ac:dyDescent="0.25">
      <c r="A615" s="2" t="s">
        <v>5616</v>
      </c>
      <c r="B615" s="14" t="s">
        <v>5617</v>
      </c>
      <c r="C615" s="14" t="s">
        <v>1467</v>
      </c>
      <c r="D615" s="14" t="s">
        <v>1467</v>
      </c>
      <c r="E615" s="14" t="s">
        <v>1467</v>
      </c>
      <c r="F615" t="s">
        <v>5761</v>
      </c>
      <c r="G615" s="14" t="s">
        <v>1501</v>
      </c>
      <c r="H615" s="14" t="s">
        <v>1467</v>
      </c>
      <c r="I615" s="14" t="s">
        <v>1501</v>
      </c>
      <c r="J615" s="14" t="s">
        <v>1501</v>
      </c>
      <c r="K615" s="14"/>
      <c r="L615" s="14"/>
      <c r="M615" s="14"/>
      <c r="N615" s="155"/>
      <c r="O615" s="14" t="s">
        <v>3487</v>
      </c>
    </row>
    <row r="616" spans="1:15" x14ac:dyDescent="0.25">
      <c r="A616" s="2" t="s">
        <v>5643</v>
      </c>
      <c r="B616" s="14" t="s">
        <v>5644</v>
      </c>
      <c r="C616" s="14" t="s">
        <v>1467</v>
      </c>
      <c r="D616" s="14" t="s">
        <v>1467</v>
      </c>
      <c r="E616" s="14" t="s">
        <v>1467</v>
      </c>
      <c r="F616" t="s">
        <v>5764</v>
      </c>
      <c r="G616" s="14" t="s">
        <v>1501</v>
      </c>
      <c r="H616" s="14" t="s">
        <v>1467</v>
      </c>
      <c r="I616" s="14" t="s">
        <v>1467</v>
      </c>
      <c r="J616" s="14" t="s">
        <v>1501</v>
      </c>
      <c r="K616" s="14"/>
      <c r="L616" s="14"/>
      <c r="M616" s="14"/>
      <c r="N616" s="155"/>
      <c r="O616" s="14" t="s">
        <v>3487</v>
      </c>
    </row>
    <row r="617" spans="1:15" x14ac:dyDescent="0.25">
      <c r="A617" s="2" t="s">
        <v>5659</v>
      </c>
      <c r="B617" s="14" t="s">
        <v>5660</v>
      </c>
      <c r="C617" s="14" t="s">
        <v>1467</v>
      </c>
      <c r="D617" s="14" t="s">
        <v>1467</v>
      </c>
      <c r="E617" s="14" t="s">
        <v>1467</v>
      </c>
      <c r="F617" t="s">
        <v>5767</v>
      </c>
      <c r="G617" s="14" t="s">
        <v>1501</v>
      </c>
      <c r="H617" s="14" t="s">
        <v>1467</v>
      </c>
      <c r="I617" s="14" t="s">
        <v>1467</v>
      </c>
      <c r="J617" s="14" t="s">
        <v>1501</v>
      </c>
      <c r="K617" s="14"/>
      <c r="L617" s="14"/>
      <c r="M617" s="14"/>
      <c r="N617" s="155"/>
      <c r="O617" s="14" t="s">
        <v>3487</v>
      </c>
    </row>
    <row r="618" spans="1:15" x14ac:dyDescent="0.25">
      <c r="A618" s="2" t="s">
        <v>5665</v>
      </c>
      <c r="B618" s="14" t="s">
        <v>5666</v>
      </c>
      <c r="C618" s="14" t="s">
        <v>1467</v>
      </c>
      <c r="D618" s="14" t="s">
        <v>1467</v>
      </c>
      <c r="E618" s="14" t="s">
        <v>1467</v>
      </c>
      <c r="F618" t="s">
        <v>5777</v>
      </c>
      <c r="G618" s="14" t="s">
        <v>1501</v>
      </c>
      <c r="H618" s="14" t="s">
        <v>1467</v>
      </c>
      <c r="I618" s="14" t="s">
        <v>1467</v>
      </c>
      <c r="J618" s="14" t="s">
        <v>1501</v>
      </c>
      <c r="K618" s="14"/>
      <c r="L618" s="14"/>
      <c r="M618" s="14"/>
      <c r="N618" s="155"/>
      <c r="O618" s="14" t="s">
        <v>3487</v>
      </c>
    </row>
    <row r="619" spans="1:15" x14ac:dyDescent="0.25">
      <c r="A619" s="2" t="s">
        <v>5668</v>
      </c>
      <c r="B619" s="14" t="s">
        <v>5669</v>
      </c>
      <c r="C619" s="14" t="s">
        <v>1467</v>
      </c>
      <c r="D619" s="14" t="s">
        <v>1467</v>
      </c>
      <c r="E619" s="14" t="s">
        <v>1467</v>
      </c>
      <c r="F619" t="s">
        <v>5780</v>
      </c>
      <c r="G619" s="14" t="s">
        <v>1833</v>
      </c>
      <c r="H619" s="14" t="s">
        <v>1467</v>
      </c>
      <c r="I619" s="14" t="s">
        <v>1467</v>
      </c>
      <c r="J619" s="14" t="s">
        <v>2050</v>
      </c>
      <c r="K619" s="14"/>
      <c r="L619" s="14"/>
      <c r="M619" s="14"/>
      <c r="N619" s="155"/>
      <c r="O619" s="14" t="s">
        <v>3489</v>
      </c>
    </row>
    <row r="620" spans="1:15" x14ac:dyDescent="0.25">
      <c r="A620" s="2" t="s">
        <v>5673</v>
      </c>
      <c r="B620" s="14" t="s">
        <v>5674</v>
      </c>
      <c r="C620" s="14" t="s">
        <v>5675</v>
      </c>
      <c r="D620" s="14" t="s">
        <v>1467</v>
      </c>
      <c r="E620" s="14" t="s">
        <v>1467</v>
      </c>
      <c r="F620" t="s">
        <v>5783</v>
      </c>
      <c r="G620" s="14" t="s">
        <v>1623</v>
      </c>
      <c r="H620" s="14" t="s">
        <v>1467</v>
      </c>
      <c r="I620" s="14" t="s">
        <v>1623</v>
      </c>
      <c r="J620" s="14" t="s">
        <v>1849</v>
      </c>
      <c r="K620" s="14"/>
      <c r="L620" s="14"/>
      <c r="M620" s="14"/>
      <c r="N620" s="155">
        <v>30</v>
      </c>
      <c r="O620" s="14" t="s">
        <v>3490</v>
      </c>
    </row>
    <row r="621" spans="1:15" x14ac:dyDescent="0.25">
      <c r="A621" s="2" t="s">
        <v>5677</v>
      </c>
      <c r="B621" s="14" t="s">
        <v>5678</v>
      </c>
      <c r="C621" s="14" t="s">
        <v>5679</v>
      </c>
      <c r="D621" s="14" t="s">
        <v>1467</v>
      </c>
      <c r="E621" s="14" t="s">
        <v>1467</v>
      </c>
      <c r="F621" t="s">
        <v>5787</v>
      </c>
      <c r="G621" s="14" t="s">
        <v>5681</v>
      </c>
      <c r="H621" s="14" t="s">
        <v>1467</v>
      </c>
      <c r="I621" s="14" t="s">
        <v>1467</v>
      </c>
      <c r="J621" s="14" t="s">
        <v>1445</v>
      </c>
      <c r="K621" s="14"/>
      <c r="L621" s="14"/>
      <c r="M621" s="14"/>
      <c r="N621" s="155">
        <v>30</v>
      </c>
      <c r="O621" s="14" t="s">
        <v>3490</v>
      </c>
    </row>
    <row r="622" spans="1:15" x14ac:dyDescent="0.25">
      <c r="A622" s="2" t="s">
        <v>5694</v>
      </c>
      <c r="B622" s="14" t="s">
        <v>5695</v>
      </c>
      <c r="C622" s="14" t="s">
        <v>5696</v>
      </c>
      <c r="D622" s="14" t="s">
        <v>1467</v>
      </c>
      <c r="E622" s="14" t="s">
        <v>1467</v>
      </c>
      <c r="F622" t="s">
        <v>5791</v>
      </c>
      <c r="G622" s="14" t="s">
        <v>4257</v>
      </c>
      <c r="H622" s="14" t="s">
        <v>1467</v>
      </c>
      <c r="I622" s="14" t="s">
        <v>4257</v>
      </c>
      <c r="J622" s="14" t="s">
        <v>2050</v>
      </c>
      <c r="K622" s="14"/>
      <c r="L622" s="14"/>
      <c r="M622" s="14"/>
      <c r="N622" s="155"/>
      <c r="O622" s="14" t="s">
        <v>3489</v>
      </c>
    </row>
    <row r="623" spans="1:15" x14ac:dyDescent="0.25">
      <c r="A623" s="2" t="s">
        <v>5699</v>
      </c>
      <c r="B623" s="14" t="s">
        <v>5700</v>
      </c>
      <c r="C623" s="14" t="s">
        <v>1467</v>
      </c>
      <c r="D623" s="14" t="s">
        <v>1467</v>
      </c>
      <c r="E623" s="14" t="s">
        <v>1467</v>
      </c>
      <c r="F623" t="s">
        <v>5810</v>
      </c>
      <c r="G623" s="14" t="s">
        <v>1501</v>
      </c>
      <c r="H623" s="14" t="s">
        <v>1467</v>
      </c>
      <c r="I623" s="14" t="s">
        <v>1467</v>
      </c>
      <c r="J623" s="14" t="s">
        <v>1501</v>
      </c>
      <c r="K623" s="14"/>
      <c r="L623" s="14"/>
      <c r="M623" s="14"/>
      <c r="N623" s="155"/>
      <c r="O623" s="14" t="s">
        <v>3487</v>
      </c>
    </row>
    <row r="624" spans="1:15" x14ac:dyDescent="0.25">
      <c r="A624" s="4" t="s">
        <v>5737</v>
      </c>
      <c r="B624" t="s">
        <v>5738</v>
      </c>
      <c r="C624" t="s">
        <v>1467</v>
      </c>
      <c r="D624" t="s">
        <v>1467</v>
      </c>
      <c r="E624" t="s">
        <v>1467</v>
      </c>
      <c r="F624" t="s">
        <v>5913</v>
      </c>
      <c r="G624" t="s">
        <v>1501</v>
      </c>
      <c r="H624" t="s">
        <v>1467</v>
      </c>
      <c r="I624" t="s">
        <v>1467</v>
      </c>
      <c r="J624" t="s">
        <v>1501</v>
      </c>
      <c r="O624" t="s">
        <v>3487</v>
      </c>
    </row>
    <row r="625" spans="1:15" x14ac:dyDescent="0.25">
      <c r="A625" s="4" t="s">
        <v>5740</v>
      </c>
      <c r="B625" t="s">
        <v>5741</v>
      </c>
      <c r="C625" t="s">
        <v>1467</v>
      </c>
      <c r="D625" t="s">
        <v>1467</v>
      </c>
      <c r="E625" t="s">
        <v>1467</v>
      </c>
      <c r="F625" t="s">
        <v>5916</v>
      </c>
      <c r="G625" t="s">
        <v>1501</v>
      </c>
      <c r="H625" t="s">
        <v>1467</v>
      </c>
      <c r="I625" t="s">
        <v>1501</v>
      </c>
      <c r="J625" t="s">
        <v>1501</v>
      </c>
      <c r="O625" t="s">
        <v>3487</v>
      </c>
    </row>
    <row r="626" spans="1:15" x14ac:dyDescent="0.25">
      <c r="A626" s="4" t="s">
        <v>5743</v>
      </c>
      <c r="B626" t="s">
        <v>5744</v>
      </c>
      <c r="C626" t="s">
        <v>1467</v>
      </c>
      <c r="D626" t="s">
        <v>1467</v>
      </c>
      <c r="E626" t="s">
        <v>1467</v>
      </c>
      <c r="F626" t="s">
        <v>5921</v>
      </c>
      <c r="G626" t="s">
        <v>4257</v>
      </c>
      <c r="H626" t="s">
        <v>5746</v>
      </c>
      <c r="I626" t="s">
        <v>4257</v>
      </c>
      <c r="J626" t="s">
        <v>1501</v>
      </c>
      <c r="O626" t="s">
        <v>3487</v>
      </c>
    </row>
    <row r="627" spans="1:15" x14ac:dyDescent="0.25">
      <c r="A627" s="4" t="s">
        <v>5747</v>
      </c>
      <c r="B627" t="s">
        <v>5748</v>
      </c>
      <c r="C627" t="s">
        <v>1467</v>
      </c>
      <c r="D627" t="s">
        <v>1467</v>
      </c>
      <c r="E627" t="s">
        <v>1467</v>
      </c>
      <c r="F627" t="s">
        <v>5932</v>
      </c>
      <c r="G627" t="s">
        <v>1501</v>
      </c>
      <c r="H627" t="s">
        <v>5750</v>
      </c>
      <c r="I627" t="s">
        <v>1501</v>
      </c>
      <c r="J627" t="s">
        <v>1501</v>
      </c>
      <c r="O627" t="s">
        <v>3487</v>
      </c>
    </row>
    <row r="628" spans="1:15" x14ac:dyDescent="0.25">
      <c r="A628" s="4" t="s">
        <v>5754</v>
      </c>
      <c r="B628" t="s">
        <v>5755</v>
      </c>
      <c r="C628" t="s">
        <v>1467</v>
      </c>
      <c r="D628" t="s">
        <v>1467</v>
      </c>
      <c r="E628" t="s">
        <v>1467</v>
      </c>
      <c r="F628" t="s">
        <v>5951</v>
      </c>
      <c r="G628" t="s">
        <v>1501</v>
      </c>
      <c r="H628" t="s">
        <v>1467</v>
      </c>
      <c r="I628" t="s">
        <v>1467</v>
      </c>
      <c r="J628" t="s">
        <v>1501</v>
      </c>
      <c r="O628" t="s">
        <v>3487</v>
      </c>
    </row>
    <row r="629" spans="1:15" x14ac:dyDescent="0.25">
      <c r="A629" s="4" t="s">
        <v>5759</v>
      </c>
      <c r="B629" t="s">
        <v>5760</v>
      </c>
      <c r="C629" t="s">
        <v>1467</v>
      </c>
      <c r="D629" t="s">
        <v>1467</v>
      </c>
      <c r="E629" t="s">
        <v>1467</v>
      </c>
      <c r="F629" t="s">
        <v>5954</v>
      </c>
      <c r="G629" t="s">
        <v>1501</v>
      </c>
      <c r="H629" t="s">
        <v>1467</v>
      </c>
      <c r="I629" t="s">
        <v>1467</v>
      </c>
      <c r="J629" t="s">
        <v>1501</v>
      </c>
      <c r="O629" t="s">
        <v>3487</v>
      </c>
    </row>
    <row r="630" spans="1:15" x14ac:dyDescent="0.25">
      <c r="A630" s="4" t="s">
        <v>5762</v>
      </c>
      <c r="B630" t="s">
        <v>5763</v>
      </c>
      <c r="C630" t="s">
        <v>1467</v>
      </c>
      <c r="D630" t="s">
        <v>1467</v>
      </c>
      <c r="E630" t="s">
        <v>1467</v>
      </c>
      <c r="F630" t="s">
        <v>6005</v>
      </c>
      <c r="G630" t="s">
        <v>1501</v>
      </c>
      <c r="H630" t="s">
        <v>1467</v>
      </c>
      <c r="I630" t="s">
        <v>1467</v>
      </c>
      <c r="J630" t="s">
        <v>1501</v>
      </c>
      <c r="O630" t="s">
        <v>3487</v>
      </c>
    </row>
    <row r="631" spans="1:15" x14ac:dyDescent="0.25">
      <c r="A631" s="4" t="s">
        <v>5765</v>
      </c>
      <c r="B631" t="s">
        <v>5766</v>
      </c>
      <c r="C631" t="s">
        <v>1467</v>
      </c>
      <c r="D631" t="s">
        <v>1467</v>
      </c>
      <c r="E631" t="s">
        <v>1467</v>
      </c>
      <c r="F631" t="s">
        <v>6014</v>
      </c>
      <c r="G631" t="s">
        <v>1501</v>
      </c>
      <c r="H631" t="s">
        <v>1467</v>
      </c>
      <c r="I631" t="s">
        <v>1467</v>
      </c>
      <c r="J631" t="s">
        <v>1501</v>
      </c>
      <c r="O631" t="s">
        <v>3489</v>
      </c>
    </row>
    <row r="632" spans="1:15" x14ac:dyDescent="0.25">
      <c r="A632" s="4" t="s">
        <v>5775</v>
      </c>
      <c r="B632" t="s">
        <v>5776</v>
      </c>
      <c r="C632" t="s">
        <v>1467</v>
      </c>
      <c r="D632" t="s">
        <v>1467</v>
      </c>
      <c r="E632" t="s">
        <v>1467</v>
      </c>
      <c r="F632" t="s">
        <v>6017</v>
      </c>
      <c r="G632" t="s">
        <v>1501</v>
      </c>
      <c r="H632" t="s">
        <v>1467</v>
      </c>
      <c r="I632" t="s">
        <v>1467</v>
      </c>
      <c r="J632" t="s">
        <v>1501</v>
      </c>
      <c r="O632" t="s">
        <v>3489</v>
      </c>
    </row>
    <row r="633" spans="1:15" x14ac:dyDescent="0.25">
      <c r="A633" s="4" t="s">
        <v>5778</v>
      </c>
      <c r="B633" t="s">
        <v>5779</v>
      </c>
      <c r="C633" t="s">
        <v>1467</v>
      </c>
      <c r="D633" t="s">
        <v>1467</v>
      </c>
      <c r="E633" t="s">
        <v>1467</v>
      </c>
      <c r="F633" t="s">
        <v>6020</v>
      </c>
      <c r="G633" t="s">
        <v>1501</v>
      </c>
      <c r="H633" t="s">
        <v>1467</v>
      </c>
      <c r="I633" t="s">
        <v>1467</v>
      </c>
      <c r="J633" t="s">
        <v>1501</v>
      </c>
      <c r="O633" t="s">
        <v>3489</v>
      </c>
    </row>
    <row r="634" spans="1:15" x14ac:dyDescent="0.25">
      <c r="A634" s="4" t="s">
        <v>5781</v>
      </c>
      <c r="B634" t="s">
        <v>5782</v>
      </c>
      <c r="C634" t="s">
        <v>1467</v>
      </c>
      <c r="D634" t="s">
        <v>1467</v>
      </c>
      <c r="E634" t="s">
        <v>1467</v>
      </c>
      <c r="F634" t="s">
        <v>6025</v>
      </c>
      <c r="G634" t="s">
        <v>1501</v>
      </c>
      <c r="H634" t="s">
        <v>1467</v>
      </c>
      <c r="I634" t="s">
        <v>1467</v>
      </c>
      <c r="J634" t="s">
        <v>1501</v>
      </c>
      <c r="O634" t="s">
        <v>3487</v>
      </c>
    </row>
    <row r="635" spans="1:15" x14ac:dyDescent="0.25">
      <c r="A635" s="4" t="s">
        <v>5784</v>
      </c>
      <c r="B635" t="s">
        <v>5785</v>
      </c>
      <c r="C635" t="s">
        <v>5786</v>
      </c>
      <c r="D635" t="s">
        <v>1467</v>
      </c>
      <c r="E635" t="s">
        <v>1467</v>
      </c>
      <c r="F635" t="s">
        <v>6028</v>
      </c>
      <c r="G635" t="s">
        <v>2512</v>
      </c>
      <c r="H635" t="s">
        <v>5788</v>
      </c>
      <c r="I635" t="s">
        <v>1467</v>
      </c>
      <c r="J635" t="s">
        <v>1849</v>
      </c>
      <c r="N635">
        <v>45</v>
      </c>
      <c r="O635" t="s">
        <v>3489</v>
      </c>
    </row>
    <row r="636" spans="1:15" x14ac:dyDescent="0.25">
      <c r="A636" s="4" t="s">
        <v>5789</v>
      </c>
      <c r="B636" t="s">
        <v>5790</v>
      </c>
      <c r="C636" t="s">
        <v>1467</v>
      </c>
      <c r="D636" t="s">
        <v>1467</v>
      </c>
      <c r="E636" t="s">
        <v>1467</v>
      </c>
      <c r="F636" t="s">
        <v>6031</v>
      </c>
      <c r="G636" t="s">
        <v>1501</v>
      </c>
      <c r="H636" t="s">
        <v>1467</v>
      </c>
      <c r="I636" t="s">
        <v>1467</v>
      </c>
      <c r="J636" t="s">
        <v>1501</v>
      </c>
      <c r="O636" t="s">
        <v>3487</v>
      </c>
    </row>
    <row r="637" spans="1:15" x14ac:dyDescent="0.25">
      <c r="A637" s="4" t="s">
        <v>5808</v>
      </c>
      <c r="B637" t="s">
        <v>5809</v>
      </c>
      <c r="C637" t="s">
        <v>1467</v>
      </c>
      <c r="D637" t="s">
        <v>1467</v>
      </c>
      <c r="E637" t="s">
        <v>1467</v>
      </c>
      <c r="F637" t="s">
        <v>6034</v>
      </c>
      <c r="G637" t="s">
        <v>1501</v>
      </c>
      <c r="H637" t="s">
        <v>1467</v>
      </c>
      <c r="I637" t="s">
        <v>1467</v>
      </c>
      <c r="J637" t="s">
        <v>1501</v>
      </c>
      <c r="O637" t="s">
        <v>3487</v>
      </c>
    </row>
    <row r="638" spans="1:15" x14ac:dyDescent="0.25">
      <c r="A638" s="4" t="s">
        <v>5911</v>
      </c>
      <c r="B638" t="s">
        <v>4934</v>
      </c>
      <c r="C638" t="s">
        <v>4935</v>
      </c>
      <c r="D638" t="s">
        <v>1467</v>
      </c>
      <c r="E638" t="s">
        <v>1467</v>
      </c>
      <c r="F638" t="s">
        <v>6037</v>
      </c>
      <c r="G638" t="s">
        <v>4938</v>
      </c>
      <c r="H638" t="s">
        <v>1467</v>
      </c>
      <c r="I638" t="s">
        <v>1467</v>
      </c>
      <c r="J638" t="s">
        <v>1849</v>
      </c>
      <c r="N638">
        <v>30</v>
      </c>
      <c r="O638" t="s">
        <v>3490</v>
      </c>
    </row>
    <row r="639" spans="1:15" x14ac:dyDescent="0.25">
      <c r="A639" s="4" t="s">
        <v>5914</v>
      </c>
      <c r="B639" t="s">
        <v>5915</v>
      </c>
      <c r="C639" t="s">
        <v>4434</v>
      </c>
      <c r="D639" t="s">
        <v>1467</v>
      </c>
      <c r="E639" t="s">
        <v>1467</v>
      </c>
      <c r="F639" t="s">
        <v>6044</v>
      </c>
      <c r="G639" t="s">
        <v>5412</v>
      </c>
      <c r="H639" t="s">
        <v>5917</v>
      </c>
      <c r="I639" t="s">
        <v>5918</v>
      </c>
      <c r="J639" t="s">
        <v>1445</v>
      </c>
      <c r="O639" t="s">
        <v>3490</v>
      </c>
    </row>
    <row r="640" spans="1:15" x14ac:dyDescent="0.25">
      <c r="A640" s="4" t="s">
        <v>5919</v>
      </c>
      <c r="B640" t="s">
        <v>5920</v>
      </c>
      <c r="C640" t="s">
        <v>1467</v>
      </c>
      <c r="D640" t="s">
        <v>1467</v>
      </c>
      <c r="E640" t="s">
        <v>1467</v>
      </c>
      <c r="F640" t="s">
        <v>6047</v>
      </c>
      <c r="G640" t="s">
        <v>1501</v>
      </c>
      <c r="H640" t="s">
        <v>1467</v>
      </c>
      <c r="I640" t="s">
        <v>1501</v>
      </c>
      <c r="J640" t="s">
        <v>1501</v>
      </c>
      <c r="O640" t="s">
        <v>3487</v>
      </c>
    </row>
    <row r="641" spans="1:15" x14ac:dyDescent="0.25">
      <c r="A641" s="4" t="s">
        <v>5930</v>
      </c>
      <c r="B641" t="s">
        <v>5931</v>
      </c>
      <c r="C641" t="s">
        <v>1467</v>
      </c>
      <c r="D641" t="s">
        <v>1467</v>
      </c>
      <c r="E641" t="s">
        <v>1467</v>
      </c>
      <c r="F641" t="s">
        <v>6050</v>
      </c>
      <c r="G641" t="s">
        <v>1501</v>
      </c>
      <c r="H641" t="s">
        <v>1467</v>
      </c>
      <c r="I641" t="s">
        <v>1501</v>
      </c>
      <c r="J641" t="s">
        <v>1501</v>
      </c>
      <c r="O641" t="s">
        <v>3489</v>
      </c>
    </row>
    <row r="642" spans="1:15" x14ac:dyDescent="0.25">
      <c r="A642" s="4" t="s">
        <v>5949</v>
      </c>
      <c r="B642" t="s">
        <v>5950</v>
      </c>
      <c r="C642" t="s">
        <v>1467</v>
      </c>
      <c r="D642" t="s">
        <v>1467</v>
      </c>
      <c r="E642" t="s">
        <v>1467</v>
      </c>
      <c r="F642" t="s">
        <v>5153</v>
      </c>
      <c r="G642" t="s">
        <v>1501</v>
      </c>
      <c r="H642" t="s">
        <v>1467</v>
      </c>
      <c r="I642" t="s">
        <v>1501</v>
      </c>
      <c r="J642" t="s">
        <v>1501</v>
      </c>
      <c r="O642" t="s">
        <v>3487</v>
      </c>
    </row>
    <row r="643" spans="1:15" x14ac:dyDescent="0.25">
      <c r="A643" s="4" t="s">
        <v>5952</v>
      </c>
      <c r="B643" t="s">
        <v>5953</v>
      </c>
      <c r="C643" t="s">
        <v>1467</v>
      </c>
      <c r="D643" t="s">
        <v>1467</v>
      </c>
      <c r="E643" t="s">
        <v>1467</v>
      </c>
      <c r="F643" t="s">
        <v>6065</v>
      </c>
      <c r="G643" t="s">
        <v>1501</v>
      </c>
      <c r="H643" t="s">
        <v>1467</v>
      </c>
      <c r="I643" t="s">
        <v>1467</v>
      </c>
      <c r="J643" t="s">
        <v>1501</v>
      </c>
      <c r="O643" t="s">
        <v>3487</v>
      </c>
    </row>
    <row r="644" spans="1:15" x14ac:dyDescent="0.25">
      <c r="A644" s="4" t="s">
        <v>6003</v>
      </c>
      <c r="B644" t="s">
        <v>6004</v>
      </c>
      <c r="C644" t="s">
        <v>1467</v>
      </c>
      <c r="D644" t="s">
        <v>1467</v>
      </c>
      <c r="E644" t="s">
        <v>1467</v>
      </c>
      <c r="F644" t="s">
        <v>6084</v>
      </c>
      <c r="G644" t="s">
        <v>1501</v>
      </c>
      <c r="H644" t="s">
        <v>1467</v>
      </c>
      <c r="I644" t="s">
        <v>1501</v>
      </c>
      <c r="J644" t="s">
        <v>1501</v>
      </c>
      <c r="O644" t="s">
        <v>3487</v>
      </c>
    </row>
    <row r="645" spans="1:15" x14ac:dyDescent="0.25">
      <c r="A645" s="4" t="s">
        <v>6012</v>
      </c>
      <c r="B645" t="s">
        <v>6013</v>
      </c>
      <c r="C645" t="s">
        <v>1467</v>
      </c>
      <c r="D645" t="s">
        <v>1467</v>
      </c>
      <c r="E645" t="s">
        <v>1467</v>
      </c>
      <c r="F645" t="s">
        <v>6087</v>
      </c>
      <c r="G645" t="s">
        <v>1501</v>
      </c>
      <c r="H645" t="s">
        <v>1467</v>
      </c>
      <c r="I645" t="s">
        <v>1467</v>
      </c>
      <c r="J645" t="s">
        <v>1501</v>
      </c>
      <c r="O645" t="s">
        <v>3487</v>
      </c>
    </row>
    <row r="646" spans="1:15" x14ac:dyDescent="0.25">
      <c r="A646" s="4" t="s">
        <v>6015</v>
      </c>
      <c r="B646" t="s">
        <v>6016</v>
      </c>
      <c r="C646" t="s">
        <v>1467</v>
      </c>
      <c r="D646" t="s">
        <v>1467</v>
      </c>
      <c r="E646" t="s">
        <v>1467</v>
      </c>
      <c r="F646" t="s">
        <v>6101</v>
      </c>
      <c r="G646" t="s">
        <v>1501</v>
      </c>
      <c r="H646" t="s">
        <v>1467</v>
      </c>
      <c r="I646" t="s">
        <v>1467</v>
      </c>
      <c r="J646" t="s">
        <v>1501</v>
      </c>
      <c r="O646" t="s">
        <v>3487</v>
      </c>
    </row>
    <row r="647" spans="1:15" x14ac:dyDescent="0.25">
      <c r="A647" s="4" t="s">
        <v>6018</v>
      </c>
      <c r="B647" t="s">
        <v>6019</v>
      </c>
      <c r="C647" t="s">
        <v>1467</v>
      </c>
      <c r="D647" t="s">
        <v>1467</v>
      </c>
      <c r="E647" t="s">
        <v>1467</v>
      </c>
      <c r="F647" t="s">
        <v>6104</v>
      </c>
      <c r="G647" t="s">
        <v>1501</v>
      </c>
      <c r="H647" t="s">
        <v>1467</v>
      </c>
      <c r="I647" t="s">
        <v>1467</v>
      </c>
      <c r="J647" t="s">
        <v>1501</v>
      </c>
      <c r="O647" t="s">
        <v>3487</v>
      </c>
    </row>
    <row r="648" spans="1:15" x14ac:dyDescent="0.25">
      <c r="A648" s="4" t="s">
        <v>6023</v>
      </c>
      <c r="B648" t="s">
        <v>6024</v>
      </c>
      <c r="C648" t="s">
        <v>1467</v>
      </c>
      <c r="D648" t="s">
        <v>1467</v>
      </c>
      <c r="E648" t="s">
        <v>1467</v>
      </c>
      <c r="F648" t="s">
        <v>6110</v>
      </c>
      <c r="G648" t="s">
        <v>1501</v>
      </c>
      <c r="H648" t="s">
        <v>1467</v>
      </c>
      <c r="I648" t="s">
        <v>1467</v>
      </c>
      <c r="J648" t="s">
        <v>1501</v>
      </c>
      <c r="O648" t="s">
        <v>3489</v>
      </c>
    </row>
    <row r="649" spans="1:15" x14ac:dyDescent="0.25">
      <c r="A649" s="4" t="s">
        <v>6026</v>
      </c>
      <c r="B649" t="s">
        <v>6027</v>
      </c>
      <c r="C649" t="s">
        <v>1467</v>
      </c>
      <c r="D649" t="s">
        <v>1467</v>
      </c>
      <c r="E649" t="s">
        <v>1467</v>
      </c>
      <c r="F649" t="s">
        <v>2686</v>
      </c>
      <c r="G649" t="s">
        <v>1501</v>
      </c>
      <c r="H649" t="s">
        <v>1467</v>
      </c>
      <c r="I649" t="s">
        <v>1467</v>
      </c>
      <c r="J649" t="s">
        <v>1501</v>
      </c>
      <c r="O649" t="s">
        <v>3487</v>
      </c>
    </row>
    <row r="650" spans="1:15" x14ac:dyDescent="0.25">
      <c r="A650" s="4" t="s">
        <v>6029</v>
      </c>
      <c r="B650" t="s">
        <v>6030</v>
      </c>
      <c r="C650" t="s">
        <v>1467</v>
      </c>
      <c r="D650" t="s">
        <v>1467</v>
      </c>
      <c r="E650" t="s">
        <v>1467</v>
      </c>
      <c r="F650" t="s">
        <v>6117</v>
      </c>
      <c r="G650" t="s">
        <v>1501</v>
      </c>
      <c r="H650" t="s">
        <v>1467</v>
      </c>
      <c r="I650" t="s">
        <v>1467</v>
      </c>
      <c r="J650" t="s">
        <v>1501</v>
      </c>
      <c r="O650" t="s">
        <v>3487</v>
      </c>
    </row>
    <row r="651" spans="1:15" x14ac:dyDescent="0.25">
      <c r="A651" s="4" t="s">
        <v>6032</v>
      </c>
      <c r="B651" t="s">
        <v>6033</v>
      </c>
      <c r="C651" t="s">
        <v>1467</v>
      </c>
      <c r="D651" t="s">
        <v>1467</v>
      </c>
      <c r="E651" t="s">
        <v>1467</v>
      </c>
      <c r="F651" t="s">
        <v>6121</v>
      </c>
      <c r="G651" t="s">
        <v>1501</v>
      </c>
      <c r="H651" t="s">
        <v>1467</v>
      </c>
      <c r="I651" t="s">
        <v>1467</v>
      </c>
      <c r="J651" t="s">
        <v>1501</v>
      </c>
      <c r="O651" t="s">
        <v>3487</v>
      </c>
    </row>
    <row r="652" spans="1:15" x14ac:dyDescent="0.25">
      <c r="A652" s="4" t="s">
        <v>6035</v>
      </c>
      <c r="B652" t="s">
        <v>6036</v>
      </c>
      <c r="C652" t="s">
        <v>1467</v>
      </c>
      <c r="D652" t="s">
        <v>1467</v>
      </c>
      <c r="E652" t="s">
        <v>1467</v>
      </c>
      <c r="H652" t="s">
        <v>1467</v>
      </c>
      <c r="I652" t="s">
        <v>1467</v>
      </c>
      <c r="J652" t="s">
        <v>1501</v>
      </c>
      <c r="O652" t="s">
        <v>3487</v>
      </c>
    </row>
    <row r="653" spans="1:15" x14ac:dyDescent="0.25">
      <c r="A653" s="4" t="s">
        <v>6042</v>
      </c>
      <c r="B653" t="s">
        <v>6043</v>
      </c>
      <c r="C653" t="s">
        <v>1467</v>
      </c>
      <c r="D653" t="s">
        <v>1467</v>
      </c>
      <c r="E653" t="s">
        <v>1467</v>
      </c>
      <c r="H653" t="s">
        <v>1467</v>
      </c>
      <c r="I653" t="s">
        <v>1467</v>
      </c>
      <c r="J653" t="s">
        <v>1501</v>
      </c>
      <c r="O653" t="s">
        <v>3487</v>
      </c>
    </row>
    <row r="654" spans="1:15" x14ac:dyDescent="0.25">
      <c r="A654" s="4" t="s">
        <v>6045</v>
      </c>
      <c r="B654" t="s">
        <v>6046</v>
      </c>
      <c r="C654" t="s">
        <v>1467</v>
      </c>
      <c r="D654" t="s">
        <v>1467</v>
      </c>
      <c r="E654" t="s">
        <v>1467</v>
      </c>
      <c r="H654" t="s">
        <v>1467</v>
      </c>
      <c r="I654" t="s">
        <v>1467</v>
      </c>
      <c r="J654" t="s">
        <v>1501</v>
      </c>
      <c r="O654" t="s">
        <v>3487</v>
      </c>
    </row>
    <row r="655" spans="1:15" x14ac:dyDescent="0.25">
      <c r="A655" s="4" t="s">
        <v>6048</v>
      </c>
      <c r="B655" t="s">
        <v>6049</v>
      </c>
      <c r="C655" t="s">
        <v>1467</v>
      </c>
      <c r="D655" t="s">
        <v>1467</v>
      </c>
      <c r="E655" t="s">
        <v>1467</v>
      </c>
      <c r="H655" t="s">
        <v>1467</v>
      </c>
      <c r="I655" t="s">
        <v>1467</v>
      </c>
      <c r="J655" t="s">
        <v>1501</v>
      </c>
      <c r="O655" t="s">
        <v>3487</v>
      </c>
    </row>
    <row r="656" spans="1:15" x14ac:dyDescent="0.25">
      <c r="A656" s="4" t="s">
        <v>6051</v>
      </c>
      <c r="B656" t="s">
        <v>6052</v>
      </c>
      <c r="C656" t="s">
        <v>1467</v>
      </c>
      <c r="D656" t="s">
        <v>1467</v>
      </c>
      <c r="E656" t="s">
        <v>1467</v>
      </c>
      <c r="H656" t="s">
        <v>1467</v>
      </c>
      <c r="I656" t="s">
        <v>1467</v>
      </c>
      <c r="J656" t="s">
        <v>1501</v>
      </c>
      <c r="O656" t="s">
        <v>3487</v>
      </c>
    </row>
    <row r="657" spans="1:15" x14ac:dyDescent="0.25">
      <c r="A657" s="4" t="s">
        <v>6063</v>
      </c>
      <c r="B657" t="s">
        <v>6064</v>
      </c>
      <c r="C657" t="s">
        <v>1467</v>
      </c>
      <c r="D657" t="s">
        <v>1467</v>
      </c>
      <c r="E657" t="s">
        <v>1467</v>
      </c>
      <c r="H657" t="s">
        <v>1467</v>
      </c>
      <c r="I657" t="s">
        <v>1467</v>
      </c>
      <c r="J657" t="s">
        <v>1501</v>
      </c>
      <c r="O657" t="s">
        <v>3489</v>
      </c>
    </row>
    <row r="658" spans="1:15" x14ac:dyDescent="0.25">
      <c r="A658" s="4" t="s">
        <v>6082</v>
      </c>
      <c r="B658" t="s">
        <v>6083</v>
      </c>
      <c r="C658" t="s">
        <v>1467</v>
      </c>
      <c r="D658" t="s">
        <v>1467</v>
      </c>
      <c r="E658" t="s">
        <v>1467</v>
      </c>
      <c r="H658" t="s">
        <v>1467</v>
      </c>
      <c r="I658" t="s">
        <v>1467</v>
      </c>
      <c r="J658" t="s">
        <v>1501</v>
      </c>
      <c r="O658" t="s">
        <v>3489</v>
      </c>
    </row>
    <row r="659" spans="1:15" x14ac:dyDescent="0.25">
      <c r="A659" s="4" t="s">
        <v>6085</v>
      </c>
      <c r="B659" t="s">
        <v>6086</v>
      </c>
      <c r="C659" t="s">
        <v>1467</v>
      </c>
      <c r="D659" t="s">
        <v>1467</v>
      </c>
      <c r="E659" t="s">
        <v>1467</v>
      </c>
      <c r="H659" t="s">
        <v>1467</v>
      </c>
      <c r="I659" t="s">
        <v>1467</v>
      </c>
      <c r="J659" t="s">
        <v>1501</v>
      </c>
      <c r="O659" t="s">
        <v>3487</v>
      </c>
    </row>
    <row r="660" spans="1:15" x14ac:dyDescent="0.25">
      <c r="A660" s="4" t="s">
        <v>6099</v>
      </c>
      <c r="B660" t="s">
        <v>6100</v>
      </c>
      <c r="C660" t="s">
        <v>1467</v>
      </c>
      <c r="D660" t="s">
        <v>1467</v>
      </c>
      <c r="E660" t="s">
        <v>1467</v>
      </c>
      <c r="H660" t="s">
        <v>1467</v>
      </c>
      <c r="I660" t="s">
        <v>1467</v>
      </c>
      <c r="J660" t="s">
        <v>1501</v>
      </c>
      <c r="O660" t="s">
        <v>5060</v>
      </c>
    </row>
    <row r="661" spans="1:15" x14ac:dyDescent="0.25">
      <c r="A661" s="4" t="s">
        <v>6102</v>
      </c>
      <c r="B661" t="s">
        <v>6103</v>
      </c>
      <c r="C661" t="s">
        <v>1467</v>
      </c>
      <c r="D661" t="s">
        <v>1467</v>
      </c>
      <c r="E661" t="s">
        <v>1467</v>
      </c>
      <c r="H661" t="s">
        <v>1467</v>
      </c>
      <c r="I661" t="s">
        <v>1467</v>
      </c>
      <c r="J661" t="s">
        <v>1501</v>
      </c>
      <c r="O661" t="s">
        <v>5060</v>
      </c>
    </row>
    <row r="662" spans="1:15" x14ac:dyDescent="0.25">
      <c r="A662" s="4" t="s">
        <v>6108</v>
      </c>
      <c r="B662" t="s">
        <v>6109</v>
      </c>
      <c r="C662" t="s">
        <v>1467</v>
      </c>
      <c r="D662" t="s">
        <v>1467</v>
      </c>
      <c r="E662" t="s">
        <v>1467</v>
      </c>
      <c r="H662" t="s">
        <v>1467</v>
      </c>
      <c r="I662" t="s">
        <v>1467</v>
      </c>
      <c r="J662" t="s">
        <v>1501</v>
      </c>
      <c r="O662" t="s">
        <v>3489</v>
      </c>
    </row>
    <row r="663" spans="1:15" x14ac:dyDescent="0.25">
      <c r="A663" s="4" t="s">
        <v>6111</v>
      </c>
      <c r="B663" t="s">
        <v>6112</v>
      </c>
      <c r="C663" t="s">
        <v>1467</v>
      </c>
      <c r="D663" t="s">
        <v>1467</v>
      </c>
      <c r="E663" t="s">
        <v>1467</v>
      </c>
      <c r="H663" t="s">
        <v>1467</v>
      </c>
      <c r="I663" t="s">
        <v>1467</v>
      </c>
      <c r="J663" t="s">
        <v>1501</v>
      </c>
      <c r="O663" t="s">
        <v>3489</v>
      </c>
    </row>
    <row r="664" spans="1:15" x14ac:dyDescent="0.25">
      <c r="A664" s="4" t="s">
        <v>6115</v>
      </c>
      <c r="B664" t="s">
        <v>6116</v>
      </c>
      <c r="C664" t="s">
        <v>1467</v>
      </c>
      <c r="D664" t="s">
        <v>1467</v>
      </c>
      <c r="E664" t="s">
        <v>1467</v>
      </c>
      <c r="H664" t="s">
        <v>6118</v>
      </c>
      <c r="I664" t="s">
        <v>1467</v>
      </c>
      <c r="J664" t="s">
        <v>1501</v>
      </c>
      <c r="O664" t="s">
        <v>3489</v>
      </c>
    </row>
    <row r="665" spans="1:15" x14ac:dyDescent="0.25">
      <c r="A665" s="4" t="s">
        <v>6119</v>
      </c>
      <c r="B665" t="s">
        <v>6120</v>
      </c>
      <c r="C665" t="s">
        <v>1467</v>
      </c>
      <c r="D665" t="s">
        <v>1467</v>
      </c>
      <c r="E665" t="s">
        <v>1467</v>
      </c>
      <c r="H665" t="s">
        <v>1467</v>
      </c>
      <c r="I665" t="s">
        <v>1467</v>
      </c>
      <c r="J665" t="s">
        <v>1501</v>
      </c>
      <c r="O665" t="s">
        <v>3487</v>
      </c>
    </row>
  </sheetData>
  <autoFilter ref="A2:O665">
    <sortState ref="A3:O430">
      <sortCondition ref="A2:A428"/>
    </sortState>
  </autoFilter>
  <pageMargins left="0.7" right="0.7" top="0.75" bottom="0.75" header="0.3" footer="0.3"/>
  <pageSetup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theme="4"/>
    <pageSetUpPr fitToPage="1"/>
  </sheetPr>
  <dimension ref="A1:R22"/>
  <sheetViews>
    <sheetView showGridLines="0" zoomScale="70" zoomScaleNormal="70" workbookViewId="0">
      <selection activeCell="E17" sqref="E17"/>
    </sheetView>
  </sheetViews>
  <sheetFormatPr baseColWidth="10" defaultColWidth="10.7109375" defaultRowHeight="15" x14ac:dyDescent="0.25"/>
  <cols>
    <col min="1" max="3" width="9.28515625" customWidth="1"/>
    <col min="4" max="4" width="11.42578125" customWidth="1"/>
    <col min="5" max="5" width="46.5703125" bestFit="1" customWidth="1"/>
    <col min="6" max="6" width="17.140625" customWidth="1"/>
    <col min="7" max="7" width="17.7109375" customWidth="1"/>
    <col min="8" max="8" width="13" bestFit="1" customWidth="1"/>
    <col min="9" max="9" width="12.85546875" bestFit="1" customWidth="1"/>
    <col min="11" max="11" width="13.85546875" bestFit="1" customWidth="1"/>
    <col min="12" max="12" width="14.28515625" bestFit="1" customWidth="1"/>
    <col min="13" max="13" width="12.7109375" bestFit="1" customWidth="1"/>
    <col min="14" max="14" width="12" bestFit="1" customWidth="1"/>
    <col min="15" max="15" width="17.140625" bestFit="1" customWidth="1"/>
    <col min="16" max="16" width="3.7109375" customWidth="1"/>
    <col min="17" max="17" width="19.85546875" bestFit="1" customWidth="1"/>
    <col min="18" max="18" width="11.7109375" bestFit="1" customWidth="1"/>
  </cols>
  <sheetData>
    <row r="1" spans="1:18" ht="15.75" thickBot="1" x14ac:dyDescent="0.25"/>
    <row r="2" spans="1:18" ht="25.5" customHeight="1" x14ac:dyDescent="0.2">
      <c r="A2" s="701" t="s">
        <v>4353</v>
      </c>
      <c r="B2" s="701"/>
      <c r="C2" s="701"/>
      <c r="D2" s="701"/>
      <c r="E2" s="701"/>
      <c r="F2" s="701"/>
      <c r="G2" s="701"/>
      <c r="H2" s="701"/>
      <c r="I2" s="701"/>
      <c r="J2" s="701"/>
      <c r="K2" s="702"/>
      <c r="L2" s="227" t="s">
        <v>4354</v>
      </c>
      <c r="M2" s="699"/>
      <c r="N2" s="700"/>
    </row>
    <row r="3" spans="1:18" ht="23.25" customHeight="1" thickBot="1" x14ac:dyDescent="0.25">
      <c r="L3" s="228" t="s">
        <v>4355</v>
      </c>
      <c r="M3" s="697"/>
      <c r="N3" s="698"/>
    </row>
    <row r="4" spans="1:18" ht="18" customHeight="1" x14ac:dyDescent="0.25">
      <c r="A4" s="724" t="s">
        <v>2398</v>
      </c>
      <c r="B4" s="725"/>
      <c r="C4" s="725"/>
      <c r="D4" s="725"/>
      <c r="E4" s="725"/>
      <c r="F4" s="725"/>
      <c r="G4" s="725"/>
      <c r="H4" s="725"/>
      <c r="I4" s="725"/>
      <c r="J4" s="725"/>
      <c r="K4" s="725"/>
      <c r="L4" s="726"/>
      <c r="M4" s="726"/>
      <c r="N4" s="726"/>
      <c r="O4" s="727"/>
    </row>
    <row r="5" spans="1:18" ht="18" customHeight="1" thickBot="1" x14ac:dyDescent="0.3">
      <c r="A5" s="728"/>
      <c r="B5" s="729"/>
      <c r="C5" s="729"/>
      <c r="D5" s="729"/>
      <c r="E5" s="729"/>
      <c r="F5" s="729"/>
      <c r="G5" s="729"/>
      <c r="H5" s="729"/>
      <c r="I5" s="729"/>
      <c r="J5" s="729"/>
      <c r="K5" s="729"/>
      <c r="L5" s="729"/>
      <c r="M5" s="729"/>
      <c r="N5" s="729"/>
      <c r="O5" s="730"/>
    </row>
    <row r="6" spans="1:18" ht="18" customHeight="1" thickBot="1" x14ac:dyDescent="0.35">
      <c r="A6" s="333" t="s">
        <v>4358</v>
      </c>
      <c r="B6" s="333" t="s">
        <v>4359</v>
      </c>
      <c r="C6" s="333" t="s">
        <v>4356</v>
      </c>
      <c r="D6" s="333" t="s">
        <v>4357</v>
      </c>
      <c r="E6" s="334" t="s">
        <v>924</v>
      </c>
      <c r="F6" s="334" t="s">
        <v>2233</v>
      </c>
      <c r="G6" s="334" t="s">
        <v>2234</v>
      </c>
      <c r="H6" s="334" t="s">
        <v>2251</v>
      </c>
      <c r="I6" s="334" t="s">
        <v>2252</v>
      </c>
      <c r="J6" s="335" t="s">
        <v>4241</v>
      </c>
      <c r="K6" s="336" t="s">
        <v>1481</v>
      </c>
      <c r="L6" s="337" t="s">
        <v>1482</v>
      </c>
      <c r="M6" s="333" t="s">
        <v>1487</v>
      </c>
      <c r="N6" s="333" t="s">
        <v>2595</v>
      </c>
      <c r="O6" s="338" t="s">
        <v>4244</v>
      </c>
      <c r="Q6" s="731" t="s">
        <v>4243</v>
      </c>
      <c r="R6" s="732"/>
    </row>
    <row r="7" spans="1:18" ht="18" customHeight="1" x14ac:dyDescent="0.3">
      <c r="A7" s="345"/>
      <c r="B7" s="345"/>
      <c r="C7" s="345"/>
      <c r="D7" s="345"/>
      <c r="E7" s="346"/>
      <c r="F7" s="359"/>
      <c r="G7" s="360"/>
      <c r="H7" s="361"/>
      <c r="I7" s="361"/>
      <c r="J7" s="356"/>
      <c r="K7" s="357"/>
      <c r="L7" s="358"/>
      <c r="M7" s="345"/>
      <c r="N7" s="345"/>
      <c r="O7" s="347"/>
      <c r="Q7" s="341"/>
      <c r="R7" s="342"/>
    </row>
    <row r="8" spans="1:18" ht="18" customHeight="1" thickBot="1" x14ac:dyDescent="0.3">
      <c r="A8" s="348"/>
      <c r="B8" s="348"/>
      <c r="C8" s="348"/>
      <c r="D8" s="348"/>
      <c r="E8" s="348"/>
      <c r="F8" s="355"/>
      <c r="G8" s="351"/>
      <c r="H8" s="352"/>
      <c r="I8" s="352"/>
      <c r="J8" s="356"/>
      <c r="K8" s="357"/>
      <c r="L8" s="358"/>
      <c r="M8" s="349"/>
      <c r="N8" s="349"/>
      <c r="O8" s="350"/>
      <c r="P8" s="253"/>
      <c r="Q8" s="343"/>
      <c r="R8" s="344"/>
    </row>
    <row r="9" spans="1:18" ht="15.75" thickBot="1" x14ac:dyDescent="0.3">
      <c r="F9" s="353">
        <f>+SUM(F7:F8)</f>
        <v>0</v>
      </c>
      <c r="G9" s="353">
        <f>+SUM(G7:G8)</f>
        <v>0</v>
      </c>
      <c r="H9" s="353"/>
      <c r="I9" s="353"/>
      <c r="J9" s="353">
        <f>+SUM(J7:J8)</f>
        <v>0</v>
      </c>
      <c r="K9" s="353">
        <f>+SUM(K7:K8)</f>
        <v>0</v>
      </c>
      <c r="L9" s="354">
        <f>+SUM(L7:L8)</f>
        <v>0</v>
      </c>
      <c r="Q9" s="339"/>
      <c r="R9" s="340">
        <f>+SUM(R7:R8)</f>
        <v>0</v>
      </c>
    </row>
    <row r="10" spans="1:18" ht="15.75" thickBot="1" x14ac:dyDescent="0.3"/>
    <row r="11" spans="1:18" ht="21.75" thickBot="1" x14ac:dyDescent="0.3">
      <c r="H11" s="714" t="s">
        <v>2597</v>
      </c>
      <c r="I11" s="715"/>
      <c r="J11" s="715"/>
      <c r="K11" s="715"/>
      <c r="L11" s="715"/>
      <c r="M11" s="715"/>
      <c r="N11" s="715"/>
      <c r="O11" s="716"/>
    </row>
    <row r="12" spans="1:18" ht="18.75" x14ac:dyDescent="0.3">
      <c r="H12" s="717" t="s">
        <v>4241</v>
      </c>
      <c r="I12" s="718"/>
      <c r="J12" s="719" t="s">
        <v>2596</v>
      </c>
      <c r="K12" s="720"/>
      <c r="L12" s="721" t="s">
        <v>1482</v>
      </c>
      <c r="M12" s="721"/>
      <c r="N12" s="722" t="s">
        <v>1830</v>
      </c>
      <c r="O12" s="723"/>
      <c r="P12" s="218"/>
      <c r="Q12" s="703" t="s">
        <v>1481</v>
      </c>
      <c r="R12" s="704"/>
    </row>
    <row r="13" spans="1:18" ht="19.5" thickBot="1" x14ac:dyDescent="0.35">
      <c r="H13" s="705">
        <f>+J9+LQ!J10</f>
        <v>0</v>
      </c>
      <c r="I13" s="706"/>
      <c r="J13" s="707">
        <f>+K9+LQ!K10+Cob!R13-R9</f>
        <v>0</v>
      </c>
      <c r="K13" s="708"/>
      <c r="L13" s="709">
        <f>+L9+LQ!L10</f>
        <v>0</v>
      </c>
      <c r="M13" s="709"/>
      <c r="N13" s="710">
        <f>+L13+J13+H13</f>
        <v>0</v>
      </c>
      <c r="O13" s="711"/>
      <c r="P13" s="219"/>
      <c r="Q13" s="712">
        <f>+SUM(LQ!$R$1:$R$6)</f>
        <v>0</v>
      </c>
      <c r="R13" s="713"/>
    </row>
    <row r="14" spans="1:18" x14ac:dyDescent="0.25">
      <c r="K14" s="117"/>
      <c r="L14" s="17"/>
      <c r="M14" s="17"/>
      <c r="N14" s="17"/>
      <c r="O14" s="17"/>
      <c r="P14" s="17"/>
      <c r="Q14" s="18"/>
    </row>
    <row r="15" spans="1:18" ht="18.75" x14ac:dyDescent="0.3">
      <c r="M15" s="277" t="s">
        <v>2323</v>
      </c>
      <c r="N15" s="278">
        <f>+Q13-J13</f>
        <v>0</v>
      </c>
      <c r="O15" s="7"/>
    </row>
    <row r="18" spans="5:18" ht="21" x14ac:dyDescent="0.35">
      <c r="L18" s="247"/>
      <c r="M18" s="245"/>
      <c r="N18" s="245"/>
    </row>
    <row r="19" spans="5:18" ht="15.75" x14ac:dyDescent="0.25">
      <c r="E19" s="242"/>
      <c r="F19" s="243"/>
      <c r="G19" s="243"/>
      <c r="H19" s="243"/>
      <c r="I19" s="243"/>
      <c r="J19" s="243"/>
      <c r="K19" s="243"/>
      <c r="L19" s="244"/>
      <c r="M19" s="243"/>
      <c r="N19" s="269"/>
      <c r="Q19" s="116"/>
      <c r="R19" s="274" t="s">
        <v>4488</v>
      </c>
    </row>
    <row r="20" spans="5:18" ht="18.75" x14ac:dyDescent="0.3">
      <c r="E20" s="245"/>
      <c r="F20" s="245"/>
      <c r="G20" s="245"/>
      <c r="H20" s="245"/>
      <c r="I20" s="245"/>
      <c r="J20" s="245"/>
      <c r="K20" s="245"/>
      <c r="L20" s="267"/>
      <c r="M20" s="267"/>
      <c r="N20" s="267"/>
      <c r="O20" s="268"/>
    </row>
    <row r="21" spans="5:18" x14ac:dyDescent="0.25"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Q21" s="26"/>
    </row>
    <row r="22" spans="5:18" ht="21" x14ac:dyDescent="0.35">
      <c r="E22" s="245"/>
      <c r="F22" s="245"/>
      <c r="G22" s="245"/>
      <c r="H22" s="245"/>
      <c r="I22" s="245"/>
      <c r="J22" s="246"/>
      <c r="K22" s="246"/>
    </row>
  </sheetData>
  <mergeCells count="16">
    <mergeCell ref="M3:N3"/>
    <mergeCell ref="M2:N2"/>
    <mergeCell ref="A2:K2"/>
    <mergeCell ref="Q12:R12"/>
    <mergeCell ref="H13:I13"/>
    <mergeCell ref="J13:K13"/>
    <mergeCell ref="L13:M13"/>
    <mergeCell ref="N13:O13"/>
    <mergeCell ref="Q13:R13"/>
    <mergeCell ref="H11:O11"/>
    <mergeCell ref="H12:I12"/>
    <mergeCell ref="J12:K12"/>
    <mergeCell ref="L12:M12"/>
    <mergeCell ref="N12:O12"/>
    <mergeCell ref="A4:O5"/>
    <mergeCell ref="Q6:R6"/>
  </mergeCells>
  <pageMargins left="0.7" right="0.7" top="0.75" bottom="0.75" header="0.3" footer="0.3"/>
  <pageSetup scale="46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LimpiarCob">
                <anchor moveWithCells="1" sizeWithCells="1">
                  <from>
                    <xdr:col>9</xdr:col>
                    <xdr:colOff>38100</xdr:colOff>
                    <xdr:row>1</xdr:row>
                    <xdr:rowOff>123825</xdr:rowOff>
                  </from>
                  <to>
                    <xdr:col>10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4"/>
    <pageSetUpPr fitToPage="1"/>
  </sheetPr>
  <dimension ref="A1:R19"/>
  <sheetViews>
    <sheetView showGridLines="0" zoomScale="80" zoomScaleNormal="80" workbookViewId="0">
      <selection activeCell="E14" sqref="E14"/>
    </sheetView>
  </sheetViews>
  <sheetFormatPr baseColWidth="10" defaultColWidth="10.7109375" defaultRowHeight="15" x14ac:dyDescent="0.25"/>
  <cols>
    <col min="1" max="1" width="8.85546875" bestFit="1" customWidth="1"/>
    <col min="2" max="2" width="9.5703125" bestFit="1" customWidth="1"/>
    <col min="3" max="3" width="7.85546875" customWidth="1"/>
    <col min="4" max="4" width="8.7109375" bestFit="1" customWidth="1"/>
    <col min="5" max="5" width="45.7109375" customWidth="1"/>
    <col min="6" max="6" width="12.28515625" bestFit="1" customWidth="1"/>
    <col min="7" max="7" width="11.42578125" bestFit="1" customWidth="1"/>
    <col min="8" max="8" width="7.42578125" customWidth="1"/>
    <col min="9" max="9" width="12.28515625" bestFit="1" customWidth="1"/>
    <col min="10" max="10" width="12.140625" bestFit="1" customWidth="1"/>
    <col min="11" max="11" width="12.28515625" customWidth="1"/>
    <col min="12" max="12" width="12.28515625" bestFit="1" customWidth="1"/>
    <col min="13" max="13" width="11.28515625" bestFit="1" customWidth="1"/>
    <col min="14" max="14" width="11.7109375" customWidth="1"/>
    <col min="15" max="15" width="11.28515625" customWidth="1"/>
    <col min="16" max="16" width="1.140625" customWidth="1"/>
    <col min="17" max="17" width="11.85546875" bestFit="1" customWidth="1"/>
    <col min="18" max="18" width="12.28515625" bestFit="1" customWidth="1"/>
  </cols>
  <sheetData>
    <row r="1" spans="1:18" ht="21" customHeight="1" thickBot="1" x14ac:dyDescent="0.25">
      <c r="A1" s="151" t="s">
        <v>1486</v>
      </c>
      <c r="Q1" s="135">
        <v>20000</v>
      </c>
      <c r="R1" s="141"/>
    </row>
    <row r="2" spans="1:18" ht="23.25" customHeight="1" x14ac:dyDescent="0.35">
      <c r="A2" s="701" t="s">
        <v>2393</v>
      </c>
      <c r="B2" s="701"/>
      <c r="C2" s="701"/>
      <c r="D2" s="701"/>
      <c r="E2" s="701"/>
      <c r="F2" s="701"/>
      <c r="G2" s="701"/>
      <c r="H2" s="701"/>
      <c r="I2" s="701"/>
      <c r="J2" s="701"/>
      <c r="K2" s="702"/>
      <c r="L2" s="210" t="s">
        <v>2563</v>
      </c>
      <c r="M2" s="733"/>
      <c r="N2" s="734"/>
      <c r="O2" s="74"/>
      <c r="Q2" s="136">
        <v>10000</v>
      </c>
      <c r="R2" s="142"/>
    </row>
    <row r="3" spans="1:18" ht="21" customHeight="1" x14ac:dyDescent="0.2">
      <c r="A3" s="151" t="s">
        <v>1486</v>
      </c>
      <c r="K3" s="137"/>
      <c r="L3" s="211" t="s">
        <v>2564</v>
      </c>
      <c r="M3" s="735"/>
      <c r="N3" s="736"/>
      <c r="O3" s="137"/>
      <c r="Q3" s="136">
        <v>5000</v>
      </c>
      <c r="R3" s="142"/>
    </row>
    <row r="4" spans="1:18" ht="17.25" customHeight="1" x14ac:dyDescent="0.25">
      <c r="A4" s="724" t="s">
        <v>4242</v>
      </c>
      <c r="B4" s="725"/>
      <c r="C4" s="725"/>
      <c r="D4" s="725"/>
      <c r="E4" s="725"/>
      <c r="F4" s="725"/>
      <c r="G4" s="725"/>
      <c r="H4" s="725"/>
      <c r="I4" s="725"/>
      <c r="J4" s="725"/>
      <c r="K4" s="725"/>
      <c r="L4" s="725"/>
      <c r="M4" s="725"/>
      <c r="N4" s="725"/>
      <c r="O4" s="727"/>
      <c r="Q4" s="136">
        <v>2000</v>
      </c>
      <c r="R4" s="142"/>
    </row>
    <row r="5" spans="1:18" ht="17.25" customHeight="1" x14ac:dyDescent="0.25">
      <c r="A5" s="728"/>
      <c r="B5" s="729"/>
      <c r="C5" s="729"/>
      <c r="D5" s="729"/>
      <c r="E5" s="729"/>
      <c r="F5" s="729"/>
      <c r="G5" s="729"/>
      <c r="H5" s="729"/>
      <c r="I5" s="729"/>
      <c r="J5" s="729"/>
      <c r="K5" s="729"/>
      <c r="L5" s="729"/>
      <c r="M5" s="729"/>
      <c r="N5" s="729"/>
      <c r="O5" s="730"/>
      <c r="Q5" s="136">
        <v>1000</v>
      </c>
      <c r="R5" s="142"/>
    </row>
    <row r="6" spans="1:18" ht="17.25" customHeight="1" thickBot="1" x14ac:dyDescent="0.3">
      <c r="A6" s="205" t="s">
        <v>1450</v>
      </c>
      <c r="B6" s="205" t="s">
        <v>2399</v>
      </c>
      <c r="C6" s="205" t="s">
        <v>4356</v>
      </c>
      <c r="D6" s="205" t="s">
        <v>4357</v>
      </c>
      <c r="E6" s="205" t="s">
        <v>924</v>
      </c>
      <c r="F6" s="209" t="s">
        <v>2233</v>
      </c>
      <c r="G6" s="205" t="s">
        <v>2234</v>
      </c>
      <c r="H6" s="205" t="s">
        <v>1460</v>
      </c>
      <c r="I6" s="234" t="s">
        <v>2394</v>
      </c>
      <c r="J6" s="206" t="s">
        <v>4241</v>
      </c>
      <c r="K6" s="207" t="s">
        <v>1481</v>
      </c>
      <c r="L6" s="208" t="s">
        <v>1482</v>
      </c>
      <c r="M6" s="205" t="s">
        <v>1487</v>
      </c>
      <c r="N6" s="205" t="s">
        <v>2595</v>
      </c>
      <c r="O6" s="205" t="s">
        <v>4244</v>
      </c>
      <c r="P6" s="114"/>
      <c r="Q6" s="212" t="s">
        <v>2594</v>
      </c>
      <c r="R6" s="213"/>
    </row>
    <row r="7" spans="1:18" ht="17.25" customHeight="1" x14ac:dyDescent="0.25">
      <c r="A7" s="638"/>
      <c r="B7" s="638"/>
      <c r="C7" s="638"/>
      <c r="D7" s="638"/>
      <c r="E7" s="638"/>
      <c r="F7" s="639"/>
      <c r="G7" s="640"/>
      <c r="H7" s="638"/>
      <c r="I7" s="238"/>
      <c r="J7" s="248"/>
      <c r="K7" s="249"/>
      <c r="L7" s="271"/>
      <c r="M7" s="217"/>
      <c r="N7" s="217"/>
      <c r="O7" s="217"/>
      <c r="Q7" s="257"/>
      <c r="R7" s="255"/>
    </row>
    <row r="8" spans="1:18" ht="17.25" customHeight="1" x14ac:dyDescent="0.25">
      <c r="A8" s="217"/>
      <c r="B8" s="217"/>
      <c r="C8" s="217"/>
      <c r="D8" s="217"/>
      <c r="E8" s="217"/>
      <c r="F8" s="231"/>
      <c r="G8" s="281"/>
      <c r="H8" s="217"/>
      <c r="I8" s="238">
        <f t="shared" ref="I8" si="0">+F8-G8</f>
        <v>0</v>
      </c>
      <c r="J8" s="248"/>
      <c r="K8" s="249"/>
      <c r="L8" s="271"/>
      <c r="M8" s="217"/>
      <c r="N8" s="217"/>
      <c r="O8" s="217"/>
      <c r="Q8" s="257"/>
      <c r="R8" s="255"/>
    </row>
    <row r="9" spans="1:18" ht="17.25" customHeight="1" thickBot="1" x14ac:dyDescent="0.3">
      <c r="A9" s="204"/>
      <c r="B9" s="204"/>
      <c r="C9" s="204"/>
      <c r="D9" s="204"/>
      <c r="E9" s="204"/>
      <c r="F9" s="231"/>
      <c r="G9" s="237"/>
      <c r="H9" s="217"/>
      <c r="I9" s="238">
        <f>+F9-G9</f>
        <v>0</v>
      </c>
      <c r="J9" s="239"/>
      <c r="K9" s="240"/>
      <c r="L9" s="241"/>
      <c r="M9" s="204"/>
      <c r="N9" s="204"/>
      <c r="O9" s="204"/>
      <c r="R9" s="256"/>
    </row>
    <row r="10" spans="1:18" ht="15.75" thickBot="1" x14ac:dyDescent="0.25">
      <c r="F10" s="232">
        <f>+SUM(F7:F9)</f>
        <v>0</v>
      </c>
      <c r="G10" s="280">
        <f>+SUM(G7:G9)</f>
        <v>0</v>
      </c>
      <c r="H10" s="233"/>
      <c r="I10" s="235">
        <f>+F10-G10</f>
        <v>0</v>
      </c>
      <c r="J10" s="236">
        <f>+SUM(J7:J9)</f>
        <v>0</v>
      </c>
      <c r="K10" s="229">
        <f>+SUM(K7:K9)</f>
        <v>0</v>
      </c>
      <c r="L10" s="230">
        <f>+SUM(L7:L9)</f>
        <v>0</v>
      </c>
      <c r="R10" s="7"/>
    </row>
    <row r="11" spans="1:18" ht="17.25" customHeight="1" x14ac:dyDescent="0.2">
      <c r="F11" s="128"/>
      <c r="G11" s="128"/>
      <c r="H11" s="128"/>
      <c r="R11" s="254"/>
    </row>
    <row r="12" spans="1:18" ht="19.5" customHeight="1" x14ac:dyDescent="0.2">
      <c r="E12" s="276"/>
      <c r="F12" s="276"/>
      <c r="G12" s="276"/>
      <c r="H12" s="276"/>
      <c r="I12" s="276"/>
      <c r="J12" s="276"/>
      <c r="K12" s="276"/>
      <c r="L12" s="276"/>
    </row>
    <row r="13" spans="1:18" ht="17.25" customHeight="1" x14ac:dyDescent="0.35">
      <c r="B13" s="38"/>
      <c r="C13" s="38"/>
      <c r="D13" s="38"/>
      <c r="E13" s="482"/>
      <c r="F13" s="483"/>
      <c r="G13" s="482"/>
      <c r="H13" s="482"/>
      <c r="I13" s="643"/>
      <c r="J13" s="644"/>
      <c r="K13" s="645"/>
      <c r="L13" s="646"/>
      <c r="M13" s="647"/>
      <c r="N13" s="276"/>
      <c r="O13" s="399" t="s">
        <v>4785</v>
      </c>
      <c r="P13" s="400">
        <v>49000</v>
      </c>
      <c r="Q13" s="401">
        <f>SUM(R1:R6)</f>
        <v>0</v>
      </c>
      <c r="R13" s="7"/>
    </row>
    <row r="14" spans="1:18" ht="17.25" customHeight="1" x14ac:dyDescent="0.35">
      <c r="C14" s="276"/>
      <c r="D14" s="276"/>
      <c r="E14" s="279"/>
      <c r="F14" s="279"/>
      <c r="G14" s="283"/>
      <c r="H14" s="276"/>
      <c r="I14" s="643"/>
      <c r="J14" s="276"/>
      <c r="K14" s="645"/>
      <c r="L14" s="646"/>
      <c r="M14" s="276"/>
      <c r="N14" s="276"/>
    </row>
    <row r="15" spans="1:18" ht="17.25" customHeight="1" x14ac:dyDescent="0.25">
      <c r="C15" s="276"/>
      <c r="D15" s="276"/>
      <c r="E15" s="245"/>
      <c r="F15" s="245"/>
      <c r="G15" s="276"/>
      <c r="H15" s="276"/>
      <c r="I15" s="592"/>
      <c r="J15" s="591"/>
      <c r="K15" s="591"/>
      <c r="L15" s="591"/>
      <c r="M15" s="591"/>
      <c r="N15" s="591"/>
      <c r="O15" s="323"/>
    </row>
    <row r="16" spans="1:18" ht="17.25" customHeight="1" x14ac:dyDescent="0.25">
      <c r="C16" s="276"/>
      <c r="D16" s="276"/>
      <c r="E16" s="276"/>
      <c r="F16" s="276"/>
      <c r="I16" s="323"/>
      <c r="J16" s="591"/>
      <c r="K16" s="591"/>
      <c r="L16" s="591"/>
      <c r="M16" s="592"/>
      <c r="N16" s="323"/>
      <c r="O16" s="323"/>
    </row>
    <row r="17" ht="17.25" customHeight="1" x14ac:dyDescent="0.25"/>
    <row r="19" ht="17.25" customHeight="1" x14ac:dyDescent="0.25"/>
  </sheetData>
  <mergeCells count="4">
    <mergeCell ref="A4:O5"/>
    <mergeCell ref="A2:K2"/>
    <mergeCell ref="M2:N2"/>
    <mergeCell ref="M3:N3"/>
  </mergeCells>
  <pageMargins left="0.25" right="0.25" top="0.75" bottom="0.75" header="0.3" footer="0.3"/>
  <pageSetup scale="6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otón 2">
              <controlPr defaultSize="0" print="0" autoFill="0" autoPict="0" macro="[0]!LimpiarLQ">
                <anchor moveWithCells="1">
                  <from>
                    <xdr:col>6</xdr:col>
                    <xdr:colOff>161925</xdr:colOff>
                    <xdr:row>1</xdr:row>
                    <xdr:rowOff>85725</xdr:rowOff>
                  </from>
                  <to>
                    <xdr:col>8</xdr:col>
                    <xdr:colOff>114300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1027">
              <controlPr defaultSize="0" print="0" autoFill="0" autoPict="0" macro="[0]!GenerarCOB">
                <anchor moveWithCells="1" sizeWithCells="1">
                  <from>
                    <xdr:col>8</xdr:col>
                    <xdr:colOff>552450</xdr:colOff>
                    <xdr:row>1</xdr:row>
                    <xdr:rowOff>9525</xdr:rowOff>
                  </from>
                  <to>
                    <xdr:col>10</xdr:col>
                    <xdr:colOff>504825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K158"/>
  <sheetViews>
    <sheetView showGridLines="0" zoomScale="85" zoomScaleNormal="85" workbookViewId="0">
      <pane ySplit="2" topLeftCell="A140" activePane="bottomLeft" state="frozen"/>
      <selection pane="bottomLeft" activeCell="B147" sqref="B147"/>
    </sheetView>
  </sheetViews>
  <sheetFormatPr baseColWidth="10" defaultColWidth="10.7109375" defaultRowHeight="15" x14ac:dyDescent="0.25"/>
  <cols>
    <col min="1" max="1" width="13.5703125" style="4" bestFit="1" customWidth="1"/>
    <col min="2" max="2" width="48.85546875" customWidth="1"/>
    <col min="3" max="3" width="12.42578125" style="436" bestFit="1" customWidth="1"/>
    <col min="4" max="4" width="26.42578125" customWidth="1"/>
    <col min="5" max="5" width="18.42578125" bestFit="1" customWidth="1"/>
    <col min="6" max="6" width="27.7109375" customWidth="1"/>
    <col min="7" max="7" width="13.7109375" customWidth="1"/>
    <col min="8" max="8" width="12" customWidth="1"/>
    <col min="9" max="9" width="10.5703125" customWidth="1"/>
    <col min="10" max="10" width="31.7109375" bestFit="1" customWidth="1"/>
    <col min="11" max="11" width="6.42578125" style="432" customWidth="1"/>
  </cols>
  <sheetData>
    <row r="1" spans="1:11" ht="33" customHeight="1" x14ac:dyDescent="0.2"/>
    <row r="2" spans="1:11" s="4" customFormat="1" x14ac:dyDescent="0.25">
      <c r="A2" s="5" t="s">
        <v>1523</v>
      </c>
      <c r="B2" s="5" t="s">
        <v>1162</v>
      </c>
      <c r="C2" s="437" t="s">
        <v>1163</v>
      </c>
      <c r="D2" s="5" t="s">
        <v>1164</v>
      </c>
      <c r="E2" s="5" t="s">
        <v>1165</v>
      </c>
      <c r="F2" s="5" t="s">
        <v>1166</v>
      </c>
      <c r="G2" s="5" t="s">
        <v>1167</v>
      </c>
      <c r="H2" s="5" t="s">
        <v>1171</v>
      </c>
      <c r="I2" s="5" t="s">
        <v>1172</v>
      </c>
      <c r="J2" s="5" t="s">
        <v>1173</v>
      </c>
      <c r="K2" s="5" t="s">
        <v>1174</v>
      </c>
    </row>
    <row r="3" spans="1:11" x14ac:dyDescent="0.25">
      <c r="A3" s="2" t="s">
        <v>1529</v>
      </c>
      <c r="B3" s="14" t="s">
        <v>1524</v>
      </c>
      <c r="C3" s="438" t="s">
        <v>5728</v>
      </c>
      <c r="D3" s="14" t="s">
        <v>1467</v>
      </c>
      <c r="E3" s="14" t="s">
        <v>1467</v>
      </c>
      <c r="F3" s="14" t="s">
        <v>1525</v>
      </c>
      <c r="G3" s="14" t="s">
        <v>1526</v>
      </c>
      <c r="H3" s="14" t="s">
        <v>1467</v>
      </c>
      <c r="I3" s="14" t="s">
        <v>1527</v>
      </c>
      <c r="J3" s="14" t="s">
        <v>1528</v>
      </c>
      <c r="K3" s="2">
        <v>0</v>
      </c>
    </row>
    <row r="4" spans="1:11" x14ac:dyDescent="0.2">
      <c r="A4" s="2" t="s">
        <v>1530</v>
      </c>
      <c r="B4" s="3" t="s">
        <v>2787</v>
      </c>
      <c r="C4" s="438" t="s">
        <v>2788</v>
      </c>
      <c r="D4" s="14"/>
      <c r="E4" s="14"/>
      <c r="F4" s="14" t="s">
        <v>2789</v>
      </c>
      <c r="G4" s="14" t="s">
        <v>1849</v>
      </c>
      <c r="H4" s="14"/>
      <c r="I4" s="14"/>
      <c r="J4" s="14"/>
      <c r="K4" s="2">
        <v>0</v>
      </c>
    </row>
    <row r="5" spans="1:11" x14ac:dyDescent="0.2">
      <c r="A5" s="2" t="s">
        <v>1531</v>
      </c>
      <c r="B5" s="3" t="s">
        <v>1569</v>
      </c>
      <c r="C5" s="438"/>
      <c r="D5" s="14"/>
      <c r="E5" s="14"/>
      <c r="F5" s="14"/>
      <c r="G5" s="14"/>
      <c r="H5" s="14"/>
      <c r="I5" s="14"/>
      <c r="J5" s="14"/>
      <c r="K5" s="2">
        <v>0</v>
      </c>
    </row>
    <row r="6" spans="1:11" x14ac:dyDescent="0.2">
      <c r="A6" s="2" t="s">
        <v>1532</v>
      </c>
      <c r="B6" s="3" t="s">
        <v>1551</v>
      </c>
      <c r="C6" s="438"/>
      <c r="D6" s="14"/>
      <c r="E6" s="14"/>
      <c r="F6" s="14"/>
      <c r="G6" s="14"/>
      <c r="H6" s="14"/>
      <c r="I6" s="14"/>
      <c r="J6" s="14"/>
      <c r="K6" s="2">
        <v>0</v>
      </c>
    </row>
    <row r="7" spans="1:11" x14ac:dyDescent="0.2">
      <c r="A7" s="2" t="s">
        <v>1533</v>
      </c>
      <c r="B7" s="3" t="s">
        <v>1554</v>
      </c>
      <c r="C7" s="438"/>
      <c r="D7" s="14"/>
      <c r="E7" s="14"/>
      <c r="F7" s="14"/>
      <c r="G7" s="14"/>
      <c r="H7" s="14"/>
      <c r="I7" s="14"/>
      <c r="J7" s="14"/>
      <c r="K7" s="2">
        <v>0</v>
      </c>
    </row>
    <row r="8" spans="1:11" x14ac:dyDescent="0.2">
      <c r="A8" s="2" t="s">
        <v>1534</v>
      </c>
      <c r="B8" s="3" t="s">
        <v>1548</v>
      </c>
      <c r="C8" s="438"/>
      <c r="D8" s="14"/>
      <c r="E8" s="14"/>
      <c r="F8" s="14"/>
      <c r="G8" s="14"/>
      <c r="H8" s="14"/>
      <c r="I8" s="14"/>
      <c r="J8" s="14"/>
      <c r="K8" s="2">
        <v>0</v>
      </c>
    </row>
    <row r="9" spans="1:11" x14ac:dyDescent="0.2">
      <c r="A9" s="2" t="s">
        <v>1584</v>
      </c>
      <c r="B9" s="3" t="s">
        <v>1567</v>
      </c>
      <c r="C9" s="438"/>
      <c r="D9" s="14"/>
      <c r="E9" s="14"/>
      <c r="F9" s="14"/>
      <c r="G9" s="14"/>
      <c r="H9" s="14"/>
      <c r="I9" s="14"/>
      <c r="J9" s="14"/>
      <c r="K9" s="2">
        <v>0</v>
      </c>
    </row>
    <row r="10" spans="1:11" x14ac:dyDescent="0.25">
      <c r="A10" s="2" t="s">
        <v>1585</v>
      </c>
      <c r="B10" s="3" t="s">
        <v>1568</v>
      </c>
      <c r="C10" s="438"/>
      <c r="D10" s="14"/>
      <c r="E10" s="14"/>
      <c r="F10" s="14"/>
      <c r="G10" s="14"/>
      <c r="H10" s="14"/>
      <c r="I10" s="14"/>
      <c r="J10" s="14"/>
      <c r="K10" s="2">
        <v>0</v>
      </c>
    </row>
    <row r="11" spans="1:11" x14ac:dyDescent="0.2">
      <c r="A11" s="2" t="s">
        <v>1586</v>
      </c>
      <c r="B11" s="3" t="s">
        <v>1546</v>
      </c>
      <c r="C11" s="438"/>
      <c r="D11" s="14"/>
      <c r="E11" s="14"/>
      <c r="F11" s="14"/>
      <c r="G11" s="14"/>
      <c r="H11" s="14"/>
      <c r="I11" s="14"/>
      <c r="J11" s="14"/>
      <c r="K11" s="2">
        <v>0</v>
      </c>
    </row>
    <row r="12" spans="1:11" x14ac:dyDescent="0.2">
      <c r="A12" s="2" t="s">
        <v>1587</v>
      </c>
      <c r="B12" s="3" t="s">
        <v>1564</v>
      </c>
      <c r="C12" s="438"/>
      <c r="D12" s="14"/>
      <c r="E12" s="14"/>
      <c r="F12" s="14"/>
      <c r="G12" s="14"/>
      <c r="H12" s="14"/>
      <c r="I12" s="14"/>
      <c r="J12" s="14"/>
      <c r="K12" s="2">
        <v>0</v>
      </c>
    </row>
    <row r="13" spans="1:11" x14ac:dyDescent="0.2">
      <c r="A13" s="2" t="s">
        <v>1588</v>
      </c>
      <c r="B13" s="3" t="s">
        <v>1561</v>
      </c>
      <c r="C13" s="438" t="s">
        <v>3335</v>
      </c>
      <c r="D13" s="14"/>
      <c r="E13" s="14"/>
      <c r="F13" s="14"/>
      <c r="G13" s="14"/>
      <c r="H13" s="14"/>
      <c r="I13" s="14"/>
      <c r="J13" s="14"/>
      <c r="K13" s="2">
        <v>0</v>
      </c>
    </row>
    <row r="14" spans="1:11" x14ac:dyDescent="0.2">
      <c r="A14" s="2" t="s">
        <v>1589</v>
      </c>
      <c r="B14" s="3" t="s">
        <v>1581</v>
      </c>
      <c r="C14" s="438"/>
      <c r="D14" s="14"/>
      <c r="E14" s="14"/>
      <c r="F14" s="14"/>
      <c r="G14" s="14"/>
      <c r="H14" s="14"/>
      <c r="I14" s="14"/>
      <c r="J14" s="14"/>
      <c r="K14" s="2">
        <v>0</v>
      </c>
    </row>
    <row r="15" spans="1:11" x14ac:dyDescent="0.2">
      <c r="A15" s="2" t="s">
        <v>1590</v>
      </c>
      <c r="B15" s="3" t="s">
        <v>1571</v>
      </c>
      <c r="C15" s="438"/>
      <c r="D15" s="14"/>
      <c r="E15" s="14"/>
      <c r="F15" s="14"/>
      <c r="G15" s="14"/>
      <c r="H15" s="14"/>
      <c r="I15" s="14"/>
      <c r="J15" s="14"/>
      <c r="K15" s="2">
        <v>0</v>
      </c>
    </row>
    <row r="16" spans="1:11" x14ac:dyDescent="0.2">
      <c r="A16" s="2" t="s">
        <v>1591</v>
      </c>
      <c r="B16" s="3" t="s">
        <v>1578</v>
      </c>
      <c r="C16" s="438"/>
      <c r="D16" s="14"/>
      <c r="E16" s="14"/>
      <c r="F16" s="14"/>
      <c r="G16" s="14"/>
      <c r="H16" s="14"/>
      <c r="I16" s="14"/>
      <c r="J16" s="14"/>
      <c r="K16" s="2">
        <v>0</v>
      </c>
    </row>
    <row r="17" spans="1:11" x14ac:dyDescent="0.2">
      <c r="A17" s="2" t="s">
        <v>1592</v>
      </c>
      <c r="B17" s="3" t="s">
        <v>1552</v>
      </c>
      <c r="C17" s="438"/>
      <c r="D17" s="14"/>
      <c r="E17" s="14"/>
      <c r="F17" s="14"/>
      <c r="G17" s="14"/>
      <c r="H17" s="14"/>
      <c r="I17" s="14"/>
      <c r="J17" s="14"/>
      <c r="K17" s="2">
        <v>0</v>
      </c>
    </row>
    <row r="18" spans="1:11" x14ac:dyDescent="0.2">
      <c r="A18" s="2" t="s">
        <v>1593</v>
      </c>
      <c r="B18" s="3" t="s">
        <v>1556</v>
      </c>
      <c r="C18" s="438"/>
      <c r="D18" s="14"/>
      <c r="E18" s="14"/>
      <c r="F18" s="14"/>
      <c r="G18" s="14"/>
      <c r="H18" s="14"/>
      <c r="I18" s="14"/>
      <c r="J18" s="14"/>
      <c r="K18" s="2">
        <v>0</v>
      </c>
    </row>
    <row r="19" spans="1:11" x14ac:dyDescent="0.2">
      <c r="A19" s="2" t="s">
        <v>1594</v>
      </c>
      <c r="B19" s="3" t="s">
        <v>1576</v>
      </c>
      <c r="C19" s="438"/>
      <c r="D19" s="14"/>
      <c r="E19" s="14"/>
      <c r="F19" s="14"/>
      <c r="G19" s="14"/>
      <c r="H19" s="14"/>
      <c r="I19" s="14"/>
      <c r="J19" s="14"/>
      <c r="K19" s="2">
        <v>0</v>
      </c>
    </row>
    <row r="20" spans="1:11" x14ac:dyDescent="0.2">
      <c r="A20" s="2" t="s">
        <v>1595</v>
      </c>
      <c r="B20" s="3" t="s">
        <v>1645</v>
      </c>
      <c r="C20" s="438"/>
      <c r="D20" s="14"/>
      <c r="E20" s="14"/>
      <c r="F20" s="14"/>
      <c r="G20" s="14"/>
      <c r="H20" s="14"/>
      <c r="I20" s="14"/>
      <c r="J20" s="14"/>
      <c r="K20" s="2">
        <v>0</v>
      </c>
    </row>
    <row r="21" spans="1:11" x14ac:dyDescent="0.2">
      <c r="A21" s="2" t="s">
        <v>1596</v>
      </c>
      <c r="B21" s="3" t="s">
        <v>1550</v>
      </c>
      <c r="C21" s="438"/>
      <c r="D21" s="14"/>
      <c r="E21" s="14"/>
      <c r="F21" s="14"/>
      <c r="G21" s="14"/>
      <c r="H21" s="14"/>
      <c r="I21" s="14"/>
      <c r="J21" s="14"/>
      <c r="K21" s="2">
        <v>0</v>
      </c>
    </row>
    <row r="22" spans="1:11" x14ac:dyDescent="0.2">
      <c r="A22" s="2" t="s">
        <v>1597</v>
      </c>
      <c r="B22" s="3" t="s">
        <v>1562</v>
      </c>
      <c r="C22" s="438"/>
      <c r="D22" s="14"/>
      <c r="E22" s="14"/>
      <c r="F22" s="14"/>
      <c r="G22" s="14"/>
      <c r="H22" s="14"/>
      <c r="I22" s="14"/>
      <c r="J22" s="14"/>
      <c r="K22" s="2">
        <v>0</v>
      </c>
    </row>
    <row r="23" spans="1:11" x14ac:dyDescent="0.2">
      <c r="A23" s="2" t="s">
        <v>1598</v>
      </c>
      <c r="B23" s="3" t="s">
        <v>1558</v>
      </c>
      <c r="C23" s="438"/>
      <c r="D23" s="14"/>
      <c r="E23" s="14"/>
      <c r="F23" s="14"/>
      <c r="G23" s="14"/>
      <c r="H23" s="14"/>
      <c r="I23" s="14"/>
      <c r="J23" s="14"/>
      <c r="K23" s="2">
        <v>0</v>
      </c>
    </row>
    <row r="24" spans="1:11" x14ac:dyDescent="0.2">
      <c r="A24" s="2" t="s">
        <v>1599</v>
      </c>
      <c r="B24" s="3" t="s">
        <v>1545</v>
      </c>
      <c r="C24" s="438"/>
      <c r="D24" s="14"/>
      <c r="E24" s="14"/>
      <c r="F24" s="14"/>
      <c r="G24" s="14"/>
      <c r="H24" s="14"/>
      <c r="I24" s="14"/>
      <c r="J24" s="14"/>
      <c r="K24" s="2">
        <v>0</v>
      </c>
    </row>
    <row r="25" spans="1:11" x14ac:dyDescent="0.2">
      <c r="A25" s="2" t="s">
        <v>1600</v>
      </c>
      <c r="B25" s="3" t="s">
        <v>1566</v>
      </c>
      <c r="C25" s="438"/>
      <c r="D25" s="14"/>
      <c r="E25" s="14"/>
      <c r="F25" s="14"/>
      <c r="G25" s="14"/>
      <c r="H25" s="14"/>
      <c r="I25" s="14"/>
      <c r="J25" s="14"/>
      <c r="K25" s="2">
        <v>0</v>
      </c>
    </row>
    <row r="26" spans="1:11" x14ac:dyDescent="0.2">
      <c r="A26" s="2" t="s">
        <v>1601</v>
      </c>
      <c r="B26" s="3" t="s">
        <v>1739</v>
      </c>
      <c r="C26" s="438" t="s">
        <v>2213</v>
      </c>
      <c r="D26" s="14" t="s">
        <v>1467</v>
      </c>
      <c r="E26" s="14" t="s">
        <v>1467</v>
      </c>
      <c r="F26" s="14" t="s">
        <v>1740</v>
      </c>
      <c r="G26" s="14" t="s">
        <v>1741</v>
      </c>
      <c r="H26" s="14" t="s">
        <v>1467</v>
      </c>
      <c r="I26" s="14" t="s">
        <v>1467</v>
      </c>
      <c r="J26" s="14" t="s">
        <v>1467</v>
      </c>
      <c r="K26" s="2">
        <v>30</v>
      </c>
    </row>
    <row r="27" spans="1:11" x14ac:dyDescent="0.2">
      <c r="A27" s="2" t="s">
        <v>1602</v>
      </c>
      <c r="B27" s="3" t="s">
        <v>1570</v>
      </c>
      <c r="C27" s="438"/>
      <c r="D27" s="14"/>
      <c r="E27" s="14"/>
      <c r="F27" s="14"/>
      <c r="G27" s="14"/>
      <c r="H27" s="14"/>
      <c r="I27" s="14"/>
      <c r="J27" s="14"/>
      <c r="K27" s="2">
        <v>0</v>
      </c>
    </row>
    <row r="28" spans="1:11" x14ac:dyDescent="0.2">
      <c r="A28" s="2" t="s">
        <v>1603</v>
      </c>
      <c r="B28" s="3" t="s">
        <v>1577</v>
      </c>
      <c r="C28" s="438"/>
      <c r="D28" s="14"/>
      <c r="E28" s="14"/>
      <c r="F28" s="14"/>
      <c r="G28" s="14"/>
      <c r="H28" s="14"/>
      <c r="I28" s="14"/>
      <c r="J28" s="14"/>
      <c r="K28" s="2">
        <v>0</v>
      </c>
    </row>
    <row r="29" spans="1:11" x14ac:dyDescent="0.2">
      <c r="A29" s="2" t="s">
        <v>1604</v>
      </c>
      <c r="B29" s="3" t="s">
        <v>1579</v>
      </c>
      <c r="C29" s="438"/>
      <c r="D29" s="14"/>
      <c r="E29" s="14"/>
      <c r="F29" s="14"/>
      <c r="G29" s="14"/>
      <c r="H29" s="14"/>
      <c r="I29" s="14"/>
      <c r="J29" s="14"/>
      <c r="K29" s="2">
        <v>0</v>
      </c>
    </row>
    <row r="30" spans="1:11" x14ac:dyDescent="0.2">
      <c r="A30" s="2" t="s">
        <v>1605</v>
      </c>
      <c r="B30" s="3" t="s">
        <v>1560</v>
      </c>
      <c r="C30" s="438"/>
      <c r="D30" s="14"/>
      <c r="E30" s="14"/>
      <c r="F30" s="14"/>
      <c r="G30" s="14"/>
      <c r="H30" s="14"/>
      <c r="I30" s="14"/>
      <c r="J30" s="14"/>
      <c r="K30" s="2">
        <v>0</v>
      </c>
    </row>
    <row r="31" spans="1:11" x14ac:dyDescent="0.2">
      <c r="A31" s="2" t="s">
        <v>1606</v>
      </c>
      <c r="B31" s="3" t="s">
        <v>1563</v>
      </c>
      <c r="C31" s="438"/>
      <c r="D31" s="14"/>
      <c r="E31" s="14"/>
      <c r="F31" s="14"/>
      <c r="G31" s="14"/>
      <c r="H31" s="14"/>
      <c r="I31" s="14"/>
      <c r="J31" s="14"/>
      <c r="K31" s="2">
        <v>0</v>
      </c>
    </row>
    <row r="32" spans="1:11" x14ac:dyDescent="0.2">
      <c r="A32" s="2" t="s">
        <v>1607</v>
      </c>
      <c r="B32" s="3" t="s">
        <v>1565</v>
      </c>
      <c r="C32" s="438"/>
      <c r="D32" s="14"/>
      <c r="E32" s="14"/>
      <c r="F32" s="14"/>
      <c r="G32" s="14"/>
      <c r="H32" s="14"/>
      <c r="I32" s="14"/>
      <c r="J32" s="14"/>
      <c r="K32" s="2">
        <v>0</v>
      </c>
    </row>
    <row r="33" spans="1:11" x14ac:dyDescent="0.2">
      <c r="A33" s="2" t="s">
        <v>1608</v>
      </c>
      <c r="B33" s="3" t="s">
        <v>1557</v>
      </c>
      <c r="C33" s="438"/>
      <c r="D33" s="14"/>
      <c r="E33" s="14"/>
      <c r="F33" s="14"/>
      <c r="G33" s="14"/>
      <c r="H33" s="14"/>
      <c r="I33" s="14"/>
      <c r="J33" s="14"/>
      <c r="K33" s="2">
        <v>0</v>
      </c>
    </row>
    <row r="34" spans="1:11" x14ac:dyDescent="0.2">
      <c r="A34" s="2" t="s">
        <v>1609</v>
      </c>
      <c r="B34" s="3" t="s">
        <v>1555</v>
      </c>
      <c r="C34" s="438"/>
      <c r="D34" s="14"/>
      <c r="E34" s="14"/>
      <c r="F34" s="14"/>
      <c r="G34" s="14"/>
      <c r="H34" s="14"/>
      <c r="I34" s="14"/>
      <c r="J34" s="14"/>
      <c r="K34" s="2">
        <v>0</v>
      </c>
    </row>
    <row r="35" spans="1:11" x14ac:dyDescent="0.2">
      <c r="A35" s="2" t="s">
        <v>1610</v>
      </c>
      <c r="B35" s="3" t="s">
        <v>1547</v>
      </c>
      <c r="C35" s="438"/>
      <c r="D35" s="14"/>
      <c r="E35" s="14"/>
      <c r="F35" s="14"/>
      <c r="G35" s="14"/>
      <c r="H35" s="14"/>
      <c r="I35" s="14"/>
      <c r="J35" s="14"/>
      <c r="K35" s="2">
        <v>0</v>
      </c>
    </row>
    <row r="36" spans="1:11" x14ac:dyDescent="0.25">
      <c r="A36" s="2" t="s">
        <v>1611</v>
      </c>
      <c r="B36" s="3" t="s">
        <v>1582</v>
      </c>
      <c r="C36" s="438"/>
      <c r="D36" s="14"/>
      <c r="E36" s="14"/>
      <c r="F36" s="14"/>
      <c r="G36" s="14"/>
      <c r="H36" s="14"/>
      <c r="I36" s="14"/>
      <c r="J36" s="14"/>
      <c r="K36" s="2">
        <v>0</v>
      </c>
    </row>
    <row r="37" spans="1:11" x14ac:dyDescent="0.2">
      <c r="A37" s="2" t="s">
        <v>1612</v>
      </c>
      <c r="B37" s="3" t="s">
        <v>1580</v>
      </c>
      <c r="C37" s="438"/>
      <c r="D37" s="14"/>
      <c r="E37" s="14"/>
      <c r="F37" s="14"/>
      <c r="G37" s="14"/>
      <c r="H37" s="14"/>
      <c r="I37" s="14"/>
      <c r="J37" s="14"/>
      <c r="K37" s="2">
        <v>0</v>
      </c>
    </row>
    <row r="38" spans="1:11" x14ac:dyDescent="0.2">
      <c r="A38" s="2" t="s">
        <v>1613</v>
      </c>
      <c r="B38" s="3" t="s">
        <v>1572</v>
      </c>
      <c r="C38" s="438"/>
      <c r="D38" s="14"/>
      <c r="E38" s="14"/>
      <c r="F38" s="14"/>
      <c r="G38" s="14"/>
      <c r="H38" s="14"/>
      <c r="I38" s="14"/>
      <c r="J38" s="14"/>
      <c r="K38" s="2">
        <v>0</v>
      </c>
    </row>
    <row r="39" spans="1:11" x14ac:dyDescent="0.2">
      <c r="A39" s="2" t="s">
        <v>1614</v>
      </c>
      <c r="B39" s="3" t="s">
        <v>713</v>
      </c>
      <c r="C39" s="438"/>
      <c r="D39" s="14"/>
      <c r="E39" s="14"/>
      <c r="F39" s="14"/>
      <c r="G39" s="14"/>
      <c r="H39" s="14"/>
      <c r="I39" s="14"/>
      <c r="J39" s="14"/>
      <c r="K39" s="2">
        <v>0</v>
      </c>
    </row>
    <row r="40" spans="1:11" x14ac:dyDescent="0.2">
      <c r="A40" s="2" t="s">
        <v>1615</v>
      </c>
      <c r="B40" s="3" t="s">
        <v>1549</v>
      </c>
      <c r="C40" s="438"/>
      <c r="D40" s="14"/>
      <c r="E40" s="14"/>
      <c r="F40" s="14"/>
      <c r="G40" s="14"/>
      <c r="H40" s="14"/>
      <c r="I40" s="14"/>
      <c r="J40" s="14"/>
      <c r="K40" s="2">
        <v>0</v>
      </c>
    </row>
    <row r="41" spans="1:11" x14ac:dyDescent="0.2">
      <c r="A41" s="2" t="s">
        <v>1616</v>
      </c>
      <c r="B41" s="3" t="s">
        <v>1573</v>
      </c>
      <c r="C41" s="438"/>
      <c r="D41" s="14"/>
      <c r="E41" s="14"/>
      <c r="F41" s="14"/>
      <c r="G41" s="14"/>
      <c r="H41" s="14"/>
      <c r="I41" s="14"/>
      <c r="J41" s="14"/>
      <c r="K41" s="2">
        <v>0</v>
      </c>
    </row>
    <row r="42" spans="1:11" x14ac:dyDescent="0.2">
      <c r="A42" s="2" t="s">
        <v>1617</v>
      </c>
      <c r="B42" s="3" t="s">
        <v>2723</v>
      </c>
      <c r="C42" s="438"/>
      <c r="D42" s="14"/>
      <c r="E42" s="14"/>
      <c r="F42" s="14"/>
      <c r="G42" s="14"/>
      <c r="H42" s="14"/>
      <c r="I42" s="14"/>
      <c r="J42" s="14"/>
      <c r="K42" s="2">
        <v>0</v>
      </c>
    </row>
    <row r="43" spans="1:11" x14ac:dyDescent="0.2">
      <c r="A43" s="2" t="s">
        <v>1618</v>
      </c>
      <c r="B43" s="3" t="s">
        <v>1559</v>
      </c>
      <c r="C43" s="438"/>
      <c r="D43" s="14"/>
      <c r="E43" s="14"/>
      <c r="F43" s="14"/>
      <c r="G43" s="14"/>
      <c r="H43" s="14"/>
      <c r="I43" s="14"/>
      <c r="J43" s="14"/>
      <c r="K43" s="2">
        <v>0</v>
      </c>
    </row>
    <row r="44" spans="1:11" x14ac:dyDescent="0.2">
      <c r="A44" s="2" t="s">
        <v>1619</v>
      </c>
      <c r="B44" s="3" t="s">
        <v>1553</v>
      </c>
      <c r="C44" s="438"/>
      <c r="D44" s="14"/>
      <c r="E44" s="14"/>
      <c r="F44" s="14"/>
      <c r="G44" s="14"/>
      <c r="H44" s="14"/>
      <c r="I44" s="14"/>
      <c r="J44" s="14"/>
      <c r="K44" s="2">
        <v>0</v>
      </c>
    </row>
    <row r="45" spans="1:11" x14ac:dyDescent="0.2">
      <c r="A45" s="2" t="s">
        <v>1620</v>
      </c>
      <c r="B45" s="3" t="s">
        <v>1574</v>
      </c>
      <c r="C45" s="438"/>
      <c r="D45" s="14"/>
      <c r="E45" s="14"/>
      <c r="F45" s="14"/>
      <c r="G45" s="14"/>
      <c r="H45" s="14"/>
      <c r="I45" s="14"/>
      <c r="J45" s="14"/>
      <c r="K45" s="2">
        <v>0</v>
      </c>
    </row>
    <row r="46" spans="1:11" x14ac:dyDescent="0.2">
      <c r="A46" s="2" t="s">
        <v>1621</v>
      </c>
      <c r="B46" s="3" t="s">
        <v>1575</v>
      </c>
      <c r="C46" s="438"/>
      <c r="D46" s="14"/>
      <c r="E46" s="14"/>
      <c r="F46" s="14"/>
      <c r="G46" s="14"/>
      <c r="H46" s="14"/>
      <c r="I46" s="14"/>
      <c r="J46" s="14"/>
      <c r="K46" s="2">
        <v>0</v>
      </c>
    </row>
    <row r="47" spans="1:11" x14ac:dyDescent="0.25">
      <c r="A47" s="2" t="s">
        <v>1627</v>
      </c>
      <c r="B47" s="14" t="s">
        <v>1626</v>
      </c>
      <c r="C47" s="438" t="s">
        <v>5729</v>
      </c>
      <c r="D47" s="14" t="s">
        <v>1467</v>
      </c>
      <c r="E47" s="14" t="s">
        <v>1467</v>
      </c>
      <c r="F47" s="14" t="s">
        <v>1622</v>
      </c>
      <c r="G47" s="14" t="s">
        <v>1623</v>
      </c>
      <c r="H47" s="14" t="s">
        <v>1467</v>
      </c>
      <c r="I47" s="14" t="s">
        <v>1624</v>
      </c>
      <c r="J47" s="14" t="s">
        <v>1625</v>
      </c>
      <c r="K47" s="2">
        <v>0</v>
      </c>
    </row>
    <row r="48" spans="1:11" x14ac:dyDescent="0.25">
      <c r="A48" s="2" t="s">
        <v>1669</v>
      </c>
      <c r="B48" s="3" t="s">
        <v>1666</v>
      </c>
      <c r="C48" s="438" t="s">
        <v>5730</v>
      </c>
      <c r="D48" s="14" t="s">
        <v>1467</v>
      </c>
      <c r="E48" s="14" t="s">
        <v>1467</v>
      </c>
      <c r="F48" s="14" t="s">
        <v>1667</v>
      </c>
      <c r="G48" s="14" t="s">
        <v>1444</v>
      </c>
      <c r="H48" s="14" t="s">
        <v>1467</v>
      </c>
      <c r="I48" s="14" t="s">
        <v>1668</v>
      </c>
      <c r="J48" s="14" t="s">
        <v>1467</v>
      </c>
      <c r="K48" s="2">
        <v>0</v>
      </c>
    </row>
    <row r="49" spans="1:11" x14ac:dyDescent="0.25">
      <c r="A49" s="2" t="s">
        <v>1858</v>
      </c>
      <c r="B49" s="3" t="s">
        <v>1846</v>
      </c>
      <c r="C49" s="438" t="s">
        <v>1847</v>
      </c>
      <c r="D49" s="14" t="s">
        <v>1467</v>
      </c>
      <c r="E49" s="14" t="s">
        <v>1467</v>
      </c>
      <c r="F49" s="14" t="s">
        <v>1848</v>
      </c>
      <c r="G49" s="14" t="s">
        <v>1849</v>
      </c>
      <c r="H49" s="14" t="s">
        <v>1850</v>
      </c>
      <c r="I49" s="14" t="s">
        <v>1851</v>
      </c>
      <c r="J49" s="14" t="s">
        <v>1467</v>
      </c>
      <c r="K49" s="2">
        <v>0</v>
      </c>
    </row>
    <row r="50" spans="1:11" x14ac:dyDescent="0.25">
      <c r="A50" s="2" t="s">
        <v>1859</v>
      </c>
      <c r="B50" s="3" t="s">
        <v>1852</v>
      </c>
      <c r="C50" s="438" t="s">
        <v>5731</v>
      </c>
      <c r="D50" s="14" t="s">
        <v>1852</v>
      </c>
      <c r="E50" s="14" t="s">
        <v>1853</v>
      </c>
      <c r="F50" s="14" t="s">
        <v>1854</v>
      </c>
      <c r="G50" s="14" t="s">
        <v>1855</v>
      </c>
      <c r="H50" s="14" t="s">
        <v>1467</v>
      </c>
      <c r="I50" s="14" t="s">
        <v>1856</v>
      </c>
      <c r="J50" s="14" t="s">
        <v>1857</v>
      </c>
      <c r="K50" s="2">
        <v>15</v>
      </c>
    </row>
    <row r="51" spans="1:11" x14ac:dyDescent="0.25">
      <c r="A51" s="2" t="s">
        <v>1863</v>
      </c>
      <c r="B51" s="3" t="s">
        <v>1860</v>
      </c>
      <c r="C51" s="438" t="s">
        <v>5732</v>
      </c>
      <c r="D51" s="14" t="s">
        <v>1467</v>
      </c>
      <c r="E51" s="14" t="s">
        <v>1467</v>
      </c>
      <c r="F51" s="14" t="s">
        <v>1861</v>
      </c>
      <c r="G51" s="14" t="s">
        <v>1862</v>
      </c>
      <c r="H51" s="14" t="s">
        <v>1467</v>
      </c>
      <c r="I51" s="14" t="s">
        <v>1467</v>
      </c>
      <c r="J51" s="14" t="s">
        <v>1467</v>
      </c>
      <c r="K51" s="2">
        <v>0</v>
      </c>
    </row>
    <row r="52" spans="1:11" x14ac:dyDescent="0.25">
      <c r="A52" s="2" t="s">
        <v>1961</v>
      </c>
      <c r="B52" s="3" t="s">
        <v>1876</v>
      </c>
      <c r="C52" s="438" t="s">
        <v>5473</v>
      </c>
      <c r="D52" s="14" t="s">
        <v>1467</v>
      </c>
      <c r="E52" s="14" t="s">
        <v>1467</v>
      </c>
      <c r="F52" s="14" t="s">
        <v>1467</v>
      </c>
      <c r="G52" s="14" t="s">
        <v>1467</v>
      </c>
      <c r="H52" s="14" t="s">
        <v>1467</v>
      </c>
      <c r="I52" s="14" t="s">
        <v>1467</v>
      </c>
      <c r="J52" s="14" t="s">
        <v>1467</v>
      </c>
      <c r="K52" s="2">
        <v>0</v>
      </c>
    </row>
    <row r="53" spans="1:11" x14ac:dyDescent="0.25">
      <c r="A53" s="2" t="s">
        <v>1962</v>
      </c>
      <c r="B53" s="3" t="s">
        <v>1940</v>
      </c>
      <c r="C53" s="438" t="s">
        <v>1957</v>
      </c>
      <c r="D53" s="14" t="s">
        <v>1467</v>
      </c>
      <c r="E53" s="14" t="s">
        <v>1467</v>
      </c>
      <c r="F53" s="14" t="s">
        <v>1958</v>
      </c>
      <c r="G53" s="14" t="s">
        <v>1862</v>
      </c>
      <c r="H53" s="14" t="s">
        <v>1467</v>
      </c>
      <c r="I53" s="14" t="s">
        <v>1959</v>
      </c>
      <c r="J53" s="14" t="s">
        <v>1960</v>
      </c>
      <c r="K53" s="2">
        <v>0</v>
      </c>
    </row>
    <row r="54" spans="1:11" x14ac:dyDescent="0.25">
      <c r="A54" s="2" t="s">
        <v>1980</v>
      </c>
      <c r="B54" s="3" t="s">
        <v>1977</v>
      </c>
      <c r="C54" s="438" t="s">
        <v>5733</v>
      </c>
      <c r="D54" s="14" t="s">
        <v>1467</v>
      </c>
      <c r="E54" s="14" t="s">
        <v>1467</v>
      </c>
      <c r="F54" s="14" t="s">
        <v>1978</v>
      </c>
      <c r="G54" s="14" t="s">
        <v>1979</v>
      </c>
      <c r="H54" s="14" t="s">
        <v>1467</v>
      </c>
      <c r="I54" s="14" t="s">
        <v>1467</v>
      </c>
      <c r="J54" s="14" t="s">
        <v>1467</v>
      </c>
      <c r="K54" s="2">
        <v>0</v>
      </c>
    </row>
    <row r="55" spans="1:11" x14ac:dyDescent="0.25">
      <c r="A55" s="2" t="s">
        <v>2042</v>
      </c>
      <c r="B55" s="3" t="s">
        <v>2041</v>
      </c>
      <c r="C55" s="438" t="s">
        <v>1467</v>
      </c>
      <c r="D55" s="14" t="s">
        <v>1467</v>
      </c>
      <c r="E55" s="14" t="s">
        <v>1467</v>
      </c>
      <c r="F55" s="14" t="s">
        <v>1467</v>
      </c>
      <c r="G55" s="14" t="s">
        <v>1467</v>
      </c>
      <c r="H55" s="14" t="s">
        <v>1467</v>
      </c>
      <c r="I55" s="14" t="s">
        <v>1467</v>
      </c>
      <c r="J55" s="14" t="s">
        <v>1467</v>
      </c>
      <c r="K55" s="2">
        <v>30</v>
      </c>
    </row>
    <row r="56" spans="1:11" x14ac:dyDescent="0.25">
      <c r="A56" s="2" t="s">
        <v>2070</v>
      </c>
      <c r="B56" s="3" t="s">
        <v>2044</v>
      </c>
      <c r="C56" s="438" t="s">
        <v>2045</v>
      </c>
      <c r="D56" s="14" t="s">
        <v>1467</v>
      </c>
      <c r="E56" s="14" t="s">
        <v>1467</v>
      </c>
      <c r="F56" s="14" t="s">
        <v>1467</v>
      </c>
      <c r="G56" s="14" t="s">
        <v>1467</v>
      </c>
      <c r="H56" s="14" t="s">
        <v>1467</v>
      </c>
      <c r="I56" s="14" t="s">
        <v>1467</v>
      </c>
      <c r="J56" s="14" t="s">
        <v>1467</v>
      </c>
      <c r="K56" s="2">
        <v>30</v>
      </c>
    </row>
    <row r="57" spans="1:11" x14ac:dyDescent="0.25">
      <c r="A57" s="2" t="s">
        <v>2071</v>
      </c>
      <c r="B57" s="14" t="s">
        <v>2065</v>
      </c>
      <c r="C57" s="438" t="s">
        <v>1467</v>
      </c>
      <c r="D57" s="14" t="s">
        <v>1467</v>
      </c>
      <c r="E57" s="14" t="s">
        <v>1467</v>
      </c>
      <c r="F57" s="14" t="s">
        <v>2066</v>
      </c>
      <c r="G57" s="14" t="s">
        <v>2067</v>
      </c>
      <c r="H57" s="14" t="s">
        <v>2068</v>
      </c>
      <c r="I57" s="14" t="s">
        <v>2069</v>
      </c>
      <c r="J57" s="14" t="s">
        <v>1467</v>
      </c>
      <c r="K57" s="2">
        <v>0</v>
      </c>
    </row>
    <row r="58" spans="1:11" x14ac:dyDescent="0.25">
      <c r="A58" s="2" t="s">
        <v>2073</v>
      </c>
      <c r="B58" s="14" t="s">
        <v>2072</v>
      </c>
      <c r="C58" s="438" t="s">
        <v>5724</v>
      </c>
      <c r="D58" s="14" t="s">
        <v>1467</v>
      </c>
      <c r="E58" s="14" t="s">
        <v>1467</v>
      </c>
      <c r="F58" s="14" t="s">
        <v>1467</v>
      </c>
      <c r="G58" s="14" t="s">
        <v>1467</v>
      </c>
      <c r="H58" s="14" t="s">
        <v>1467</v>
      </c>
      <c r="I58" s="14" t="s">
        <v>1467</v>
      </c>
      <c r="J58" s="14" t="s">
        <v>1467</v>
      </c>
      <c r="K58" s="2">
        <v>0</v>
      </c>
    </row>
    <row r="59" spans="1:11" x14ac:dyDescent="0.25">
      <c r="A59" s="2" t="s">
        <v>2079</v>
      </c>
      <c r="B59" s="14" t="s">
        <v>2074</v>
      </c>
      <c r="C59" s="438" t="s">
        <v>5723</v>
      </c>
      <c r="D59" s="14" t="s">
        <v>1467</v>
      </c>
      <c r="E59" s="14" t="s">
        <v>1467</v>
      </c>
      <c r="F59" s="14" t="s">
        <v>1467</v>
      </c>
      <c r="G59" s="14" t="s">
        <v>1467</v>
      </c>
      <c r="H59" s="14" t="s">
        <v>1467</v>
      </c>
      <c r="I59" s="14" t="s">
        <v>1467</v>
      </c>
      <c r="J59" s="14" t="s">
        <v>1467</v>
      </c>
      <c r="K59" s="2">
        <v>0</v>
      </c>
    </row>
    <row r="60" spans="1:11" x14ac:dyDescent="0.25">
      <c r="A60" s="2" t="s">
        <v>2080</v>
      </c>
      <c r="B60" s="14" t="s">
        <v>2075</v>
      </c>
      <c r="C60" s="438" t="s">
        <v>5725</v>
      </c>
      <c r="D60" s="14" t="s">
        <v>1467</v>
      </c>
      <c r="E60" s="14" t="s">
        <v>1467</v>
      </c>
      <c r="F60" s="14" t="s">
        <v>1467</v>
      </c>
      <c r="G60" s="14" t="s">
        <v>1467</v>
      </c>
      <c r="H60" s="14" t="s">
        <v>1467</v>
      </c>
      <c r="I60" s="14" t="s">
        <v>1467</v>
      </c>
      <c r="J60" s="14" t="s">
        <v>1467</v>
      </c>
      <c r="K60" s="2">
        <v>0</v>
      </c>
    </row>
    <row r="61" spans="1:11" x14ac:dyDescent="0.25">
      <c r="A61" s="2" t="s">
        <v>2081</v>
      </c>
      <c r="B61" s="14" t="s">
        <v>2076</v>
      </c>
      <c r="C61" s="438" t="s">
        <v>5726</v>
      </c>
      <c r="D61" s="14" t="s">
        <v>1467</v>
      </c>
      <c r="E61" s="14" t="s">
        <v>1467</v>
      </c>
      <c r="F61" s="14" t="s">
        <v>2077</v>
      </c>
      <c r="G61" s="14" t="s">
        <v>2078</v>
      </c>
      <c r="H61" s="14" t="s">
        <v>1467</v>
      </c>
      <c r="I61" s="14" t="s">
        <v>1467</v>
      </c>
      <c r="J61" s="14" t="s">
        <v>1467</v>
      </c>
      <c r="K61" s="2">
        <v>0</v>
      </c>
    </row>
    <row r="62" spans="1:11" x14ac:dyDescent="0.25">
      <c r="A62" s="2" t="s">
        <v>2091</v>
      </c>
      <c r="B62" s="14" t="s">
        <v>2084</v>
      </c>
      <c r="C62" s="438" t="s">
        <v>2085</v>
      </c>
      <c r="D62" s="14" t="s">
        <v>1467</v>
      </c>
      <c r="E62" s="14" t="s">
        <v>1467</v>
      </c>
      <c r="F62" s="14" t="s">
        <v>2086</v>
      </c>
      <c r="G62" s="14" t="s">
        <v>2087</v>
      </c>
      <c r="H62" s="14" t="s">
        <v>2088</v>
      </c>
      <c r="I62" s="14" t="s">
        <v>2089</v>
      </c>
      <c r="J62" s="14" t="s">
        <v>2090</v>
      </c>
      <c r="K62" s="2">
        <v>30</v>
      </c>
    </row>
    <row r="63" spans="1:11" x14ac:dyDescent="0.25">
      <c r="A63" s="2" t="s">
        <v>2503</v>
      </c>
      <c r="B63" s="14" t="s">
        <v>2092</v>
      </c>
      <c r="C63" s="438" t="s">
        <v>5727</v>
      </c>
      <c r="D63" s="14" t="s">
        <v>1467</v>
      </c>
      <c r="E63" s="14" t="s">
        <v>1467</v>
      </c>
      <c r="F63" s="14" t="s">
        <v>2093</v>
      </c>
      <c r="G63" s="14" t="s">
        <v>2087</v>
      </c>
      <c r="H63" s="14" t="s">
        <v>1467</v>
      </c>
      <c r="I63" s="14" t="s">
        <v>2094</v>
      </c>
      <c r="J63" s="14" t="s">
        <v>2095</v>
      </c>
      <c r="K63" s="2">
        <v>30</v>
      </c>
    </row>
    <row r="64" spans="1:11" x14ac:dyDescent="0.25">
      <c r="A64" s="2" t="s">
        <v>2504</v>
      </c>
      <c r="B64" s="14" t="s">
        <v>2178</v>
      </c>
      <c r="C64" s="438" t="s">
        <v>2179</v>
      </c>
      <c r="D64" s="14" t="s">
        <v>1467</v>
      </c>
      <c r="E64" s="14" t="s">
        <v>1467</v>
      </c>
      <c r="F64" s="14" t="s">
        <v>2180</v>
      </c>
      <c r="G64" s="14" t="s">
        <v>1979</v>
      </c>
      <c r="H64" s="14" t="s">
        <v>1467</v>
      </c>
      <c r="I64" s="14" t="s">
        <v>2181</v>
      </c>
      <c r="J64" s="14" t="s">
        <v>2182</v>
      </c>
      <c r="K64" s="2">
        <v>0</v>
      </c>
    </row>
    <row r="65" spans="1:11" x14ac:dyDescent="0.25">
      <c r="A65" s="2" t="s">
        <v>2177</v>
      </c>
      <c r="B65" s="14" t="s">
        <v>2363</v>
      </c>
      <c r="C65" s="438" t="s">
        <v>1467</v>
      </c>
      <c r="D65" s="14" t="s">
        <v>1467</v>
      </c>
      <c r="E65" s="14" t="s">
        <v>1467</v>
      </c>
      <c r="F65" s="14" t="s">
        <v>1467</v>
      </c>
      <c r="G65" s="14" t="s">
        <v>1467</v>
      </c>
      <c r="H65" s="14" t="s">
        <v>1467</v>
      </c>
      <c r="I65" s="14" t="s">
        <v>1467</v>
      </c>
      <c r="J65" s="14" t="s">
        <v>1467</v>
      </c>
      <c r="K65" s="2">
        <v>0</v>
      </c>
    </row>
    <row r="66" spans="1:11" x14ac:dyDescent="0.25">
      <c r="A66" s="2" t="s">
        <v>2364</v>
      </c>
      <c r="B66" s="14" t="s">
        <v>2375</v>
      </c>
      <c r="C66" s="438" t="s">
        <v>2376</v>
      </c>
      <c r="D66" s="14" t="s">
        <v>1467</v>
      </c>
      <c r="E66" s="14" t="s">
        <v>1467</v>
      </c>
      <c r="F66" s="14" t="s">
        <v>2377</v>
      </c>
      <c r="G66" s="14" t="s">
        <v>1501</v>
      </c>
      <c r="H66" s="14" t="s">
        <v>1467</v>
      </c>
      <c r="I66" s="14" t="s">
        <v>1467</v>
      </c>
      <c r="J66" s="14" t="s">
        <v>1467</v>
      </c>
      <c r="K66" s="2">
        <v>0</v>
      </c>
    </row>
    <row r="67" spans="1:11" x14ac:dyDescent="0.25">
      <c r="A67" s="2" t="s">
        <v>2374</v>
      </c>
      <c r="B67" s="14" t="s">
        <v>2378</v>
      </c>
      <c r="C67" s="438" t="s">
        <v>2379</v>
      </c>
      <c r="D67" s="14" t="s">
        <v>1467</v>
      </c>
      <c r="E67" s="14" t="s">
        <v>1467</v>
      </c>
      <c r="F67" s="14" t="s">
        <v>2380</v>
      </c>
      <c r="G67" s="14" t="s">
        <v>1855</v>
      </c>
      <c r="H67" s="14" t="s">
        <v>1467</v>
      </c>
      <c r="I67" s="14" t="s">
        <v>1467</v>
      </c>
      <c r="J67" s="14" t="s">
        <v>1467</v>
      </c>
      <c r="K67" s="2">
        <v>0</v>
      </c>
    </row>
    <row r="68" spans="1:11" x14ac:dyDescent="0.25">
      <c r="A68" s="2" t="s">
        <v>2381</v>
      </c>
      <c r="B68" s="14" t="s">
        <v>2446</v>
      </c>
      <c r="C68" s="438" t="s">
        <v>2447</v>
      </c>
      <c r="D68" s="14" t="s">
        <v>1467</v>
      </c>
      <c r="E68" s="14" t="s">
        <v>1467</v>
      </c>
      <c r="F68" s="14" t="s">
        <v>2448</v>
      </c>
      <c r="G68" s="14" t="s">
        <v>2449</v>
      </c>
      <c r="H68" s="14" t="s">
        <v>1467</v>
      </c>
      <c r="I68" s="14" t="s">
        <v>2450</v>
      </c>
      <c r="J68" s="14" t="s">
        <v>2451</v>
      </c>
      <c r="K68" s="2">
        <v>0</v>
      </c>
    </row>
    <row r="69" spans="1:11" x14ac:dyDescent="0.25">
      <c r="A69" s="2" t="s">
        <v>2505</v>
      </c>
      <c r="B69" s="14" t="s">
        <v>2484</v>
      </c>
      <c r="C69" s="438" t="s">
        <v>2485</v>
      </c>
      <c r="D69" s="14" t="s">
        <v>1467</v>
      </c>
      <c r="E69" s="14" t="s">
        <v>1467</v>
      </c>
      <c r="F69" s="14" t="s">
        <v>2486</v>
      </c>
      <c r="G69" s="14" t="s">
        <v>2067</v>
      </c>
      <c r="H69" s="14" t="s">
        <v>1467</v>
      </c>
      <c r="I69" s="14" t="s">
        <v>1467</v>
      </c>
      <c r="J69" s="14" t="s">
        <v>1467</v>
      </c>
      <c r="K69" s="2">
        <v>0</v>
      </c>
    </row>
    <row r="70" spans="1:11" x14ac:dyDescent="0.25">
      <c r="A70" s="2" t="s">
        <v>2506</v>
      </c>
      <c r="B70" s="14" t="s">
        <v>2487</v>
      </c>
      <c r="C70" s="438" t="s">
        <v>2488</v>
      </c>
      <c r="D70" s="14" t="s">
        <v>1467</v>
      </c>
      <c r="E70" s="14" t="s">
        <v>1467</v>
      </c>
      <c r="F70" s="14" t="s">
        <v>2489</v>
      </c>
      <c r="G70" s="14" t="s">
        <v>1444</v>
      </c>
      <c r="H70" s="14" t="s">
        <v>1467</v>
      </c>
      <c r="I70" s="14" t="s">
        <v>2490</v>
      </c>
      <c r="J70" s="14" t="s">
        <v>1467</v>
      </c>
      <c r="K70" s="2">
        <v>0</v>
      </c>
    </row>
    <row r="71" spans="1:11" x14ac:dyDescent="0.25">
      <c r="A71" s="2" t="s">
        <v>2508</v>
      </c>
      <c r="B71" s="14" t="s">
        <v>2509</v>
      </c>
      <c r="C71" s="438" t="s">
        <v>2510</v>
      </c>
      <c r="D71" s="14" t="s">
        <v>1467</v>
      </c>
      <c r="E71" s="14" t="s">
        <v>1467</v>
      </c>
      <c r="F71" s="14" t="s">
        <v>2511</v>
      </c>
      <c r="G71" s="14" t="s">
        <v>2512</v>
      </c>
      <c r="H71" s="14" t="s">
        <v>1467</v>
      </c>
      <c r="I71" s="14" t="s">
        <v>1467</v>
      </c>
      <c r="J71" s="14" t="s">
        <v>1467</v>
      </c>
      <c r="K71" s="2">
        <v>0</v>
      </c>
    </row>
    <row r="72" spans="1:11" x14ac:dyDescent="0.25">
      <c r="A72" s="2" t="s">
        <v>2508</v>
      </c>
      <c r="B72" s="14" t="s">
        <v>3365</v>
      </c>
      <c r="C72" s="438" t="s">
        <v>3366</v>
      </c>
      <c r="D72" s="14" t="s">
        <v>1467</v>
      </c>
      <c r="E72" s="14" t="s">
        <v>1467</v>
      </c>
      <c r="F72" s="14" t="s">
        <v>3367</v>
      </c>
      <c r="G72" s="14" t="s">
        <v>2087</v>
      </c>
      <c r="H72" s="14" t="s">
        <v>1467</v>
      </c>
      <c r="I72" s="14" t="s">
        <v>1467</v>
      </c>
      <c r="J72" s="14" t="s">
        <v>3368</v>
      </c>
      <c r="K72" s="2" t="s">
        <v>1502</v>
      </c>
    </row>
    <row r="73" spans="1:11" x14ac:dyDescent="0.25">
      <c r="A73" s="2" t="s">
        <v>2508</v>
      </c>
      <c r="B73" s="14" t="s">
        <v>3024</v>
      </c>
      <c r="C73" s="438" t="s">
        <v>5716</v>
      </c>
      <c r="D73" s="14" t="s">
        <v>1467</v>
      </c>
      <c r="E73" s="14" t="s">
        <v>1467</v>
      </c>
      <c r="F73" s="14" t="s">
        <v>3372</v>
      </c>
      <c r="G73" s="14" t="s">
        <v>2067</v>
      </c>
      <c r="H73" s="14" t="s">
        <v>1467</v>
      </c>
      <c r="I73" s="14" t="s">
        <v>3373</v>
      </c>
      <c r="J73" s="14" t="s">
        <v>1467</v>
      </c>
      <c r="K73" s="2" t="s">
        <v>2434</v>
      </c>
    </row>
    <row r="74" spans="1:11" x14ac:dyDescent="0.25">
      <c r="A74" s="2" t="s">
        <v>2908</v>
      </c>
      <c r="B74" s="14" t="s">
        <v>2574</v>
      </c>
      <c r="C74" s="438" t="s">
        <v>2575</v>
      </c>
      <c r="D74" s="14" t="s">
        <v>2576</v>
      </c>
      <c r="E74" s="14" t="s">
        <v>1467</v>
      </c>
      <c r="F74" s="14" t="s">
        <v>2577</v>
      </c>
      <c r="G74" s="14" t="s">
        <v>1501</v>
      </c>
      <c r="H74" s="14" t="s">
        <v>1467</v>
      </c>
      <c r="I74" s="14" t="s">
        <v>2578</v>
      </c>
      <c r="J74" s="14" t="s">
        <v>2579</v>
      </c>
      <c r="K74" s="2">
        <v>0</v>
      </c>
    </row>
    <row r="75" spans="1:11" x14ac:dyDescent="0.25">
      <c r="A75" s="2" t="s">
        <v>2909</v>
      </c>
      <c r="B75" s="14" t="s">
        <v>2583</v>
      </c>
      <c r="C75" s="438" t="s">
        <v>2584</v>
      </c>
      <c r="D75" s="14" t="s">
        <v>1467</v>
      </c>
      <c r="E75" s="14" t="s">
        <v>1467</v>
      </c>
      <c r="F75" s="14" t="s">
        <v>2585</v>
      </c>
      <c r="G75" s="14" t="s">
        <v>1501</v>
      </c>
      <c r="H75" s="14" t="s">
        <v>1467</v>
      </c>
      <c r="I75" s="14" t="s">
        <v>1467</v>
      </c>
      <c r="J75" s="14" t="s">
        <v>1467</v>
      </c>
      <c r="K75" s="2">
        <v>0</v>
      </c>
    </row>
    <row r="76" spans="1:11" x14ac:dyDescent="0.25">
      <c r="A76" s="2" t="s">
        <v>2910</v>
      </c>
      <c r="B76" s="14" t="s">
        <v>2554</v>
      </c>
      <c r="C76" s="438" t="s">
        <v>2591</v>
      </c>
      <c r="D76" s="14" t="s">
        <v>1467</v>
      </c>
      <c r="E76" s="14" t="s">
        <v>1467</v>
      </c>
      <c r="F76" s="14" t="s">
        <v>2592</v>
      </c>
      <c r="G76" s="14" t="s">
        <v>1979</v>
      </c>
      <c r="H76" s="14" t="s">
        <v>1467</v>
      </c>
      <c r="I76" s="14" t="s">
        <v>2593</v>
      </c>
      <c r="J76" s="14" t="s">
        <v>1467</v>
      </c>
      <c r="K76" s="2">
        <v>0</v>
      </c>
    </row>
    <row r="77" spans="1:11" x14ac:dyDescent="0.25">
      <c r="A77" s="2" t="s">
        <v>2911</v>
      </c>
      <c r="B77" s="14" t="s">
        <v>2645</v>
      </c>
      <c r="C77" s="438" t="s">
        <v>2646</v>
      </c>
      <c r="D77" s="14" t="s">
        <v>1467</v>
      </c>
      <c r="E77" s="14" t="s">
        <v>1467</v>
      </c>
      <c r="F77" s="14" t="s">
        <v>2647</v>
      </c>
      <c r="G77" s="14" t="s">
        <v>2087</v>
      </c>
      <c r="H77" s="14" t="s">
        <v>1467</v>
      </c>
      <c r="I77" s="14" t="s">
        <v>2648</v>
      </c>
      <c r="J77" s="14" t="s">
        <v>1467</v>
      </c>
      <c r="K77" s="2">
        <v>0</v>
      </c>
    </row>
    <row r="78" spans="1:11" x14ac:dyDescent="0.25">
      <c r="A78" s="2" t="s">
        <v>2912</v>
      </c>
      <c r="B78" s="14" t="s">
        <v>2668</v>
      </c>
      <c r="C78" s="438" t="s">
        <v>2669</v>
      </c>
      <c r="D78" s="14" t="s">
        <v>1467</v>
      </c>
      <c r="E78" s="14" t="s">
        <v>1467</v>
      </c>
      <c r="F78" s="14" t="s">
        <v>2670</v>
      </c>
      <c r="G78" s="14" t="s">
        <v>2671</v>
      </c>
      <c r="H78" s="14" t="s">
        <v>1467</v>
      </c>
      <c r="I78" s="14" t="s">
        <v>2672</v>
      </c>
      <c r="J78" s="14" t="s">
        <v>2673</v>
      </c>
      <c r="K78" s="2">
        <v>0</v>
      </c>
    </row>
    <row r="79" spans="1:11" x14ac:dyDescent="0.25">
      <c r="A79" s="2" t="s">
        <v>2913</v>
      </c>
      <c r="B79" s="14" t="s">
        <v>2697</v>
      </c>
      <c r="C79" s="438" t="s">
        <v>2698</v>
      </c>
      <c r="D79" s="14" t="s">
        <v>1467</v>
      </c>
      <c r="E79" s="14" t="s">
        <v>1467</v>
      </c>
      <c r="F79" s="14" t="s">
        <v>2699</v>
      </c>
      <c r="G79" s="14" t="s">
        <v>1862</v>
      </c>
      <c r="H79" s="14" t="s">
        <v>1467</v>
      </c>
      <c r="I79" s="14" t="s">
        <v>1467</v>
      </c>
      <c r="J79" s="14" t="s">
        <v>1467</v>
      </c>
      <c r="K79" s="2">
        <v>0</v>
      </c>
    </row>
    <row r="80" spans="1:11" x14ac:dyDescent="0.25">
      <c r="A80" s="2" t="s">
        <v>2914</v>
      </c>
      <c r="B80" s="14" t="s">
        <v>2701</v>
      </c>
      <c r="C80" s="438" t="s">
        <v>2702</v>
      </c>
      <c r="D80" s="14" t="s">
        <v>1467</v>
      </c>
      <c r="E80" s="14" t="s">
        <v>1467</v>
      </c>
      <c r="F80" s="14" t="s">
        <v>2703</v>
      </c>
      <c r="G80" s="14" t="s">
        <v>2264</v>
      </c>
      <c r="H80" s="14" t="s">
        <v>1467</v>
      </c>
      <c r="I80" s="14" t="s">
        <v>1467</v>
      </c>
      <c r="J80" s="14" t="s">
        <v>1467</v>
      </c>
      <c r="K80" s="2">
        <v>0</v>
      </c>
    </row>
    <row r="81" spans="1:11" x14ac:dyDescent="0.25">
      <c r="A81" s="2" t="s">
        <v>2915</v>
      </c>
      <c r="B81" s="14" t="s">
        <v>2706</v>
      </c>
      <c r="C81" s="438" t="s">
        <v>2707</v>
      </c>
      <c r="D81" s="14" t="s">
        <v>1467</v>
      </c>
      <c r="E81" s="14" t="s">
        <v>1467</v>
      </c>
      <c r="F81" s="14" t="s">
        <v>2708</v>
      </c>
      <c r="G81" s="14" t="s">
        <v>2709</v>
      </c>
      <c r="H81" s="14" t="s">
        <v>1467</v>
      </c>
      <c r="I81" s="14" t="s">
        <v>1467</v>
      </c>
      <c r="J81" s="14" t="s">
        <v>2710</v>
      </c>
      <c r="K81" s="2">
        <v>0</v>
      </c>
    </row>
    <row r="82" spans="1:11" x14ac:dyDescent="0.25">
      <c r="A82" s="2" t="s">
        <v>2916</v>
      </c>
      <c r="B82" s="14" t="s">
        <v>2917</v>
      </c>
      <c r="C82" s="438" t="s">
        <v>2918</v>
      </c>
      <c r="D82" s="14"/>
      <c r="E82" s="14"/>
      <c r="F82" s="14" t="s">
        <v>2919</v>
      </c>
      <c r="G82" s="14" t="s">
        <v>1526</v>
      </c>
      <c r="H82" s="14"/>
      <c r="I82" s="14"/>
      <c r="J82" s="435" t="s">
        <v>2920</v>
      </c>
      <c r="K82" s="2">
        <v>0</v>
      </c>
    </row>
    <row r="83" spans="1:11" x14ac:dyDescent="0.25">
      <c r="A83" s="2" t="s">
        <v>2925</v>
      </c>
      <c r="B83" s="14" t="s">
        <v>2926</v>
      </c>
      <c r="C83" s="438" t="s">
        <v>2927</v>
      </c>
      <c r="D83" s="14"/>
      <c r="E83" s="14"/>
      <c r="F83" s="14" t="s">
        <v>2928</v>
      </c>
      <c r="G83" s="14" t="s">
        <v>2929</v>
      </c>
      <c r="H83" s="14"/>
      <c r="I83" s="14"/>
      <c r="J83" s="435"/>
      <c r="K83" s="2">
        <v>0</v>
      </c>
    </row>
    <row r="84" spans="1:11" x14ac:dyDescent="0.25">
      <c r="A84" s="2" t="s">
        <v>2931</v>
      </c>
      <c r="B84" s="14" t="s">
        <v>2932</v>
      </c>
      <c r="C84" s="438" t="s">
        <v>2933</v>
      </c>
      <c r="D84" s="14"/>
      <c r="E84" s="14"/>
      <c r="F84" s="14" t="s">
        <v>2934</v>
      </c>
      <c r="G84" s="14" t="s">
        <v>1979</v>
      </c>
      <c r="H84" s="14"/>
      <c r="I84" s="14"/>
      <c r="J84" s="435"/>
      <c r="K84" s="2">
        <v>0</v>
      </c>
    </row>
    <row r="85" spans="1:11" x14ac:dyDescent="0.25">
      <c r="A85" s="2" t="s">
        <v>2938</v>
      </c>
      <c r="B85" s="14" t="s">
        <v>2935</v>
      </c>
      <c r="C85" s="438" t="s">
        <v>2936</v>
      </c>
      <c r="D85" s="14"/>
      <c r="E85" s="14"/>
      <c r="F85" s="14" t="s">
        <v>2937</v>
      </c>
      <c r="G85" s="14" t="s">
        <v>1444</v>
      </c>
      <c r="H85" s="14"/>
      <c r="I85" s="14"/>
      <c r="J85" s="435"/>
      <c r="K85" s="2">
        <v>0</v>
      </c>
    </row>
    <row r="86" spans="1:11" x14ac:dyDescent="0.25">
      <c r="A86" s="2" t="s">
        <v>2939</v>
      </c>
      <c r="B86" s="14" t="s">
        <v>2940</v>
      </c>
      <c r="C86" s="438" t="s">
        <v>2941</v>
      </c>
      <c r="D86" s="14"/>
      <c r="E86" s="14"/>
      <c r="F86" s="14" t="s">
        <v>2942</v>
      </c>
      <c r="G86" s="14" t="s">
        <v>2671</v>
      </c>
      <c r="H86" s="14"/>
      <c r="I86" s="14"/>
      <c r="J86" s="435"/>
      <c r="K86" s="2">
        <v>0</v>
      </c>
    </row>
    <row r="87" spans="1:11" x14ac:dyDescent="0.25">
      <c r="A87" s="2" t="s">
        <v>2943</v>
      </c>
      <c r="B87" s="14" t="s">
        <v>2944</v>
      </c>
      <c r="C87" s="438" t="s">
        <v>2945</v>
      </c>
      <c r="D87" s="14"/>
      <c r="E87" s="14"/>
      <c r="F87" s="14" t="s">
        <v>2946</v>
      </c>
      <c r="G87" s="14" t="s">
        <v>2264</v>
      </c>
      <c r="H87" s="14"/>
      <c r="I87" s="14" t="s">
        <v>2947</v>
      </c>
      <c r="J87" s="435" t="s">
        <v>2948</v>
      </c>
      <c r="K87" s="2">
        <v>30</v>
      </c>
    </row>
    <row r="88" spans="1:11" x14ac:dyDescent="0.25">
      <c r="A88" s="2" t="s">
        <v>2949</v>
      </c>
      <c r="B88" s="14" t="s">
        <v>2950</v>
      </c>
      <c r="C88" s="438" t="s">
        <v>2951</v>
      </c>
      <c r="D88" s="14"/>
      <c r="E88" s="14"/>
      <c r="F88" s="14" t="s">
        <v>2952</v>
      </c>
      <c r="G88" s="14" t="s">
        <v>2953</v>
      </c>
      <c r="H88" s="14"/>
      <c r="I88" s="14" t="s">
        <v>2954</v>
      </c>
      <c r="J88" s="14"/>
      <c r="K88" s="2">
        <v>0</v>
      </c>
    </row>
    <row r="89" spans="1:11" x14ac:dyDescent="0.25">
      <c r="A89" s="2" t="s">
        <v>2968</v>
      </c>
      <c r="B89" s="14" t="s">
        <v>2969</v>
      </c>
      <c r="C89" s="438" t="s">
        <v>2970</v>
      </c>
      <c r="D89" s="14"/>
      <c r="E89" s="14"/>
      <c r="F89" s="14" t="s">
        <v>2971</v>
      </c>
      <c r="G89" s="14" t="s">
        <v>2972</v>
      </c>
      <c r="H89" s="14"/>
      <c r="I89" s="14"/>
      <c r="J89" s="14"/>
      <c r="K89" s="2">
        <v>0</v>
      </c>
    </row>
    <row r="90" spans="1:11" x14ac:dyDescent="0.25">
      <c r="A90" s="2" t="s">
        <v>2990</v>
      </c>
      <c r="B90" s="14" t="s">
        <v>2982</v>
      </c>
      <c r="C90" s="438" t="s">
        <v>2988</v>
      </c>
      <c r="D90" s="14"/>
      <c r="E90" s="14"/>
      <c r="F90" s="14" t="s">
        <v>2989</v>
      </c>
      <c r="G90" s="14" t="s">
        <v>1849</v>
      </c>
      <c r="H90" s="14"/>
      <c r="I90" s="14"/>
      <c r="J90" s="14"/>
      <c r="K90" s="2">
        <v>0</v>
      </c>
    </row>
    <row r="91" spans="1:11" x14ac:dyDescent="0.25">
      <c r="A91" s="2" t="s">
        <v>2991</v>
      </c>
      <c r="B91" s="14" t="s">
        <v>2559</v>
      </c>
      <c r="C91" s="438" t="s">
        <v>2992</v>
      </c>
      <c r="D91" s="14"/>
      <c r="E91" s="14"/>
      <c r="F91" s="14" t="s">
        <v>2993</v>
      </c>
      <c r="G91" s="14" t="s">
        <v>2728</v>
      </c>
      <c r="H91" s="14"/>
      <c r="I91" s="14"/>
      <c r="J91" s="14"/>
      <c r="K91" s="2">
        <v>0</v>
      </c>
    </row>
    <row r="92" spans="1:11" x14ac:dyDescent="0.25">
      <c r="A92" s="2" t="s">
        <v>3008</v>
      </c>
      <c r="B92" s="14" t="s">
        <v>2560</v>
      </c>
      <c r="C92" s="438"/>
      <c r="D92" s="14"/>
      <c r="E92" s="14"/>
      <c r="F92" s="14"/>
      <c r="G92" s="14"/>
      <c r="H92" s="14"/>
      <c r="I92" s="14"/>
      <c r="J92" s="14"/>
      <c r="K92" s="2">
        <v>0</v>
      </c>
    </row>
    <row r="93" spans="1:11" x14ac:dyDescent="0.25">
      <c r="A93" s="2" t="s">
        <v>3009</v>
      </c>
      <c r="B93" s="14" t="s">
        <v>2562</v>
      </c>
      <c r="C93" s="438"/>
      <c r="D93" s="14"/>
      <c r="E93" s="14"/>
      <c r="F93" s="14"/>
      <c r="G93" s="14"/>
      <c r="H93" s="14"/>
      <c r="I93" s="14"/>
      <c r="J93" s="14"/>
      <c r="K93" s="2">
        <v>0</v>
      </c>
    </row>
    <row r="94" spans="1:11" x14ac:dyDescent="0.25">
      <c r="A94" s="2" t="s">
        <v>3010</v>
      </c>
      <c r="B94" s="14" t="s">
        <v>2558</v>
      </c>
      <c r="C94" s="438"/>
      <c r="D94" s="14"/>
      <c r="E94" s="14"/>
      <c r="F94" s="14"/>
      <c r="G94" s="14"/>
      <c r="H94" s="14"/>
      <c r="I94" s="14"/>
      <c r="J94" s="14"/>
      <c r="K94" s="2">
        <v>0</v>
      </c>
    </row>
    <row r="95" spans="1:11" x14ac:dyDescent="0.25">
      <c r="A95" s="2" t="s">
        <v>3637</v>
      </c>
      <c r="B95" s="14" t="s">
        <v>3424</v>
      </c>
      <c r="C95" s="438" t="s">
        <v>3425</v>
      </c>
      <c r="D95" s="14" t="s">
        <v>1467</v>
      </c>
      <c r="E95" s="14" t="s">
        <v>1467</v>
      </c>
      <c r="F95" s="14" t="s">
        <v>3426</v>
      </c>
      <c r="G95" s="14" t="s">
        <v>2087</v>
      </c>
      <c r="H95" s="14" t="s">
        <v>1467</v>
      </c>
      <c r="I95" s="14" t="s">
        <v>3427</v>
      </c>
      <c r="J95" s="14" t="s">
        <v>1467</v>
      </c>
      <c r="K95" s="2" t="s">
        <v>1502</v>
      </c>
    </row>
    <row r="96" spans="1:11" x14ac:dyDescent="0.25">
      <c r="A96" s="2" t="s">
        <v>3638</v>
      </c>
      <c r="B96" s="14" t="s">
        <v>3428</v>
      </c>
      <c r="C96" s="438" t="s">
        <v>3429</v>
      </c>
      <c r="D96" s="14" t="s">
        <v>1467</v>
      </c>
      <c r="E96" s="14" t="s">
        <v>1467</v>
      </c>
      <c r="F96" s="14" t="s">
        <v>3430</v>
      </c>
      <c r="G96" s="14" t="s">
        <v>1849</v>
      </c>
      <c r="H96" s="14" t="s">
        <v>1467</v>
      </c>
      <c r="I96" s="14" t="s">
        <v>3431</v>
      </c>
      <c r="J96" s="14" t="s">
        <v>1467</v>
      </c>
      <c r="K96" s="2" t="s">
        <v>1502</v>
      </c>
    </row>
    <row r="97" spans="1:11" x14ac:dyDescent="0.25">
      <c r="A97" s="2" t="s">
        <v>3639</v>
      </c>
      <c r="B97" s="14" t="s">
        <v>3432</v>
      </c>
      <c r="C97" s="438" t="s">
        <v>3433</v>
      </c>
      <c r="D97" s="14" t="s">
        <v>1467</v>
      </c>
      <c r="E97" s="14" t="s">
        <v>1467</v>
      </c>
      <c r="F97" s="14" t="s">
        <v>3434</v>
      </c>
      <c r="G97" s="14" t="s">
        <v>1849</v>
      </c>
      <c r="H97" s="14" t="s">
        <v>1467</v>
      </c>
      <c r="I97" s="14" t="s">
        <v>3435</v>
      </c>
      <c r="J97" s="14" t="s">
        <v>1467</v>
      </c>
      <c r="K97" s="2" t="s">
        <v>1502</v>
      </c>
    </row>
    <row r="98" spans="1:11" x14ac:dyDescent="0.25">
      <c r="A98" s="2" t="s">
        <v>3640</v>
      </c>
      <c r="B98" s="14" t="s">
        <v>3512</v>
      </c>
      <c r="C98" s="438" t="s">
        <v>3513</v>
      </c>
      <c r="D98" s="14" t="s">
        <v>1467</v>
      </c>
      <c r="E98" s="14" t="s">
        <v>1467</v>
      </c>
      <c r="F98" s="14" t="s">
        <v>1467</v>
      </c>
      <c r="G98" s="14" t="s">
        <v>1467</v>
      </c>
      <c r="H98" s="14" t="s">
        <v>1467</v>
      </c>
      <c r="I98" s="14" t="s">
        <v>1467</v>
      </c>
      <c r="J98" s="14" t="s">
        <v>1467</v>
      </c>
      <c r="K98" s="2" t="s">
        <v>1502</v>
      </c>
    </row>
    <row r="99" spans="1:11" x14ac:dyDescent="0.25">
      <c r="A99" s="2" t="s">
        <v>3641</v>
      </c>
      <c r="B99" s="14" t="s">
        <v>3629</v>
      </c>
      <c r="C99" s="438" t="s">
        <v>3630</v>
      </c>
      <c r="D99" s="14" t="s">
        <v>1467</v>
      </c>
      <c r="E99" s="14" t="s">
        <v>1467</v>
      </c>
      <c r="F99" s="14" t="s">
        <v>3631</v>
      </c>
      <c r="G99" s="14" t="s">
        <v>2449</v>
      </c>
      <c r="H99" s="14" t="s">
        <v>1467</v>
      </c>
      <c r="I99" s="14" t="s">
        <v>1467</v>
      </c>
      <c r="J99" s="14" t="s">
        <v>1467</v>
      </c>
      <c r="K99" s="2" t="s">
        <v>1502</v>
      </c>
    </row>
    <row r="100" spans="1:11" x14ac:dyDescent="0.25">
      <c r="A100" s="2" t="s">
        <v>3642</v>
      </c>
      <c r="B100" s="14" t="s">
        <v>3634</v>
      </c>
      <c r="C100" s="438" t="s">
        <v>3635</v>
      </c>
      <c r="D100" s="14" t="s">
        <v>1467</v>
      </c>
      <c r="E100" s="14" t="s">
        <v>1467</v>
      </c>
      <c r="F100" s="14" t="s">
        <v>3636</v>
      </c>
      <c r="G100" s="14" t="s">
        <v>1849</v>
      </c>
      <c r="H100" s="14" t="s">
        <v>1467</v>
      </c>
      <c r="I100" s="14" t="s">
        <v>1467</v>
      </c>
      <c r="J100" s="14" t="s">
        <v>1467</v>
      </c>
      <c r="K100" s="2" t="s">
        <v>1502</v>
      </c>
    </row>
    <row r="101" spans="1:11" x14ac:dyDescent="0.25">
      <c r="A101" s="2" t="s">
        <v>3701</v>
      </c>
      <c r="B101" s="14" t="s">
        <v>3702</v>
      </c>
      <c r="C101" s="438" t="s">
        <v>3703</v>
      </c>
      <c r="D101" s="14" t="s">
        <v>1467</v>
      </c>
      <c r="E101" s="14" t="s">
        <v>1467</v>
      </c>
      <c r="F101" s="14" t="s">
        <v>3704</v>
      </c>
      <c r="G101" s="14" t="s">
        <v>3705</v>
      </c>
      <c r="H101" s="14" t="s">
        <v>1467</v>
      </c>
      <c r="I101" s="14" t="s">
        <v>3706</v>
      </c>
      <c r="J101" s="14" t="s">
        <v>3707</v>
      </c>
      <c r="K101" s="2" t="s">
        <v>1502</v>
      </c>
    </row>
    <row r="102" spans="1:11" x14ac:dyDescent="0.25">
      <c r="A102" s="2" t="s">
        <v>3725</v>
      </c>
      <c r="B102" s="14" t="s">
        <v>3726</v>
      </c>
      <c r="C102" s="438" t="s">
        <v>3709</v>
      </c>
      <c r="D102" s="14" t="s">
        <v>1467</v>
      </c>
      <c r="E102" s="14" t="s">
        <v>1467</v>
      </c>
      <c r="F102" s="14" t="s">
        <v>3710</v>
      </c>
      <c r="G102" s="14" t="s">
        <v>1444</v>
      </c>
      <c r="H102" s="14" t="s">
        <v>3711</v>
      </c>
      <c r="I102" s="14" t="s">
        <v>3712</v>
      </c>
      <c r="J102" s="14" t="s">
        <v>1467</v>
      </c>
      <c r="K102" s="2" t="s">
        <v>2434</v>
      </c>
    </row>
    <row r="103" spans="1:11" x14ac:dyDescent="0.25">
      <c r="A103" s="2" t="s">
        <v>4376</v>
      </c>
      <c r="B103" s="14" t="s">
        <v>3736</v>
      </c>
      <c r="C103" s="438" t="s">
        <v>3737</v>
      </c>
      <c r="D103" s="14" t="s">
        <v>1467</v>
      </c>
      <c r="E103" s="14" t="s">
        <v>1467</v>
      </c>
      <c r="F103" s="14" t="s">
        <v>3738</v>
      </c>
      <c r="G103" s="14" t="s">
        <v>3739</v>
      </c>
      <c r="H103" s="14" t="s">
        <v>1467</v>
      </c>
      <c r="I103" s="14" t="s">
        <v>1467</v>
      </c>
      <c r="J103" s="14" t="s">
        <v>1467</v>
      </c>
      <c r="K103" s="2" t="s">
        <v>1502</v>
      </c>
    </row>
    <row r="104" spans="1:11" x14ac:dyDescent="0.25">
      <c r="A104" s="2" t="s">
        <v>3735</v>
      </c>
      <c r="B104" s="14" t="s">
        <v>4023</v>
      </c>
      <c r="C104" s="438" t="s">
        <v>4024</v>
      </c>
      <c r="D104" s="14" t="s">
        <v>1467</v>
      </c>
      <c r="E104" s="14" t="s">
        <v>1467</v>
      </c>
      <c r="F104" s="14" t="s">
        <v>4025</v>
      </c>
      <c r="G104" s="14" t="s">
        <v>4026</v>
      </c>
      <c r="H104" s="14" t="s">
        <v>1467</v>
      </c>
      <c r="I104" s="14" t="s">
        <v>1467</v>
      </c>
      <c r="J104" s="14" t="s">
        <v>1467</v>
      </c>
      <c r="K104" s="2" t="s">
        <v>1502</v>
      </c>
    </row>
    <row r="105" spans="1:11" x14ac:dyDescent="0.25">
      <c r="A105" s="2" t="s">
        <v>4377</v>
      </c>
      <c r="B105" s="14" t="s">
        <v>4096</v>
      </c>
      <c r="C105" s="438" t="s">
        <v>4097</v>
      </c>
      <c r="D105" s="14" t="s">
        <v>1467</v>
      </c>
      <c r="E105" s="14" t="s">
        <v>1467</v>
      </c>
      <c r="F105" s="14" t="s">
        <v>4098</v>
      </c>
      <c r="G105" s="14" t="s">
        <v>1862</v>
      </c>
      <c r="H105" s="14" t="s">
        <v>1467</v>
      </c>
      <c r="I105" s="14" t="s">
        <v>1467</v>
      </c>
      <c r="J105" s="14" t="s">
        <v>1467</v>
      </c>
      <c r="K105" s="2" t="s">
        <v>1502</v>
      </c>
    </row>
    <row r="106" spans="1:11" x14ac:dyDescent="0.25">
      <c r="A106" s="2" t="s">
        <v>4378</v>
      </c>
      <c r="B106" s="14" t="s">
        <v>4221</v>
      </c>
      <c r="C106" s="438" t="s">
        <v>4222</v>
      </c>
      <c r="D106" s="14" t="s">
        <v>1467</v>
      </c>
      <c r="E106" s="14" t="s">
        <v>1467</v>
      </c>
      <c r="F106" s="14" t="s">
        <v>4223</v>
      </c>
      <c r="G106" s="14" t="s">
        <v>4224</v>
      </c>
      <c r="H106" s="14" t="s">
        <v>1467</v>
      </c>
      <c r="I106" s="14" t="s">
        <v>1467</v>
      </c>
      <c r="J106" s="14" t="s">
        <v>4225</v>
      </c>
      <c r="K106" s="2" t="s">
        <v>2434</v>
      </c>
    </row>
    <row r="107" spans="1:11" x14ac:dyDescent="0.25">
      <c r="A107" s="2" t="s">
        <v>4379</v>
      </c>
      <c r="B107" s="14" t="s">
        <v>4285</v>
      </c>
      <c r="C107" s="438" t="s">
        <v>4286</v>
      </c>
      <c r="D107" s="14" t="s">
        <v>1467</v>
      </c>
      <c r="E107" s="14" t="s">
        <v>1467</v>
      </c>
      <c r="F107" s="14" t="s">
        <v>1467</v>
      </c>
      <c r="G107" s="14" t="s">
        <v>1467</v>
      </c>
      <c r="H107" s="14" t="s">
        <v>1467</v>
      </c>
      <c r="I107" s="14" t="s">
        <v>1467</v>
      </c>
      <c r="J107" s="14" t="s">
        <v>1467</v>
      </c>
      <c r="K107" s="2" t="s">
        <v>1502</v>
      </c>
    </row>
    <row r="108" spans="1:11" x14ac:dyDescent="0.25">
      <c r="A108" s="2" t="s">
        <v>4380</v>
      </c>
      <c r="B108" s="14" t="s">
        <v>4287</v>
      </c>
      <c r="C108" s="438" t="s">
        <v>4288</v>
      </c>
      <c r="D108" s="14" t="s">
        <v>1467</v>
      </c>
      <c r="E108" s="14" t="s">
        <v>1467</v>
      </c>
      <c r="F108" s="14" t="s">
        <v>1467</v>
      </c>
      <c r="G108" s="14" t="s">
        <v>1467</v>
      </c>
      <c r="H108" s="14" t="s">
        <v>1467</v>
      </c>
      <c r="I108" s="14" t="s">
        <v>1467</v>
      </c>
      <c r="J108" s="14" t="s">
        <v>1467</v>
      </c>
      <c r="K108" s="2" t="s">
        <v>1502</v>
      </c>
    </row>
    <row r="109" spans="1:11" x14ac:dyDescent="0.25">
      <c r="A109" s="2" t="s">
        <v>4381</v>
      </c>
      <c r="B109" s="14" t="s">
        <v>4289</v>
      </c>
      <c r="C109" s="438" t="s">
        <v>4290</v>
      </c>
      <c r="D109" s="14" t="s">
        <v>1467</v>
      </c>
      <c r="E109" s="14" t="s">
        <v>1467</v>
      </c>
      <c r="F109" s="14" t="s">
        <v>1467</v>
      </c>
      <c r="G109" s="14" t="s">
        <v>1467</v>
      </c>
      <c r="H109" s="14" t="s">
        <v>1467</v>
      </c>
      <c r="I109" s="14" t="s">
        <v>1467</v>
      </c>
      <c r="J109" s="14" t="s">
        <v>1467</v>
      </c>
      <c r="K109" s="2">
        <v>0</v>
      </c>
    </row>
    <row r="110" spans="1:11" x14ac:dyDescent="0.25">
      <c r="A110" s="2" t="s">
        <v>4382</v>
      </c>
      <c r="B110" s="14" t="s">
        <v>4334</v>
      </c>
      <c r="C110" s="438" t="s">
        <v>4329</v>
      </c>
      <c r="D110" s="14" t="s">
        <v>1467</v>
      </c>
      <c r="E110" s="14" t="s">
        <v>1467</v>
      </c>
      <c r="F110" s="14" t="s">
        <v>4330</v>
      </c>
      <c r="G110" s="14" t="s">
        <v>1623</v>
      </c>
      <c r="H110" s="14" t="s">
        <v>4331</v>
      </c>
      <c r="I110" s="14" t="s">
        <v>4332</v>
      </c>
      <c r="J110" s="14" t="s">
        <v>1467</v>
      </c>
      <c r="K110" s="2" t="s">
        <v>4333</v>
      </c>
    </row>
    <row r="111" spans="1:11" x14ac:dyDescent="0.25">
      <c r="A111" s="2" t="s">
        <v>4383</v>
      </c>
      <c r="B111" s="14" t="s">
        <v>4364</v>
      </c>
      <c r="C111" s="438" t="s">
        <v>5722</v>
      </c>
      <c r="D111" s="14" t="s">
        <v>1467</v>
      </c>
      <c r="E111" s="14" t="s">
        <v>1467</v>
      </c>
      <c r="F111" s="14" t="s">
        <v>4365</v>
      </c>
      <c r="G111" s="14" t="s">
        <v>2078</v>
      </c>
      <c r="H111" s="14" t="s">
        <v>1467</v>
      </c>
      <c r="I111" s="14" t="s">
        <v>4366</v>
      </c>
      <c r="J111" s="14" t="s">
        <v>1467</v>
      </c>
      <c r="K111" s="2" t="s">
        <v>1502</v>
      </c>
    </row>
    <row r="112" spans="1:11" x14ac:dyDescent="0.25">
      <c r="A112" s="2" t="s">
        <v>4518</v>
      </c>
      <c r="B112" s="14" t="s">
        <v>4599</v>
      </c>
      <c r="C112" s="438" t="s">
        <v>4389</v>
      </c>
      <c r="D112" s="14" t="s">
        <v>1467</v>
      </c>
      <c r="E112" s="14" t="s">
        <v>1467</v>
      </c>
      <c r="F112" s="14" t="s">
        <v>4390</v>
      </c>
      <c r="G112" s="14" t="s">
        <v>4391</v>
      </c>
      <c r="H112" s="14" t="s">
        <v>4392</v>
      </c>
      <c r="I112" s="14" t="s">
        <v>1467</v>
      </c>
      <c r="J112" s="14" t="s">
        <v>1467</v>
      </c>
      <c r="K112" s="2" t="s">
        <v>1502</v>
      </c>
    </row>
    <row r="113" spans="1:11" x14ac:dyDescent="0.25">
      <c r="A113" s="2" t="s">
        <v>4388</v>
      </c>
      <c r="B113" s="14" t="s">
        <v>4410</v>
      </c>
      <c r="C113" s="438" t="s">
        <v>4411</v>
      </c>
      <c r="D113" s="14" t="s">
        <v>1467</v>
      </c>
      <c r="E113" s="14" t="s">
        <v>1467</v>
      </c>
      <c r="F113" s="14" t="s">
        <v>4412</v>
      </c>
      <c r="G113" s="14" t="s">
        <v>4413</v>
      </c>
      <c r="H113" s="14" t="s">
        <v>1467</v>
      </c>
      <c r="I113" s="14" t="s">
        <v>1467</v>
      </c>
      <c r="J113" s="14" t="s">
        <v>1467</v>
      </c>
      <c r="K113" s="2" t="s">
        <v>1502</v>
      </c>
    </row>
    <row r="114" spans="1:11" x14ac:dyDescent="0.25">
      <c r="A114" s="2" t="s">
        <v>4519</v>
      </c>
      <c r="B114" s="14" t="s">
        <v>4524</v>
      </c>
      <c r="C114" s="438" t="s">
        <v>4434</v>
      </c>
      <c r="D114" s="14" t="s">
        <v>1467</v>
      </c>
      <c r="E114" s="14" t="s">
        <v>1467</v>
      </c>
      <c r="F114" s="14" t="s">
        <v>4435</v>
      </c>
      <c r="G114" s="14" t="s">
        <v>4436</v>
      </c>
      <c r="H114" s="14" t="s">
        <v>1467</v>
      </c>
      <c r="I114" s="14" t="s">
        <v>1467</v>
      </c>
      <c r="J114" s="14" t="s">
        <v>1467</v>
      </c>
      <c r="K114" s="2">
        <v>0</v>
      </c>
    </row>
    <row r="115" spans="1:11" x14ac:dyDescent="0.25">
      <c r="A115" s="2" t="s">
        <v>4520</v>
      </c>
      <c r="B115" s="14" t="s">
        <v>4451</v>
      </c>
      <c r="C115" s="438" t="s">
        <v>4452</v>
      </c>
      <c r="D115" s="14" t="s">
        <v>1467</v>
      </c>
      <c r="E115" s="14" t="s">
        <v>1467</v>
      </c>
      <c r="F115" s="14" t="s">
        <v>1467</v>
      </c>
      <c r="G115" s="14" t="s">
        <v>1467</v>
      </c>
      <c r="H115" s="14" t="s">
        <v>1467</v>
      </c>
      <c r="I115" s="14" t="s">
        <v>1467</v>
      </c>
      <c r="J115" s="14" t="s">
        <v>1467</v>
      </c>
      <c r="K115" s="2">
        <v>0</v>
      </c>
    </row>
    <row r="116" spans="1:11" x14ac:dyDescent="0.25">
      <c r="A116" s="2" t="s">
        <v>4521</v>
      </c>
      <c r="B116" s="14" t="s">
        <v>4456</v>
      </c>
      <c r="C116" s="438" t="s">
        <v>4455</v>
      </c>
      <c r="D116" s="14" t="s">
        <v>1467</v>
      </c>
      <c r="E116" s="14" t="s">
        <v>1467</v>
      </c>
      <c r="F116" s="14" t="s">
        <v>1467</v>
      </c>
      <c r="G116" s="14" t="s">
        <v>1467</v>
      </c>
      <c r="H116" s="14" t="s">
        <v>1467</v>
      </c>
      <c r="I116" s="14" t="s">
        <v>1467</v>
      </c>
      <c r="J116" s="14" t="s">
        <v>1467</v>
      </c>
      <c r="K116" s="2">
        <v>0</v>
      </c>
    </row>
    <row r="117" spans="1:11" x14ac:dyDescent="0.25">
      <c r="A117" s="2" t="s">
        <v>4522</v>
      </c>
      <c r="B117" s="14" t="s">
        <v>4516</v>
      </c>
      <c r="C117" s="438" t="s">
        <v>4517</v>
      </c>
      <c r="D117" s="14" t="s">
        <v>1467</v>
      </c>
      <c r="E117" s="14" t="s">
        <v>1467</v>
      </c>
      <c r="F117" s="14" t="s">
        <v>1467</v>
      </c>
      <c r="G117" s="14" t="s">
        <v>1467</v>
      </c>
      <c r="H117" s="14" t="s">
        <v>1467</v>
      </c>
      <c r="I117" s="14" t="s">
        <v>1467</v>
      </c>
      <c r="J117" s="14" t="s">
        <v>1467</v>
      </c>
      <c r="K117" s="2" t="s">
        <v>1502</v>
      </c>
    </row>
    <row r="118" spans="1:11" x14ac:dyDescent="0.25">
      <c r="A118" s="2" t="s">
        <v>4761</v>
      </c>
      <c r="B118" s="14" t="s">
        <v>4596</v>
      </c>
      <c r="C118" s="438" t="s">
        <v>5717</v>
      </c>
      <c r="D118" s="14" t="s">
        <v>1467</v>
      </c>
      <c r="E118" s="14" t="s">
        <v>1467</v>
      </c>
      <c r="F118" s="14" t="s">
        <v>1467</v>
      </c>
      <c r="G118" s="14" t="s">
        <v>1467</v>
      </c>
      <c r="H118" s="14" t="s">
        <v>1467</v>
      </c>
      <c r="I118" s="14" t="s">
        <v>1467</v>
      </c>
      <c r="J118" s="14" t="s">
        <v>1467</v>
      </c>
      <c r="K118" s="2" t="s">
        <v>1502</v>
      </c>
    </row>
    <row r="119" spans="1:11" x14ac:dyDescent="0.25">
      <c r="A119" s="2" t="s">
        <v>4762</v>
      </c>
      <c r="B119" s="14" t="s">
        <v>4597</v>
      </c>
      <c r="C119" s="438" t="s">
        <v>4598</v>
      </c>
      <c r="D119" s="14" t="s">
        <v>1467</v>
      </c>
      <c r="E119" s="14" t="s">
        <v>1467</v>
      </c>
      <c r="F119" s="14" t="s">
        <v>1467</v>
      </c>
      <c r="G119" s="14" t="s">
        <v>1467</v>
      </c>
      <c r="H119" s="14" t="s">
        <v>1467</v>
      </c>
      <c r="I119" s="14" t="s">
        <v>1467</v>
      </c>
      <c r="J119" s="14" t="s">
        <v>1467</v>
      </c>
      <c r="K119" s="2" t="s">
        <v>1502</v>
      </c>
    </row>
    <row r="120" spans="1:11" x14ac:dyDescent="0.25">
      <c r="A120" s="2" t="s">
        <v>4763</v>
      </c>
      <c r="B120" s="14" t="s">
        <v>4600</v>
      </c>
      <c r="C120" s="438" t="s">
        <v>4601</v>
      </c>
      <c r="D120" s="14" t="s">
        <v>1467</v>
      </c>
      <c r="E120" s="14" t="s">
        <v>1467</v>
      </c>
      <c r="F120" s="14" t="s">
        <v>1467</v>
      </c>
      <c r="G120" s="14" t="s">
        <v>1467</v>
      </c>
      <c r="H120" s="14" t="s">
        <v>1467</v>
      </c>
      <c r="I120" s="14" t="s">
        <v>1467</v>
      </c>
      <c r="J120" s="14" t="s">
        <v>1467</v>
      </c>
      <c r="K120" s="2" t="s">
        <v>1502</v>
      </c>
    </row>
    <row r="121" spans="1:11" x14ac:dyDescent="0.25">
      <c r="A121" s="2" t="s">
        <v>4764</v>
      </c>
      <c r="B121" s="14" t="s">
        <v>4602</v>
      </c>
      <c r="C121" s="438" t="s">
        <v>1467</v>
      </c>
      <c r="D121" s="14" t="s">
        <v>1467</v>
      </c>
      <c r="E121" s="14" t="s">
        <v>1467</v>
      </c>
      <c r="F121" s="14" t="s">
        <v>1467</v>
      </c>
      <c r="G121" s="14" t="s">
        <v>1467</v>
      </c>
      <c r="H121" s="14" t="s">
        <v>1467</v>
      </c>
      <c r="I121" s="14" t="s">
        <v>1467</v>
      </c>
      <c r="J121" s="14" t="s">
        <v>1467</v>
      </c>
      <c r="K121" s="2">
        <v>0</v>
      </c>
    </row>
    <row r="122" spans="1:11" x14ac:dyDescent="0.25">
      <c r="A122" s="2" t="s">
        <v>4765</v>
      </c>
      <c r="B122" s="14" t="s">
        <v>4767</v>
      </c>
      <c r="C122" s="438" t="s">
        <v>4630</v>
      </c>
      <c r="D122" s="14" t="s">
        <v>1467</v>
      </c>
      <c r="E122" s="14" t="s">
        <v>1467</v>
      </c>
      <c r="F122" s="14" t="s">
        <v>4631</v>
      </c>
      <c r="G122" s="14" t="s">
        <v>4632</v>
      </c>
      <c r="H122" s="14" t="s">
        <v>4633</v>
      </c>
      <c r="I122" s="14" t="s">
        <v>1467</v>
      </c>
      <c r="J122" s="14" t="s">
        <v>1467</v>
      </c>
      <c r="K122" s="2" t="s">
        <v>1502</v>
      </c>
    </row>
    <row r="123" spans="1:11" x14ac:dyDescent="0.25">
      <c r="A123" s="2" t="s">
        <v>4766</v>
      </c>
      <c r="B123" s="14" t="s">
        <v>4774</v>
      </c>
      <c r="C123" s="438" t="s">
        <v>5718</v>
      </c>
      <c r="D123" s="14" t="s">
        <v>1467</v>
      </c>
      <c r="E123" s="14" t="s">
        <v>1467</v>
      </c>
      <c r="F123" s="14" t="s">
        <v>4702</v>
      </c>
      <c r="G123" s="14" t="s">
        <v>2078</v>
      </c>
      <c r="H123" s="14" t="s">
        <v>1467</v>
      </c>
      <c r="I123" s="14" t="s">
        <v>4703</v>
      </c>
      <c r="J123" s="14" t="s">
        <v>1467</v>
      </c>
      <c r="K123" s="2" t="s">
        <v>1502</v>
      </c>
    </row>
    <row r="124" spans="1:11" x14ac:dyDescent="0.25">
      <c r="A124" s="2" t="s">
        <v>4861</v>
      </c>
      <c r="B124" s="14" t="s">
        <v>4768</v>
      </c>
      <c r="C124" s="438" t="s">
        <v>5719</v>
      </c>
      <c r="D124" s="14" t="s">
        <v>1467</v>
      </c>
      <c r="E124" s="14" t="s">
        <v>1467</v>
      </c>
      <c r="F124" s="14" t="s">
        <v>1467</v>
      </c>
      <c r="G124" s="14" t="s">
        <v>1467</v>
      </c>
      <c r="H124" s="14" t="s">
        <v>1467</v>
      </c>
      <c r="I124" s="14" t="s">
        <v>1467</v>
      </c>
      <c r="J124" s="14" t="s">
        <v>1467</v>
      </c>
      <c r="K124" s="2" t="s">
        <v>1502</v>
      </c>
    </row>
    <row r="125" spans="1:11" x14ac:dyDescent="0.25">
      <c r="A125" s="2" t="s">
        <v>4862</v>
      </c>
      <c r="B125" s="14" t="s">
        <v>4772</v>
      </c>
      <c r="C125" s="438" t="s">
        <v>5720</v>
      </c>
      <c r="D125" s="14" t="s">
        <v>1467</v>
      </c>
      <c r="E125" s="14" t="s">
        <v>1467</v>
      </c>
      <c r="F125" s="14" t="s">
        <v>1467</v>
      </c>
      <c r="G125" s="14" t="s">
        <v>1467</v>
      </c>
      <c r="H125" s="14" t="s">
        <v>1467</v>
      </c>
      <c r="I125" s="14" t="s">
        <v>1467</v>
      </c>
      <c r="J125" s="14" t="s">
        <v>1467</v>
      </c>
      <c r="K125" s="2" t="s">
        <v>1502</v>
      </c>
    </row>
    <row r="126" spans="1:11" x14ac:dyDescent="0.25">
      <c r="A126" s="2" t="s">
        <v>5087</v>
      </c>
      <c r="B126" s="14" t="s">
        <v>4883</v>
      </c>
      <c r="C126" s="438" t="s">
        <v>4884</v>
      </c>
      <c r="D126" s="14" t="s">
        <v>1467</v>
      </c>
      <c r="E126" s="14" t="s">
        <v>1467</v>
      </c>
      <c r="F126" s="14" t="s">
        <v>4885</v>
      </c>
      <c r="G126" s="14" t="s">
        <v>1855</v>
      </c>
      <c r="H126" s="14" t="s">
        <v>1467</v>
      </c>
      <c r="I126" s="14" t="s">
        <v>4886</v>
      </c>
      <c r="J126" s="14" t="s">
        <v>1467</v>
      </c>
      <c r="K126" s="2" t="s">
        <v>2434</v>
      </c>
    </row>
    <row r="127" spans="1:11" x14ac:dyDescent="0.25">
      <c r="A127" s="2" t="s">
        <v>5088</v>
      </c>
      <c r="B127" s="14" t="s">
        <v>4911</v>
      </c>
      <c r="C127" s="438" t="s">
        <v>4912</v>
      </c>
      <c r="D127" s="14" t="s">
        <v>1467</v>
      </c>
      <c r="E127" s="14" t="s">
        <v>1467</v>
      </c>
      <c r="F127" s="14" t="s">
        <v>1467</v>
      </c>
      <c r="G127" s="14" t="s">
        <v>1467</v>
      </c>
      <c r="H127" s="14" t="s">
        <v>1467</v>
      </c>
      <c r="I127" s="14" t="s">
        <v>1467</v>
      </c>
      <c r="J127" s="14" t="s">
        <v>1467</v>
      </c>
      <c r="K127" s="2" t="s">
        <v>1502</v>
      </c>
    </row>
    <row r="128" spans="1:11" x14ac:dyDescent="0.25">
      <c r="A128" s="2" t="s">
        <v>5089</v>
      </c>
      <c r="B128" s="14" t="s">
        <v>4913</v>
      </c>
      <c r="C128" s="438" t="s">
        <v>4914</v>
      </c>
      <c r="D128" s="14" t="s">
        <v>1467</v>
      </c>
      <c r="E128" s="14" t="s">
        <v>1467</v>
      </c>
      <c r="F128" s="14" t="s">
        <v>1467</v>
      </c>
      <c r="G128" s="14" t="s">
        <v>1467</v>
      </c>
      <c r="H128" s="14" t="s">
        <v>1467</v>
      </c>
      <c r="I128" s="14" t="s">
        <v>1467</v>
      </c>
      <c r="J128" s="14" t="s">
        <v>1467</v>
      </c>
      <c r="K128" s="2" t="s">
        <v>1502</v>
      </c>
    </row>
    <row r="129" spans="1:11" x14ac:dyDescent="0.25">
      <c r="A129" s="2" t="s">
        <v>5090</v>
      </c>
      <c r="B129" s="14" t="s">
        <v>4915</v>
      </c>
      <c r="C129" s="438" t="s">
        <v>4916</v>
      </c>
      <c r="D129" s="14" t="s">
        <v>1467</v>
      </c>
      <c r="E129" s="14" t="s">
        <v>1467</v>
      </c>
      <c r="F129" s="14" t="s">
        <v>1467</v>
      </c>
      <c r="G129" s="14" t="s">
        <v>1467</v>
      </c>
      <c r="H129" s="14" t="s">
        <v>1467</v>
      </c>
      <c r="I129" s="14" t="s">
        <v>1467</v>
      </c>
      <c r="J129" s="14" t="s">
        <v>1467</v>
      </c>
      <c r="K129" s="2" t="s">
        <v>1502</v>
      </c>
    </row>
    <row r="130" spans="1:11" x14ac:dyDescent="0.25">
      <c r="A130" s="2" t="s">
        <v>5091</v>
      </c>
      <c r="B130" s="14" t="s">
        <v>4917</v>
      </c>
      <c r="C130" s="438" t="s">
        <v>4918</v>
      </c>
      <c r="D130" s="14" t="s">
        <v>1467</v>
      </c>
      <c r="E130" s="14" t="s">
        <v>1467</v>
      </c>
      <c r="F130" s="14" t="s">
        <v>1467</v>
      </c>
      <c r="G130" s="14" t="s">
        <v>1467</v>
      </c>
      <c r="H130" s="14" t="s">
        <v>1467</v>
      </c>
      <c r="I130" s="14" t="s">
        <v>1467</v>
      </c>
      <c r="J130" s="14" t="s">
        <v>1467</v>
      </c>
      <c r="K130" s="2" t="s">
        <v>1502</v>
      </c>
    </row>
    <row r="131" spans="1:11" x14ac:dyDescent="0.25">
      <c r="A131" s="2" t="s">
        <v>5092</v>
      </c>
      <c r="B131" s="14" t="s">
        <v>4929</v>
      </c>
      <c r="C131" s="438" t="s">
        <v>4930</v>
      </c>
      <c r="D131" s="14" t="s">
        <v>1467</v>
      </c>
      <c r="E131" s="14" t="s">
        <v>1467</v>
      </c>
      <c r="F131" s="14" t="s">
        <v>4931</v>
      </c>
      <c r="G131" s="14" t="s">
        <v>4932</v>
      </c>
      <c r="H131" s="14" t="s">
        <v>1467</v>
      </c>
      <c r="I131" s="14" t="s">
        <v>4933</v>
      </c>
      <c r="J131" s="14" t="s">
        <v>1467</v>
      </c>
      <c r="K131" s="2" t="s">
        <v>1502</v>
      </c>
    </row>
    <row r="132" spans="1:11" x14ac:dyDescent="0.25">
      <c r="A132" s="2" t="s">
        <v>5093</v>
      </c>
      <c r="B132" s="14" t="s">
        <v>4934</v>
      </c>
      <c r="C132" s="438" t="s">
        <v>4935</v>
      </c>
      <c r="D132" s="14" t="s">
        <v>4936</v>
      </c>
      <c r="E132" s="14" t="s">
        <v>1467</v>
      </c>
      <c r="F132" s="14" t="s">
        <v>4937</v>
      </c>
      <c r="G132" s="14" t="s">
        <v>4938</v>
      </c>
      <c r="H132" s="14" t="s">
        <v>4939</v>
      </c>
      <c r="I132" s="14" t="s">
        <v>1467</v>
      </c>
      <c r="J132" s="14" t="s">
        <v>1467</v>
      </c>
      <c r="K132" s="2" t="s">
        <v>2434</v>
      </c>
    </row>
    <row r="133" spans="1:11" x14ac:dyDescent="0.25">
      <c r="A133" s="2" t="s">
        <v>5094</v>
      </c>
      <c r="B133" s="14" t="s">
        <v>4965</v>
      </c>
      <c r="C133" s="438" t="s">
        <v>4966</v>
      </c>
      <c r="D133" s="14" t="s">
        <v>1467</v>
      </c>
      <c r="E133" s="14" t="s">
        <v>1467</v>
      </c>
      <c r="F133" s="14" t="s">
        <v>4967</v>
      </c>
      <c r="G133" s="14" t="s">
        <v>4968</v>
      </c>
      <c r="H133" s="14" t="s">
        <v>4969</v>
      </c>
      <c r="I133" s="14" t="s">
        <v>1467</v>
      </c>
      <c r="J133" s="14" t="s">
        <v>1467</v>
      </c>
      <c r="K133" s="2" t="s">
        <v>1467</v>
      </c>
    </row>
    <row r="134" spans="1:11" x14ac:dyDescent="0.25">
      <c r="A134" s="2" t="s">
        <v>5095</v>
      </c>
      <c r="B134" s="14" t="s">
        <v>5721</v>
      </c>
      <c r="C134" s="438" t="s">
        <v>4447</v>
      </c>
      <c r="D134" s="14" t="s">
        <v>1467</v>
      </c>
      <c r="E134" s="14" t="s">
        <v>1467</v>
      </c>
      <c r="F134" s="14" t="s">
        <v>4978</v>
      </c>
      <c r="G134" s="14" t="s">
        <v>2067</v>
      </c>
      <c r="H134" s="14" t="s">
        <v>1467</v>
      </c>
      <c r="I134" s="14" t="s">
        <v>1467</v>
      </c>
      <c r="J134" s="14" t="s">
        <v>1467</v>
      </c>
      <c r="K134" s="2" t="s">
        <v>1467</v>
      </c>
    </row>
    <row r="135" spans="1:11" x14ac:dyDescent="0.25">
      <c r="A135" s="2" t="s">
        <v>5096</v>
      </c>
      <c r="B135" s="14" t="s">
        <v>5022</v>
      </c>
      <c r="C135" s="438" t="s">
        <v>3462</v>
      </c>
      <c r="D135" s="14" t="s">
        <v>1467</v>
      </c>
      <c r="E135" s="14" t="s">
        <v>1467</v>
      </c>
      <c r="F135" s="14" t="s">
        <v>5023</v>
      </c>
      <c r="G135" s="14" t="s">
        <v>1501</v>
      </c>
      <c r="H135" s="14" t="s">
        <v>1467</v>
      </c>
      <c r="I135" s="14" t="s">
        <v>5024</v>
      </c>
      <c r="J135" s="14" t="s">
        <v>1467</v>
      </c>
      <c r="K135" s="2" t="s">
        <v>2434</v>
      </c>
    </row>
    <row r="136" spans="1:11" x14ac:dyDescent="0.25">
      <c r="A136" s="2" t="s">
        <v>5097</v>
      </c>
      <c r="B136" s="14" t="s">
        <v>5078</v>
      </c>
      <c r="C136" s="438" t="s">
        <v>5079</v>
      </c>
      <c r="D136" s="14" t="s">
        <v>5080</v>
      </c>
      <c r="E136" s="14" t="s">
        <v>1467</v>
      </c>
      <c r="F136" s="14" t="s">
        <v>1467</v>
      </c>
      <c r="G136" s="14" t="s">
        <v>1467</v>
      </c>
      <c r="H136" s="14" t="s">
        <v>1467</v>
      </c>
      <c r="I136" s="14" t="s">
        <v>1467</v>
      </c>
      <c r="J136" s="14" t="s">
        <v>1467</v>
      </c>
      <c r="K136" s="2" t="s">
        <v>1502</v>
      </c>
    </row>
    <row r="137" spans="1:11" x14ac:dyDescent="0.25">
      <c r="A137" s="2" t="s">
        <v>5098</v>
      </c>
      <c r="B137" s="14" t="s">
        <v>5082</v>
      </c>
      <c r="C137" s="438" t="s">
        <v>5083</v>
      </c>
      <c r="D137" s="14" t="s">
        <v>1467</v>
      </c>
      <c r="E137" s="14" t="s">
        <v>1467</v>
      </c>
      <c r="F137" s="14" t="s">
        <v>1467</v>
      </c>
      <c r="G137" s="14" t="s">
        <v>1467</v>
      </c>
      <c r="H137" s="14" t="s">
        <v>1467</v>
      </c>
      <c r="I137" s="14" t="s">
        <v>1467</v>
      </c>
      <c r="J137" s="14" t="s">
        <v>1467</v>
      </c>
      <c r="K137" s="2" t="s">
        <v>1502</v>
      </c>
    </row>
    <row r="138" spans="1:11" x14ac:dyDescent="0.25">
      <c r="A138" s="2" t="s">
        <v>5099</v>
      </c>
      <c r="B138" s="14" t="s">
        <v>5084</v>
      </c>
      <c r="C138" s="438" t="s">
        <v>5085</v>
      </c>
      <c r="D138" s="14" t="s">
        <v>1467</v>
      </c>
      <c r="E138" s="14" t="s">
        <v>1467</v>
      </c>
      <c r="F138" s="14" t="s">
        <v>1467</v>
      </c>
      <c r="G138" s="14" t="s">
        <v>1467</v>
      </c>
      <c r="H138" s="14" t="s">
        <v>1467</v>
      </c>
      <c r="I138" s="14" t="s">
        <v>1467</v>
      </c>
      <c r="J138" s="14" t="s">
        <v>1467</v>
      </c>
      <c r="K138" s="2" t="s">
        <v>1502</v>
      </c>
    </row>
    <row r="139" spans="1:11" x14ac:dyDescent="0.25">
      <c r="A139" s="2" t="s">
        <v>5100</v>
      </c>
      <c r="B139" s="14" t="s">
        <v>1457</v>
      </c>
      <c r="C139" s="438" t="s">
        <v>5086</v>
      </c>
      <c r="D139" s="14" t="s">
        <v>1467</v>
      </c>
      <c r="E139" s="14" t="s">
        <v>1467</v>
      </c>
      <c r="F139" s="14" t="s">
        <v>1467</v>
      </c>
      <c r="G139" s="14" t="s">
        <v>1467</v>
      </c>
      <c r="H139" s="14" t="s">
        <v>1467</v>
      </c>
      <c r="I139" s="14" t="s">
        <v>1467</v>
      </c>
      <c r="J139" s="14" t="s">
        <v>1467</v>
      </c>
      <c r="K139" s="2" t="s">
        <v>1502</v>
      </c>
    </row>
    <row r="140" spans="1:11" x14ac:dyDescent="0.25">
      <c r="A140" s="2" t="s">
        <v>5580</v>
      </c>
      <c r="B140" s="14" t="s">
        <v>5138</v>
      </c>
      <c r="C140" s="438" t="s">
        <v>5139</v>
      </c>
      <c r="D140" s="14" t="s">
        <v>1467</v>
      </c>
      <c r="E140" s="14" t="s">
        <v>1467</v>
      </c>
      <c r="F140" s="14" t="s">
        <v>5140</v>
      </c>
      <c r="G140" s="14" t="s">
        <v>5141</v>
      </c>
      <c r="H140" s="14" t="s">
        <v>1467</v>
      </c>
      <c r="I140" s="14" t="s">
        <v>5142</v>
      </c>
      <c r="J140" s="14" t="s">
        <v>5143</v>
      </c>
      <c r="K140" s="2" t="s">
        <v>1467</v>
      </c>
    </row>
    <row r="141" spans="1:11" x14ac:dyDescent="0.25">
      <c r="A141" s="2" t="s">
        <v>5172</v>
      </c>
      <c r="B141" s="14" t="s">
        <v>5169</v>
      </c>
      <c r="C141" s="438" t="s">
        <v>5707</v>
      </c>
      <c r="D141" s="14" t="s">
        <v>1467</v>
      </c>
      <c r="E141" s="14" t="s">
        <v>1467</v>
      </c>
      <c r="F141" s="14" t="s">
        <v>1467</v>
      </c>
      <c r="G141" s="14" t="s">
        <v>1467</v>
      </c>
      <c r="H141" s="14" t="s">
        <v>1467</v>
      </c>
      <c r="I141" s="14" t="s">
        <v>1467</v>
      </c>
      <c r="J141" s="14" t="s">
        <v>1467</v>
      </c>
      <c r="K141" s="2" t="s">
        <v>1502</v>
      </c>
    </row>
    <row r="142" spans="1:11" x14ac:dyDescent="0.25">
      <c r="A142" s="2" t="s">
        <v>5173</v>
      </c>
      <c r="B142" s="14" t="s">
        <v>5170</v>
      </c>
      <c r="C142" s="438" t="s">
        <v>5171</v>
      </c>
      <c r="D142" s="14" t="s">
        <v>1467</v>
      </c>
      <c r="E142" s="14" t="s">
        <v>1467</v>
      </c>
      <c r="F142" s="14" t="s">
        <v>1467</v>
      </c>
      <c r="G142" s="14" t="s">
        <v>1467</v>
      </c>
      <c r="H142" s="14" t="s">
        <v>1467</v>
      </c>
      <c r="I142" s="14" t="s">
        <v>1467</v>
      </c>
      <c r="J142" s="14" t="s">
        <v>1467</v>
      </c>
      <c r="K142" s="2" t="s">
        <v>1502</v>
      </c>
    </row>
    <row r="143" spans="1:11" x14ac:dyDescent="0.25">
      <c r="A143" s="2" t="s">
        <v>5363</v>
      </c>
      <c r="B143" s="14" t="s">
        <v>5225</v>
      </c>
      <c r="C143" s="438" t="s">
        <v>5226</v>
      </c>
      <c r="D143" s="14" t="s">
        <v>1467</v>
      </c>
      <c r="E143" s="14" t="s">
        <v>1467</v>
      </c>
      <c r="F143" s="14" t="s">
        <v>1467</v>
      </c>
      <c r="G143" s="14" t="s">
        <v>1467</v>
      </c>
      <c r="H143" s="14" t="s">
        <v>1467</v>
      </c>
      <c r="I143" s="14" t="s">
        <v>1467</v>
      </c>
      <c r="J143" s="14" t="s">
        <v>1467</v>
      </c>
      <c r="K143" s="2" t="s">
        <v>1502</v>
      </c>
    </row>
    <row r="144" spans="1:11" x14ac:dyDescent="0.25">
      <c r="A144" s="2" t="s">
        <v>5474</v>
      </c>
      <c r="B144" s="14" t="s">
        <v>5470</v>
      </c>
      <c r="C144" s="438" t="s">
        <v>5471</v>
      </c>
      <c r="D144" s="14" t="s">
        <v>1467</v>
      </c>
      <c r="E144" s="14" t="s">
        <v>1467</v>
      </c>
      <c r="F144" s="14" t="s">
        <v>1467</v>
      </c>
      <c r="G144" s="14" t="s">
        <v>1467</v>
      </c>
      <c r="H144" s="14" t="s">
        <v>1467</v>
      </c>
      <c r="I144" s="14" t="s">
        <v>1467</v>
      </c>
      <c r="J144" s="14" t="s">
        <v>1467</v>
      </c>
      <c r="K144" s="2" t="s">
        <v>1502</v>
      </c>
    </row>
    <row r="145" spans="1:11" x14ac:dyDescent="0.25">
      <c r="A145" s="2" t="s">
        <v>5475</v>
      </c>
      <c r="B145" s="14" t="s">
        <v>5472</v>
      </c>
      <c r="C145" s="438" t="s">
        <v>5473</v>
      </c>
      <c r="D145" s="14" t="s">
        <v>1467</v>
      </c>
      <c r="E145" s="14" t="s">
        <v>1467</v>
      </c>
      <c r="F145" s="14" t="s">
        <v>1467</v>
      </c>
      <c r="G145" s="14" t="s">
        <v>1467</v>
      </c>
      <c r="H145" s="14" t="s">
        <v>1467</v>
      </c>
      <c r="I145" s="14" t="s">
        <v>1467</v>
      </c>
      <c r="J145" s="14" t="s">
        <v>1467</v>
      </c>
      <c r="K145" s="2" t="s">
        <v>1502</v>
      </c>
    </row>
    <row r="146" spans="1:11" x14ac:dyDescent="0.25">
      <c r="A146" s="2" t="s">
        <v>5581</v>
      </c>
      <c r="B146" s="14" t="s">
        <v>5478</v>
      </c>
      <c r="C146" s="438" t="s">
        <v>4389</v>
      </c>
      <c r="D146" s="14" t="s">
        <v>1467</v>
      </c>
      <c r="E146" s="14" t="s">
        <v>1467</v>
      </c>
      <c r="F146" s="14" t="s">
        <v>5479</v>
      </c>
      <c r="G146" s="14" t="s">
        <v>5480</v>
      </c>
      <c r="H146" s="14" t="s">
        <v>5481</v>
      </c>
      <c r="I146" s="14" t="s">
        <v>1467</v>
      </c>
      <c r="J146" s="14" t="s">
        <v>1467</v>
      </c>
      <c r="K146" s="2" t="s">
        <v>1502</v>
      </c>
    </row>
    <row r="147" spans="1:11" x14ac:dyDescent="0.25">
      <c r="A147" s="2" t="s">
        <v>5582</v>
      </c>
      <c r="B147" s="14" t="s">
        <v>5578</v>
      </c>
      <c r="C147" s="438" t="s">
        <v>5579</v>
      </c>
      <c r="D147" s="14" t="s">
        <v>1467</v>
      </c>
      <c r="E147" s="14" t="s">
        <v>1467</v>
      </c>
      <c r="F147" s="14" t="s">
        <v>1467</v>
      </c>
      <c r="G147" s="14" t="s">
        <v>1467</v>
      </c>
      <c r="H147" s="14" t="s">
        <v>1467</v>
      </c>
      <c r="I147" s="14" t="s">
        <v>1467</v>
      </c>
      <c r="J147" s="14" t="s">
        <v>1467</v>
      </c>
      <c r="K147" s="2" t="s">
        <v>1502</v>
      </c>
    </row>
    <row r="148" spans="1:11" x14ac:dyDescent="0.25">
      <c r="A148" s="2" t="s">
        <v>5689</v>
      </c>
      <c r="B148" s="14" t="s">
        <v>5619</v>
      </c>
      <c r="C148" s="438" t="s">
        <v>5706</v>
      </c>
      <c r="D148" s="14" t="s">
        <v>1467</v>
      </c>
      <c r="E148" s="14" t="s">
        <v>1467</v>
      </c>
      <c r="F148" s="14" t="s">
        <v>5620</v>
      </c>
      <c r="G148" s="14" t="s">
        <v>5621</v>
      </c>
      <c r="H148" s="14" t="s">
        <v>5622</v>
      </c>
      <c r="I148" s="14" t="s">
        <v>4447</v>
      </c>
      <c r="J148" s="14" t="s">
        <v>1467</v>
      </c>
      <c r="K148" s="2" t="s">
        <v>1502</v>
      </c>
    </row>
    <row r="149" spans="1:11" x14ac:dyDescent="0.25">
      <c r="A149" s="2" t="s">
        <v>5690</v>
      </c>
      <c r="B149" s="14" t="s">
        <v>5631</v>
      </c>
      <c r="C149" s="438" t="s">
        <v>5632</v>
      </c>
      <c r="D149" s="14" t="s">
        <v>1467</v>
      </c>
      <c r="E149" s="14" t="s">
        <v>1467</v>
      </c>
      <c r="F149" s="14" t="s">
        <v>5633</v>
      </c>
      <c r="G149" s="14" t="s">
        <v>4257</v>
      </c>
      <c r="H149" s="14" t="s">
        <v>1467</v>
      </c>
      <c r="I149" s="14" t="s">
        <v>1467</v>
      </c>
      <c r="J149" s="14" t="s">
        <v>1467</v>
      </c>
      <c r="K149" s="2" t="s">
        <v>1502</v>
      </c>
    </row>
    <row r="150" spans="1:11" x14ac:dyDescent="0.25">
      <c r="A150" s="2" t="s">
        <v>5691</v>
      </c>
      <c r="B150" s="14" t="s">
        <v>5685</v>
      </c>
      <c r="C150" s="438" t="s">
        <v>5686</v>
      </c>
      <c r="D150" s="14" t="s">
        <v>1467</v>
      </c>
      <c r="E150" s="14" t="s">
        <v>1467</v>
      </c>
      <c r="F150" s="14" t="s">
        <v>1467</v>
      </c>
      <c r="G150" s="14" t="s">
        <v>1467</v>
      </c>
      <c r="H150" s="14" t="s">
        <v>1467</v>
      </c>
      <c r="I150" s="14" t="s">
        <v>1467</v>
      </c>
      <c r="J150" s="14" t="s">
        <v>1467</v>
      </c>
      <c r="K150" s="2" t="s">
        <v>1502</v>
      </c>
    </row>
    <row r="151" spans="1:11" x14ac:dyDescent="0.25">
      <c r="A151" s="2" t="s">
        <v>5734</v>
      </c>
      <c r="B151" s="14" t="s">
        <v>5692</v>
      </c>
      <c r="C151" s="438" t="s">
        <v>5693</v>
      </c>
      <c r="D151" s="14" t="s">
        <v>1467</v>
      </c>
      <c r="E151" s="14" t="s">
        <v>1467</v>
      </c>
      <c r="F151" s="14" t="s">
        <v>1467</v>
      </c>
      <c r="G151" s="14" t="s">
        <v>1467</v>
      </c>
      <c r="H151" s="14" t="s">
        <v>1467</v>
      </c>
      <c r="I151" s="14" t="s">
        <v>1467</v>
      </c>
      <c r="J151" s="14" t="s">
        <v>1467</v>
      </c>
      <c r="K151" s="2" t="s">
        <v>1502</v>
      </c>
    </row>
    <row r="152" spans="1:11" x14ac:dyDescent="0.25">
      <c r="A152" s="2" t="s">
        <v>5735</v>
      </c>
      <c r="B152" s="14" t="s">
        <v>5687</v>
      </c>
      <c r="C152" s="438" t="s">
        <v>5688</v>
      </c>
      <c r="D152" s="14" t="s">
        <v>1467</v>
      </c>
      <c r="E152" s="14" t="s">
        <v>1467</v>
      </c>
      <c r="F152" s="14" t="s">
        <v>5702</v>
      </c>
      <c r="G152" s="14" t="s">
        <v>2067</v>
      </c>
      <c r="H152" s="14" t="s">
        <v>5703</v>
      </c>
      <c r="I152" s="14" t="s">
        <v>5704</v>
      </c>
      <c r="J152" s="14" t="s">
        <v>5705</v>
      </c>
      <c r="K152" s="2" t="s">
        <v>1502</v>
      </c>
    </row>
    <row r="153" spans="1:11" x14ac:dyDescent="0.25">
      <c r="A153" s="2" t="s">
        <v>5736</v>
      </c>
      <c r="B153" s="14" t="s">
        <v>5708</v>
      </c>
      <c r="C153" s="438" t="s">
        <v>5709</v>
      </c>
      <c r="D153" s="14" t="s">
        <v>1467</v>
      </c>
      <c r="E153" s="14" t="s">
        <v>1467</v>
      </c>
      <c r="F153" s="14" t="s">
        <v>5710</v>
      </c>
      <c r="G153" s="14" t="s">
        <v>2067</v>
      </c>
      <c r="H153" s="14" t="s">
        <v>5711</v>
      </c>
      <c r="I153" s="14" t="s">
        <v>5712</v>
      </c>
      <c r="J153" s="14" t="s">
        <v>5705</v>
      </c>
      <c r="K153" s="2" t="s">
        <v>1502</v>
      </c>
    </row>
    <row r="154" spans="1:11" x14ac:dyDescent="0.25">
      <c r="A154" s="2" t="s">
        <v>6076</v>
      </c>
      <c r="B154" s="14" t="s">
        <v>5811</v>
      </c>
      <c r="C154" s="438" t="s">
        <v>5812</v>
      </c>
      <c r="D154" s="14" t="s">
        <v>1467</v>
      </c>
      <c r="E154" s="14" t="s">
        <v>1467</v>
      </c>
      <c r="F154" s="14" t="s">
        <v>5813</v>
      </c>
      <c r="G154" s="14" t="s">
        <v>2512</v>
      </c>
      <c r="H154" s="14" t="s">
        <v>1467</v>
      </c>
      <c r="I154" s="14" t="s">
        <v>1467</v>
      </c>
      <c r="J154" s="14" t="s">
        <v>1467</v>
      </c>
      <c r="K154" s="2" t="s">
        <v>1467</v>
      </c>
    </row>
    <row r="155" spans="1:11" x14ac:dyDescent="0.25">
      <c r="A155" s="2" t="s">
        <v>6077</v>
      </c>
      <c r="B155" s="14" t="s">
        <v>5926</v>
      </c>
      <c r="C155" s="438" t="s">
        <v>5922</v>
      </c>
      <c r="D155" s="14" t="s">
        <v>1467</v>
      </c>
      <c r="E155" s="14" t="s">
        <v>1467</v>
      </c>
      <c r="F155" s="14" t="s">
        <v>5923</v>
      </c>
      <c r="G155" s="14" t="s">
        <v>1979</v>
      </c>
      <c r="H155" s="14" t="s">
        <v>5924</v>
      </c>
      <c r="I155" s="14" t="s">
        <v>5925</v>
      </c>
      <c r="J155" s="14" t="s">
        <v>1467</v>
      </c>
      <c r="K155" s="2" t="s">
        <v>2434</v>
      </c>
    </row>
    <row r="156" spans="1:11" x14ac:dyDescent="0.25">
      <c r="A156" s="2" t="s">
        <v>6078</v>
      </c>
      <c r="B156" t="s">
        <v>5955</v>
      </c>
      <c r="C156" s="436" t="s">
        <v>5956</v>
      </c>
      <c r="D156" t="s">
        <v>1467</v>
      </c>
      <c r="E156" t="s">
        <v>1467</v>
      </c>
      <c r="F156" t="s">
        <v>5957</v>
      </c>
      <c r="G156" t="s">
        <v>2067</v>
      </c>
      <c r="H156" t="s">
        <v>1467</v>
      </c>
      <c r="I156" t="s">
        <v>5958</v>
      </c>
      <c r="J156" t="s">
        <v>5959</v>
      </c>
      <c r="K156" s="432" t="s">
        <v>1502</v>
      </c>
    </row>
    <row r="157" spans="1:11" x14ac:dyDescent="0.25">
      <c r="A157" s="2" t="s">
        <v>6079</v>
      </c>
      <c r="B157" t="s">
        <v>6006</v>
      </c>
      <c r="C157" s="436" t="s">
        <v>6007</v>
      </c>
      <c r="D157" t="s">
        <v>1467</v>
      </c>
      <c r="E157" t="s">
        <v>1467</v>
      </c>
      <c r="F157" t="s">
        <v>1467</v>
      </c>
      <c r="G157" t="s">
        <v>1849</v>
      </c>
      <c r="H157" t="s">
        <v>1467</v>
      </c>
      <c r="I157" t="s">
        <v>6008</v>
      </c>
      <c r="J157" t="s">
        <v>1467</v>
      </c>
      <c r="K157" s="432" t="s">
        <v>1502</v>
      </c>
    </row>
    <row r="158" spans="1:11" x14ac:dyDescent="0.25">
      <c r="A158" s="4" t="s">
        <v>4388</v>
      </c>
      <c r="B158" t="s">
        <v>6089</v>
      </c>
      <c r="C158" s="436" t="s">
        <v>6090</v>
      </c>
      <c r="D158" t="s">
        <v>1467</v>
      </c>
      <c r="E158" t="s">
        <v>1467</v>
      </c>
      <c r="F158" t="s">
        <v>6091</v>
      </c>
      <c r="G158" t="s">
        <v>6092</v>
      </c>
      <c r="H158" t="s">
        <v>1467</v>
      </c>
      <c r="I158" t="s">
        <v>6093</v>
      </c>
      <c r="J158" t="s">
        <v>1467</v>
      </c>
      <c r="K158" s="432" t="s">
        <v>1502</v>
      </c>
    </row>
  </sheetData>
  <autoFilter ref="A2:K155">
    <sortState ref="A3:K94">
      <sortCondition ref="A2:A94"/>
    </sortState>
  </autoFilter>
  <phoneticPr fontId="32" type="noConversion"/>
  <hyperlinks>
    <hyperlink ref="J82" r:id="rId1"/>
    <hyperlink ref="J87" r:id="rId2"/>
  </hyperlinks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pageSetUpPr fitToPage="1"/>
  </sheetPr>
  <dimension ref="A2:Z36"/>
  <sheetViews>
    <sheetView showGridLines="0" view="pageBreakPreview" zoomScale="90" zoomScaleNormal="90" zoomScaleSheetLayoutView="90" zoomScalePageLayoutView="85" workbookViewId="0">
      <selection activeCell="I17" sqref="I17"/>
    </sheetView>
  </sheetViews>
  <sheetFormatPr baseColWidth="10" defaultColWidth="10.7109375" defaultRowHeight="15" x14ac:dyDescent="0.25"/>
  <cols>
    <col min="1" max="1" width="7.42578125" bestFit="1" customWidth="1"/>
    <col min="2" max="2" width="5" bestFit="1" customWidth="1"/>
    <col min="3" max="3" width="6.7109375" bestFit="1" customWidth="1"/>
    <col min="4" max="4" width="8.5703125" customWidth="1"/>
    <col min="5" max="5" width="1.5703125" bestFit="1" customWidth="1"/>
    <col min="6" max="6" width="10.28515625" customWidth="1"/>
    <col min="7" max="7" width="11.42578125" bestFit="1" customWidth="1"/>
    <col min="8" max="9" width="11.28515625" bestFit="1" customWidth="1"/>
    <col min="10" max="10" width="10.5703125" bestFit="1" customWidth="1"/>
    <col min="11" max="11" width="13.85546875" customWidth="1"/>
    <col min="12" max="12" width="1.7109375" bestFit="1" customWidth="1"/>
    <col min="13" max="13" width="10.5703125" customWidth="1"/>
    <col min="14" max="14" width="14.28515625" bestFit="1" customWidth="1"/>
    <col min="15" max="15" width="9.28515625" bestFit="1" customWidth="1"/>
    <col min="16" max="16" width="12.28515625" customWidth="1"/>
    <col min="17" max="17" width="1.7109375" bestFit="1" customWidth="1"/>
    <col min="18" max="18" width="10" customWidth="1"/>
    <col min="19" max="19" width="1.7109375" bestFit="1" customWidth="1"/>
    <col min="20" max="20" width="12.42578125" bestFit="1" customWidth="1"/>
    <col min="26" max="26" width="12.5703125" bestFit="1" customWidth="1"/>
  </cols>
  <sheetData>
    <row r="2" spans="1:26" ht="29.25" x14ac:dyDescent="0.4">
      <c r="A2" s="737" t="s">
        <v>2230</v>
      </c>
      <c r="B2" s="738"/>
      <c r="C2" s="738"/>
      <c r="D2" s="738"/>
      <c r="E2" s="738"/>
      <c r="F2" s="738"/>
      <c r="G2" s="738"/>
      <c r="H2" s="738"/>
      <c r="I2" s="738"/>
      <c r="J2" s="738"/>
      <c r="K2" s="738"/>
      <c r="L2" s="738"/>
      <c r="M2" s="738"/>
      <c r="N2" s="738"/>
      <c r="O2" s="738"/>
      <c r="P2" s="738"/>
      <c r="Q2" s="738"/>
      <c r="R2" s="738"/>
      <c r="S2" s="738"/>
      <c r="T2" s="739"/>
    </row>
    <row r="3" spans="1:26" ht="6.75" customHeight="1" x14ac:dyDescent="0.2"/>
    <row r="4" spans="1:26" x14ac:dyDescent="0.25">
      <c r="C4" s="130" t="s">
        <v>1161</v>
      </c>
      <c r="E4" s="12" t="s">
        <v>1822</v>
      </c>
      <c r="K4" s="80" t="s">
        <v>1981</v>
      </c>
      <c r="L4" s="12" t="s">
        <v>1822</v>
      </c>
      <c r="R4" s="80" t="s">
        <v>2257</v>
      </c>
      <c r="S4" s="12" t="s">
        <v>1822</v>
      </c>
      <c r="T4" s="21">
        <f ca="1">+TODAY()</f>
        <v>44018</v>
      </c>
    </row>
    <row r="5" spans="1:26" x14ac:dyDescent="0.25">
      <c r="C5" s="130" t="s">
        <v>924</v>
      </c>
      <c r="E5" s="12" t="s">
        <v>1822</v>
      </c>
      <c r="K5" s="80" t="s">
        <v>1174</v>
      </c>
      <c r="L5" s="12" t="s">
        <v>1822</v>
      </c>
      <c r="M5" s="6"/>
    </row>
    <row r="6" spans="1:26" x14ac:dyDescent="0.2">
      <c r="C6" s="130" t="s">
        <v>2231</v>
      </c>
      <c r="E6" s="12" t="s">
        <v>1822</v>
      </c>
    </row>
    <row r="7" spans="1:26" x14ac:dyDescent="0.25">
      <c r="C7" s="130" t="s">
        <v>1166</v>
      </c>
      <c r="E7" s="12" t="s">
        <v>1822</v>
      </c>
      <c r="K7" s="80" t="s">
        <v>1167</v>
      </c>
      <c r="L7" s="12" t="s">
        <v>1822</v>
      </c>
    </row>
    <row r="9" spans="1:26" s="4" customFormat="1" x14ac:dyDescent="0.25">
      <c r="A9" s="8" t="s">
        <v>925</v>
      </c>
      <c r="B9" s="100" t="s">
        <v>2232</v>
      </c>
      <c r="C9" s="100" t="s">
        <v>1461</v>
      </c>
      <c r="D9" s="740" t="s">
        <v>1908</v>
      </c>
      <c r="E9" s="740"/>
      <c r="F9" s="100" t="s">
        <v>2233</v>
      </c>
      <c r="G9" s="100" t="s">
        <v>2234</v>
      </c>
      <c r="H9" s="100" t="s">
        <v>2251</v>
      </c>
      <c r="I9" s="100" t="s">
        <v>2252</v>
      </c>
      <c r="J9" s="100" t="s">
        <v>1462</v>
      </c>
      <c r="K9" s="110" t="s">
        <v>2253</v>
      </c>
      <c r="L9" s="110"/>
      <c r="M9" s="100" t="s">
        <v>928</v>
      </c>
      <c r="N9" s="100" t="s">
        <v>1466</v>
      </c>
      <c r="O9" s="100" t="s">
        <v>1929</v>
      </c>
      <c r="P9" s="740" t="s">
        <v>1451</v>
      </c>
      <c r="Q9" s="740"/>
      <c r="R9" s="740" t="s">
        <v>1487</v>
      </c>
      <c r="S9" s="740"/>
      <c r="T9" s="109" t="s">
        <v>987</v>
      </c>
    </row>
    <row r="10" spans="1:26" s="656" customFormat="1" x14ac:dyDescent="0.25">
      <c r="A10" s="259"/>
      <c r="B10" s="196"/>
      <c r="C10" s="196"/>
      <c r="D10" s="260"/>
      <c r="E10" s="261"/>
      <c r="F10" s="262"/>
      <c r="G10" s="262"/>
      <c r="H10" s="252"/>
      <c r="I10" s="252"/>
      <c r="J10" s="260"/>
      <c r="K10" s="263"/>
      <c r="L10" s="261"/>
      <c r="M10" s="264"/>
      <c r="N10" s="196"/>
      <c r="O10" s="2"/>
      <c r="P10" s="23"/>
      <c r="Q10" s="270"/>
      <c r="R10" s="23"/>
      <c r="S10" s="270"/>
      <c r="T10" s="185"/>
      <c r="Y10" s="654"/>
      <c r="Z10" s="654"/>
    </row>
    <row r="11" spans="1:26" s="4" customFormat="1" x14ac:dyDescent="0.2">
      <c r="A11" s="259"/>
      <c r="B11" s="196"/>
      <c r="C11" s="196"/>
      <c r="D11" s="260"/>
      <c r="E11" s="261"/>
      <c r="F11" s="262"/>
      <c r="G11" s="262"/>
      <c r="H11" s="252"/>
      <c r="I11" s="252"/>
      <c r="J11" s="260"/>
      <c r="K11" s="263"/>
      <c r="L11" s="261"/>
      <c r="M11" s="264"/>
      <c r="N11" s="196"/>
      <c r="O11" s="2"/>
      <c r="P11" s="23"/>
      <c r="Q11" s="270"/>
      <c r="R11" s="23"/>
      <c r="S11" s="270"/>
      <c r="T11" s="185"/>
      <c r="Z11" s="275"/>
    </row>
    <row r="12" spans="1:26" s="4" customForma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6" s="4" customFormat="1" x14ac:dyDescent="0.2">
      <c r="A13" s="122" t="s">
        <v>1909</v>
      </c>
      <c r="B13" s="121"/>
      <c r="C13" s="121"/>
      <c r="D13" s="121"/>
      <c r="E13" s="121"/>
      <c r="F13" s="121"/>
      <c r="G13" s="121"/>
      <c r="H13" s="121"/>
      <c r="I13" s="121"/>
      <c r="J13" s="266"/>
      <c r="K13" s="266"/>
      <c r="L13" s="121"/>
      <c r="M13" s="19"/>
      <c r="N13"/>
      <c r="O13" s="111"/>
      <c r="P13" s="112" t="s">
        <v>2254</v>
      </c>
      <c r="Q13" s="113" t="s">
        <v>1822</v>
      </c>
      <c r="R13" s="748">
        <f>+SUM(F10:F11)</f>
        <v>0</v>
      </c>
      <c r="S13" s="749"/>
      <c r="T13" s="750"/>
    </row>
    <row r="14" spans="1:26" s="4" customFormat="1" x14ac:dyDescent="0.2">
      <c r="A14" s="114"/>
      <c r="B14"/>
      <c r="C14"/>
      <c r="D14"/>
      <c r="E14"/>
      <c r="F14"/>
      <c r="G14" s="128"/>
      <c r="H14"/>
      <c r="I14"/>
      <c r="J14"/>
      <c r="K14"/>
      <c r="L14"/>
      <c r="M14" s="16"/>
      <c r="N14" s="128"/>
      <c r="O14" s="114"/>
      <c r="P14" s="115" t="s">
        <v>2255</v>
      </c>
      <c r="Q14" s="116" t="s">
        <v>1822</v>
      </c>
      <c r="R14" s="745">
        <f>+SUM(G10:G11)</f>
        <v>0</v>
      </c>
      <c r="S14" s="746"/>
      <c r="T14" s="747"/>
    </row>
    <row r="15" spans="1:26" s="4" customFormat="1" ht="15.75" x14ac:dyDescent="0.25">
      <c r="A15" s="114"/>
      <c r="B15"/>
      <c r="C15"/>
      <c r="D15"/>
      <c r="E15"/>
      <c r="F15"/>
      <c r="G15"/>
      <c r="H15"/>
      <c r="I15"/>
      <c r="J15"/>
      <c r="K15"/>
      <c r="L15"/>
      <c r="M15" s="16"/>
      <c r="N15"/>
      <c r="O15" s="114"/>
      <c r="P15" s="115" t="s">
        <v>2323</v>
      </c>
      <c r="Q15" s="116" t="s">
        <v>1822</v>
      </c>
      <c r="R15" s="745">
        <f>+R13+R14</f>
        <v>0</v>
      </c>
      <c r="S15" s="746"/>
      <c r="T15" s="747"/>
    </row>
    <row r="16" spans="1:26" s="4" customFormat="1" ht="15.75" x14ac:dyDescent="0.25">
      <c r="A16" s="114"/>
      <c r="B16"/>
      <c r="C16"/>
      <c r="D16"/>
      <c r="E16"/>
      <c r="F16"/>
      <c r="G16"/>
      <c r="H16"/>
      <c r="I16"/>
      <c r="J16"/>
      <c r="K16"/>
      <c r="L16"/>
      <c r="M16" s="16"/>
      <c r="N16"/>
      <c r="O16" s="114"/>
      <c r="P16" s="115" t="s">
        <v>2324</v>
      </c>
      <c r="Q16" s="116" t="s">
        <v>1822</v>
      </c>
      <c r="R16" s="745">
        <f>+SUM(M10:M11)</f>
        <v>0</v>
      </c>
      <c r="S16" s="746"/>
      <c r="T16" s="747"/>
    </row>
    <row r="17" spans="1:20" s="4" customFormat="1" ht="18.75" x14ac:dyDescent="0.25">
      <c r="A17" s="117"/>
      <c r="B17" s="17"/>
      <c r="C17" s="17"/>
      <c r="D17" s="17"/>
      <c r="E17" s="17"/>
      <c r="F17" s="17"/>
      <c r="G17" s="17"/>
      <c r="H17" s="17"/>
      <c r="I17" s="17"/>
      <c r="J17" s="139"/>
      <c r="K17" s="17"/>
      <c r="L17" s="17"/>
      <c r="M17" s="18"/>
      <c r="N17"/>
      <c r="O17" s="118"/>
      <c r="P17" s="119" t="s">
        <v>2256</v>
      </c>
      <c r="Q17" s="120" t="s">
        <v>1822</v>
      </c>
      <c r="R17" s="742">
        <f>+R15-R16</f>
        <v>0</v>
      </c>
      <c r="S17" s="743"/>
      <c r="T17" s="744"/>
    </row>
    <row r="18" spans="1:20" s="4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s="4" customFormat="1" x14ac:dyDescent="0.25">
      <c r="A19" s="741" t="s">
        <v>2742</v>
      </c>
      <c r="B19" s="741"/>
      <c r="C19" s="741"/>
      <c r="D19" s="741"/>
      <c r="E19" s="741"/>
      <c r="F19" s="741"/>
      <c r="G19" s="741"/>
      <c r="H19" s="741"/>
      <c r="I19" s="741"/>
      <c r="J19" s="741"/>
      <c r="K19" s="741"/>
      <c r="L19" s="741"/>
      <c r="M19" s="741"/>
      <c r="N19" s="741"/>
      <c r="O19" s="741"/>
      <c r="P19" s="741"/>
      <c r="Q19" s="741"/>
      <c r="R19" s="741"/>
      <c r="S19" s="741"/>
      <c r="T19" s="741"/>
    </row>
    <row r="20" spans="1:20" s="4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s="4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s="4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s="4" customFormat="1" x14ac:dyDescent="0.25">
      <c r="A27"/>
      <c r="B27"/>
      <c r="C27"/>
      <c r="D27"/>
      <c r="E27"/>
      <c r="F27"/>
      <c r="G27"/>
      <c r="H27"/>
      <c r="I27"/>
      <c r="J27"/>
      <c r="K27" s="128"/>
      <c r="L27"/>
      <c r="M27"/>
      <c r="N27"/>
      <c r="O27"/>
      <c r="P27"/>
      <c r="Q27"/>
      <c r="R27"/>
      <c r="S27"/>
      <c r="T27"/>
    </row>
    <row r="28" spans="1:20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s="4" customFormat="1" x14ac:dyDescent="0.25">
      <c r="A29"/>
      <c r="B29"/>
      <c r="C29"/>
      <c r="D29"/>
      <c r="E29"/>
      <c r="F29"/>
      <c r="G29"/>
      <c r="H29"/>
      <c r="I29"/>
      <c r="J29" s="128"/>
      <c r="K29"/>
      <c r="L29"/>
      <c r="M29"/>
      <c r="N29"/>
      <c r="O29"/>
      <c r="P29"/>
      <c r="Q29"/>
      <c r="R29"/>
      <c r="S29"/>
      <c r="T29"/>
    </row>
    <row r="36" ht="26.25" customHeight="1" x14ac:dyDescent="0.25"/>
  </sheetData>
  <mergeCells count="10">
    <mergeCell ref="A2:T2"/>
    <mergeCell ref="D9:E9"/>
    <mergeCell ref="R9:S9"/>
    <mergeCell ref="A19:T19"/>
    <mergeCell ref="R17:T17"/>
    <mergeCell ref="R15:T15"/>
    <mergeCell ref="R13:T13"/>
    <mergeCell ref="P9:Q9"/>
    <mergeCell ref="R14:T14"/>
    <mergeCell ref="R16:T16"/>
  </mergeCells>
  <pageMargins left="0.25" right="0.25" top="0.75" bottom="0.75" header="0.3" footer="0.3"/>
  <pageSetup scale="79" fitToHeight="0" orientation="landscape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otón 16">
              <controlPr defaultSize="0" print="0" autoFill="0" autoPict="0" macro="[0]!GenerarEC">
                <anchor moveWithCells="1">
                  <from>
                    <xdr:col>15</xdr:col>
                    <xdr:colOff>361950</xdr:colOff>
                    <xdr:row>4</xdr:row>
                    <xdr:rowOff>47625</xdr:rowOff>
                  </from>
                  <to>
                    <xdr:col>19</xdr:col>
                    <xdr:colOff>514350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otón 16">
              <controlPr defaultSize="0" print="0" autoFill="0" autoPict="0" macro="[0]!LimpiarEC">
                <anchor moveWithCells="1">
                  <from>
                    <xdr:col>15</xdr:col>
                    <xdr:colOff>333375</xdr:colOff>
                    <xdr:row>1</xdr:row>
                    <xdr:rowOff>19050</xdr:rowOff>
                  </from>
                  <to>
                    <xdr:col>19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5"/>
  <sheetViews>
    <sheetView showGridLines="0" workbookViewId="0">
      <selection activeCell="B9" sqref="B9"/>
    </sheetView>
  </sheetViews>
  <sheetFormatPr baseColWidth="10" defaultColWidth="10.7109375" defaultRowHeight="15" x14ac:dyDescent="0.25"/>
  <cols>
    <col min="1" max="1" width="8.5703125" style="4" bestFit="1" customWidth="1"/>
    <col min="2" max="2" width="8.28515625" style="4" bestFit="1" customWidth="1"/>
    <col min="3" max="3" width="5" style="4" bestFit="1" customWidth="1"/>
    <col min="4" max="4" width="25.7109375" style="4" bestFit="1" customWidth="1"/>
    <col min="5" max="5" width="14.28515625" style="4" bestFit="1" customWidth="1"/>
    <col min="6" max="6" width="12.7109375" style="4" bestFit="1" customWidth="1"/>
    <col min="7" max="7" width="14" style="4" bestFit="1" customWidth="1"/>
    <col min="8" max="8" width="5.7109375" style="4" bestFit="1" customWidth="1"/>
    <col min="9" max="9" width="6.85546875" style="4" bestFit="1" customWidth="1"/>
    <col min="10" max="10" width="10.140625" style="4" bestFit="1" customWidth="1"/>
    <col min="11" max="11" width="8.5703125" style="4" bestFit="1" customWidth="1"/>
    <col min="12" max="12" width="10" style="4" bestFit="1" customWidth="1"/>
  </cols>
  <sheetData>
    <row r="1" spans="1:13" ht="33" customHeight="1" x14ac:dyDescent="0.2">
      <c r="H1" s="4">
        <v>40</v>
      </c>
      <c r="I1" s="4">
        <v>31</v>
      </c>
      <c r="J1" s="4">
        <v>547</v>
      </c>
      <c r="K1" s="4">
        <v>55</v>
      </c>
      <c r="L1" s="4">
        <v>111</v>
      </c>
    </row>
    <row r="2" spans="1:13" s="1" customFormat="1" x14ac:dyDescent="0.2">
      <c r="A2" s="1" t="s">
        <v>1458</v>
      </c>
      <c r="B2" s="1" t="s">
        <v>1459</v>
      </c>
      <c r="C2" s="1" t="s">
        <v>1460</v>
      </c>
      <c r="D2" s="1" t="s">
        <v>1466</v>
      </c>
      <c r="E2" s="1" t="s">
        <v>1480</v>
      </c>
      <c r="F2" s="1" t="s">
        <v>1487</v>
      </c>
      <c r="G2" s="1" t="s">
        <v>1508</v>
      </c>
      <c r="H2" s="1" t="s">
        <v>10</v>
      </c>
      <c r="I2" s="1" t="s">
        <v>406</v>
      </c>
      <c r="J2" s="1" t="s">
        <v>47</v>
      </c>
      <c r="K2" s="1" t="s">
        <v>1753</v>
      </c>
      <c r="L2" s="1" t="s">
        <v>795</v>
      </c>
      <c r="M2" s="1" t="s">
        <v>2873</v>
      </c>
    </row>
    <row r="3" spans="1:13" x14ac:dyDescent="0.2">
      <c r="A3" s="4">
        <v>89</v>
      </c>
      <c r="B3" s="4">
        <v>615</v>
      </c>
      <c r="C3" s="4">
        <v>4853</v>
      </c>
      <c r="D3" s="4" t="s">
        <v>1070</v>
      </c>
      <c r="E3" s="4" t="s">
        <v>1464</v>
      </c>
      <c r="F3" s="4" t="s">
        <v>2122</v>
      </c>
      <c r="G3" s="4" t="s">
        <v>925</v>
      </c>
      <c r="H3" s="4">
        <v>81</v>
      </c>
      <c r="I3" s="4">
        <v>56</v>
      </c>
      <c r="J3" s="4">
        <v>1235</v>
      </c>
      <c r="K3" s="4">
        <v>55</v>
      </c>
      <c r="L3" s="4">
        <v>240</v>
      </c>
    </row>
    <row r="4" spans="1:13" x14ac:dyDescent="0.2">
      <c r="D4" s="4" t="s">
        <v>1481</v>
      </c>
      <c r="E4" s="4" t="s">
        <v>928</v>
      </c>
      <c r="F4" s="4" t="s">
        <v>1492</v>
      </c>
      <c r="G4" s="4" t="s">
        <v>1461</v>
      </c>
    </row>
    <row r="5" spans="1:13" x14ac:dyDescent="0.25">
      <c r="A5" s="1" t="s">
        <v>2101</v>
      </c>
      <c r="B5" s="1" t="s">
        <v>2129</v>
      </c>
      <c r="D5" s="4" t="s">
        <v>2132</v>
      </c>
      <c r="E5" s="4" t="s">
        <v>1463</v>
      </c>
      <c r="F5" s="4" t="s">
        <v>1491</v>
      </c>
    </row>
    <row r="6" spans="1:13" x14ac:dyDescent="0.2">
      <c r="A6" s="4">
        <v>122</v>
      </c>
      <c r="B6" s="4">
        <v>699</v>
      </c>
      <c r="D6" s="4" t="s">
        <v>2131</v>
      </c>
      <c r="F6" s="4" t="s">
        <v>1488</v>
      </c>
    </row>
    <row r="7" spans="1:13" x14ac:dyDescent="0.25">
      <c r="D7" s="4" t="s">
        <v>1483</v>
      </c>
      <c r="E7" s="1" t="s">
        <v>2397</v>
      </c>
      <c r="F7" s="4" t="s">
        <v>1499</v>
      </c>
    </row>
    <row r="8" spans="1:13" x14ac:dyDescent="0.2">
      <c r="D8" s="4" t="s">
        <v>1484</v>
      </c>
      <c r="E8" s="4" t="s">
        <v>2050</v>
      </c>
      <c r="F8" s="4" t="s">
        <v>1489</v>
      </c>
    </row>
    <row r="9" spans="1:13" x14ac:dyDescent="0.2">
      <c r="E9" s="4" t="s">
        <v>1445</v>
      </c>
      <c r="F9" s="4" t="s">
        <v>1462</v>
      </c>
    </row>
    <row r="10" spans="1:13" x14ac:dyDescent="0.2">
      <c r="D10" s="1" t="s">
        <v>1929</v>
      </c>
      <c r="E10" s="4" t="s">
        <v>1501</v>
      </c>
      <c r="F10" s="4" t="s">
        <v>1494</v>
      </c>
    </row>
    <row r="11" spans="1:13" x14ac:dyDescent="0.2">
      <c r="D11" s="4" t="s">
        <v>2243</v>
      </c>
      <c r="E11" s="4" t="s">
        <v>1849</v>
      </c>
      <c r="F11" s="4" t="s">
        <v>1498</v>
      </c>
    </row>
    <row r="12" spans="1:13" x14ac:dyDescent="0.2">
      <c r="D12" s="4" t="s">
        <v>1478</v>
      </c>
      <c r="E12" s="4" t="s">
        <v>3587</v>
      </c>
      <c r="F12" s="4" t="s">
        <v>1497</v>
      </c>
    </row>
    <row r="13" spans="1:13" x14ac:dyDescent="0.25">
      <c r="F13" s="4" t="s">
        <v>1490</v>
      </c>
    </row>
    <row r="14" spans="1:13" x14ac:dyDescent="0.25">
      <c r="F14" s="4" t="s">
        <v>1495</v>
      </c>
    </row>
    <row r="15" spans="1:13" x14ac:dyDescent="0.25">
      <c r="F15" s="4" t="s">
        <v>1496</v>
      </c>
    </row>
    <row r="16" spans="1:13" x14ac:dyDescent="0.25">
      <c r="F16" s="4" t="s">
        <v>1493</v>
      </c>
    </row>
    <row r="17" spans="4:7" x14ac:dyDescent="0.25">
      <c r="D17" s="1" t="s">
        <v>2053</v>
      </c>
      <c r="F17" s="4" t="s">
        <v>2353</v>
      </c>
    </row>
    <row r="18" spans="4:7" x14ac:dyDescent="0.25">
      <c r="D18" s="4" t="s">
        <v>2052</v>
      </c>
    </row>
    <row r="19" spans="4:7" x14ac:dyDescent="0.25">
      <c r="D19" s="4" t="s">
        <v>2124</v>
      </c>
    </row>
    <row r="20" spans="4:7" x14ac:dyDescent="0.25">
      <c r="D20" s="4" t="s">
        <v>2040</v>
      </c>
    </row>
    <row r="22" spans="4:7" x14ac:dyDescent="0.25">
      <c r="D22" s="1" t="s">
        <v>3485</v>
      </c>
      <c r="G22"/>
    </row>
    <row r="23" spans="4:7" x14ac:dyDescent="0.25">
      <c r="D23" s="4" t="s">
        <v>3490</v>
      </c>
      <c r="G23"/>
    </row>
    <row r="24" spans="4:7" x14ac:dyDescent="0.25">
      <c r="D24" s="4" t="s">
        <v>3486</v>
      </c>
      <c r="G24"/>
    </row>
    <row r="25" spans="4:7" x14ac:dyDescent="0.25">
      <c r="D25" s="4" t="s">
        <v>3487</v>
      </c>
      <c r="G25"/>
    </row>
    <row r="26" spans="4:7" x14ac:dyDescent="0.25">
      <c r="D26" s="4" t="s">
        <v>3488</v>
      </c>
      <c r="G26"/>
    </row>
    <row r="27" spans="4:7" x14ac:dyDescent="0.25">
      <c r="D27" s="4" t="s">
        <v>3489</v>
      </c>
      <c r="G27"/>
    </row>
    <row r="28" spans="4:7" x14ac:dyDescent="0.25">
      <c r="G28"/>
    </row>
    <row r="29" spans="4:7" x14ac:dyDescent="0.25">
      <c r="G29"/>
    </row>
    <row r="30" spans="4:7" x14ac:dyDescent="0.25">
      <c r="G30"/>
    </row>
    <row r="31" spans="4:7" x14ac:dyDescent="0.25">
      <c r="G31"/>
    </row>
    <row r="32" spans="4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</sheetData>
  <sortState ref="E8:E13">
    <sortCondition ref="E8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B1:AD772"/>
  <sheetViews>
    <sheetView showGridLines="0" zoomScaleNormal="100" workbookViewId="0">
      <selection activeCell="R48" sqref="R48"/>
    </sheetView>
  </sheetViews>
  <sheetFormatPr baseColWidth="10" defaultColWidth="10.7109375" defaultRowHeight="15" x14ac:dyDescent="0.25"/>
  <cols>
    <col min="1" max="1" width="2.28515625" customWidth="1"/>
    <col min="2" max="2" width="19.7109375" style="78" customWidth="1"/>
    <col min="3" max="3" width="1.5703125" style="78" bestFit="1" customWidth="1"/>
    <col min="4" max="4" width="16.85546875" customWidth="1"/>
    <col min="8" max="8" width="1.5703125" bestFit="1" customWidth="1"/>
    <col min="10" max="10" width="10" customWidth="1"/>
    <col min="11" max="11" width="1.5703125" bestFit="1" customWidth="1"/>
    <col min="12" max="12" width="11.85546875" bestFit="1" customWidth="1"/>
    <col min="13" max="13" width="3" customWidth="1"/>
  </cols>
  <sheetData>
    <row r="1" spans="2:12" x14ac:dyDescent="0.2">
      <c r="B1"/>
      <c r="C1"/>
    </row>
    <row r="2" spans="2:12" ht="18.75" x14ac:dyDescent="0.3">
      <c r="B2" s="765" t="s">
        <v>2033</v>
      </c>
      <c r="C2" s="766"/>
      <c r="D2" s="766"/>
      <c r="E2" s="766"/>
      <c r="F2" s="763" t="s">
        <v>1481</v>
      </c>
      <c r="G2" s="763"/>
      <c r="H2" s="763"/>
      <c r="I2" s="764"/>
      <c r="J2" s="6"/>
      <c r="L2" s="26">
        <f ca="1">+TODAY()</f>
        <v>44018</v>
      </c>
    </row>
    <row r="3" spans="2:12" x14ac:dyDescent="0.25">
      <c r="B3" s="79" t="s">
        <v>2031</v>
      </c>
      <c r="C3" s="80" t="s">
        <v>1822</v>
      </c>
      <c r="D3" s="21">
        <f ca="1">+L2</f>
        <v>44018</v>
      </c>
      <c r="G3" s="81" t="s">
        <v>1830</v>
      </c>
      <c r="H3" s="82"/>
      <c r="I3" s="87">
        <f>+SUM(I7:I22)</f>
        <v>0</v>
      </c>
      <c r="J3" s="6"/>
    </row>
    <row r="4" spans="2:12" x14ac:dyDescent="0.2">
      <c r="B4" s="79" t="s">
        <v>1487</v>
      </c>
      <c r="C4" s="80" t="s">
        <v>1822</v>
      </c>
      <c r="D4" s="4" t="s">
        <v>1488</v>
      </c>
      <c r="I4" s="16"/>
      <c r="J4" s="6"/>
    </row>
    <row r="5" spans="2:12" x14ac:dyDescent="0.25">
      <c r="B5" s="79" t="s">
        <v>2032</v>
      </c>
      <c r="C5" s="80" t="s">
        <v>1822</v>
      </c>
      <c r="D5" s="4"/>
      <c r="I5" s="16"/>
      <c r="J5" s="6"/>
    </row>
    <row r="6" spans="2:12" x14ac:dyDescent="0.2">
      <c r="B6" s="761" t="s">
        <v>924</v>
      </c>
      <c r="C6" s="762"/>
      <c r="D6" s="762"/>
      <c r="E6" s="5" t="s">
        <v>925</v>
      </c>
      <c r="F6" s="100" t="s">
        <v>1908</v>
      </c>
      <c r="G6" s="759" t="s">
        <v>1461</v>
      </c>
      <c r="H6" s="760"/>
      <c r="I6" s="123" t="s">
        <v>926</v>
      </c>
      <c r="J6" s="6"/>
    </row>
    <row r="7" spans="2:12" x14ac:dyDescent="0.2">
      <c r="B7" s="753"/>
      <c r="C7" s="754"/>
      <c r="D7" s="755"/>
      <c r="E7" s="4"/>
      <c r="F7" s="95"/>
      <c r="G7" s="4"/>
      <c r="H7" s="4"/>
      <c r="I7" s="129"/>
      <c r="J7" s="6"/>
    </row>
    <row r="8" spans="2:12" x14ac:dyDescent="0.2">
      <c r="B8" s="751"/>
      <c r="C8" s="741"/>
      <c r="D8" s="752"/>
      <c r="E8" s="4"/>
      <c r="F8" s="86"/>
      <c r="G8" s="4"/>
      <c r="H8" s="4"/>
      <c r="I8" s="124"/>
      <c r="J8" s="6"/>
    </row>
    <row r="9" spans="2:12" x14ac:dyDescent="0.2">
      <c r="B9" s="751"/>
      <c r="C9" s="741"/>
      <c r="D9" s="752"/>
      <c r="E9" s="4"/>
      <c r="F9" s="86"/>
      <c r="G9" s="4"/>
      <c r="H9" s="4"/>
      <c r="I9" s="124"/>
      <c r="J9" s="6"/>
    </row>
    <row r="10" spans="2:12" x14ac:dyDescent="0.2">
      <c r="B10" s="751"/>
      <c r="C10" s="741"/>
      <c r="D10" s="752"/>
      <c r="E10" s="4"/>
      <c r="F10" s="86"/>
      <c r="G10" s="4"/>
      <c r="H10" s="4"/>
      <c r="I10" s="124"/>
      <c r="J10" s="6"/>
    </row>
    <row r="11" spans="2:12" x14ac:dyDescent="0.2">
      <c r="B11" s="751"/>
      <c r="C11" s="741"/>
      <c r="D11" s="752"/>
      <c r="E11" s="4"/>
      <c r="F11" s="86"/>
      <c r="G11" s="4"/>
      <c r="H11" s="4"/>
      <c r="I11" s="124"/>
      <c r="J11" s="6"/>
    </row>
    <row r="12" spans="2:12" x14ac:dyDescent="0.2">
      <c r="B12" s="751"/>
      <c r="C12" s="741"/>
      <c r="D12" s="752"/>
      <c r="E12" s="4"/>
      <c r="F12" s="86"/>
      <c r="G12" s="4"/>
      <c r="H12" s="4"/>
      <c r="I12" s="124"/>
      <c r="J12" s="6"/>
    </row>
    <row r="13" spans="2:12" x14ac:dyDescent="0.2">
      <c r="B13" s="751"/>
      <c r="C13" s="741"/>
      <c r="D13" s="752"/>
      <c r="E13" s="4"/>
      <c r="F13" s="86"/>
      <c r="G13" s="4"/>
      <c r="H13" s="4"/>
      <c r="I13" s="124"/>
      <c r="J13" s="6"/>
    </row>
    <row r="14" spans="2:12" x14ac:dyDescent="0.25">
      <c r="B14" s="751"/>
      <c r="C14" s="741"/>
      <c r="D14" s="752"/>
      <c r="E14" s="4"/>
      <c r="F14" s="86"/>
      <c r="G14" s="4"/>
      <c r="H14" s="4"/>
      <c r="I14" s="124"/>
      <c r="J14" s="6"/>
    </row>
    <row r="15" spans="2:12" x14ac:dyDescent="0.25">
      <c r="B15" s="751"/>
      <c r="C15" s="741"/>
      <c r="D15" s="752"/>
      <c r="E15" s="4"/>
      <c r="F15" s="86"/>
      <c r="G15" s="4"/>
      <c r="H15" s="4"/>
      <c r="I15" s="124"/>
      <c r="J15" s="6"/>
    </row>
    <row r="16" spans="2:12" x14ac:dyDescent="0.25">
      <c r="B16" s="751"/>
      <c r="C16" s="741"/>
      <c r="D16" s="752"/>
      <c r="E16" s="4"/>
      <c r="F16" s="86"/>
      <c r="G16" s="4"/>
      <c r="H16" s="4"/>
      <c r="I16" s="124"/>
      <c r="J16" s="6"/>
    </row>
    <row r="17" spans="2:12" x14ac:dyDescent="0.25">
      <c r="B17" s="751"/>
      <c r="C17" s="741"/>
      <c r="D17" s="752"/>
      <c r="E17" s="4"/>
      <c r="F17" s="86"/>
      <c r="G17" s="4"/>
      <c r="H17" s="4"/>
      <c r="I17" s="124"/>
      <c r="J17" s="6"/>
    </row>
    <row r="18" spans="2:12" x14ac:dyDescent="0.25">
      <c r="B18" s="751"/>
      <c r="C18" s="741"/>
      <c r="D18" s="752"/>
      <c r="E18" s="4"/>
      <c r="F18" s="86"/>
      <c r="G18" s="4"/>
      <c r="H18" s="4"/>
      <c r="I18" s="124"/>
      <c r="J18" s="6"/>
    </row>
    <row r="19" spans="2:12" x14ac:dyDescent="0.25">
      <c r="B19" s="751"/>
      <c r="C19" s="741"/>
      <c r="D19" s="752"/>
      <c r="E19" s="4"/>
      <c r="F19" s="86"/>
      <c r="G19" s="4"/>
      <c r="H19" s="4"/>
      <c r="I19" s="124"/>
      <c r="J19" s="6"/>
    </row>
    <row r="20" spans="2:12" x14ac:dyDescent="0.25">
      <c r="B20" s="751"/>
      <c r="C20" s="741"/>
      <c r="D20" s="752"/>
      <c r="E20" s="4"/>
      <c r="F20" s="86"/>
      <c r="G20" s="4"/>
      <c r="H20" s="4"/>
      <c r="I20" s="124"/>
      <c r="J20" s="6"/>
    </row>
    <row r="21" spans="2:12" x14ac:dyDescent="0.25">
      <c r="B21" s="751"/>
      <c r="C21" s="741"/>
      <c r="D21" s="752"/>
      <c r="E21" s="4"/>
      <c r="F21" s="86"/>
      <c r="G21" s="4"/>
      <c r="H21" s="4"/>
      <c r="I21" s="124"/>
      <c r="J21" s="6"/>
    </row>
    <row r="22" spans="2:12" x14ac:dyDescent="0.25">
      <c r="B22" s="756"/>
      <c r="C22" s="757"/>
      <c r="D22" s="758"/>
      <c r="E22" s="84"/>
      <c r="F22" s="10"/>
      <c r="G22" s="84"/>
      <c r="H22" s="84"/>
      <c r="I22" s="143"/>
      <c r="J22" s="6"/>
    </row>
    <row r="23" spans="2:12" x14ac:dyDescent="0.25">
      <c r="B23" s="1"/>
      <c r="C23" s="1"/>
      <c r="D23" s="1"/>
      <c r="E23" s="1"/>
      <c r="F23" s="1"/>
      <c r="G23" s="1"/>
      <c r="H23" s="1"/>
      <c r="I23" s="1"/>
      <c r="J23" s="6"/>
    </row>
    <row r="24" spans="2:12" ht="18.75" x14ac:dyDescent="0.3">
      <c r="B24" s="765" t="s">
        <v>2033</v>
      </c>
      <c r="C24" s="766"/>
      <c r="D24" s="766"/>
      <c r="E24" s="766"/>
      <c r="F24" s="763" t="s">
        <v>2135</v>
      </c>
      <c r="G24" s="763"/>
      <c r="H24" s="763"/>
      <c r="I24" s="763"/>
      <c r="J24" s="763"/>
      <c r="K24" s="763"/>
      <c r="L24" s="764"/>
    </row>
    <row r="25" spans="2:12" x14ac:dyDescent="0.25">
      <c r="B25" s="79" t="s">
        <v>2031</v>
      </c>
      <c r="C25" s="80" t="s">
        <v>1822</v>
      </c>
      <c r="D25" s="21">
        <f ca="1">+L2</f>
        <v>44018</v>
      </c>
      <c r="J25" s="89" t="s">
        <v>1830</v>
      </c>
      <c r="K25" s="90" t="s">
        <v>1822</v>
      </c>
      <c r="L25" s="91">
        <f>+SUM(L29:L38)</f>
        <v>0</v>
      </c>
    </row>
    <row r="26" spans="2:12" x14ac:dyDescent="0.25">
      <c r="B26" s="79" t="s">
        <v>1487</v>
      </c>
      <c r="C26" s="80" t="s">
        <v>1822</v>
      </c>
      <c r="D26" s="4" t="s">
        <v>1488</v>
      </c>
      <c r="L26" s="19"/>
    </row>
    <row r="27" spans="2:12" x14ac:dyDescent="0.25">
      <c r="B27" s="79" t="s">
        <v>2032</v>
      </c>
      <c r="C27" s="80" t="s">
        <v>1822</v>
      </c>
      <c r="D27" s="4"/>
      <c r="I27" s="17"/>
      <c r="L27" s="18"/>
    </row>
    <row r="28" spans="2:12" x14ac:dyDescent="0.25">
      <c r="B28" s="759" t="s">
        <v>924</v>
      </c>
      <c r="C28" s="740"/>
      <c r="D28" s="760"/>
      <c r="E28" s="5" t="s">
        <v>925</v>
      </c>
      <c r="F28" s="100" t="s">
        <v>1908</v>
      </c>
      <c r="G28" s="759" t="s">
        <v>1461</v>
      </c>
      <c r="H28" s="740"/>
      <c r="I28" s="5" t="s">
        <v>1451</v>
      </c>
      <c r="J28" s="759" t="s">
        <v>1487</v>
      </c>
      <c r="K28" s="760"/>
      <c r="L28" s="123" t="s">
        <v>926</v>
      </c>
    </row>
    <row r="29" spans="2:12" x14ac:dyDescent="0.25">
      <c r="B29" s="751"/>
      <c r="C29" s="741"/>
      <c r="D29" s="741"/>
      <c r="E29" s="95"/>
      <c r="F29" s="4"/>
      <c r="G29" s="85"/>
      <c r="H29" s="4"/>
      <c r="I29" s="95"/>
      <c r="J29" s="85"/>
      <c r="K29" s="103"/>
      <c r="L29" s="138"/>
    </row>
    <row r="30" spans="2:12" x14ac:dyDescent="0.25">
      <c r="B30" s="751"/>
      <c r="C30" s="741"/>
      <c r="D30" s="741"/>
      <c r="E30" s="86"/>
      <c r="F30" s="4"/>
      <c r="G30" s="85"/>
      <c r="H30" s="4"/>
      <c r="I30" s="86"/>
      <c r="J30" s="85"/>
      <c r="K30" s="103"/>
      <c r="L30" s="124"/>
    </row>
    <row r="31" spans="2:12" x14ac:dyDescent="0.25">
      <c r="B31" s="751"/>
      <c r="C31" s="741"/>
      <c r="D31" s="741"/>
      <c r="E31" s="86"/>
      <c r="F31" s="4"/>
      <c r="G31" s="85"/>
      <c r="H31" s="4"/>
      <c r="I31" s="86"/>
      <c r="J31" s="85"/>
      <c r="K31" s="103"/>
      <c r="L31" s="124"/>
    </row>
    <row r="32" spans="2:12" x14ac:dyDescent="0.25">
      <c r="B32" s="751"/>
      <c r="C32" s="741"/>
      <c r="D32" s="752"/>
      <c r="E32" s="86"/>
      <c r="F32" s="4"/>
      <c r="G32" s="85"/>
      <c r="H32" s="4"/>
      <c r="I32" s="86"/>
      <c r="J32" s="85"/>
      <c r="K32" s="103"/>
      <c r="L32" s="124"/>
    </row>
    <row r="33" spans="2:12" x14ac:dyDescent="0.25">
      <c r="B33" s="751"/>
      <c r="C33" s="741"/>
      <c r="D33" s="752"/>
      <c r="E33" s="86"/>
      <c r="F33" s="4"/>
      <c r="G33" s="85"/>
      <c r="H33" s="4"/>
      <c r="I33" s="86"/>
      <c r="J33" s="85"/>
      <c r="K33" s="103"/>
      <c r="L33" s="124"/>
    </row>
    <row r="34" spans="2:12" x14ac:dyDescent="0.25">
      <c r="B34" s="751"/>
      <c r="C34" s="741"/>
      <c r="D34" s="752"/>
      <c r="E34" s="86"/>
      <c r="F34" s="4"/>
      <c r="G34" s="85"/>
      <c r="H34" s="4"/>
      <c r="I34" s="86"/>
      <c r="J34" s="85"/>
      <c r="K34" s="103"/>
      <c r="L34" s="124"/>
    </row>
    <row r="35" spans="2:12" x14ac:dyDescent="0.25">
      <c r="B35" s="751"/>
      <c r="C35" s="741"/>
      <c r="D35" s="752"/>
      <c r="E35" s="86"/>
      <c r="F35" s="4"/>
      <c r="G35" s="85"/>
      <c r="H35" s="4"/>
      <c r="I35" s="86"/>
      <c r="J35" s="85"/>
      <c r="K35" s="103"/>
      <c r="L35" s="124"/>
    </row>
    <row r="36" spans="2:12" x14ac:dyDescent="0.25">
      <c r="B36" s="751"/>
      <c r="C36" s="741"/>
      <c r="D36" s="741"/>
      <c r="E36" s="86"/>
      <c r="F36" s="4"/>
      <c r="G36" s="85"/>
      <c r="H36" s="4"/>
      <c r="I36" s="86"/>
      <c r="J36" s="85"/>
      <c r="K36" s="103"/>
      <c r="L36" s="77"/>
    </row>
    <row r="37" spans="2:12" x14ac:dyDescent="0.25">
      <c r="B37" s="751"/>
      <c r="C37" s="741"/>
      <c r="D37" s="752"/>
      <c r="E37" s="86"/>
      <c r="F37" s="4"/>
      <c r="G37" s="85"/>
      <c r="H37" s="4"/>
      <c r="I37" s="86"/>
      <c r="J37" s="85"/>
      <c r="K37" s="103"/>
      <c r="L37" s="77"/>
    </row>
    <row r="38" spans="2:12" x14ac:dyDescent="0.25">
      <c r="B38" s="756"/>
      <c r="C38" s="757"/>
      <c r="D38" s="757"/>
      <c r="E38" s="10"/>
      <c r="F38" s="84"/>
      <c r="G38" s="83"/>
      <c r="H38" s="84"/>
      <c r="I38" s="10"/>
      <c r="J38" s="83"/>
      <c r="K38" s="102"/>
      <c r="L38" s="10"/>
    </row>
    <row r="41" spans="2:12" ht="18.75" x14ac:dyDescent="0.3">
      <c r="B41" s="765" t="s">
        <v>2033</v>
      </c>
      <c r="C41" s="766"/>
      <c r="D41" s="766"/>
      <c r="E41" s="766"/>
      <c r="F41" s="763" t="s">
        <v>2136</v>
      </c>
      <c r="G41" s="763"/>
      <c r="H41" s="763"/>
      <c r="I41" s="763"/>
      <c r="J41" s="763"/>
      <c r="K41" s="763"/>
      <c r="L41" s="764"/>
    </row>
    <row r="42" spans="2:12" x14ac:dyDescent="0.25">
      <c r="B42" s="79" t="s">
        <v>2031</v>
      </c>
      <c r="C42" s="80" t="s">
        <v>1822</v>
      </c>
      <c r="D42" s="21">
        <f ca="1">+L2</f>
        <v>44018</v>
      </c>
      <c r="J42" s="89" t="s">
        <v>1830</v>
      </c>
      <c r="K42" s="90" t="s">
        <v>1822</v>
      </c>
      <c r="L42" s="91">
        <f>+SUM(L46:L55)</f>
        <v>0</v>
      </c>
    </row>
    <row r="43" spans="2:12" x14ac:dyDescent="0.25">
      <c r="B43" s="79" t="s">
        <v>1487</v>
      </c>
      <c r="C43" s="80" t="s">
        <v>1822</v>
      </c>
      <c r="D43" s="4" t="s">
        <v>1488</v>
      </c>
      <c r="L43" s="19"/>
    </row>
    <row r="44" spans="2:12" x14ac:dyDescent="0.25">
      <c r="B44" s="79" t="s">
        <v>2032</v>
      </c>
      <c r="C44" s="80" t="s">
        <v>1822</v>
      </c>
      <c r="D44" s="4"/>
      <c r="I44" s="17"/>
      <c r="L44" s="18"/>
    </row>
    <row r="45" spans="2:12" x14ac:dyDescent="0.25">
      <c r="B45" s="759" t="s">
        <v>924</v>
      </c>
      <c r="C45" s="740"/>
      <c r="D45" s="760"/>
      <c r="E45" s="5" t="s">
        <v>925</v>
      </c>
      <c r="F45" s="100" t="s">
        <v>1908</v>
      </c>
      <c r="G45" s="761" t="s">
        <v>1461</v>
      </c>
      <c r="H45" s="762"/>
      <c r="I45" s="94" t="s">
        <v>1451</v>
      </c>
      <c r="J45" s="759" t="s">
        <v>1487</v>
      </c>
      <c r="K45" s="760"/>
      <c r="L45" s="101" t="s">
        <v>926</v>
      </c>
    </row>
    <row r="46" spans="2:12" x14ac:dyDescent="0.25">
      <c r="B46" s="753"/>
      <c r="C46" s="754"/>
      <c r="D46" s="755"/>
      <c r="E46" s="86"/>
      <c r="F46" s="4"/>
      <c r="G46" s="104"/>
      <c r="H46" s="105"/>
      <c r="I46" s="95"/>
      <c r="J46" s="104"/>
      <c r="K46" s="106"/>
      <c r="L46" s="92"/>
    </row>
    <row r="47" spans="2:12" x14ac:dyDescent="0.25">
      <c r="B47" s="751"/>
      <c r="C47" s="741"/>
      <c r="D47" s="752"/>
      <c r="E47" s="86"/>
      <c r="F47" s="4"/>
      <c r="G47" s="85"/>
      <c r="H47" s="4"/>
      <c r="I47" s="86"/>
      <c r="J47" s="85"/>
      <c r="K47" s="103"/>
      <c r="L47" s="93"/>
    </row>
    <row r="48" spans="2:12" x14ac:dyDescent="0.25">
      <c r="B48" s="751"/>
      <c r="C48" s="741"/>
      <c r="D48" s="752"/>
      <c r="E48" s="86"/>
      <c r="F48" s="4"/>
      <c r="G48" s="85"/>
      <c r="H48" s="4"/>
      <c r="I48" s="86"/>
      <c r="J48" s="85"/>
      <c r="K48" s="103"/>
      <c r="L48" s="93"/>
    </row>
    <row r="49" spans="2:12" x14ac:dyDescent="0.25">
      <c r="B49" s="751"/>
      <c r="C49" s="741"/>
      <c r="D49" s="752"/>
      <c r="E49" s="86"/>
      <c r="F49" s="4"/>
      <c r="G49" s="85"/>
      <c r="H49" s="4"/>
      <c r="I49" s="86"/>
      <c r="J49" s="85"/>
      <c r="K49" s="103"/>
      <c r="L49" s="93"/>
    </row>
    <row r="50" spans="2:12" x14ac:dyDescent="0.25">
      <c r="B50" s="751"/>
      <c r="C50" s="741"/>
      <c r="D50" s="752"/>
      <c r="E50" s="86"/>
      <c r="F50" s="4"/>
      <c r="G50" s="85"/>
      <c r="H50" s="4"/>
      <c r="I50" s="86"/>
      <c r="J50" s="85"/>
      <c r="K50" s="103"/>
      <c r="L50" s="93"/>
    </row>
    <row r="51" spans="2:12" x14ac:dyDescent="0.25">
      <c r="B51" s="751"/>
      <c r="C51" s="741"/>
      <c r="D51" s="752"/>
      <c r="E51" s="86"/>
      <c r="F51" s="4"/>
      <c r="G51" s="85"/>
      <c r="H51" s="4"/>
      <c r="I51" s="86"/>
      <c r="J51" s="85"/>
      <c r="K51" s="103"/>
      <c r="L51" s="93"/>
    </row>
    <row r="52" spans="2:12" x14ac:dyDescent="0.25">
      <c r="B52" s="751"/>
      <c r="C52" s="741"/>
      <c r="D52" s="752"/>
      <c r="E52" s="86"/>
      <c r="F52" s="4"/>
      <c r="G52" s="85"/>
      <c r="H52" s="4"/>
      <c r="I52" s="86"/>
      <c r="J52" s="85"/>
      <c r="K52" s="103"/>
      <c r="L52" s="93"/>
    </row>
    <row r="53" spans="2:12" x14ac:dyDescent="0.25">
      <c r="B53" s="751"/>
      <c r="C53" s="741"/>
      <c r="D53" s="752"/>
      <c r="E53" s="86"/>
      <c r="F53" s="4"/>
      <c r="G53" s="85"/>
      <c r="H53" s="4"/>
      <c r="I53" s="86"/>
      <c r="J53" s="85"/>
      <c r="K53" s="103"/>
      <c r="L53" s="93"/>
    </row>
    <row r="54" spans="2:12" x14ac:dyDescent="0.25">
      <c r="B54" s="751"/>
      <c r="C54" s="741"/>
      <c r="D54" s="752"/>
      <c r="E54" s="86"/>
      <c r="F54" s="4"/>
      <c r="G54" s="85"/>
      <c r="H54" s="4"/>
      <c r="I54" s="86"/>
      <c r="J54" s="85"/>
      <c r="K54" s="103"/>
      <c r="L54" s="103"/>
    </row>
    <row r="55" spans="2:12" x14ac:dyDescent="0.25">
      <c r="B55" s="756"/>
      <c r="C55" s="757"/>
      <c r="D55" s="758"/>
      <c r="E55" s="10"/>
      <c r="F55" s="84"/>
      <c r="G55" s="83"/>
      <c r="H55" s="84"/>
      <c r="I55" s="10"/>
      <c r="J55" s="83"/>
      <c r="K55" s="102"/>
      <c r="L55" s="102"/>
    </row>
    <row r="772" spans="30:30" x14ac:dyDescent="0.25">
      <c r="AD772" t="s">
        <v>2050</v>
      </c>
    </row>
  </sheetData>
  <mergeCells count="50">
    <mergeCell ref="B38:D38"/>
    <mergeCell ref="J28:K28"/>
    <mergeCell ref="B24:E24"/>
    <mergeCell ref="F24:L24"/>
    <mergeCell ref="B36:D36"/>
    <mergeCell ref="B31:D31"/>
    <mergeCell ref="B30:D30"/>
    <mergeCell ref="B29:D29"/>
    <mergeCell ref="B37:D37"/>
    <mergeCell ref="B35:D35"/>
    <mergeCell ref="B34:D34"/>
    <mergeCell ref="B33:D33"/>
    <mergeCell ref="B32:D32"/>
    <mergeCell ref="B2:E2"/>
    <mergeCell ref="F2:I2"/>
    <mergeCell ref="B28:D28"/>
    <mergeCell ref="G28:H28"/>
    <mergeCell ref="G6:H6"/>
    <mergeCell ref="B6:D6"/>
    <mergeCell ref="B22:D22"/>
    <mergeCell ref="B7:D7"/>
    <mergeCell ref="B21:D21"/>
    <mergeCell ref="B20:D20"/>
    <mergeCell ref="B19:D19"/>
    <mergeCell ref="B18:D18"/>
    <mergeCell ref="B17:D17"/>
    <mergeCell ref="B16:D16"/>
    <mergeCell ref="B15:D15"/>
    <mergeCell ref="B14:D14"/>
    <mergeCell ref="B45:D45"/>
    <mergeCell ref="G45:H45"/>
    <mergeCell ref="J45:K45"/>
    <mergeCell ref="F41:L41"/>
    <mergeCell ref="B41:E41"/>
    <mergeCell ref="B46:D46"/>
    <mergeCell ref="B47:D47"/>
    <mergeCell ref="B53:D53"/>
    <mergeCell ref="B54:D54"/>
    <mergeCell ref="B55:D55"/>
    <mergeCell ref="B51:D51"/>
    <mergeCell ref="B52:D52"/>
    <mergeCell ref="B50:D50"/>
    <mergeCell ref="B49:D49"/>
    <mergeCell ref="B48:D48"/>
    <mergeCell ref="B8:D8"/>
    <mergeCell ref="B13:D13"/>
    <mergeCell ref="B12:D12"/>
    <mergeCell ref="B11:D11"/>
    <mergeCell ref="B10:D10"/>
    <mergeCell ref="B9:D9"/>
  </mergeCells>
  <pageMargins left="0.7" right="0.7" top="0.75" bottom="0.75" header="0.3" footer="0.3"/>
  <pageSetup scale="76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6"/>
  <sheetViews>
    <sheetView showGridLines="0" workbookViewId="0">
      <selection activeCell="D7" sqref="D7"/>
    </sheetView>
  </sheetViews>
  <sheetFormatPr baseColWidth="10" defaultColWidth="10.7109375" defaultRowHeight="15" x14ac:dyDescent="0.25"/>
  <cols>
    <col min="1" max="1" width="2.85546875" style="4" bestFit="1" customWidth="1"/>
    <col min="2" max="2" width="10.140625" style="4" bestFit="1" customWidth="1"/>
  </cols>
  <sheetData>
    <row r="1" spans="1:2" x14ac:dyDescent="0.25">
      <c r="A1" s="1" t="s">
        <v>1519</v>
      </c>
      <c r="B1" s="1" t="s">
        <v>1505</v>
      </c>
    </row>
    <row r="2" spans="1:2" x14ac:dyDescent="0.2">
      <c r="A2" s="4">
        <v>1</v>
      </c>
      <c r="B2" s="4" t="s">
        <v>10</v>
      </c>
    </row>
    <row r="3" spans="1:2" x14ac:dyDescent="0.2">
      <c r="A3" s="4">
        <v>2</v>
      </c>
      <c r="B3" s="4" t="s">
        <v>406</v>
      </c>
    </row>
    <row r="4" spans="1:2" x14ac:dyDescent="0.2">
      <c r="A4" s="4">
        <v>3</v>
      </c>
      <c r="B4" s="4" t="s">
        <v>47</v>
      </c>
    </row>
    <row r="5" spans="1:2" x14ac:dyDescent="0.2">
      <c r="A5" s="4">
        <v>4</v>
      </c>
      <c r="B5" s="4" t="s">
        <v>573</v>
      </c>
    </row>
    <row r="6" spans="1:2" x14ac:dyDescent="0.2">
      <c r="A6" s="4">
        <v>5</v>
      </c>
      <c r="B6" s="4" t="s">
        <v>795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H20"/>
  <sheetViews>
    <sheetView showGridLines="0" workbookViewId="0">
      <selection activeCell="D14" sqref="D14"/>
    </sheetView>
  </sheetViews>
  <sheetFormatPr baseColWidth="10" defaultColWidth="10.7109375" defaultRowHeight="15" x14ac:dyDescent="0.25"/>
  <cols>
    <col min="1" max="1" width="6.28515625" style="4" customWidth="1"/>
    <col min="2" max="2" width="14.7109375" style="4" bestFit="1" customWidth="1"/>
  </cols>
  <sheetData>
    <row r="1" spans="1:8" x14ac:dyDescent="0.2">
      <c r="A1" s="1" t="s">
        <v>1519</v>
      </c>
      <c r="B1" s="1" t="s">
        <v>1507</v>
      </c>
    </row>
    <row r="2" spans="1:8" x14ac:dyDescent="0.2">
      <c r="A2" s="4">
        <v>112</v>
      </c>
      <c r="B2" s="4" t="s">
        <v>12</v>
      </c>
      <c r="G2" s="4"/>
    </row>
    <row r="3" spans="1:8" x14ac:dyDescent="0.2">
      <c r="A3" s="4">
        <v>113</v>
      </c>
      <c r="B3" s="4" t="s">
        <v>18</v>
      </c>
      <c r="C3" s="4"/>
      <c r="D3" s="4"/>
      <c r="E3" s="4"/>
      <c r="F3" s="4"/>
      <c r="G3" s="4"/>
    </row>
    <row r="4" spans="1:8" x14ac:dyDescent="0.2">
      <c r="A4" s="4">
        <v>114</v>
      </c>
      <c r="B4" s="4" t="s">
        <v>29</v>
      </c>
      <c r="C4" s="4"/>
      <c r="D4" s="4"/>
      <c r="E4" s="4"/>
      <c r="F4" s="4"/>
      <c r="G4" s="4"/>
    </row>
    <row r="5" spans="1:8" x14ac:dyDescent="0.2">
      <c r="A5" s="4">
        <v>115</v>
      </c>
      <c r="B5" s="4" t="s">
        <v>34</v>
      </c>
      <c r="C5" s="4"/>
      <c r="D5" s="4"/>
      <c r="E5" s="4"/>
      <c r="F5" s="4"/>
      <c r="G5" s="4"/>
    </row>
    <row r="6" spans="1:8" x14ac:dyDescent="0.2">
      <c r="A6" s="4">
        <v>121</v>
      </c>
      <c r="B6" s="4" t="s">
        <v>34</v>
      </c>
      <c r="G6" s="4"/>
    </row>
    <row r="7" spans="1:8" x14ac:dyDescent="0.2">
      <c r="A7" s="4">
        <v>311</v>
      </c>
      <c r="B7" s="4" t="s">
        <v>90</v>
      </c>
    </row>
    <row r="8" spans="1:8" x14ac:dyDescent="0.2">
      <c r="A8" s="4">
        <v>312</v>
      </c>
      <c r="B8" s="4" t="s">
        <v>95</v>
      </c>
    </row>
    <row r="9" spans="1:8" x14ac:dyDescent="0.2">
      <c r="A9" s="4">
        <v>341</v>
      </c>
      <c r="B9" s="4" t="s">
        <v>108</v>
      </c>
      <c r="C9" s="4"/>
    </row>
    <row r="10" spans="1:8" x14ac:dyDescent="0.2">
      <c r="A10" s="4">
        <v>351</v>
      </c>
      <c r="B10" s="4" t="s">
        <v>149</v>
      </c>
    </row>
    <row r="11" spans="1:8" x14ac:dyDescent="0.2">
      <c r="A11" s="4">
        <v>352</v>
      </c>
      <c r="B11" s="4" t="s">
        <v>171</v>
      </c>
      <c r="C11" s="4"/>
      <c r="D11" s="4"/>
      <c r="E11" s="4"/>
      <c r="F11" s="4"/>
      <c r="G11" s="4"/>
      <c r="H11" s="4"/>
    </row>
    <row r="12" spans="1:8" x14ac:dyDescent="0.2">
      <c r="A12" s="4">
        <v>353</v>
      </c>
      <c r="B12" s="4" t="s">
        <v>306</v>
      </c>
      <c r="C12" s="4"/>
      <c r="D12" s="4"/>
      <c r="E12" s="4"/>
      <c r="F12" s="4"/>
      <c r="G12" s="4"/>
      <c r="H12" s="4"/>
    </row>
    <row r="13" spans="1:8" x14ac:dyDescent="0.2">
      <c r="A13" s="4">
        <v>354</v>
      </c>
      <c r="B13" s="4" t="s">
        <v>189</v>
      </c>
      <c r="C13" s="4"/>
      <c r="D13" s="4"/>
      <c r="E13" s="4"/>
      <c r="F13" s="4"/>
      <c r="G13" s="4"/>
      <c r="H13" s="4"/>
    </row>
    <row r="14" spans="1:8" x14ac:dyDescent="0.25">
      <c r="A14" s="4">
        <v>355</v>
      </c>
      <c r="B14" s="4" t="s">
        <v>195</v>
      </c>
      <c r="C14" s="4"/>
      <c r="D14" s="4"/>
      <c r="E14" s="4"/>
      <c r="F14" s="4"/>
      <c r="G14" s="4"/>
      <c r="H14" s="4"/>
    </row>
    <row r="15" spans="1:8" x14ac:dyDescent="0.25">
      <c r="A15" s="4">
        <v>356</v>
      </c>
      <c r="B15" s="4" t="s">
        <v>199</v>
      </c>
      <c r="C15" s="4"/>
      <c r="D15" s="4"/>
      <c r="E15" s="4"/>
      <c r="F15" s="4"/>
      <c r="G15" s="4"/>
      <c r="H15" s="4"/>
    </row>
    <row r="16" spans="1:8" x14ac:dyDescent="0.25">
      <c r="A16" s="4">
        <v>511</v>
      </c>
      <c r="B16" s="4" t="s">
        <v>865</v>
      </c>
    </row>
    <row r="17" spans="1:2" x14ac:dyDescent="0.25">
      <c r="A17" s="4">
        <v>512</v>
      </c>
      <c r="B17" s="4" t="s">
        <v>804</v>
      </c>
    </row>
    <row r="18" spans="1:2" x14ac:dyDescent="0.25">
      <c r="A18" s="4">
        <v>513</v>
      </c>
      <c r="B18" s="4" t="s">
        <v>49</v>
      </c>
    </row>
    <row r="19" spans="1:2" x14ac:dyDescent="0.25">
      <c r="A19" s="4">
        <v>514</v>
      </c>
      <c r="B19" s="4" t="s">
        <v>797</v>
      </c>
    </row>
    <row r="20" spans="1:2" x14ac:dyDescent="0.25">
      <c r="A20" s="4">
        <v>515</v>
      </c>
      <c r="B20" s="4" t="s">
        <v>852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18"/>
  <sheetViews>
    <sheetView showGridLines="0" workbookViewId="0">
      <selection activeCell="D12" sqref="D12"/>
    </sheetView>
  </sheetViews>
  <sheetFormatPr baseColWidth="10" defaultColWidth="10.7109375" defaultRowHeight="15" x14ac:dyDescent="0.25"/>
  <cols>
    <col min="1" max="1" width="4" style="4" bestFit="1" customWidth="1"/>
    <col min="2" max="2" width="18.42578125" style="4" bestFit="1" customWidth="1"/>
    <col min="4" max="4" width="14.7109375" bestFit="1" customWidth="1"/>
  </cols>
  <sheetData>
    <row r="1" spans="1:9" x14ac:dyDescent="0.2">
      <c r="A1" s="1" t="s">
        <v>1519</v>
      </c>
      <c r="B1" s="1" t="s">
        <v>1506</v>
      </c>
    </row>
    <row r="2" spans="1:9" x14ac:dyDescent="0.2">
      <c r="A2" s="4">
        <v>11</v>
      </c>
      <c r="B2" s="4" t="s">
        <v>11</v>
      </c>
      <c r="C2" s="4" t="s">
        <v>12</v>
      </c>
      <c r="D2" s="4" t="s">
        <v>18</v>
      </c>
      <c r="E2" s="4" t="s">
        <v>29</v>
      </c>
      <c r="F2" s="4" t="s">
        <v>34</v>
      </c>
      <c r="G2" s="4"/>
    </row>
    <row r="3" spans="1:9" x14ac:dyDescent="0.2">
      <c r="A3" s="4">
        <v>12</v>
      </c>
      <c r="B3" s="4" t="s">
        <v>37</v>
      </c>
      <c r="C3" s="4" t="s">
        <v>34</v>
      </c>
      <c r="G3" s="4"/>
    </row>
    <row r="4" spans="1:9" x14ac:dyDescent="0.2">
      <c r="A4" s="4">
        <v>13</v>
      </c>
      <c r="B4" s="4" t="s">
        <v>42</v>
      </c>
      <c r="F4" s="4"/>
      <c r="G4" s="4"/>
    </row>
    <row r="5" spans="1:9" x14ac:dyDescent="0.2">
      <c r="A5" s="4">
        <v>21</v>
      </c>
      <c r="B5" s="4" t="s">
        <v>695</v>
      </c>
      <c r="F5" s="4"/>
      <c r="G5" s="4"/>
    </row>
    <row r="6" spans="1:9" x14ac:dyDescent="0.2">
      <c r="A6" s="4">
        <v>22</v>
      </c>
      <c r="B6" s="4" t="s">
        <v>407</v>
      </c>
      <c r="F6" s="4"/>
    </row>
    <row r="7" spans="1:9" x14ac:dyDescent="0.2">
      <c r="A7" s="4">
        <v>23</v>
      </c>
      <c r="B7" s="4" t="s">
        <v>707</v>
      </c>
    </row>
    <row r="8" spans="1:9" x14ac:dyDescent="0.2">
      <c r="A8" s="4">
        <v>31</v>
      </c>
      <c r="B8" s="4" t="s">
        <v>48</v>
      </c>
      <c r="C8" s="4" t="s">
        <v>90</v>
      </c>
      <c r="D8" s="4" t="s">
        <v>95</v>
      </c>
    </row>
    <row r="9" spans="1:9" x14ac:dyDescent="0.2">
      <c r="A9" s="4">
        <v>32</v>
      </c>
      <c r="B9" s="4" t="s">
        <v>101</v>
      </c>
    </row>
    <row r="10" spans="1:9" x14ac:dyDescent="0.25">
      <c r="A10" s="4">
        <v>33</v>
      </c>
      <c r="B10" s="4" t="s">
        <v>734</v>
      </c>
    </row>
    <row r="11" spans="1:9" x14ac:dyDescent="0.2">
      <c r="A11" s="4">
        <v>34</v>
      </c>
      <c r="B11" s="4" t="s">
        <v>108</v>
      </c>
      <c r="C11" s="4" t="s">
        <v>108</v>
      </c>
    </row>
    <row r="12" spans="1:9" x14ac:dyDescent="0.2">
      <c r="A12" s="4">
        <v>35</v>
      </c>
      <c r="B12" s="4" t="s">
        <v>107</v>
      </c>
      <c r="C12" s="4" t="s">
        <v>149</v>
      </c>
      <c r="D12" s="4" t="s">
        <v>171</v>
      </c>
      <c r="E12" s="4" t="s">
        <v>306</v>
      </c>
      <c r="F12" s="4" t="s">
        <v>189</v>
      </c>
      <c r="G12" s="4" t="s">
        <v>195</v>
      </c>
      <c r="H12" s="4" t="s">
        <v>199</v>
      </c>
    </row>
    <row r="13" spans="1:9" x14ac:dyDescent="0.2">
      <c r="A13" s="4">
        <v>36</v>
      </c>
      <c r="B13" s="4" t="s">
        <v>262</v>
      </c>
      <c r="I13" s="4"/>
    </row>
    <row r="14" spans="1:9" x14ac:dyDescent="0.25">
      <c r="A14" s="4">
        <v>37</v>
      </c>
      <c r="B14" s="4" t="s">
        <v>364</v>
      </c>
    </row>
    <row r="15" spans="1:9" x14ac:dyDescent="0.25">
      <c r="A15" s="4">
        <v>38</v>
      </c>
      <c r="B15" s="4" t="s">
        <v>393</v>
      </c>
    </row>
    <row r="16" spans="1:9" x14ac:dyDescent="0.25">
      <c r="A16" s="4">
        <v>39</v>
      </c>
      <c r="B16" s="4" t="s">
        <v>783</v>
      </c>
    </row>
    <row r="17" spans="1:7" x14ac:dyDescent="0.25">
      <c r="A17" s="4">
        <v>41</v>
      </c>
      <c r="B17" s="4" t="s">
        <v>1520</v>
      </c>
    </row>
    <row r="18" spans="1:7" x14ac:dyDescent="0.25">
      <c r="A18" s="4">
        <v>51</v>
      </c>
      <c r="B18" s="4" t="s">
        <v>796</v>
      </c>
      <c r="C18" s="4" t="s">
        <v>852</v>
      </c>
      <c r="D18" s="4" t="s">
        <v>797</v>
      </c>
      <c r="E18" s="4" t="s">
        <v>49</v>
      </c>
      <c r="F18" s="4" t="s">
        <v>804</v>
      </c>
      <c r="G18" s="4" t="s">
        <v>865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6</vt:i4>
      </vt:variant>
    </vt:vector>
  </HeadingPairs>
  <TitlesOfParts>
    <vt:vector size="25" baseType="lpstr">
      <vt:lpstr>Menu</vt:lpstr>
      <vt:lpstr>OV</vt:lpstr>
      <vt:lpstr>Salidas</vt:lpstr>
      <vt:lpstr>Entradas</vt:lpstr>
      <vt:lpstr>Informes</vt:lpstr>
      <vt:lpstr>LProd</vt:lpstr>
      <vt:lpstr>Inv</vt:lpstr>
      <vt:lpstr>LV</vt:lpstr>
      <vt:lpstr>LC</vt:lpstr>
      <vt:lpstr>LCli</vt:lpstr>
      <vt:lpstr>Cob</vt:lpstr>
      <vt:lpstr>LQ</vt:lpstr>
      <vt:lpstr>LProv</vt:lpstr>
      <vt:lpstr>EC</vt:lpstr>
      <vt:lpstr>LValid</vt:lpstr>
      <vt:lpstr>Dep</vt:lpstr>
      <vt:lpstr>Categoria</vt:lpstr>
      <vt:lpstr>Sub-Tipo</vt:lpstr>
      <vt:lpstr>Tipo</vt:lpstr>
      <vt:lpstr>Dep!Área_de_impresión</vt:lpstr>
      <vt:lpstr>EC!Área_de_impresión</vt:lpstr>
      <vt:lpstr>LProd!Área_de_impresión</vt:lpstr>
      <vt:lpstr>LQ!Área_de_impresión</vt:lpstr>
      <vt:lpstr>LV!Área_de_impresión</vt:lpstr>
      <vt:lpstr>OV!Área_de_impresión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</dc:creator>
  <cp:lastModifiedBy>Alumno</cp:lastModifiedBy>
  <cp:lastPrinted>2020-04-09T21:37:39Z</cp:lastPrinted>
  <dcterms:created xsi:type="dcterms:W3CDTF">2017-12-20T14:36:21Z</dcterms:created>
  <dcterms:modified xsi:type="dcterms:W3CDTF">2020-07-06T23:27:37Z</dcterms:modified>
</cp:coreProperties>
</file>